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4\Los Angeles (4%) (04-23)\TAB 40 - CTCAC E-App\"/>
    </mc:Choice>
  </mc:AlternateContent>
  <bookViews>
    <workbookView xWindow="-19994" yWindow="-104" windowWidth="20098" windowHeight="10671" firstSheet="6" activeTab="10"/>
  </bookViews>
  <sheets>
    <sheet name="Instructions-App Completion " sheetId="1" r:id="rId1"/>
    <sheet name="Checklist Items " sheetId="9" state="hidden" r:id="rId2"/>
    <sheet name="Instructions-Electronic Submit" sheetId="16" r:id="rId3"/>
    <sheet name="Application Checklist" sheetId="19" state="hidden" r:id="rId4"/>
    <sheet name="Application" sheetId="3" r:id="rId5"/>
    <sheet name="Sources and Uses Budget" sheetId="4" r:id="rId6"/>
    <sheet name="Sources and Basis Breakdown" sheetId="13" r:id="rId7"/>
    <sheet name="Points System" sheetId="20" r:id="rId8"/>
    <sheet name="Tie Breaker" sheetId="21" r:id="rId9"/>
    <sheet name="CalHFA Addendum" sheetId="27" state="hidden"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4" l="1"/>
  <c r="E33" i="4"/>
  <c r="E32" i="4"/>
  <c r="E31" i="4"/>
  <c r="F45" i="4"/>
  <c r="W867" i="3"/>
  <c r="W865" i="3"/>
  <c r="W843" i="3" l="1"/>
  <c r="AA947" i="3"/>
  <c r="AA946" i="3"/>
  <c r="W845" i="3"/>
  <c r="W863" i="3"/>
  <c r="W861" i="3"/>
  <c r="W859" i="3"/>
  <c r="W846" i="3"/>
  <c r="W849" i="3"/>
  <c r="F106" i="13" l="1"/>
  <c r="F100" i="13"/>
  <c r="F101" i="13"/>
  <c r="F102" i="13"/>
  <c r="F103" i="13"/>
  <c r="F99" i="13"/>
  <c r="F90" i="13"/>
  <c r="F91" i="13"/>
  <c r="F92" i="13"/>
  <c r="F93" i="13"/>
  <c r="F94" i="13"/>
  <c r="F95" i="13"/>
  <c r="F89" i="13"/>
  <c r="F85" i="13"/>
  <c r="F86" i="13"/>
  <c r="F87" i="13"/>
  <c r="F84" i="13"/>
  <c r="F80" i="13"/>
  <c r="F79" i="13"/>
  <c r="F66" i="13"/>
  <c r="F67" i="13"/>
  <c r="F68" i="13"/>
  <c r="F69" i="13"/>
  <c r="F65" i="13"/>
  <c r="F46" i="13"/>
  <c r="F47" i="13"/>
  <c r="F48" i="13"/>
  <c r="F49" i="13"/>
  <c r="F51" i="13"/>
  <c r="F52" i="13"/>
  <c r="F53" i="13"/>
  <c r="F45" i="13"/>
  <c r="F43" i="13"/>
  <c r="F18" i="13"/>
  <c r="F19" i="13"/>
  <c r="F20" i="13"/>
  <c r="F21" i="13"/>
  <c r="F22" i="13"/>
  <c r="F23" i="13"/>
  <c r="F24" i="13"/>
  <c r="F25" i="13"/>
  <c r="F30" i="13"/>
  <c r="F31" i="13"/>
  <c r="F32" i="13"/>
  <c r="F33" i="13"/>
  <c r="F34" i="13"/>
  <c r="F35" i="13"/>
  <c r="F36" i="13"/>
  <c r="F37" i="13"/>
  <c r="F29" i="13"/>
  <c r="F27" i="13"/>
  <c r="F17" i="13"/>
  <c r="F10" i="13"/>
  <c r="S100" i="4"/>
  <c r="S101" i="4"/>
  <c r="S102" i="4"/>
  <c r="S103" i="4"/>
  <c r="S99" i="4"/>
  <c r="S90" i="4"/>
  <c r="S91" i="4"/>
  <c r="S92" i="4"/>
  <c r="S93" i="4"/>
  <c r="S95" i="4"/>
  <c r="S89" i="4"/>
  <c r="S85" i="4"/>
  <c r="S86" i="4"/>
  <c r="S87" i="4"/>
  <c r="S84" i="4"/>
  <c r="S80" i="4"/>
  <c r="S79" i="4"/>
  <c r="S67" i="4"/>
  <c r="S68" i="4"/>
  <c r="S69" i="4"/>
  <c r="S65" i="4"/>
  <c r="S46" i="4"/>
  <c r="S47" i="4"/>
  <c r="S48" i="4"/>
  <c r="S49" i="4"/>
  <c r="S50" i="4"/>
  <c r="S51" i="4"/>
  <c r="S52" i="4"/>
  <c r="S53" i="4"/>
  <c r="S45" i="4"/>
  <c r="S43" i="4"/>
  <c r="S41" i="4"/>
  <c r="S40" i="4"/>
  <c r="S30" i="4"/>
  <c r="S31" i="4"/>
  <c r="S32" i="4"/>
  <c r="S33" i="4"/>
  <c r="S34" i="4"/>
  <c r="S35" i="4"/>
  <c r="S36" i="4"/>
  <c r="S37" i="4"/>
  <c r="S29" i="4"/>
  <c r="S18" i="4"/>
  <c r="S19" i="4"/>
  <c r="S20" i="4"/>
  <c r="S21" i="4"/>
  <c r="S22" i="4"/>
  <c r="S23" i="4"/>
  <c r="S24" i="4"/>
  <c r="S25" i="4"/>
  <c r="S17" i="4"/>
  <c r="S10" i="4"/>
  <c r="C100" i="13"/>
  <c r="C101" i="13"/>
  <c r="C102" i="13"/>
  <c r="C103" i="13"/>
  <c r="C99" i="13"/>
  <c r="C84" i="13"/>
  <c r="C85" i="13"/>
  <c r="C86" i="13"/>
  <c r="C87" i="13"/>
  <c r="C88" i="13"/>
  <c r="C89" i="13"/>
  <c r="C90" i="13"/>
  <c r="C91" i="13"/>
  <c r="C92" i="13"/>
  <c r="C93" i="13"/>
  <c r="C83" i="13"/>
  <c r="C80" i="13"/>
  <c r="C79" i="13"/>
  <c r="C73" i="13"/>
  <c r="C74" i="13"/>
  <c r="C75" i="13"/>
  <c r="C76" i="13"/>
  <c r="C72" i="13"/>
  <c r="C66" i="13"/>
  <c r="C67" i="13"/>
  <c r="C68" i="13"/>
  <c r="C65" i="13"/>
  <c r="C57" i="13"/>
  <c r="C59" i="13"/>
  <c r="C60" i="13"/>
  <c r="C61" i="13"/>
  <c r="C56" i="13"/>
  <c r="C46" i="13"/>
  <c r="C47" i="13"/>
  <c r="C48" i="13"/>
  <c r="C49" i="13"/>
  <c r="C51" i="13"/>
  <c r="C52" i="13"/>
  <c r="C53" i="13"/>
  <c r="C45" i="13"/>
  <c r="C30" i="13"/>
  <c r="C31" i="13"/>
  <c r="C32" i="13"/>
  <c r="C33" i="13"/>
  <c r="C34" i="13"/>
  <c r="C35" i="13"/>
  <c r="C36" i="13"/>
  <c r="C37" i="13"/>
  <c r="C29" i="13"/>
  <c r="C18" i="13"/>
  <c r="C19" i="13"/>
  <c r="C20" i="13"/>
  <c r="C21" i="13"/>
  <c r="C22" i="13"/>
  <c r="C23" i="13"/>
  <c r="C24" i="13"/>
  <c r="C25" i="13"/>
  <c r="C17" i="13"/>
  <c r="C14" i="13"/>
  <c r="C15" i="13"/>
  <c r="C10" i="13"/>
  <c r="C9" i="13"/>
  <c r="C5" i="13"/>
  <c r="C6" i="13"/>
  <c r="C7" i="13"/>
  <c r="C45" i="4"/>
  <c r="T627" i="3" l="1"/>
  <c r="Q627" i="3"/>
  <c r="M957" i="3" l="1"/>
  <c r="M960"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3" i="8"/>
  <c r="J13" i="8" s="1"/>
  <c r="I12" i="8"/>
  <c r="J12" i="8" s="1"/>
  <c r="J11" i="8"/>
  <c r="I11" i="8"/>
  <c r="J10" i="8"/>
  <c r="I10" i="8"/>
  <c r="I9" i="8"/>
  <c r="J9" i="8" s="1"/>
  <c r="I8" i="8"/>
  <c r="J8" i="8" s="1"/>
  <c r="J7" i="8"/>
  <c r="I7" i="8"/>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5"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D93" i="11" s="1"/>
  <c r="C94" i="11"/>
  <c r="C95" i="11"/>
  <c r="D95" i="11" s="1"/>
  <c r="C96" i="11"/>
  <c r="B85" i="11"/>
  <c r="B86" i="11"/>
  <c r="B87" i="11"/>
  <c r="B88" i="11"/>
  <c r="B89" i="11"/>
  <c r="D89" i="11" s="1"/>
  <c r="B90" i="11"/>
  <c r="B91" i="11"/>
  <c r="B97" i="11" s="1"/>
  <c r="B92" i="11"/>
  <c r="B93" i="11"/>
  <c r="B94" i="11"/>
  <c r="B95" i="11"/>
  <c r="B96" i="11"/>
  <c r="A70" i="11"/>
  <c r="C67" i="11"/>
  <c r="C68" i="11"/>
  <c r="C69" i="11"/>
  <c r="C70" i="11"/>
  <c r="B67" i="11"/>
  <c r="B68" i="11"/>
  <c r="B69" i="11"/>
  <c r="B70" i="11"/>
  <c r="A62" i="11"/>
  <c r="A54" i="11"/>
  <c r="A38" i="11"/>
  <c r="A26" i="11"/>
  <c r="C31" i="11"/>
  <c r="C32" i="11"/>
  <c r="C33" i="11"/>
  <c r="C34" i="11"/>
  <c r="C35" i="11"/>
  <c r="C36" i="11"/>
  <c r="C39" i="11" s="1"/>
  <c r="D39" i="11" s="1"/>
  <c r="C37" i="11"/>
  <c r="C38" i="11"/>
  <c r="B31" i="11"/>
  <c r="B32" i="11"/>
  <c r="B33" i="11"/>
  <c r="B34" i="11"/>
  <c r="B35" i="11"/>
  <c r="B36" i="11"/>
  <c r="B39"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104" i="4"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c r="K55" i="7"/>
  <c r="M55" i="7"/>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F50" i="13" s="1"/>
  <c r="F54" i="13" s="1"/>
  <c r="E49" i="13"/>
  <c r="E48" i="13"/>
  <c r="E47" i="13"/>
  <c r="E46" i="13"/>
  <c r="E45" i="13"/>
  <c r="E43" i="13"/>
  <c r="E41" i="13"/>
  <c r="F41" i="13" s="1"/>
  <c r="E40" i="13"/>
  <c r="F40" i="13" s="1"/>
  <c r="E37" i="13"/>
  <c r="E35" i="13"/>
  <c r="E34" i="13"/>
  <c r="E33" i="13"/>
  <c r="E32" i="13"/>
  <c r="E31" i="13"/>
  <c r="E30" i="13"/>
  <c r="E29" i="13"/>
  <c r="E27" i="13"/>
  <c r="E25" i="13"/>
  <c r="E23" i="13"/>
  <c r="E22" i="13"/>
  <c r="E21" i="13"/>
  <c r="E20" i="13"/>
  <c r="E19" i="13"/>
  <c r="E18" i="13"/>
  <c r="E17" i="13"/>
  <c r="E15" i="13"/>
  <c r="E14" i="13"/>
  <c r="F14" i="13" s="1"/>
  <c r="E13" i="13"/>
  <c r="F13" i="13" s="1"/>
  <c r="E10" i="13"/>
  <c r="B99" i="13"/>
  <c r="B95" i="13"/>
  <c r="C95" i="13" s="1"/>
  <c r="B94" i="13"/>
  <c r="C94" i="13" s="1"/>
  <c r="C96" i="13" s="1"/>
  <c r="B93" i="13"/>
  <c r="B92" i="13"/>
  <c r="B91" i="13"/>
  <c r="B90" i="13"/>
  <c r="B89" i="13"/>
  <c r="B88" i="13"/>
  <c r="B87" i="13"/>
  <c r="B86" i="13"/>
  <c r="B85" i="13"/>
  <c r="B84" i="13"/>
  <c r="B83" i="13"/>
  <c r="B79" i="13"/>
  <c r="B76" i="13"/>
  <c r="B75" i="13"/>
  <c r="B74" i="13"/>
  <c r="B73" i="13"/>
  <c r="B72" i="13"/>
  <c r="B70" i="13"/>
  <c r="B65" i="13"/>
  <c r="B61" i="13"/>
  <c r="B60" i="13"/>
  <c r="B59" i="13"/>
  <c r="B58" i="13"/>
  <c r="C58" i="13" s="1"/>
  <c r="B57" i="13"/>
  <c r="B56" i="13"/>
  <c r="B53" i="13"/>
  <c r="B52" i="13"/>
  <c r="B51" i="13"/>
  <c r="B50" i="13"/>
  <c r="C50" i="13" s="1"/>
  <c r="C54" i="13" s="1"/>
  <c r="B49" i="13"/>
  <c r="B48" i="13"/>
  <c r="B47" i="13"/>
  <c r="B46" i="13"/>
  <c r="B45" i="13"/>
  <c r="B43" i="13"/>
  <c r="C43" i="13" s="1"/>
  <c r="C42" i="4"/>
  <c r="B42" i="13" s="1"/>
  <c r="B41" i="13"/>
  <c r="C41" i="13" s="1"/>
  <c r="B40" i="13"/>
  <c r="C40" i="13" s="1"/>
  <c r="B37" i="13"/>
  <c r="B35" i="13"/>
  <c r="B34" i="13"/>
  <c r="B33" i="13"/>
  <c r="B32" i="13"/>
  <c r="B31" i="13"/>
  <c r="B30" i="13"/>
  <c r="B29" i="13"/>
  <c r="B27" i="13"/>
  <c r="C27" i="13" s="1"/>
  <c r="B25" i="13"/>
  <c r="B23" i="13"/>
  <c r="B22" i="13"/>
  <c r="B21" i="13"/>
  <c r="B20" i="13"/>
  <c r="B19" i="13"/>
  <c r="B18" i="13"/>
  <c r="B17" i="13"/>
  <c r="B5" i="13"/>
  <c r="B6" i="13"/>
  <c r="B7" i="13"/>
  <c r="C8" i="4"/>
  <c r="B8" i="13" s="1"/>
  <c r="B9" i="13"/>
  <c r="B10" i="13"/>
  <c r="B13" i="13"/>
  <c r="C13" i="13" s="1"/>
  <c r="B14" i="13"/>
  <c r="B15" i="13"/>
  <c r="B4" i="13"/>
  <c r="C4" i="13" s="1"/>
  <c r="J104" i="13"/>
  <c r="I104" i="13"/>
  <c r="G104" i="13"/>
  <c r="F104" i="13"/>
  <c r="D104" i="13"/>
  <c r="C104" i="13"/>
  <c r="G96" i="13"/>
  <c r="F96" i="13"/>
  <c r="D96" i="13"/>
  <c r="D77" i="13"/>
  <c r="C77" i="13"/>
  <c r="J70" i="13"/>
  <c r="I70" i="13"/>
  <c r="G70" i="13"/>
  <c r="F70" i="13"/>
  <c r="D70" i="13"/>
  <c r="C70" i="13"/>
  <c r="D62" i="13"/>
  <c r="C62" i="13"/>
  <c r="J54" i="13"/>
  <c r="I54" i="13"/>
  <c r="G54" i="13"/>
  <c r="D54" i="13"/>
  <c r="J42" i="13"/>
  <c r="I42" i="13"/>
  <c r="G42" i="13"/>
  <c r="F26" i="13"/>
  <c r="F38" i="13"/>
  <c r="D42" i="13"/>
  <c r="J38" i="13"/>
  <c r="I38" i="13"/>
  <c r="G38" i="13"/>
  <c r="D38" i="13"/>
  <c r="C38" i="13"/>
  <c r="J26" i="13"/>
  <c r="I26" i="13"/>
  <c r="I11" i="13"/>
  <c r="G26" i="13"/>
  <c r="D26" i="13"/>
  <c r="C26" i="13"/>
  <c r="J11" i="13"/>
  <c r="D11" i="13"/>
  <c r="C11" i="13"/>
  <c r="C8" i="13"/>
  <c r="D8" i="13"/>
  <c r="T104" i="4"/>
  <c r="H104" i="13"/>
  <c r="R103" i="4"/>
  <c r="R102" i="4"/>
  <c r="R101" i="4"/>
  <c r="R99" i="4"/>
  <c r="R95" i="4"/>
  <c r="R94" i="4"/>
  <c r="R96" i="4" s="1"/>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D11" i="11" s="1"/>
  <c r="B14" i="11"/>
  <c r="C14" i="11"/>
  <c r="D14" i="11" s="1"/>
  <c r="B15" i="11"/>
  <c r="C15" i="11"/>
  <c r="B16" i="11"/>
  <c r="C16" i="11"/>
  <c r="B18" i="11"/>
  <c r="C18" i="11"/>
  <c r="B19" i="11"/>
  <c r="C19" i="11"/>
  <c r="D19" i="11" s="1"/>
  <c r="B20" i="11"/>
  <c r="C20" i="11"/>
  <c r="B21" i="11"/>
  <c r="C21" i="11"/>
  <c r="B22" i="11"/>
  <c r="C22" i="11"/>
  <c r="B23" i="11"/>
  <c r="C23" i="11"/>
  <c r="B24" i="11"/>
  <c r="B28" i="11"/>
  <c r="C28" i="11"/>
  <c r="B30" i="11"/>
  <c r="D30" i="11" s="1"/>
  <c r="C30" i="11"/>
  <c r="D33" i="11"/>
  <c r="D34" i="11"/>
  <c r="B41" i="11"/>
  <c r="C41" i="11"/>
  <c r="C42" i="11"/>
  <c r="B42" i="11"/>
  <c r="B44" i="11"/>
  <c r="C44" i="11"/>
  <c r="B46" i="11"/>
  <c r="C46" i="11"/>
  <c r="B47" i="11"/>
  <c r="C47" i="11"/>
  <c r="D47" i="11" s="1"/>
  <c r="B48" i="11"/>
  <c r="B49" i="11"/>
  <c r="B50" i="11"/>
  <c r="B51" i="11"/>
  <c r="B52" i="11"/>
  <c r="B53" i="11"/>
  <c r="C48" i="11"/>
  <c r="C49" i="11"/>
  <c r="C50" i="11"/>
  <c r="C51" i="11"/>
  <c r="D51" i="11" s="1"/>
  <c r="C52" i="11"/>
  <c r="D52" i="11" s="1"/>
  <c r="C53" i="11"/>
  <c r="B57" i="11"/>
  <c r="C57" i="11"/>
  <c r="B58" i="11"/>
  <c r="B63" i="11" s="1"/>
  <c r="C58" i="11"/>
  <c r="B59" i="11"/>
  <c r="C59" i="11"/>
  <c r="B60" i="11"/>
  <c r="C60" i="11"/>
  <c r="B61" i="11"/>
  <c r="C61" i="11"/>
  <c r="B62" i="11"/>
  <c r="C62" i="11"/>
  <c r="B66" i="11"/>
  <c r="C66" i="11"/>
  <c r="B73" i="11"/>
  <c r="C73" i="11"/>
  <c r="B74" i="11"/>
  <c r="C74" i="11"/>
  <c r="B75" i="11"/>
  <c r="D75" i="11" s="1"/>
  <c r="C75" i="11"/>
  <c r="B76" i="11"/>
  <c r="C76" i="11"/>
  <c r="B77" i="11"/>
  <c r="C77" i="11"/>
  <c r="B84" i="1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s="1"/>
  <c r="C54" i="4"/>
  <c r="B54" i="4" s="1"/>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BA670" i="3"/>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B81" i="13"/>
  <c r="D54" i="11"/>
  <c r="D53" i="11"/>
  <c r="J63" i="13"/>
  <c r="J97" i="13"/>
  <c r="J105" i="13"/>
  <c r="J107" i="13"/>
  <c r="L12" i="4"/>
  <c r="D48" i="11"/>
  <c r="D5" i="11"/>
  <c r="D70"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12" i="13"/>
  <c r="D63" i="4"/>
  <c r="D97" i="4"/>
  <c r="D105" i="4"/>
  <c r="D7" i="11"/>
  <c r="F63" i="4"/>
  <c r="F97" i="4" s="1"/>
  <c r="F105" i="4" s="1"/>
  <c r="J12" i="4"/>
  <c r="D22" i="11"/>
  <c r="O12" i="4"/>
  <c r="I63" i="4"/>
  <c r="I97" i="4"/>
  <c r="D25" i="11"/>
  <c r="B82" i="11"/>
  <c r="B11" i="13"/>
  <c r="D12" i="4"/>
  <c r="C82" i="11"/>
  <c r="D82" i="11" s="1"/>
  <c r="B9" i="11"/>
  <c r="D9" i="11" s="1"/>
  <c r="D23" i="11"/>
  <c r="D73" i="11"/>
  <c r="D44" i="11"/>
  <c r="D35" i="11"/>
  <c r="D76" i="11"/>
  <c r="D31" i="11"/>
  <c r="D32" i="11"/>
  <c r="D15" i="11"/>
  <c r="D63" i="13"/>
  <c r="D97" i="13"/>
  <c r="D105" i="13"/>
  <c r="Q63" i="4"/>
  <c r="Q97" i="4"/>
  <c r="Q105" i="4"/>
  <c r="C105" i="11"/>
  <c r="D87" i="11"/>
  <c r="N63" i="4"/>
  <c r="N97" i="4"/>
  <c r="N105" i="4"/>
  <c r="N12" i="4"/>
  <c r="F12" i="4"/>
  <c r="D60" i="11"/>
  <c r="M12" i="4"/>
  <c r="D84" i="11"/>
  <c r="D74" i="11"/>
  <c r="D59" i="11"/>
  <c r="D38" i="11"/>
  <c r="P63" i="4"/>
  <c r="P97" i="4"/>
  <c r="P105" i="4"/>
  <c r="C63" i="11"/>
  <c r="C9" i="11"/>
  <c r="D12" i="13"/>
  <c r="D62" i="11"/>
  <c r="D24" i="11"/>
  <c r="D101" i="11"/>
  <c r="D90" i="11"/>
  <c r="R62" i="4"/>
  <c r="D66" i="11"/>
  <c r="D92" i="11"/>
  <c r="B71" i="11"/>
  <c r="D28" i="11"/>
  <c r="D103" i="11"/>
  <c r="D88" i="11"/>
  <c r="C78" i="11"/>
  <c r="D42" i="11"/>
  <c r="D21" i="11"/>
  <c r="D16" i="11"/>
  <c r="B12" i="11"/>
  <c r="R26" i="4"/>
  <c r="D81" i="11"/>
  <c r="AD199" i="20"/>
  <c r="B42" i="4"/>
  <c r="D77" i="11"/>
  <c r="C71" i="11"/>
  <c r="M63" i="4"/>
  <c r="M97" i="4"/>
  <c r="M105" i="4"/>
  <c r="R104" i="4"/>
  <c r="G63" i="4"/>
  <c r="G97" i="4" s="1"/>
  <c r="G105" i="4" s="1"/>
  <c r="D91" i="11"/>
  <c r="J63" i="4"/>
  <c r="J97" i="4"/>
  <c r="J105" i="4"/>
  <c r="K63" i="4"/>
  <c r="K97" i="4"/>
  <c r="K105" i="4"/>
  <c r="D104" i="11"/>
  <c r="E12" i="4"/>
  <c r="B96" i="4"/>
  <c r="T63" i="4"/>
  <c r="T97" i="4"/>
  <c r="C12" i="4"/>
  <c r="B12" i="13" s="1"/>
  <c r="H63" i="13"/>
  <c r="T105" i="4"/>
  <c r="H97" i="13"/>
  <c r="D96" i="11"/>
  <c r="T107" i="4"/>
  <c r="H105" i="13"/>
  <c r="H107" i="13"/>
  <c r="AD11" i="15"/>
  <c r="G58" i="7" l="1"/>
  <c r="I53" i="7"/>
  <c r="K53" i="7" s="1"/>
  <c r="R81" i="4"/>
  <c r="E63" i="4"/>
  <c r="E97" i="4" s="1"/>
  <c r="E105" i="4" s="1"/>
  <c r="R54" i="4"/>
  <c r="R42" i="4"/>
  <c r="F42" i="13"/>
  <c r="C42" i="13"/>
  <c r="C43" i="11"/>
  <c r="D43" i="11" s="1"/>
  <c r="R38" i="4"/>
  <c r="R63" i="4" s="1"/>
  <c r="R97" i="4" s="1"/>
  <c r="R105" i="4" s="1"/>
  <c r="H63" i="4"/>
  <c r="H97" i="4" s="1"/>
  <c r="H105" i="4" s="1"/>
  <c r="R12" i="4"/>
  <c r="H12" i="4"/>
  <c r="M53" i="7"/>
  <c r="K58" i="7"/>
  <c r="I58" i="7"/>
  <c r="B55" i="11"/>
  <c r="B64" i="11" s="1"/>
  <c r="G67" i="21"/>
  <c r="F63" i="13"/>
  <c r="F97" i="13" s="1"/>
  <c r="F105" i="13" s="1"/>
  <c r="F107" i="13" s="1"/>
  <c r="S63" i="4"/>
  <c r="D71" i="11"/>
  <c r="C63" i="13"/>
  <c r="C97" i="13" s="1"/>
  <c r="C105" i="13" s="1"/>
  <c r="B78" i="11"/>
  <c r="D78" i="11" s="1"/>
  <c r="B54" i="13"/>
  <c r="B38" i="4"/>
  <c r="D41" i="11"/>
  <c r="D58" i="11"/>
  <c r="D63" i="11"/>
  <c r="B62" i="4"/>
  <c r="C97" i="11"/>
  <c r="D97" i="11" s="1"/>
  <c r="N193" i="27"/>
  <c r="B105" i="11"/>
  <c r="B104" i="13"/>
  <c r="D105" i="11"/>
  <c r="C55" i="11"/>
  <c r="B26" i="13"/>
  <c r="C27" i="11"/>
  <c r="B63" i="4"/>
  <c r="C12" i="11"/>
  <c r="B13" i="11"/>
  <c r="B12" i="4"/>
  <c r="AH722" i="3"/>
  <c r="AH728" i="3"/>
  <c r="AH727" i="3"/>
  <c r="AH726" i="3"/>
  <c r="AH720" i="3"/>
  <c r="AH718"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AK103" i="20"/>
  <c r="T795" i="20" s="1"/>
  <c r="AF795"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O53" i="7" l="1"/>
  <c r="M58" i="7"/>
  <c r="D55" i="11"/>
  <c r="S97" i="4"/>
  <c r="E63" i="13"/>
  <c r="B98" i="11"/>
  <c r="B106" i="11" s="1"/>
  <c r="C97" i="4"/>
  <c r="C105" i="4" s="1"/>
  <c r="B105" i="4" s="1"/>
  <c r="D12" i="11"/>
  <c r="C13" i="11"/>
  <c r="D13" i="11" s="1"/>
  <c r="AS349" i="20"/>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U698" i="3"/>
  <c r="BU684" i="3"/>
  <c r="BU700" i="3"/>
  <c r="BV700" i="3" s="1"/>
  <c r="BU672" i="3"/>
  <c r="BV672" i="3" s="1"/>
  <c r="BU680" i="3"/>
  <c r="BV680" i="3" s="1"/>
  <c r="BU688" i="3"/>
  <c r="BV688" i="3" s="1"/>
  <c r="BU696" i="3"/>
  <c r="BV696" i="3" s="1"/>
  <c r="BU673" i="3"/>
  <c r="BU697" i="3"/>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AX683" i="20"/>
  <c r="AY684" i="20" s="1"/>
  <c r="I14" i="21"/>
  <c r="BV698" i="3"/>
  <c r="BV694"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84" i="3"/>
  <c r="BV669"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86" i="3"/>
  <c r="BI689" i="3"/>
  <c r="EH637" i="3"/>
  <c r="DR657" i="3"/>
  <c r="EM632" i="3"/>
  <c r="EM635" i="3"/>
  <c r="BI676" i="3"/>
  <c r="EM643" i="3"/>
  <c r="E6" i="7"/>
  <c r="K15" i="7"/>
  <c r="I22" i="7"/>
  <c r="I35" i="7" s="1"/>
  <c r="E27" i="21"/>
  <c r="G22" i="21"/>
  <c r="O58" i="7" l="1"/>
  <c r="Q53" i="7"/>
  <c r="E97" i="13"/>
  <c r="S105" i="4"/>
  <c r="B97" i="4"/>
  <c r="B97" i="13"/>
  <c r="AC455" i="3"/>
  <c r="B105" i="13"/>
  <c r="AG258" i="20"/>
  <c r="AC454" i="3"/>
  <c r="F457" i="3" s="1"/>
  <c r="O30" i="21"/>
  <c r="P30" i="21" s="1" a="1"/>
  <c r="P30" i="21" s="1"/>
  <c r="R30" i="21" s="1"/>
  <c r="O29" i="21"/>
  <c r="P29" i="21" s="1" a="1"/>
  <c r="P29" i="21" s="1"/>
  <c r="R29" i="21" s="1"/>
  <c r="O24" i="21"/>
  <c r="P24" i="21" s="1" a="1"/>
  <c r="P24" i="21" s="1"/>
  <c r="R24" i="21" s="1"/>
  <c r="O26" i="21"/>
  <c r="P26" i="21" s="1" a="1"/>
  <c r="P26" i="21" s="1"/>
  <c r="R26" i="21" s="1"/>
  <c r="O25" i="21"/>
  <c r="P25" i="21" s="1" a="1"/>
  <c r="P25" i="21" s="1"/>
  <c r="R25"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E105" i="13"/>
  <c r="S107" i="4"/>
  <c r="AG259" i="20"/>
  <c r="AK262" i="20" s="1"/>
  <c r="T801" i="20" s="1"/>
  <c r="AF801" i="20"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U53" i="7"/>
  <c r="AC456" i="3"/>
  <c r="AF540" i="20"/>
  <c r="E107" i="13"/>
  <c r="AJ1048" i="3"/>
  <c r="AP542" i="20" s="1"/>
  <c r="AJ1044" i="3"/>
  <c r="AP541" i="20" s="1"/>
  <c r="B1059" i="3"/>
  <c r="AJ1028" i="3"/>
  <c r="AJ1000" i="3"/>
  <c r="AJ1052" i="3" s="1"/>
  <c r="AP539" i="20"/>
  <c r="K4" i="7"/>
  <c r="M4" i="7" s="1"/>
  <c r="E45" i="7"/>
  <c r="E48" i="7" s="1"/>
  <c r="G45" i="7"/>
  <c r="G49" i="7"/>
  <c r="K6" i="7"/>
  <c r="I7" i="7"/>
  <c r="I11" i="7" s="1"/>
  <c r="I37" i="7" s="1"/>
  <c r="G24" i="21"/>
  <c r="F27" i="21"/>
  <c r="G27" i="21"/>
  <c r="O22" i="7"/>
  <c r="O35" i="7" s="1"/>
  <c r="Q15" i="7"/>
  <c r="O9" i="7"/>
  <c r="Q8" i="7"/>
  <c r="W53" i="7" l="1"/>
  <c r="U58" i="7"/>
  <c r="T11" i="15"/>
  <c r="T23" i="15" s="1"/>
  <c r="T26" i="15" s="1"/>
  <c r="T28" i="15" s="1"/>
  <c r="Y11" i="15"/>
  <c r="Y23" i="15" s="1"/>
  <c r="Y26" i="15" s="1"/>
  <c r="Y28" i="15" s="1"/>
  <c r="AP543" i="20"/>
  <c r="AZ846" i="3"/>
  <c r="AZ843" i="3"/>
  <c r="T24" i="15"/>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7" i="7" l="1"/>
  <c r="E66" i="7"/>
  <c r="E62" i="7"/>
  <c r="Y53" i="7"/>
  <c r="W58" i="7"/>
  <c r="Y64" i="15"/>
  <c r="Y68" i="15" s="1"/>
  <c r="Y38" i="15"/>
  <c r="Y40" i="15" s="1"/>
  <c r="T29" i="15"/>
  <c r="AP548" i="20"/>
  <c r="AF541" i="20" s="1"/>
  <c r="AF542" i="20" s="1"/>
  <c r="AK548" i="20" s="1"/>
  <c r="T807" i="20" s="1"/>
  <c r="AF807" i="20" s="1"/>
  <c r="AF810" i="20" s="1"/>
  <c r="AZ851" i="3"/>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4" i="3"/>
  <c r="M48" i="7"/>
  <c r="M47" i="7"/>
  <c r="M60" i="7"/>
  <c r="O45" i="7"/>
  <c r="O49" i="7"/>
  <c r="K66" i="7"/>
  <c r="K67" i="7"/>
  <c r="K62" i="7"/>
  <c r="Q7" i="7"/>
  <c r="Q11" i="7" s="1"/>
  <c r="Q37" i="7" s="1"/>
  <c r="S6" i="7"/>
  <c r="I70" i="7"/>
  <c r="I72" i="7" s="1"/>
  <c r="W22" i="7"/>
  <c r="W35" i="7" s="1"/>
  <c r="Y15" i="7"/>
  <c r="W9" i="7"/>
  <c r="Y8" i="7"/>
  <c r="AC58" i="7" l="1"/>
  <c r="AE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C627"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<sst xmlns="http://schemas.openxmlformats.org/spreadsheetml/2006/main" count="5270" uniqueCount="2789">
  <si>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</si>
  <si>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</si>
  <si>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</si>
  <si>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</si>
  <si>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</si>
  <si>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</si>
  <si>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</si>
  <si>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</si>
  <si>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</si>
  <si>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</si>
  <si>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</si>
  <si>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</si>
  <si>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</si>
  <si>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</si>
  <si>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</si>
  <si>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</si>
  <si>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</si>
  <si>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</si>
  <si>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</si>
  <si>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</si>
  <si>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</si>
  <si>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</si>
  <si>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</si>
  <si>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</si>
  <si>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</si>
  <si>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</si>
  <si>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</si>
  <si>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</si>
  <si>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</si>
  <si>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</si>
  <si>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</si>
  <si>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</si>
  <si>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</si>
  <si>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</si>
  <si>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</si>
  <si>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</si>
  <si>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</si>
  <si>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</si>
  <si>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</si>
  <si>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</si>
  <si>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</si>
  <si>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</si>
  <si>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</si>
  <si>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</si>
  <si>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</si>
  <si>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</si>
  <si>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</si>
  <si>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</si>
  <si>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</si>
  <si>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</si>
  <si>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</si>
  <si>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</si>
  <si>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</si>
  <si>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</si>
  <si>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</si>
  <si>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</si>
  <si>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</si>
  <si>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</si>
  <si>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</si>
  <si>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</si>
  <si>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</si>
  <si>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</si>
  <si>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</si>
  <si>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</si>
  <si>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</si>
  <si>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</si>
  <si>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</si>
  <si>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</si>
  <si>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</si>
  <si>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</si>
  <si>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</si>
  <si>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</si>
  <si>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</si>
  <si>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</si>
  <si>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</si>
  <si>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</si>
  <si>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</si>
  <si>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</si>
  <si>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</si>
  <si>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</si>
  <si>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</si>
  <si>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</si>
  <si>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</si>
  <si>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</si>
  <si>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</si>
  <si>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</si>
  <si>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</si>
  <si>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</si>
  <si>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</si>
  <si>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</si>
  <si>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</si>
  <si>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</si>
  <si>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</si>
  <si>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</si>
  <si>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</si>
  <si>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</si>
  <si>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</si>
  <si>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</si>
  <si>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</si>
  <si>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</si>
  <si>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</si>
  <si>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</si>
  <si>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</si>
  <si>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</si>
  <si>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</si>
  <si>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</si>
  <si>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</si>
  <si>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</si>
  <si>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</si>
  <si>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</si>
  <si>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</si>
  <si>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</si>
  <si>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</si>
  <si>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</si>
  <si>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</si>
  <si>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</si>
  <si>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</si>
  <si>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</si>
  <si>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</si>
  <si>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</si>
  <si>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</si>
  <si>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</si>
  <si>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</si>
  <si>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</si>
  <si>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</si>
  <si>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</si>
  <si>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</si>
  <si>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</si>
  <si>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</si>
  <si>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</si>
  <si>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</si>
  <si>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</si>
  <si>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</si>
  <si>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</si>
  <si>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</si>
  <si>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</si>
  <si>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</si>
  <si>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</si>
  <si>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</si>
  <si>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</si>
  <si>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</si>
  <si>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</si>
  <si>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</si>
  <si>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</si>
  <si>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</si>
  <si>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</si>
  <si>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</si>
  <si>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</si>
  <si>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</si>
  <si>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</si>
  <si>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</si>
  <si>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</si>
  <si>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</si>
  <si>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</si>
  <si>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</si>
  <si>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</si>
  <si>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</si>
  <si>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</si>
  <si>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</si>
  <si>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</si>
  <si>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</si>
  <si>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</si>
  <si>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</si>
  <si>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</si>
  <si>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</si>
  <si>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</si>
  <si>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</si>
  <si>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</si>
  <si>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</si>
  <si>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</si>
  <si>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</si>
  <si>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</si>
  <si>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</si>
  <si>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</si>
  <si>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</si>
  <si>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</si>
  <si>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</si>
  <si>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</si>
  <si>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</si>
  <si>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</si>
  <si>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</si>
  <si>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</si>
  <si>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</si>
  <si>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</si>
  <si>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</si>
  <si>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</si>
  <si>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</si>
  <si>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</si>
  <si>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</si>
  <si>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</si>
  <si>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</si>
  <si>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</si>
  <si>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</si>
  <si>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</si>
  <si>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</si>
  <si>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</si>
  <si>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</si>
  <si>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</si>
  <si>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</si>
  <si>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</si>
  <si>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</si>
  <si>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</si>
  <si>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</si>
  <si>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</si>
  <si>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</si>
  <si>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</si>
  <si>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</si>
  <si>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</si>
  <si>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</si>
  <si>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</si>
  <si>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</si>
  <si>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</si>
  <si>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</si>
  <si>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</si>
  <si>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</si>
  <si>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</si>
  <si>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</si>
  <si>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</si>
  <si>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</si>
  <si>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</si>
  <si>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</si>
  <si>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</si>
  <si>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</si>
  <si>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</si>
  <si>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</si>
  <si>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</si>
  <si>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</si>
  <si>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</si>
  <si>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</si>
  <si>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</si>
  <si>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</si>
  <si>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</si>
  <si>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</si>
  <si>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</si>
  <si>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</si>
  <si>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</si>
  <si>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</si>
  <si>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</si>
  <si>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</si>
  <si>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</si>
  <si>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</si>
  <si>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</si>
  <si>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</si>
  <si>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</si>
  <si>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</si>
  <si>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</si>
  <si>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</si>
  <si>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</si>
  <si>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</si>
  <si>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</si>
  <si>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</si>
  <si>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</si>
  <si>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</si>
  <si>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</si>
  <si>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</si>
  <si>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</si>
  <si>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</si>
  <si>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</si>
  <si>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</si>
  <si>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</si>
  <si>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</si>
  <si>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</si>
  <si>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</si>
  <si>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</si>
  <si>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</si>
  <si>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</si>
  <si>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</si>
  <si>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</si>
  <si>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</si>
  <si>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</si>
  <si>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</si>
  <si>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</si>
  <si>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</si>
  <si>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</si>
  <si>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</si>
  <si>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</si>
  <si>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</si>
  <si>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</si>
  <si>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</si>
  <si>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</si>
  <si>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</si>
  <si>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</si>
  <si>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</si>
  <si>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</si>
  <si>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</si>
  <si>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</si>
  <si>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</si>
  <si>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</si>
  <si>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</si>
  <si>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</si>
  <si>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</si>
  <si>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</si>
  <si>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</si>
  <si>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</si>
  <si>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</si>
  <si>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</si>
  <si>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</si>
  <si>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</si>
  <si>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</si>
  <si>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</si>
  <si>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</si>
  <si>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</si>
  <si>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</si>
  <si>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</si>
  <si>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</si>
  <si>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</si>
  <si>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</si>
  <si>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</si>
  <si>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</si>
  <si>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</si>
  <si>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</si>
  <si>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</si>
  <si>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</si>
  <si>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</si>
  <si>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</si>
  <si>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</si>
  <si>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</si>
  <si>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</si>
  <si>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</si>
  <si>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</si>
  <si>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</si>
  <si>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</si>
  <si>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</si>
  <si>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</si>
  <si>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</si>
  <si>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</si>
  <si>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</si>
  <si>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</si>
  <si>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</si>
  <si>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</si>
  <si>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</si>
  <si>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</si>
  <si>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</si>
  <si>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</si>
  <si>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</si>
  <si>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</si>
  <si>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</si>
  <si>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</si>
  <si>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</si>
  <si>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</si>
  <si>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</si>
  <si>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</si>
  <si>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</si>
  <si>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</si>
  <si>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</si>
  <si>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</si>
  <si>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</si>
  <si>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</si>
  <si>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</si>
  <si>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</si>
  <si>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</si>
  <si>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</si>
  <si>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</si>
  <si>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</si>
  <si>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</si>
  <si>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</si>
  <si>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</si>
  <si>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</si>
  <si>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</si>
  <si>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</si>
  <si>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</si>
  <si>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</si>
  <si>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</si>
  <si>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</si>
  <si>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</si>
  <si>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</si>
  <si>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</si>
  <si>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</si>
  <si>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</si>
  <si>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</si>
  <si>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</si>
  <si>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</si>
  <si>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</si>
  <si>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</si>
  <si>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</si>
  <si>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</si>
  <si>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</si>
  <si>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</si>
  <si>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</si>
  <si>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</si>
  <si>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</si>
  <si>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</si>
  <si>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</si>
  <si>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</si>
  <si>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</si>
  <si>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</si>
  <si>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</si>
  <si>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</si>
  <si>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</si>
  <si>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</si>
  <si>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</si>
  <si>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</si>
  <si>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</si>
  <si>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</si>
  <si>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</si>
  <si>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</si>
  <si>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</si>
  <si>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</si>
  <si>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</si>
  <si>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</si>
  <si>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</si>
  <si>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</si>
  <si>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</si>
  <si>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</si>
  <si>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</si>
  <si>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</si>
  <si>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</si>
  <si>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</si>
  <si>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</si>
  <si>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</si>
  <si>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</si>
  <si>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</si>
  <si>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</si>
  <si>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</si>
  <si>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</si>
  <si>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</si>
  <si>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</si>
  <si>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</si>
  <si>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</si>
  <si>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</si>
  <si>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</si>
  <si>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</si>
  <si>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</si>
  <si>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</si>
  <si>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</si>
  <si>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</si>
  <si>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</si>
  <si>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</si>
  <si>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</si>
  <si>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</si>
  <si>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</si>
  <si>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</si>
  <si>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</si>
  <si>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</si>
  <si>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</si>
  <si>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</si>
  <si>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</si>
  <si>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</si>
  <si>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</si>
  <si>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</si>
  <si>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</si>
  <si>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</si>
  <si>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</si>
  <si>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</si>
  <si>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</si>
  <si>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</si>
  <si>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</si>
  <si>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</si>
  <si>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</si>
  <si>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</si>
  <si>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</si>
  <si>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</si>
  <si>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</si>
  <si>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</si>
  <si>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</si>
  <si>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</si>
  <si>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</si>
  <si>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</si>
  <si>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</si>
  <si>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</si>
  <si>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</si>
  <si>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</si>
  <si>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</si>
  <si>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</si>
  <si>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</si>
  <si>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</si>
  <si>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</si>
  <si>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</si>
  <si>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</si>
  <si>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</si>
  <si>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</si>
  <si>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</si>
  <si>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</si>
  <si>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</si>
  <si>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</si>
  <si>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</si>
  <si>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</si>
  <si>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</si>
  <si>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</si>
  <si>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</si>
  <si>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</si>
  <si>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</si>
  <si>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</si>
  <si>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</si>
  <si>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</si>
  <si>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</si>
  <si>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</si>
  <si>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</si>
  <si>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</si>
  <si>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</si>
  <si>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</si>
  <si>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</si>
  <si>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</si>
  <si>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</si>
  <si>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</si>
  <si>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</si>
  <si>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</si>
  <si>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</si>
  <si>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</si>
  <si>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</si>
  <si>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</si>
  <si>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</si>
  <si>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</si>
  <si>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</si>
  <si>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</si>
  <si>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</si>
  <si>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</si>
  <si>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</si>
  <si>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</si>
  <si>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</si>
  <si>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</si>
  <si>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</si>
  <si>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</si>
  <si>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</si>
  <si>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</si>
  <si>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</si>
  <si>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</si>
  <si>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</si>
  <si>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</si>
  <si>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</si>
  <si>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</si>
  <si>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</si>
  <si>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</si>
  <si>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</si>
  <si>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</si>
  <si>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</si>
  <si>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</si>
  <si>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</si>
  <si>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</si>
  <si>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</si>
  <si>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</si>
  <si>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</si>
  <si>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</si>
  <si>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</si>
  <si>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</si>
  <si>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</si>
  <si>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</si>
  <si>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</si>
  <si>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</si>
  <si>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</si>
  <si>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</si>
  <si>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</si>
  <si>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</si>
  <si>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</si>
  <si>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</si>
  <si>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</si>
  <si>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</si>
  <si>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</si>
  <si>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</si>
  <si>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</si>
  <si>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</si>
  <si>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</si>
  <si>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</si>
  <si>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</si>
  <si>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</si>
  <si>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</si>
  <si>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</si>
  <si>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</si>
  <si>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</si>
  <si>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</si>
  <si>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</si>
  <si>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</si>
  <si>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</si>
  <si>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</si>
  <si>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</si>
  <si>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</si>
  <si>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</si>
  <si>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</si>
  <si>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</si>
  <si>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</si>
  <si>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</si>
  <si>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</si>
  <si>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</si>
  <si>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</si>
  <si>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</si>
  <si>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</si>
  <si>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</si>
  <si>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</si>
  <si>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</si>
  <si>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</si>
  <si>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</si>
  <si>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</si>
  <si>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</si>
  <si>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</si>
  <si>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</si>
  <si>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</si>
  <si>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</si>
  <si>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</si>
  <si>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</si>
  <si>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</si>
  <si>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</si>
  <si>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</si>
  <si>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</si>
  <si>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</si>
  <si>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</si>
  <si>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</si>
  <si>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</si>
  <si>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</si>
  <si>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</si>
  <si>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</si>
  <si>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</si>
  <si>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</si>
  <si>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</si>
  <si>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</si>
  <si>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</si>
  <si>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</si>
  <si>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</si>
  <si>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</si>
  <si>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</si>
  <si>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</si>
  <si>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</si>
  <si>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</si>
  <si>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</si>
  <si>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</si>
  <si>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</si>
  <si>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</si>
  <si>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</si>
  <si>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</si>
  <si>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</si>
  <si>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</si>
  <si>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</si>
  <si>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</si>
  <si>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</si>
  <si>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</si>
  <si>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</si>
  <si>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</si>
  <si>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</si>
  <si>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</si>
  <si>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</si>
  <si>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</si>
  <si>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</si>
  <si>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</si>
  <si>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</si>
  <si>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</si>
  <si>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</si>
  <si>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</si>
  <si>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</si>
  <si>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</si>
  <si>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</si>
  <si>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</si>
  <si>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</si>
  <si>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</si>
  <si>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</si>
  <si>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</si>
  <si>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</si>
  <si>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</si>
  <si>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</si>
  <si>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</si>
  <si>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</si>
  <si>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</si>
  <si>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</si>
  <si>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</si>
  <si>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</si>
  <si>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</si>
  <si>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</si>
  <si>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</si>
  <si>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</si>
  <si>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</si>
  <si>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</si>
  <si>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</si>
  <si>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</si>
  <si>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</si>
  <si>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</si>
  <si>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</si>
  <si>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</si>
  <si>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</si>
  <si>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</si>
  <si>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</si>
  <si>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</si>
  <si>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</si>
  <si>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</si>
  <si>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</si>
  <si>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</si>
  <si>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</si>
  <si>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</si>
  <si>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</si>
  <si>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</si>
  <si>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</si>
  <si>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</si>
  <si>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</si>
  <si>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</si>
  <si>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</si>
  <si>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</si>
  <si>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</si>
  <si>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</si>
  <si>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</si>
  <si>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</si>
  <si>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</si>
  <si>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</si>
  <si>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</si>
  <si>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</si>
  <si>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</si>
  <si>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</si>
  <si>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</si>
  <si>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</si>
  <si>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</si>
  <si>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</si>
  <si>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</si>
  <si>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</si>
  <si>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</si>
  <si>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</si>
  <si>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</si>
  <si>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</si>
  <si>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</si>
  <si>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</si>
  <si>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</si>
  <si>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</si>
  <si>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</si>
  <si>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</si>
  <si>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</si>
  <si>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</si>
  <si>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</si>
  <si>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</si>
  <si>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</si>
  <si>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</si>
  <si>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</si>
  <si>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</si>
  <si>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</si>
  <si>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</si>
  <si>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</si>
  <si>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</si>
  <si>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</si>
  <si>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</si>
  <si>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</si>
  <si>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</si>
  <si>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</si>
  <si>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</si>
  <si>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</si>
  <si>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</si>
  <si>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</si>
  <si>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</si>
  <si>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</si>
  <si>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</si>
  <si>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</si>
  <si>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</si>
  <si>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</si>
  <si>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</si>
  <si>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</si>
  <si>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</si>
  <si>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</si>
  <si>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</si>
  <si>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</si>
  <si>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</si>
  <si>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</si>
  <si>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</si>
  <si>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</si>
  <si>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</si>
  <si>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</si>
  <si>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</si>
  <si>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</si>
  <si>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</si>
  <si>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</si>
  <si>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</si>
  <si>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</si>
  <si>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</si>
  <si>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</si>
  <si>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</si>
  <si>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</si>
  <si>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</si>
  <si>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</si>
  <si>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</si>
  <si>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</si>
  <si>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</si>
  <si>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</si>
  <si>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</si>
  <si>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</si>
  <si>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</si>
  <si>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</si>
  <si>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</si>
  <si>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</si>
  <si>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</si>
  <si>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</si>
  <si>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</si>
  <si>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</si>
  <si>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</si>
  <si>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</si>
  <si>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</si>
  <si>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</si>
  <si>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</si>
  <si>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</si>
  <si>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</si>
  <si>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</si>
  <si>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</si>
  <si>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</si>
  <si>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</si>
  <si>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</si>
  <si>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</si>
  <si>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</si>
  <si>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</si>
  <si>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</si>
  <si>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</si>
  <si>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</si>
  <si>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</si>
  <si>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</si>
  <si>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</si>
  <si>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</si>
  <si>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</si>
  <si>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</si>
  <si>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</si>
  <si>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</si>
  <si>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</si>
  <si>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</si>
  <si>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</si>
  <si>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</si>
  <si>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</si>
  <si>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</si>
  <si>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</si>
  <si>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</si>
  <si>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</si>
  <si>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</si>
  <si>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</si>
  <si>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</si>
  <si>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</si>
  <si>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</si>
  <si>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</si>
  <si>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</si>
  <si>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</si>
  <si>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</si>
  <si>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</si>
  <si>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</si>
  <si>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</si>
  <si>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</si>
  <si>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</si>
  <si>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</si>
  <si>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</si>
  <si>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</si>
  <si>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</si>
  <si>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</si>
  <si>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</si>
  <si>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</si>
  <si>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</si>
  <si>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</si>
  <si>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</si>
  <si>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</si>
  <si>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</si>
  <si>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</si>
  <si>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</si>
  <si>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</si>
  <si>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</si>
  <si>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</si>
  <si>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</si>
  <si>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</si>
  <si>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</si>
  <si>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</si>
  <si>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</si>
  <si>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</si>
  <si>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</si>
  <si>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</si>
  <si>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</si>
  <si>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</si>
  <si>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</si>
  <si>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</si>
  <si>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</si>
  <si>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</si>
  <si>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</si>
  <si>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</si>
  <si>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</si>
  <si>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</si>
  <si>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</si>
  <si>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</si>
  <si>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</si>
  <si>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</si>
  <si>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</si>
  <si>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</si>
  <si>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</si>
  <si>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</si>
  <si>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</si>
  <si>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</si>
  <si>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</si>
  <si>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</si>
  <si>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</si>
  <si>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</si>
  <si>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</si>
  <si>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</si>
  <si>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</si>
  <si>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</si>
  <si>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</si>
  <si>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</si>
  <si>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</si>
  <si>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</si>
  <si>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</si>
  <si>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</si>
  <si>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</si>
  <si>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</si>
  <si>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</si>
  <si>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</si>
  <si>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</si>
  <si>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</si>
  <si>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</si>
  <si>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</si>
  <si>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</si>
  <si>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</si>
  <si>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</si>
  <si>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</si>
  <si>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</si>
  <si>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</si>
  <si>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</si>
  <si>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</si>
  <si>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</si>
  <si>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</si>
  <si>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</si>
  <si>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</si>
  <si>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</si>
  <si>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</si>
  <si>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</si>
  <si>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</si>
  <si>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</si>
  <si>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</si>
  <si>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</si>
  <si>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</si>
  <si>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</si>
  <si>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</si>
  <si>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</si>
  <si>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</si>
  <si>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</si>
  <si>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</si>
  <si>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</si>
  <si>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</si>
  <si>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</si>
  <si>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</si>
  <si>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</si>
  <si>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</si>
  <si>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</si>
  <si>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</si>
  <si>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</si>
  <si>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</si>
  <si>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</si>
  <si>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</si>
  <si>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</si>
  <si>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</si>
  <si>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</si>
  <si>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</si>
  <si>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</si>
  <si>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</si>
  <si>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</si>
  <si>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</si>
  <si>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</si>
  <si>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</si>
  <si>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</si>
  <si>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</si>
  <si>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</si>
  <si>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</si>
  <si>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</si>
  <si>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</si>
  <si>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</si>
  <si>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</si>
  <si>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</si>
  <si>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</si>
  <si>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</si>
  <si>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</si>
  <si>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</si>
  <si>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</si>
  <si>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</si>
  <si>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</si>
  <si>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</si>
  <si>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</si>
  <si>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</si>
  <si>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</si>
  <si>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</si>
  <si>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</si>
  <si>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</si>
  <si>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</si>
  <si>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</si>
  <si>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</si>
  <si>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</si>
  <si>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</si>
  <si>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</si>
  <si>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</si>
  <si>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</si>
  <si>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</si>
  <si>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</si>
  <si>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</si>
  <si>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</si>
  <si>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</si>
  <si>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</si>
  <si>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</si>
  <si>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</si>
  <si>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</si>
  <si>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</si>
  <si>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</si>
  <si>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</si>
  <si>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</si>
  <si>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</si>
  <si>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</si>
  <si>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</si>
  <si>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</si>
  <si>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</si>
  <si>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</si>
  <si>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</si>
  <si>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</si>
  <si>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</si>
  <si>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</si>
  <si>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</si>
  <si>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</si>
  <si>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</si>
  <si>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</si>
  <si>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</si>
  <si>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</si>
  <si>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</si>
  <si>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</si>
  <si>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</si>
  <si>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</si>
  <si>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</si>
  <si>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</si>
  <si>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</si>
  <si>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</si>
  <si>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</si>
  <si>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</si>
  <si>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</si>
  <si>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</si>
  <si>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</si>
  <si>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</si>
  <si>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</si>
  <si>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</si>
  <si>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</si>
  <si>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</si>
  <si>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</si>
  <si>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</si>
  <si>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</si>
  <si>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</si>
  <si>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</si>
  <si>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</si>
  <si>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</si>
  <si>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</si>
  <si>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</si>
  <si>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</si>
  <si>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</si>
  <si>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</si>
  <si>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</si>
  <si>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</si>
  <si>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</si>
  <si>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</si>
  <si>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</si>
  <si>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</si>
  <si>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</si>
  <si>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</si>
  <si>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</si>
  <si>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</si>
  <si>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</si>
  <si>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</si>
  <si>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</si>
  <si>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</si>
  <si>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</si>
  <si>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</si>
  <si>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</si>
  <si>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</si>
  <si>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</si>
  <si>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</si>
  <si>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</si>
  <si>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</si>
  <si>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</si>
  <si>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</si>
  <si>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</si>
  <si>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</si>
  <si>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</si>
  <si>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</si>
  <si>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</si>
  <si>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</si>
  <si>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</si>
  <si>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</si>
  <si>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</si>
  <si>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</si>
  <si>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</si>
  <si>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</si>
  <si>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</si>
  <si>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</si>
  <si>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</si>
  <si>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</si>
  <si>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</si>
  <si>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</si>
  <si>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</si>
  <si>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</si>
  <si>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</si>
  <si>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</si>
  <si>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</si>
  <si>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</si>
  <si>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</si>
  <si>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</si>
  <si>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</si>
  <si>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</si>
  <si>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</si>
  <si>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</si>
  <si>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</si>
  <si>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</si>
  <si>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</si>
  <si>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</si>
  <si>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</si>
  <si>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</si>
  <si>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</si>
  <si>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</si>
  <si>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</si>
  <si>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</si>
  <si>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</si>
  <si>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</si>
  <si>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</si>
  <si>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</si>
  <si>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</si>
  <si>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</si>
  <si>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</si>
  <si>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</si>
  <si>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</si>
  <si>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</si>
  <si>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</si>
  <si>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</si>
  <si>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</si>
  <si>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</si>
  <si>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</si>
  <si>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</si>
  <si>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</si>
  <si>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</si>
  <si>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</si>
  <si>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</si>
  <si>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</si>
  <si>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</si>
  <si>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</si>
  <si>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</si>
  <si>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</si>
  <si>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</si>
  <si>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</si>
  <si>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</si>
  <si>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</si>
  <si>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</si>
  <si>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</si>
  <si>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</si>
  <si>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</si>
  <si>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</si>
  <si>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</si>
  <si>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</si>
  <si>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</si>
  <si>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</si>
  <si>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</si>
  <si>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</si>
  <si>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</si>
  <si>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</si>
  <si>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</si>
  <si>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</si>
  <si>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</si>
  <si>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</si>
  <si>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</si>
  <si>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</si>
  <si>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</si>
  <si>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</si>
  <si>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</si>
  <si>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</si>
  <si>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</si>
  <si>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</si>
  <si>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</si>
  <si>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</si>
  <si>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</si>
  <si>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</si>
  <si>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</si>
  <si>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</si>
  <si>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</si>
  <si>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</si>
  <si>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</si>
  <si>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</si>
  <si>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</si>
  <si>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</si>
  <si>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</si>
  <si>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</si>
  <si>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</si>
  <si>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</si>
  <si>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</si>
  <si>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</si>
  <si>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</si>
  <si>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</si>
  <si>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</si>
  <si>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</si>
  <si>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</si>
  <si>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</si>
  <si>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</si>
  <si>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</si>
  <si>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</si>
  <si>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</si>
  <si>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</si>
  <si>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</si>
  <si>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</si>
  <si>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</si>
  <si>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</si>
  <si>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</si>
  <si>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</si>
  <si>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</si>
  <si>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</si>
  <si>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</si>
  <si>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</si>
  <si>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</si>
  <si>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</si>
  <si>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</si>
  <si>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</si>
  <si>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</si>
  <si>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</si>
  <si>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</si>
  <si>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</si>
  <si>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</si>
  <si>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</si>
  <si>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</si>
  <si>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</si>
  <si>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</si>
  <si>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</si>
  <si>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</si>
  <si>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</si>
  <si>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</si>
  <si>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</si>
  <si>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</si>
  <si>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</si>
  <si>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</si>
  <si>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</si>
  <si>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</si>
  <si>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</si>
  <si>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</si>
  <si>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</si>
  <si>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</si>
  <si>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</si>
  <si>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</si>
  <si>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</si>
  <si>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</si>
  <si>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</si>
  <si>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</si>
  <si>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</si>
  <si>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</si>
  <si>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</si>
  <si>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</si>
  <si>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</si>
  <si>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</si>
  <si>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</si>
  <si>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</si>
  <si>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</si>
  <si>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</si>
  <si>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</si>
  <si>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</si>
  <si>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</si>
  <si>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</si>
  <si>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</si>
  <si>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</si>
  <si>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</si>
  <si>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</si>
  <si>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</si>
  <si>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</si>
  <si>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</si>
  <si>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</si>
  <si>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</si>
  <si>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</si>
  <si>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</si>
  <si>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</si>
  <si>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</si>
  <si>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</si>
  <si>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</si>
  <si>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</si>
  <si>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</si>
  <si>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</si>
  <si>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</si>
  <si>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</si>
  <si>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</si>
  <si>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</si>
  <si>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</si>
  <si>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</si>
  <si>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</si>
  <si>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</si>
  <si>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</si>
  <si>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</si>
  <si>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</si>
  <si>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</si>
  <si>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</si>
  <si>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</si>
  <si>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</si>
  <si>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</si>
  <si>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</si>
  <si>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</si>
  <si>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</si>
  <si>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</si>
  <si>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</si>
  <si>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</si>
  <si>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</si>
  <si>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</si>
  <si>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</si>
  <si>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</si>
  <si>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</si>
  <si>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</si>
  <si>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</si>
  <si>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</si>
  <si>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</si>
  <si>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</si>
  <si>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</si>
  <si>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</si>
  <si>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</si>
  <si>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</si>
  <si>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</si>
  <si>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</si>
  <si>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</si>
  <si>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</si>
  <si>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</si>
  <si>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</si>
  <si>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</si>
  <si>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</si>
  <si>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</si>
  <si>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</si>
  <si>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</si>
  <si>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</si>
  <si>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</si>
  <si>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</si>
  <si>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</si>
  <si>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</si>
  <si>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</si>
  <si>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</si>
  <si>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</si>
  <si>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</si>
  <si>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</si>
  <si>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</si>
  <si>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</si>
  <si>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</si>
  <si>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</si>
  <si>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</si>
  <si>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</si>
  <si>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</si>
  <si>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</si>
  <si>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</si>
  <si>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</si>
  <si>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</si>
  <si>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</si>
  <si>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</si>
  <si>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</si>
  <si>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</si>
  <si>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</si>
  <si>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</si>
  <si>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</si>
  <si>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</si>
  <si>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</si>
  <si>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</si>
  <si>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</si>
  <si>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</si>
  <si>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</si>
  <si>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</si>
  <si>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</si>
  <si>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</si>
  <si>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</si>
  <si>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</si>
  <si>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</si>
  <si>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</si>
  <si>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</si>
  <si>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</si>
  <si>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</si>
  <si>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</si>
  <si>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</si>
  <si>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</si>
  <si>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</si>
  <si>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</si>
  <si>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</si>
  <si>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</si>
  <si>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</si>
  <si>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</si>
  <si>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</si>
  <si>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</si>
  <si>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</si>
  <si>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</si>
  <si>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</si>
  <si>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</si>
  <si>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</si>
  <si>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</si>
  <si>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</si>
  <si>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</si>
  <si>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</si>
  <si>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</si>
  <si>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</si>
  <si>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</si>
  <si>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</si>
  <si>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</si>
  <si>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</si>
  <si>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</si>
  <si>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</si>
  <si>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</si>
  <si>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</si>
  <si>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</si>
  <si>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</si>
  <si>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</si>
  <si>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</si>
  <si>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</si>
  <si>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</si>
  <si>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</si>
  <si>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</si>
  <si>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</si>
  <si>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</si>
  <si>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</si>
  <si>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</si>
  <si>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</si>
  <si>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</si>
  <si>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</si>
  <si>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</si>
  <si>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</si>
  <si>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</si>
  <si>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</si>
  <si>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</si>
  <si>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</si>
  <si>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</si>
  <si>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</si>
  <si>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</si>
  <si>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</si>
  <si>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</si>
  <si>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</si>
  <si>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</si>
  <si>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</si>
  <si>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</si>
  <si>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</si>
  <si>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</si>
  <si>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</si>
  <si>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</si>
  <si>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</si>
  <si>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</si>
  <si>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</si>
  <si>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</si>
  <si>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</si>
  <si>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</si>
  <si>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</si>
  <si>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</si>
  <si>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</si>
  <si>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</si>
  <si>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</si>
  <si>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</si>
  <si>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</si>
  <si>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</si>
  <si>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</si>
  <si>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</si>
  <si>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</si>
  <si>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</si>
  <si>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</si>
  <si>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</si>
  <si>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</si>
  <si>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</si>
  <si>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</si>
  <si>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</si>
  <si>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</si>
  <si>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</si>
  <si>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</si>
  <si>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</si>
  <si>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</si>
  <si>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</si>
  <si>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</si>
  <si>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</si>
  <si>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</si>
  <si>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</si>
  <si>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</si>
  <si>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</si>
  <si>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</si>
  <si>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</si>
  <si>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</si>
  <si>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</si>
  <si>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</si>
  <si>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</si>
  <si>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</si>
  <si>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</si>
  <si>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</si>
  <si>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</si>
  <si>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</si>
  <si>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</si>
  <si>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</si>
  <si>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</si>
  <si>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</si>
  <si>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</si>
  <si>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</si>
  <si>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</si>
  <si>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</si>
  <si>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</si>
  <si>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</si>
  <si>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</si>
  <si>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</si>
  <si>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</si>
  <si>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</si>
  <si>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</si>
  <si>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</si>
  <si>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</si>
  <si>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</si>
  <si>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</si>
  <si>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</si>
  <si>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</si>
  <si>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</si>
  <si>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</si>
  <si>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</si>
  <si>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</si>
  <si>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</si>
  <si>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</si>
  <si>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</si>
  <si>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</si>
  <si>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</si>
  <si>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</si>
  <si>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</si>
  <si>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</si>
  <si>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</si>
  <si>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</si>
  <si>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</si>
  <si>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</si>
  <si>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</si>
  <si>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</si>
  <si>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</si>
  <si>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</si>
  <si>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</si>
  <si>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</si>
  <si>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</si>
  <si>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</si>
  <si>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</si>
  <si>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</si>
  <si>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</si>
  <si>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</si>
  <si>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</si>
  <si>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</si>
  <si>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</si>
  <si>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</si>
  <si>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</si>
  <si>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</si>
  <si>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</si>
  <si>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</si>
  <si>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</si>
  <si>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</si>
  <si>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</si>
  <si>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</si>
  <si>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</si>
  <si>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</si>
  <si>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</si>
  <si>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</si>
  <si>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</si>
  <si>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</si>
  <si>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</si>
  <si>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</si>
  <si>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</si>
  <si>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</si>
  <si>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</si>
  <si>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</si>
  <si>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</si>
  <si>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</si>
  <si>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</si>
  <si>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</si>
  <si>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</si>
  <si>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</si>
  <si>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</si>
  <si>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</si>
  <si>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</si>
  <si>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</si>
  <si>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</si>
  <si>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</si>
  <si>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</si>
  <si>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</si>
  <si>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</si>
  <si>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</si>
  <si>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</si>
  <si>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</si>
  <si>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</si>
  <si>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</si>
  <si>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</si>
  <si>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</si>
  <si>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</si>
  <si>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</si>
  <si>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</si>
  <si>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</si>
  <si>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</si>
  <si>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</si>
  <si>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</si>
  <si>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</si>
  <si>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</si>
  <si>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</si>
  <si>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</si>
  <si>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</si>
  <si>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</si>
  <si>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</si>
  <si>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</si>
  <si>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</si>
  <si>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</si>
  <si>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</si>
  <si>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</si>
  <si>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</si>
  <si>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</si>
  <si>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</si>
  <si>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</si>
  <si>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</si>
  <si>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</si>
  <si>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</si>
  <si>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</si>
  <si>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</si>
  <si>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</si>
  <si>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</si>
  <si>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</si>
  <si>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</si>
  <si>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</si>
  <si>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</si>
  <si>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</si>
  <si>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</si>
  <si>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</si>
  <si>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</si>
  <si>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</si>
  <si>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</si>
  <si>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</si>
  <si>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</si>
  <si>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</si>
  <si>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</si>
  <si>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</si>
  <si>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</si>
  <si>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</si>
  <si>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</si>
  <si>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</si>
  <si>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</si>
  <si>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</si>
  <si>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</si>
  <si>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</si>
  <si>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</si>
  <si>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</si>
  <si>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</si>
  <si>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</si>
  <si>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</si>
  <si>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</si>
  <si>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</si>
  <si>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</si>
  <si>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</si>
  <si>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</si>
  <si>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</si>
  <si>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</si>
  <si>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</si>
  <si>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</si>
  <si>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</si>
  <si>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</si>
  <si>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</si>
  <si>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</si>
  <si>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</si>
  <si>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</si>
  <si>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</si>
  <si>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</si>
  <si>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</si>
  <si>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</si>
  <si>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</si>
  <si>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</si>
  <si>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</si>
  <si>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</si>
  <si>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</si>
  <si>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</si>
  <si>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</si>
  <si>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</si>
  <si>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</si>
  <si>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</si>
  <si>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</si>
  <si>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</si>
  <si>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</si>
  <si>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</si>
  <si>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</si>
  <si>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</si>
  <si>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</si>
  <si>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</si>
  <si>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</si>
  <si>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</si>
  <si>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</si>
  <si>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</si>
  <si>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</si>
  <si>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</si>
  <si>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</si>
  <si>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</si>
  <si>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</si>
  <si>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</si>
  <si>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</si>
  <si>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</si>
  <si>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</si>
  <si>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</si>
  <si>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</si>
  <si>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</si>
  <si>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</si>
  <si>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</si>
  <si>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</si>
  <si>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</si>
  <si>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</si>
  <si>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</si>
  <si>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</si>
  <si>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</si>
  <si>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</si>
  <si>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</si>
  <si>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</si>
  <si>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</si>
  <si>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</si>
  <si>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</si>
  <si>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</si>
  <si>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</si>
  <si>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</si>
  <si>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</si>
  <si>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</si>
  <si>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</si>
  <si>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</si>
  <si>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</si>
  <si>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</si>
  <si>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</si>
  <si>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</si>
  <si>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</si>
  <si>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</si>
  <si>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</si>
  <si>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</si>
  <si>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</si>
  <si>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</si>
  <si>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</si>
  <si>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</si>
  <si>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</si>
  <si>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</si>
  <si>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</si>
  <si>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</si>
  <si>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</si>
  <si>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</si>
  <si>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</si>
  <si>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</si>
  <si>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</si>
  <si>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</si>
  <si>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</si>
  <si>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</si>
  <si>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</si>
  <si>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</si>
  <si>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</si>
  <si>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</si>
  <si>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</si>
  <si>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</si>
  <si>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</si>
  <si>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</si>
  <si>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</si>
  <si>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</si>
  <si>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</si>
  <si>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</si>
  <si>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</si>
  <si>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</si>
  <si>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</si>
  <si>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</si>
  <si>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</si>
  <si>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</si>
  <si>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</si>
  <si>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</si>
  <si>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</si>
  <si>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</si>
  <si>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</si>
  <si>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</si>
  <si>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</si>
  <si>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</si>
  <si>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</si>
  <si>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</si>
  <si>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</si>
  <si>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</si>
  <si>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</si>
  <si>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</si>
  <si>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</si>
  <si>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</si>
  <si>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</si>
  <si>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</si>
  <si>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</si>
  <si>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</si>
  <si>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</si>
  <si>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</si>
  <si>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</si>
  <si>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</si>
  <si>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</si>
  <si>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</si>
  <si>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</si>
  <si>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</si>
  <si>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</si>
  <si>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</si>
  <si>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</si>
  <si>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</si>
  <si>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</si>
  <si>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</si>
  <si>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</si>
  <si>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</si>
  <si>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</si>
  <si>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</si>
  <si>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</si>
  <si>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</si>
  <si>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</si>
  <si>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</si>
  <si>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</si>
  <si>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</si>
  <si>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</si>
  <si>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</si>
  <si>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</si>
  <si>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</si>
  <si>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</si>
  <si>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</si>
  <si>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</si>
  <si>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</si>
  <si>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</si>
  <si>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</si>
  <si>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</si>
  <si>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</si>
  <si>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</si>
  <si>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</si>
  <si>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</si>
  <si>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</si>
  <si>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</si>
  <si>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</si>
  <si>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</si>
  <si>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</si>
  <si>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</si>
  <si>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</si>
  <si>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</si>
  <si>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</si>
  <si>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</si>
  <si>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</si>
  <si>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</si>
  <si>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</si>
  <si>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</si>
  <si>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</si>
  <si>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</si>
  <si>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</si>
  <si>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</si>
  <si>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</si>
  <si>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</si>
  <si>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</si>
  <si>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</si>
  <si>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</si>
  <si>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</si>
  <si>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</si>
  <si>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</si>
  <si>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</si>
  <si>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</si>
  <si>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</si>
  <si>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</si>
  <si>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</si>
  <si>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</si>
  <si>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</si>
  <si>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</si>
  <si>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</si>
  <si>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</si>
  <si>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</si>
  <si>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</si>
  <si>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</si>
  <si>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</si>
  <si>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</si>
  <si>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</si>
  <si>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</si>
  <si>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</si>
  <si>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</si>
  <si>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</si>
  <si>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</si>
  <si>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</si>
  <si>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</si>
  <si>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</si>
  <si>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</si>
  <si>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</si>
  <si>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</si>
  <si>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</si>
  <si>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</si>
  <si>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</si>
  <si>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</si>
  <si>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</si>
  <si>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</si>
  <si>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</si>
  <si>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</si>
  <si>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</si>
  <si>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</si>
  <si>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</si>
  <si>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</si>
  <si>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</si>
  <si>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</si>
  <si>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</si>
  <si>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</si>
  <si>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</si>
  <si>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</si>
  <si>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</si>
  <si>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</si>
  <si>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</si>
  <si>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</si>
  <si>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</si>
  <si>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</si>
  <si>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</si>
  <si>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</si>
  <si>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</si>
  <si>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</si>
  <si>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</si>
  <si>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</si>
  <si>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</si>
  <si>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</si>
  <si>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</si>
  <si>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</si>
  <si>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</si>
  <si>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</si>
  <si>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</si>
  <si>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</si>
  <si>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</si>
  <si>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</si>
  <si>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</si>
  <si>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</si>
  <si>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</si>
  <si>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</si>
  <si>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</si>
  <si>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</si>
  <si>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</si>
  <si>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</si>
  <si>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</si>
  <si>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</si>
  <si>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</si>
  <si>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</si>
  <si>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</si>
  <si>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</si>
  <si>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</si>
  <si>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</si>
  <si>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</si>
  <si>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</si>
  <si>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</si>
  <si>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</si>
  <si>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</si>
  <si>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</si>
  <si>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</si>
  <si>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</si>
  <si>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</si>
  <si>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</si>
  <si>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</si>
  <si>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</si>
  <si>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</si>
  <si>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</si>
  <si>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</si>
  <si>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</si>
  <si>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</si>
  <si>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</si>
  <si>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</si>
  <si>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</si>
  <si>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</si>
  <si>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</si>
  <si>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</si>
  <si>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</si>
  <si>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</si>
  <si>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</si>
  <si>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</si>
  <si>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</si>
  <si>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</si>
  <si>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</si>
  <si>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</si>
  <si>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</si>
  <si>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</si>
  <si>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</si>
  <si>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</si>
  <si>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</si>
  <si>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</si>
  <si>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</si>
  <si>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</si>
  <si>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</si>
  <si>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</si>
  <si>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</si>
  <si>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</si>
  <si>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</si>
  <si>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</si>
  <si>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</si>
  <si>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</si>
  <si>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</si>
  <si>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</si>
  <si>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</si>
  <si>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</si>
  <si>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</si>
  <si>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</si>
  <si>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</si>
  <si>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</si>
  <si>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</si>
  <si>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</si>
  <si>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</si>
  <si>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</si>
  <si>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</si>
  <si>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</si>
  <si>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</si>
  <si>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</si>
  <si>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</si>
  <si>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</si>
  <si>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</si>
  <si>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</si>
  <si>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</si>
  <si>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</si>
  <si>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</si>
  <si>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</si>
  <si>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</si>
  <si>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</si>
  <si>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</si>
  <si>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</si>
  <si>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</si>
  <si>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</si>
  <si>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</si>
  <si>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</si>
  <si>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</si>
  <si>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</si>
  <si>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</si>
  <si>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</si>
  <si>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</si>
  <si>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</si>
  <si>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</si>
  <si>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</si>
  <si>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</si>
  <si>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</si>
  <si>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</si>
  <si>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</si>
  <si>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</si>
  <si>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</si>
  <si>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</si>
  <si>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</si>
  <si>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</si>
  <si>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</si>
  <si>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</si>
  <si>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</si>
  <si>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</si>
  <si>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</si>
  <si>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</si>
  <si>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</si>
  <si>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</si>
  <si>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</si>
  <si>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</si>
  <si>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</si>
  <si>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</si>
  <si>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</si>
  <si>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</si>
  <si>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</si>
  <si>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</si>
  <si>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</si>
  <si>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</si>
  <si>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</si>
  <si>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</si>
  <si>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</si>
  <si>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</si>
  <si>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</si>
  <si>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</si>
  <si>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</si>
  <si>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</si>
  <si>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</si>
  <si>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</si>
  <si>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</si>
  <si>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</si>
  <si>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</si>
  <si>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</si>
  <si>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</si>
  <si>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</si>
  <si>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</si>
  <si>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</si>
  <si>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</si>
  <si>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</si>
  <si>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</si>
  <si>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</si>
  <si>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</si>
  <si>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</si>
  <si>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</si>
  <si>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</si>
  <si>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</si>
  <si>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</si>
  <si>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</si>
  <si>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</si>
  <si>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</si>
  <si>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</si>
  <si>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</si>
  <si>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</si>
  <si>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</si>
  <si>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</si>
  <si>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</si>
  <si>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</si>
  <si>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</si>
  <si>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</si>
  <si>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</si>
  <si>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</si>
  <si>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</si>
  <si>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</si>
  <si>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</si>
  <si>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</si>
  <si>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</si>
  <si>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</si>
  <si>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</si>
  <si>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</si>
  <si>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</si>
  <si>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</si>
  <si>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</si>
  <si>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</si>
  <si>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</si>
  <si>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</si>
  <si>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</si>
  <si>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</si>
  <si>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</si>
  <si>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</si>
  <si>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</si>
  <si>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</si>
  <si>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</si>
  <si>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</si>
  <si>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</si>
  <si>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</si>
  <si>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</si>
  <si>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</si>
  <si>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</si>
  <si>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</si>
  <si>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</si>
  <si>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</si>
  <si>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</si>
  <si>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</si>
  <si>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</si>
  <si>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</si>
  <si>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</si>
  <si>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</si>
  <si>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</si>
  <si>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</si>
  <si>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</si>
  <si>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</si>
  <si>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</si>
  <si>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</si>
  <si>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</si>
  <si>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</si>
  <si>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</si>
  <si>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</si>
  <si>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</si>
  <si>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</si>
  <si>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</si>
  <si>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</si>
  <si>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</si>
  <si>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</si>
  <si>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</si>
  <si>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</si>
  <si>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</si>
  <si>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</si>
  <si>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</si>
  <si>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</si>
  <si>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</si>
  <si>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</si>
  <si>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</si>
  <si>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</si>
  <si>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</si>
  <si>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</si>
  <si>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</si>
  <si>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</si>
  <si>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</si>
  <si>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</si>
  <si>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</si>
  <si>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</si>
  <si>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</si>
  <si>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</si>
  <si>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</si>
  <si>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</si>
  <si>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</si>
  <si>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</si>
  <si>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</si>
  <si>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</si>
  <si>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</si>
  <si>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</si>
  <si>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</si>
  <si>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</si>
  <si>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</si>
  <si>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</si>
  <si>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</si>
  <si>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</si>
  <si>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</si>
  <si>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</si>
  <si>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</si>
  <si>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</si>
  <si>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</si>
  <si>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</si>
  <si>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</si>
  <si>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</si>
  <si>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</si>
  <si>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</si>
  <si>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</si>
  <si>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</si>
  <si>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</si>
  <si>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</si>
  <si>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</si>
  <si>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</si>
  <si>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</si>
  <si>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</si>
  <si>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</si>
  <si>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</si>
  <si>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</si>
  <si>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</si>
  <si>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</si>
  <si>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</si>
  <si>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</si>
  <si>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</si>
  <si>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</si>
  <si>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</si>
  <si>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</si>
  <si>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</si>
  <si>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</si>
  <si>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</si>
  <si>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</si>
  <si>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</si>
  <si>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</si>
  <si>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</si>
  <si>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</si>
  <si>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</si>
  <si>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</si>
  <si>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</si>
  <si>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</si>
  <si>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</si>
  <si>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</si>
  <si>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</si>
  <si>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</si>
  <si>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</si>
  <si>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</si>
  <si>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</si>
  <si>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</si>
  <si>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</si>
  <si>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</si>
  <si>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</si>
  <si>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</si>
  <si>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</si>
  <si>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</si>
  <si>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</si>
  <si>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</si>
  <si>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</si>
  <si>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</si>
  <si>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</si>
  <si>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</si>
  <si>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</si>
  <si>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</si>
  <si>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</si>
  <si>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</si>
  <si>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</si>
  <si>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</si>
  <si>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</si>
  <si>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</si>
  <si>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</si>
  <si>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</si>
  <si>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</si>
  <si>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</si>
  <si>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</si>
  <si>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</si>
  <si>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</si>
  <si>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</si>
  <si>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</si>
  <si>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</si>
  <si>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</si>
  <si>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</si>
  <si>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</si>
  <si>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</si>
  <si>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</si>
  <si>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</si>
  <si>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</si>
  <si>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</si>
  <si>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</si>
  <si>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</si>
  <si>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</si>
  <si>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</si>
  <si>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</si>
  <si>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</si>
  <si>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</si>
  <si>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</si>
  <si>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</si>
  <si>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</si>
  <si>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</si>
  <si>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</si>
  <si>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</si>
  <si>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</si>
  <si>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</si>
  <si>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</si>
  <si>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</si>
  <si>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</si>
  <si>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</si>
  <si>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</si>
  <si>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</si>
  <si>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</si>
  <si>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</si>
  <si>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</si>
  <si>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</si>
  <si>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</si>
  <si>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</si>
  <si>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</si>
  <si>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</si>
  <si>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</si>
  <si>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</si>
  <si>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</si>
  <si>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</si>
  <si>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</si>
  <si>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</si>
  <si>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</si>
  <si>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</si>
  <si>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</si>
  <si>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</si>
  <si>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</si>
  <si>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</si>
  <si>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</si>
  <si>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</si>
  <si>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</si>
  <si>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</si>
  <si>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</si>
  <si>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</si>
  <si>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</si>
  <si>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</si>
  <si>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</si>
  <si>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</si>
  <si>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</si>
  <si>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</si>
  <si>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</si>
  <si>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</si>
  <si>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</si>
  <si>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</si>
  <si>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</si>
  <si>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</si>
  <si>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</si>
  <si>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</si>
  <si>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</si>
  <si>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</si>
  <si>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</si>
  <si>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</si>
  <si>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</si>
  <si>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</si>
  <si>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</si>
  <si>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</si>
  <si>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</si>
  <si>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</si>
  <si>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</si>
  <si>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</si>
  <si>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</si>
  <si>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</si>
  <si>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</si>
  <si>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</si>
  <si>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</si>
  <si>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</si>
  <si>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</si>
  <si>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</si>
  <si>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</si>
  <si>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</si>
  <si>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</si>
  <si>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</si>
  <si>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</si>
  <si>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</si>
  <si>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</si>
  <si>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</si>
  <si>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</si>
  <si>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</si>
  <si>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</si>
  <si>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</si>
  <si>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</si>
  <si>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</si>
  <si>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</si>
  <si>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</si>
  <si>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</si>
  <si>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</si>
  <si>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</si>
  <si>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</si>
  <si>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</si>
  <si>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</si>
  <si>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</si>
  <si>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</si>
  <si>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</si>
  <si>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</si>
  <si>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</si>
  <si>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</si>
  <si>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</si>
  <si>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</si>
  <si>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</si>
  <si>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</si>
  <si>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</si>
  <si>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</si>
  <si>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</si>
  <si>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</si>
  <si>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</si>
  <si>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</si>
  <si>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</si>
  <si>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</si>
  <si>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</si>
  <si>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</si>
  <si>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</si>
  <si>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</si>
  <si>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</si>
  <si>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</si>
  <si>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</si>
  <si>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</si>
  <si>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</si>
  <si>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</si>
  <si>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</si>
  <si>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</si>
  <si>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</si>
  <si>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</si>
  <si>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</si>
  <si>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</si>
  <si>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</si>
  <si>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</si>
  <si>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</si>
  <si>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</si>
  <si>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</si>
  <si>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</si>
  <si>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</si>
  <si>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</si>
  <si>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</si>
  <si>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</si>
  <si>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</si>
  <si>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</si>
  <si>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</si>
  <si>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</si>
  <si>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</si>
  <si>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</si>
  <si>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</si>
  <si>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</si>
  <si>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</si>
  <si>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</si>
  <si>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</si>
  <si>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</si>
  <si>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</si>
  <si>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</si>
  <si>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</si>
  <si>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</si>
  <si>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</si>
  <si>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</si>
  <si>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</si>
  <si>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</si>
  <si>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</si>
  <si>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</si>
  <si>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</si>
  <si>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</si>
  <si>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</si>
  <si>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</si>
  <si>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</si>
  <si>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</si>
  <si>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</si>
  <si>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</si>
  <si>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</si>
  <si>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</si>
  <si>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</si>
  <si>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</si>
  <si>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</si>
  <si>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</si>
  <si>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</si>
  <si>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</si>
  <si>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</si>
  <si>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</si>
  <si>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</si>
  <si>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</si>
  <si>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</si>
  <si>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</si>
  <si>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</si>
  <si>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</si>
  <si>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</si>
  <si>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</si>
  <si>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</si>
  <si>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</si>
  <si>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</si>
  <si>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</si>
  <si>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</si>
  <si>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</si>
  <si>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</si>
  <si>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</si>
  <si>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</si>
  <si>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</si>
  <si>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</si>
  <si>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</si>
  <si>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</si>
  <si>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</si>
  <si>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</si>
  <si>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</si>
  <si>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</si>
  <si>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</si>
  <si>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</si>
  <si>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</si>
  <si>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</si>
  <si>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</si>
  <si>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</si>
  <si>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</si>
  <si>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</si>
  <si>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</si>
  <si>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</si>
  <si>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</si>
  <si>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</si>
  <si>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</si>
  <si>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</si>
  <si>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</si>
  <si>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</si>
  <si>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</si>
  <si>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</si>
  <si>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</si>
  <si>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</si>
  <si>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</si>
  <si>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</si>
  <si>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</si>
  <si>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</si>
  <si>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</si>
  <si>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</si>
  <si>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</si>
  <si>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</si>
  <si>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</si>
  <si>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</si>
  <si>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</si>
  <si>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</si>
  <si>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</si>
  <si>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</si>
  <si>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</si>
  <si>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</si>
  <si>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</si>
  <si>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</si>
  <si>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</si>
  <si>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</si>
  <si>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</si>
  <si>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</si>
  <si>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</si>
  <si>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</si>
  <si>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</si>
  <si>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</si>
  <si>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</si>
  <si>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</si>
  <si>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</si>
  <si>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</si>
  <si>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</si>
  <si>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</si>
  <si>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</si>
  <si>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</si>
  <si>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</si>
  <si>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</si>
  <si>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</si>
  <si>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</si>
  <si>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</si>
  <si>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</si>
  <si>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</si>
  <si>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</si>
  <si>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</si>
  <si>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</si>
  <si>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</si>
  <si>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</si>
  <si>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</si>
  <si>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</si>
  <si>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</si>
  <si>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</si>
  <si>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</si>
  <si>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</si>
  <si>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</si>
  <si>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</si>
  <si>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</si>
  <si>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</si>
  <si>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</si>
  <si>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</si>
  <si>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</si>
  <si>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</si>
  <si>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</si>
  <si>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</si>
  <si>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</si>
  <si>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</si>
  <si>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</si>
  <si>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</si>
  <si>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</si>
  <si>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</si>
  <si>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</si>
  <si>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</si>
  <si>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</si>
  <si>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</si>
  <si>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</si>
  <si>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</si>
  <si>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</si>
  <si>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</si>
  <si>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</si>
  <si>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</si>
  <si>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</si>
  <si>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</si>
  <si>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</si>
  <si>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</si>
  <si>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</si>
  <si>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</si>
  <si>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</si>
  <si>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</si>
  <si>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</si>
  <si>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</si>
  <si>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</si>
  <si>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</si>
  <si>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</si>
  <si>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</si>
  <si>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</si>
  <si>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</si>
  <si>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</si>
  <si>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</si>
  <si>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</si>
  <si>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</si>
  <si>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</si>
  <si>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</si>
  <si>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</si>
  <si>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</si>
  <si>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</si>
  <si>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</si>
  <si>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</si>
  <si>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</si>
  <si>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</si>
  <si>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</si>
  <si>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</si>
  <si>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</si>
  <si>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</si>
  <si>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</si>
  <si>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</si>
  <si>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</si>
  <si>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</si>
  <si>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</si>
  <si>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</si>
  <si>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</si>
  <si>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</si>
  <si>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</si>
  <si>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</si>
  <si>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</si>
  <si>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</si>
  <si>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</si>
  <si>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</si>
  <si>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</si>
  <si>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</si>
  <si>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</si>
  <si>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</si>
  <si>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</si>
  <si>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</si>
  <si>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</si>
  <si>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</si>
  <si>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</si>
  <si>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</si>
  <si>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</si>
  <si>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</si>
  <si>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</si>
  <si>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</si>
  <si>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</si>
  <si>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</si>
  <si>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</si>
  <si>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</si>
  <si>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</si>
  <si>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</si>
  <si>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</si>
  <si>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</si>
  <si>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</si>
  <si>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</si>
  <si>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</si>
  <si>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</si>
  <si>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</si>
  <si>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</si>
  <si>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</si>
  <si>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</si>
  <si>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</si>
  <si>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</si>
  <si>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</si>
  <si>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</si>
  <si>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</si>
  <si>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</si>
  <si>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</si>
  <si>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</si>
  <si>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</si>
  <si>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</si>
  <si>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</si>
  <si>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</si>
  <si>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</si>
  <si>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</si>
  <si>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</si>
  <si>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</si>
  <si>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</si>
  <si>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</si>
  <si>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</si>
  <si>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</si>
  <si>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</si>
  <si>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</si>
  <si>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</si>
  <si>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</si>
  <si>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</si>
  <si>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</si>
  <si>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</si>
  <si>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</si>
  <si>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</si>
  <si>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</si>
  <si>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</si>
  <si>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Locke Lofts</t>
  </si>
  <si>
    <t>April</t>
  </si>
  <si>
    <t>Eagle</t>
  </si>
  <si>
    <t>Caleb Roope</t>
  </si>
  <si>
    <t>345 N Madison Ave</t>
  </si>
  <si>
    <t>City of Los Angeles - Los Angeles Housing Department</t>
  </si>
  <si>
    <t>Mr. Timothy Elliot</t>
  </si>
  <si>
    <t>1910 Sunset Blvd, Ste 300</t>
  </si>
  <si>
    <t>Los Angeles, CA</t>
  </si>
  <si>
    <t>Manager of Multifamily Housing Finance</t>
  </si>
  <si>
    <t>timothy.elliott@lacity.org</t>
  </si>
  <si>
    <t>Portions of 5501001-800 and -031</t>
  </si>
  <si>
    <t>40%/60%</t>
  </si>
  <si>
    <t>430 E State St, Suite 100</t>
  </si>
  <si>
    <t>ID</t>
  </si>
  <si>
    <t>calebr@tpchousing.com</t>
  </si>
  <si>
    <t>Administrative GP</t>
  </si>
  <si>
    <t>Managing GP</t>
  </si>
  <si>
    <t>TPC Holdings IX, LLC</t>
  </si>
  <si>
    <t>430 E State St, Ste 100</t>
  </si>
  <si>
    <t>The Pacific Companies</t>
  </si>
  <si>
    <t>Flexible PSH Solutions, Inc.</t>
  </si>
  <si>
    <t>3435 Wilshire Blvd, Ste 1400</t>
  </si>
  <si>
    <t>CA</t>
  </si>
  <si>
    <t>John Molloy</t>
  </si>
  <si>
    <t>john@flexiblepsh.org</t>
  </si>
  <si>
    <t>Pacific West Communities, Inc.</t>
  </si>
  <si>
    <t>Claire Casazza</t>
  </si>
  <si>
    <t>clairec@tpchousing.com</t>
  </si>
  <si>
    <t>Co-Developer</t>
  </si>
  <si>
    <t>Eagle, ID 83616</t>
  </si>
  <si>
    <t>SMF Legal, PLLC</t>
  </si>
  <si>
    <t>430 E State St, Ste 140</t>
  </si>
  <si>
    <t>Sarah Ford</t>
  </si>
  <si>
    <t>sarah@smf-legal.com</t>
  </si>
  <si>
    <t>Grigg, Bratton &amp; Brash, P.C.</t>
  </si>
  <si>
    <t>4487 N. Dresden Place, Ste. 101</t>
  </si>
  <si>
    <t>Boise, ID 83714</t>
  </si>
  <si>
    <t>Marshall Bratton</t>
  </si>
  <si>
    <t>208.375.6490</t>
  </si>
  <si>
    <t>208.375.6593</t>
  </si>
  <si>
    <t>marshall@gbbaccounting.com</t>
  </si>
  <si>
    <t>The Sotelo Group, Inc.</t>
  </si>
  <si>
    <t>1155 South Hope Street, #1210</t>
  </si>
  <si>
    <t>Los Angeles, CA 90012</t>
  </si>
  <si>
    <t>Dalila Sotelo</t>
  </si>
  <si>
    <t>213-814-8212</t>
  </si>
  <si>
    <t>dalila@thesotelogroup.co</t>
  </si>
  <si>
    <t>Los Angeles, CA 90017</t>
  </si>
  <si>
    <t>Robert Vergara</t>
  </si>
  <si>
    <t>213.808.8630</t>
  </si>
  <si>
    <t>robert.vergara@lacity.org</t>
  </si>
  <si>
    <t>Not Applicable</t>
  </si>
  <si>
    <t>The John Stewart Company</t>
  </si>
  <si>
    <t>888 S. Figueroa Street, Suite 400</t>
  </si>
  <si>
    <t>Vanessa Avina</t>
  </si>
  <si>
    <t>213.833.1850</t>
  </si>
  <si>
    <t>vavina@jsco.net</t>
  </si>
  <si>
    <t>Boston Financial Investment Management</t>
  </si>
  <si>
    <t>101 Arch Street</t>
  </si>
  <si>
    <t>Boston, MA 02110</t>
  </si>
  <si>
    <t>Laura Surdel</t>
  </si>
  <si>
    <t>774.567.5693</t>
  </si>
  <si>
    <t>617.439.4805</t>
  </si>
  <si>
    <t>laura.surdel@bfim.com</t>
  </si>
  <si>
    <t>Partner Energy</t>
  </si>
  <si>
    <t>680 Knox Street, Suite 150</t>
  </si>
  <si>
    <t>Los Angeles, CA 90502</t>
  </si>
  <si>
    <t>Molly Coon</t>
  </si>
  <si>
    <t>mcoon@ptrenergy.com</t>
  </si>
  <si>
    <t>KFA, LLP</t>
  </si>
  <si>
    <t>3753 Hayden Street</t>
  </si>
  <si>
    <t>Culver City, CA 90023</t>
  </si>
  <si>
    <t>Kathy Kurtak</t>
  </si>
  <si>
    <t>310.399.7975</t>
  </si>
  <si>
    <t>kathy@kfalosangeles.com</t>
  </si>
  <si>
    <t>Sinanian Development</t>
  </si>
  <si>
    <t>Darryl Embrey</t>
  </si>
  <si>
    <t>18980 Ventura Blvd #200</t>
  </si>
  <si>
    <t>Tarzana, CA 91356</t>
  </si>
  <si>
    <t>darryl.embrey@sinanian.com</t>
  </si>
  <si>
    <t>Inner City Infill Site</t>
  </si>
  <si>
    <t>CM-1</t>
  </si>
  <si>
    <t>Unlimited due to PSH Ordinance</t>
  </si>
  <si>
    <t>CM-1, Unlimited due to PSH Ordinance</t>
  </si>
  <si>
    <t>None required due to PSH Ordinance</t>
  </si>
  <si>
    <t>HACLA</t>
  </si>
  <si>
    <t>Project-based vouchers (PBVs)</t>
  </si>
  <si>
    <t>AHSC</t>
  </si>
  <si>
    <t>LAHD Managed Pipeline</t>
  </si>
  <si>
    <t>Los Angeles, CA 90026</t>
  </si>
  <si>
    <t>Locke Lofts Associates, a CA LP</t>
  </si>
  <si>
    <t>President &amp; CEO</t>
  </si>
  <si>
    <t>430 E State St, Suite 100, Eagle, ID</t>
  </si>
  <si>
    <t>None</t>
  </si>
  <si>
    <t>Secured by Fee Interest</t>
  </si>
  <si>
    <t>LAHD - AHMP</t>
  </si>
  <si>
    <t>HCD - HCD</t>
  </si>
  <si>
    <t>California Bank &amp; Trust</t>
  </si>
  <si>
    <t>HCD - AHSC</t>
  </si>
  <si>
    <t>Locke Lofts Associates</t>
  </si>
  <si>
    <t>Fixed</t>
  </si>
  <si>
    <t>Boston Financial</t>
  </si>
  <si>
    <t>Developer Fee Contribution</t>
  </si>
  <si>
    <t>Deferred Costs</t>
  </si>
  <si>
    <t>Tax Credit Equity</t>
  </si>
  <si>
    <t>Tax-Exempt Bonds</t>
  </si>
  <si>
    <t>Taxable Bonds</t>
  </si>
  <si>
    <t>Mark Wolf</t>
  </si>
  <si>
    <t>1900 Avenue of the Stars, Suite 2350</t>
  </si>
  <si>
    <t>Los Angeles, CA 90067</t>
  </si>
  <si>
    <t>225 Franklin Street</t>
  </si>
  <si>
    <t>Soft Loan - City of LA</t>
  </si>
  <si>
    <t>Soft Loan - HCD</t>
  </si>
  <si>
    <t>Los Angeles Housing Department</t>
  </si>
  <si>
    <t>Contributed Developer Fee</t>
  </si>
  <si>
    <t>1910 Sunset Blvd, Suite 300</t>
  </si>
  <si>
    <t>2020 W El Camino Ave, Suite 670</t>
  </si>
  <si>
    <t>Sacramento, CA 94252</t>
  </si>
  <si>
    <t>Jeffrey Fong</t>
  </si>
  <si>
    <t>Telephone, office expense, misc.</t>
  </si>
  <si>
    <t>Payroll Taxes. Work Comp, Benefits</t>
  </si>
  <si>
    <t>Cleaning and building supplies</t>
  </si>
  <si>
    <t>Licenses</t>
  </si>
  <si>
    <t>State Tax</t>
  </si>
  <si>
    <t>Issuer / Trustee Fees</t>
  </si>
  <si>
    <t>Los Angeles Housing Department - Affordable Housing Managed Pipeline</t>
  </si>
  <si>
    <t>Other: Lender Costs (Legal, etc)</t>
  </si>
  <si>
    <t>Cost Certification</t>
  </si>
  <si>
    <t>Post-Construction Interest</t>
  </si>
  <si>
    <t>HCD - Affordable Housing &amp; Sustainable Communities (AHSC)</t>
  </si>
  <si>
    <t>Los Angeles Housing Dep't - Affordable Housing Managed Pipeline (AHMP)</t>
  </si>
  <si>
    <t>Design Review</t>
  </si>
  <si>
    <t>CTCAC/CDLAC</t>
  </si>
  <si>
    <t>HACLA Project-Based Vouchers</t>
  </si>
  <si>
    <t>Chief Executive Officer</t>
  </si>
  <si>
    <t>California</t>
  </si>
  <si>
    <t>22nd</t>
  </si>
  <si>
    <t>3435 Wilshire Blvd Ste 1400</t>
  </si>
  <si>
    <t>Pacific West Communities</t>
  </si>
  <si>
    <t>HCD AHSC Loan</t>
  </si>
  <si>
    <t>Other Operating Expenses (Licenses, State Taxes):</t>
  </si>
  <si>
    <t>Kinetic Valuation Group</t>
  </si>
  <si>
    <t>3901 S 147th Street, Suite 144</t>
  </si>
  <si>
    <t>Omaha, NE 68144</t>
  </si>
  <si>
    <t>Jay Wortmann</t>
  </si>
  <si>
    <t>402.202.0711</t>
  </si>
  <si>
    <t>jay@kvgteam.com</t>
  </si>
  <si>
    <t>TBD</t>
  </si>
  <si>
    <t>1 bedroom</t>
  </si>
  <si>
    <t>2 bedroom</t>
  </si>
  <si>
    <t>Above residual receipts line for cash flow</t>
  </si>
  <si>
    <t>Sensory impaired pursuant to CBC Chapter 11B</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</si>
</sst>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center"/>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105255</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453125" customWidth="1"/>
    <col min="6" max="6" width="3" customWidth="1"/>
    <col min="7" max="36" width="2.453125" customWidth="1"/>
    <col min="37" max="38" width="2.7265625" customWidth="1"/>
    <col min="39" max="16384" width="2.45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35"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3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3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3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3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35" customHeight="1">
      <c r="A42" s="4"/>
      <c r="B42"/>
      <c r="C42" s="2"/>
      <c r="D42" s="4"/>
      <c r="E42" s="4" t="s">
        <v>660</v>
      </c>
      <c r="F42" s="1268" t="s">
        <v>1268</v>
      </c>
    </row>
    <row r="43" spans="1:38" s="1268" customFormat="1" ht="13.3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35" customHeight="1">
      <c r="A69" s="4"/>
      <c r="C69" s="2"/>
      <c r="D69" s="4"/>
      <c r="E69" s="4"/>
      <c r="F69" t="s">
        <v>517</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589</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585</v>
      </c>
    </row>
    <row r="130" spans="4:37">
      <c r="E130" s="4" t="s">
        <v>941</v>
      </c>
      <c r="F130" s="4"/>
    </row>
    <row r="131" spans="4:37"/>
    <row r="132" spans="4:37">
      <c r="D132" s="2" t="s">
        <v>582</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565</v>
      </c>
      <c r="E170" s="2" t="s">
        <v>630</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589</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3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topLeftCell="A84"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453125" style="1200" bestFit="1" customWidth="1"/>
    <col min="71" max="71" width="6.1796875" style="1200" bestFit="1" customWidth="1"/>
    <col min="72" max="76" width="5.453125" style="1200" bestFit="1" customWidth="1"/>
    <col min="77" max="77" width="6.1796875" style="1200" bestFit="1" customWidth="1"/>
    <col min="78" max="78" width="5.453125" style="1200" bestFit="1" customWidth="1"/>
    <col min="79" max="16384" width="2.7265625" style="1200"/>
  </cols>
  <sheetData>
    <row r="1" spans="1:65" ht="15.8" customHeight="1">
      <c r="A1" s="2231" t="s">
        <v>2411</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8" customHeight="1">
      <c r="A2" s="2234" t="s">
        <v>2458</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237" t="str">
        <f>IF(Application!H18="","",Application!H18)</f>
        <v>Locke Lofts</v>
      </c>
      <c r="M4" s="2238"/>
      <c r="N4" s="2238"/>
      <c r="O4" s="2238"/>
      <c r="P4" s="2238"/>
      <c r="Q4" s="2238"/>
      <c r="R4" s="2238"/>
      <c r="S4" s="2238"/>
      <c r="T4" s="2238"/>
      <c r="U4" s="2238"/>
      <c r="V4" s="2238"/>
      <c r="W4" s="2238"/>
      <c r="X4" s="2238"/>
      <c r="Y4" s="2238"/>
      <c r="Z4" s="2238"/>
      <c r="AA4" s="2238"/>
      <c r="AB4" s="2238"/>
      <c r="AC4" s="2239"/>
      <c r="AD4" s="1209"/>
      <c r="AE4" s="1209"/>
      <c r="AF4" s="2240" t="s">
        <v>2459</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2460</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237" t="str">
        <f>IF(Application!H16="","",Application!H16)</f>
        <v>Flexible PSH Solutions, Inc.</v>
      </c>
      <c r="M6" s="2238"/>
      <c r="N6" s="2238"/>
      <c r="O6" s="2238"/>
      <c r="P6" s="2238"/>
      <c r="Q6" s="2238"/>
      <c r="R6" s="2238"/>
      <c r="S6" s="2238"/>
      <c r="T6" s="2238"/>
      <c r="U6" s="2238"/>
      <c r="V6" s="2238"/>
      <c r="W6" s="2238"/>
      <c r="X6" s="2238"/>
      <c r="Y6" s="2238"/>
      <c r="Z6" s="2238"/>
      <c r="AA6" s="2238"/>
      <c r="AB6" s="2238"/>
      <c r="AC6" s="2239"/>
      <c r="AD6" s="1209"/>
      <c r="AE6" s="1209"/>
      <c r="AF6" s="2243" t="s">
        <v>2461</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2462</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2463</v>
      </c>
      <c r="AG8" s="2243"/>
      <c r="AH8" s="2243"/>
      <c r="AI8" s="2243"/>
      <c r="AJ8" s="2243"/>
      <c r="AK8" s="2243"/>
      <c r="AL8" s="2243"/>
      <c r="AM8" s="2243"/>
      <c r="AN8" s="2243"/>
      <c r="AO8" s="2243"/>
      <c r="AP8" s="2230" t="s">
        <v>2415</v>
      </c>
      <c r="AQ8" s="2230"/>
      <c r="AR8" s="2230"/>
      <c r="AS8" s="2230"/>
      <c r="AT8" s="2230"/>
      <c r="AU8" s="2230"/>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2623</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255">
        <f>Application!AO627</f>
        <v>12150000</v>
      </c>
      <c r="O10" s="2255"/>
      <c r="P10" s="2255"/>
      <c r="Q10" s="2255"/>
      <c r="R10" s="2255"/>
      <c r="S10" s="2255"/>
      <c r="T10" s="2255"/>
      <c r="U10" s="1209"/>
      <c r="V10" s="1209"/>
      <c r="W10" s="1209"/>
      <c r="X10" s="1258"/>
      <c r="Y10" s="1258"/>
      <c r="Z10" s="1258"/>
      <c r="AA10" s="1258"/>
      <c r="AB10" s="1258"/>
      <c r="AC10" s="1258"/>
      <c r="AD10" s="1258"/>
      <c r="AE10" s="1258"/>
      <c r="AF10" s="2240" t="s">
        <v>2622</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2621</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262" t="s">
        <v>1792</v>
      </c>
      <c r="C13" s="2263"/>
      <c r="D13" s="2263"/>
      <c r="E13" s="2263"/>
      <c r="F13" s="2263"/>
      <c r="G13" s="2263"/>
      <c r="H13" s="2263"/>
      <c r="I13" s="2263"/>
      <c r="J13" s="2263"/>
      <c r="K13" s="2263"/>
      <c r="L13" s="2263"/>
      <c r="M13" s="2263"/>
      <c r="N13" s="2263"/>
      <c r="O13" s="2263"/>
      <c r="P13" s="2264"/>
      <c r="Q13" s="2265" t="s">
        <v>676</v>
      </c>
      <c r="R13" s="2266"/>
      <c r="S13" s="2266"/>
      <c r="T13" s="2267"/>
      <c r="U13" s="1258"/>
      <c r="V13" s="1209"/>
      <c r="W13" s="1209"/>
      <c r="X13" s="1209"/>
      <c r="Y13" s="1209"/>
      <c r="Z13" s="1209"/>
      <c r="AA13" s="2256" t="s">
        <v>2465</v>
      </c>
      <c r="AB13" s="2256"/>
      <c r="AC13" s="2256"/>
      <c r="AD13" s="2256"/>
      <c r="AE13" s="2256"/>
      <c r="AF13" s="2256"/>
      <c r="AG13" s="2256"/>
      <c r="AH13" s="2256"/>
      <c r="AI13" s="2256"/>
      <c r="AJ13" s="2256"/>
      <c r="AK13" s="2256"/>
      <c r="AL13" s="2256"/>
      <c r="AM13" s="2256"/>
      <c r="AN13" s="2256"/>
      <c r="AO13" s="2257">
        <f>Application!W473</f>
        <v>23</v>
      </c>
      <c r="AP13" s="2258"/>
      <c r="AQ13" s="2258"/>
      <c r="AR13" s="2258"/>
      <c r="AS13" s="2258"/>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2467</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05" thickBot="1">
      <c r="A15" s="1209"/>
      <c r="B15" s="2268" t="s">
        <v>1793</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2468</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3" t="s">
        <v>1794</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8" customHeight="1">
      <c r="A18" s="1209"/>
      <c r="B18" s="2276" t="s">
        <v>1795</v>
      </c>
      <c r="C18" s="2277"/>
      <c r="D18" s="2277"/>
      <c r="E18" s="2277"/>
      <c r="F18" s="2277"/>
      <c r="G18" s="2277"/>
      <c r="H18" s="2277"/>
      <c r="I18" s="2278"/>
      <c r="J18" s="2279" t="s">
        <v>1696</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1796</v>
      </c>
      <c r="AU18" s="2280"/>
      <c r="AV18" s="2280"/>
      <c r="AW18" s="2280"/>
      <c r="AX18" s="2280"/>
      <c r="AY18" s="2282"/>
      <c r="AZ18" s="1209"/>
      <c r="BA18" s="1209"/>
      <c r="BB18" s="1209"/>
      <c r="BC18" s="1209"/>
      <c r="BD18" s="1209"/>
      <c r="BE18" s="1205"/>
    </row>
    <row r="19" spans="1:58" ht="14.5">
      <c r="A19" s="1209"/>
      <c r="B19" s="2283">
        <v>0.3</v>
      </c>
      <c r="C19" s="2284"/>
      <c r="D19" s="2284"/>
      <c r="E19" s="2284"/>
      <c r="F19" s="2284"/>
      <c r="G19" s="2284"/>
      <c r="H19" s="2284"/>
      <c r="I19" s="2285"/>
      <c r="J19" s="2286">
        <f t="shared" ref="J19:J28" si="0">SUM(P19:AS19)</f>
        <v>42</v>
      </c>
      <c r="K19" s="2287"/>
      <c r="L19" s="2287"/>
      <c r="M19" s="2287"/>
      <c r="N19" s="2287"/>
      <c r="O19" s="2288"/>
      <c r="P19" s="2286" cm="1">
        <f t="array" ref="P19">SUMPRODUCT((Application!$B$718:$B$752 = 'CalHFA Addendum'!P$18)*(Application!$AC$718:$AC$752 = 'CalHFA Addendum'!$B19),Application!$G$718:$G$752)</f>
        <v>35</v>
      </c>
      <c r="Q19" s="2287"/>
      <c r="R19" s="2287"/>
      <c r="S19" s="2287"/>
      <c r="T19" s="2287"/>
      <c r="U19" s="2288"/>
      <c r="V19" s="2286" cm="1">
        <f t="array" ref="V19">SUMPRODUCT((Application!$B$714:$B$738 = 'CalHFA Addendum'!V$18)*(Application!$AC$714:$AC$738 = 'CalHFA Addendum'!$B19),Application!$G$714:$G$738)</f>
        <v>5</v>
      </c>
      <c r="W19" s="2287"/>
      <c r="X19" s="2287"/>
      <c r="Y19" s="2287"/>
      <c r="Z19" s="2287"/>
      <c r="AA19" s="2288"/>
      <c r="AB19" s="2286" cm="1">
        <f t="array" ref="AB19">SUMPRODUCT((Application!$B$714:$B$738 = 'CalHFA Addendum'!AB$18)*(Application!$AC$714:$AC$738 = 'CalHFA Addendum'!$B19),Application!$G$714:$G$738)</f>
        <v>2</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0.47727272727272729</v>
      </c>
      <c r="AU19" s="2290"/>
      <c r="AV19" s="2290"/>
      <c r="AW19" s="2290"/>
      <c r="AX19" s="2290"/>
      <c r="AY19" s="2291"/>
      <c r="AZ19" s="1220"/>
      <c r="BA19" s="1209"/>
      <c r="BB19" s="1209"/>
      <c r="BC19" s="1209"/>
      <c r="BD19" s="1209"/>
      <c r="BE19" s="1205"/>
    </row>
    <row r="20" spans="1:58" ht="15.05" customHeight="1">
      <c r="A20" s="1209"/>
      <c r="B20" s="2283">
        <v>0.4</v>
      </c>
      <c r="C20" s="2284"/>
      <c r="D20" s="2284"/>
      <c r="E20" s="2284"/>
      <c r="F20" s="2284"/>
      <c r="G20" s="2284"/>
      <c r="H20" s="2284"/>
      <c r="I20" s="2285"/>
      <c r="J20" s="2286">
        <f t="shared" si="0"/>
        <v>46</v>
      </c>
      <c r="K20" s="2287"/>
      <c r="L20" s="2287"/>
      <c r="M20" s="2287"/>
      <c r="N20" s="2287"/>
      <c r="O20" s="2288"/>
      <c r="P20" s="2286" cm="1">
        <f t="array" ref="P20">SUMPRODUCT((Application!$B$718:$B$752 = 'CalHFA Addendum'!P$18)*(Application!$AC$718:$AC$752 = 'CalHFA Addendum'!$B20),Application!$G$718:$G$752)</f>
        <v>34</v>
      </c>
      <c r="Q20" s="2287"/>
      <c r="R20" s="2287"/>
      <c r="S20" s="2287"/>
      <c r="T20" s="2287"/>
      <c r="U20" s="2288"/>
      <c r="V20" s="2286" cm="1">
        <f t="array" ref="V20">SUMPRODUCT((Application!$B$714:$B$738 = 'CalHFA Addendum'!V$18)*(Application!$AC$714:$AC$738 = 'CalHFA Addendum'!$B20),Application!$G$714:$G$738)</f>
        <v>8</v>
      </c>
      <c r="W20" s="2287"/>
      <c r="X20" s="2287"/>
      <c r="Y20" s="2287"/>
      <c r="Z20" s="2287"/>
      <c r="AA20" s="2288"/>
      <c r="AB20" s="2286" cm="1">
        <f t="array" ref="AB20">SUMPRODUCT((Application!$B$714:$B$738 = 'CalHFA Addendum'!AB$18)*(Application!$AC$714:$AC$738 = 'CalHFA Addendum'!$B20),Application!$G$714:$G$738)</f>
        <v>4</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0.52272727272727271</v>
      </c>
      <c r="AU20" s="2290"/>
      <c r="AV20" s="2290"/>
      <c r="AW20" s="2290"/>
      <c r="AX20" s="2290"/>
      <c r="AY20" s="2291"/>
      <c r="AZ20" s="1209"/>
      <c r="BA20" s="1209"/>
      <c r="BB20" s="1209"/>
      <c r="BC20" s="1209"/>
      <c r="BD20" s="1209"/>
      <c r="BE20" s="1205"/>
    </row>
    <row r="21" spans="1:58" ht="14.5">
      <c r="A21" s="1209"/>
      <c r="B21" s="2283">
        <v>0.5</v>
      </c>
      <c r="C21" s="2284"/>
      <c r="D21" s="2284"/>
      <c r="E21" s="2284"/>
      <c r="F21" s="2284"/>
      <c r="G21" s="2284"/>
      <c r="H21" s="2284"/>
      <c r="I21" s="2285"/>
      <c r="J21" s="2286">
        <f t="shared" si="0"/>
        <v>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v>
      </c>
      <c r="AU21" s="2290"/>
      <c r="AV21" s="2290"/>
      <c r="AW21" s="2290"/>
      <c r="AX21" s="2290"/>
      <c r="AY21" s="2291"/>
      <c r="AZ21" s="1209"/>
      <c r="BA21" s="1209"/>
      <c r="BB21" s="1209"/>
      <c r="BC21" s="1209"/>
      <c r="BD21" s="1209"/>
      <c r="BE21" s="1205"/>
    </row>
    <row r="22" spans="1:58" ht="14.5">
      <c r="A22" s="1209"/>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v>
      </c>
      <c r="AU22" s="2290"/>
      <c r="AV22" s="2290"/>
      <c r="AW22" s="2290"/>
      <c r="AX22" s="2290"/>
      <c r="AY22" s="2291"/>
      <c r="AZ22" s="1209"/>
      <c r="BA22" s="1209"/>
      <c r="BB22" s="1209"/>
      <c r="BC22" s="1209"/>
      <c r="BD22" s="1209"/>
      <c r="BE22" s="1205"/>
    </row>
    <row r="23" spans="1:58" ht="14.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4.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4.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05" thickBot="1">
      <c r="A28" s="1209"/>
      <c r="B28" s="2302" t="s">
        <v>1797</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05" thickBot="1">
      <c r="A29" s="1209"/>
      <c r="B29" s="2317" t="s">
        <v>1696</v>
      </c>
      <c r="C29" s="2318"/>
      <c r="D29" s="2318"/>
      <c r="E29" s="2318"/>
      <c r="F29" s="2318"/>
      <c r="G29" s="2318"/>
      <c r="H29" s="2318"/>
      <c r="I29" s="2319"/>
      <c r="J29" s="2320">
        <f>SUM(J19:O28)</f>
        <v>88</v>
      </c>
      <c r="K29" s="2318"/>
      <c r="L29" s="2318"/>
      <c r="M29" s="2318"/>
      <c r="N29" s="2318"/>
      <c r="O29" s="2319"/>
      <c r="P29" s="2320">
        <f>SUM(P19:U28)</f>
        <v>69</v>
      </c>
      <c r="Q29" s="2318"/>
      <c r="R29" s="2318"/>
      <c r="S29" s="2318"/>
      <c r="T29" s="2318"/>
      <c r="U29" s="2319"/>
      <c r="V29" s="2320">
        <f>SUM(V19:AA28)</f>
        <v>13</v>
      </c>
      <c r="W29" s="2318"/>
      <c r="X29" s="2318"/>
      <c r="Y29" s="2318"/>
      <c r="Z29" s="2318"/>
      <c r="AA29" s="2319"/>
      <c r="AB29" s="2320">
        <f>SUM(AB19:AG28)</f>
        <v>6</v>
      </c>
      <c r="AC29" s="2318"/>
      <c r="AD29" s="2318"/>
      <c r="AE29" s="2318"/>
      <c r="AF29" s="2318"/>
      <c r="AG29" s="2319"/>
      <c r="AH29" s="2320">
        <f>SUM(AH19:AM28)</f>
        <v>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5" t="s">
        <v>1798</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05" thickBot="1">
      <c r="A32" s="1209"/>
      <c r="B32" s="2340" t="s">
        <v>2471</v>
      </c>
      <c r="C32" s="2341"/>
      <c r="D32" s="2341"/>
      <c r="E32" s="2341"/>
      <c r="F32" s="2341"/>
      <c r="G32" s="2341"/>
      <c r="H32" s="2341"/>
      <c r="I32" s="2341"/>
      <c r="J32" s="2311" t="s">
        <v>2472</v>
      </c>
      <c r="K32" s="2312"/>
      <c r="L32" s="2312"/>
      <c r="M32" s="2312"/>
      <c r="N32" s="2311" t="s">
        <v>1799</v>
      </c>
      <c r="O32" s="2312"/>
      <c r="P32" s="2312"/>
      <c r="Q32" s="2314"/>
      <c r="R32" s="2334" t="s">
        <v>1800</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05" customHeight="1">
      <c r="A33" s="1209"/>
      <c r="B33" s="2342"/>
      <c r="C33" s="2343"/>
      <c r="D33" s="2343"/>
      <c r="E33" s="2343"/>
      <c r="F33" s="2343"/>
      <c r="G33" s="2343"/>
      <c r="H33" s="2343"/>
      <c r="I33" s="2343"/>
      <c r="J33" s="2313"/>
      <c r="K33" s="2313"/>
      <c r="L33" s="2313"/>
      <c r="M33" s="2313"/>
      <c r="N33" s="2313"/>
      <c r="O33" s="2313"/>
      <c r="P33" s="2313"/>
      <c r="Q33" s="2315"/>
      <c r="R33" s="2328" t="s">
        <v>1801</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8"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8"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1802</v>
      </c>
      <c r="AT35" s="2299"/>
      <c r="AU35" s="2299"/>
      <c r="AV35" s="2299"/>
      <c r="AW35" s="2299"/>
      <c r="AX35" s="2300"/>
      <c r="AY35" s="2298" t="s">
        <v>1803</v>
      </c>
      <c r="AZ35" s="2299"/>
      <c r="BA35" s="2299"/>
      <c r="BB35" s="2299"/>
      <c r="BC35" s="2299"/>
      <c r="BD35" s="2301"/>
      <c r="BE35" s="1205"/>
    </row>
    <row r="36" spans="1:58" ht="15.8" customHeight="1">
      <c r="A36" s="1209"/>
      <c r="B36" s="2321" t="s">
        <v>1804</v>
      </c>
      <c r="C36" s="2322"/>
      <c r="D36" s="2322"/>
      <c r="E36" s="2322"/>
      <c r="F36" s="2322"/>
      <c r="G36" s="2322"/>
      <c r="H36" s="2322"/>
      <c r="I36" s="2322"/>
      <c r="J36" s="2323" t="s">
        <v>1805</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0.56818181818181823</v>
      </c>
      <c r="AZ36" s="2351"/>
      <c r="BA36" s="2351"/>
      <c r="BB36" s="2351"/>
      <c r="BC36" s="2351"/>
      <c r="BD36" s="2352"/>
      <c r="BE36" s="1205"/>
    </row>
    <row r="37" spans="1:58" ht="15.8" customHeight="1">
      <c r="A37" s="1209"/>
      <c r="B37" s="2321" t="s">
        <v>2473</v>
      </c>
      <c r="C37" s="2322"/>
      <c r="D37" s="2322"/>
      <c r="E37" s="2322"/>
      <c r="F37" s="2322"/>
      <c r="G37" s="2322"/>
      <c r="H37" s="2322"/>
      <c r="I37" s="2322"/>
      <c r="J37" s="2323" t="s">
        <v>1806</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0.11363636363636363</v>
      </c>
      <c r="AZ37" s="2351"/>
      <c r="BA37" s="2351"/>
      <c r="BB37" s="2351"/>
      <c r="BC37" s="2351"/>
      <c r="BD37" s="2352"/>
      <c r="BE37" s="1205"/>
    </row>
    <row r="38" spans="1:58" ht="15.8" customHeight="1">
      <c r="A38" s="1209"/>
      <c r="B38" s="2321" t="s">
        <v>2412</v>
      </c>
      <c r="C38" s="2322"/>
      <c r="D38" s="2322"/>
      <c r="E38" s="2322"/>
      <c r="F38" s="2322"/>
      <c r="G38" s="2322"/>
      <c r="H38" s="2322"/>
      <c r="I38" s="2322"/>
      <c r="J38" s="2323" t="s">
        <v>1807</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8" customHeight="1">
      <c r="A39" s="1209"/>
      <c r="B39" s="2321" t="s">
        <v>1808</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8" customHeight="1">
      <c r="A40" s="1209"/>
      <c r="B40" s="2321" t="s">
        <v>1808</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8" customHeight="1">
      <c r="A41" s="1209"/>
      <c r="B41" s="2321" t="s">
        <v>1809</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8" customHeight="1">
      <c r="A42" s="1209"/>
      <c r="B42" s="2321" t="s">
        <v>1809</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8" customHeight="1">
      <c r="A43" s="1209"/>
      <c r="B43" s="2353" t="s">
        <v>1810</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8" customHeight="1">
      <c r="A44" s="1209"/>
      <c r="B44" s="2353" t="s">
        <v>1811</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8" customHeight="1">
      <c r="A45" s="1209"/>
      <c r="B45" s="2353" t="s">
        <v>1812</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8" customHeight="1">
      <c r="A46" s="1209"/>
      <c r="B46" s="2353" t="s">
        <v>1813</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8"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1" t="s">
        <v>1814</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6" t="s">
        <v>1815</v>
      </c>
      <c r="C51" s="2207"/>
      <c r="D51" s="2207"/>
      <c r="E51" s="2207"/>
      <c r="F51" s="2207"/>
      <c r="G51" s="2207"/>
      <c r="H51" s="2207"/>
      <c r="I51" s="2207"/>
      <c r="J51" s="2207" t="s">
        <v>2475</v>
      </c>
      <c r="K51" s="2207"/>
      <c r="L51" s="2207"/>
      <c r="M51" s="2207"/>
      <c r="N51" s="2207"/>
      <c r="O51" s="2207"/>
      <c r="P51" s="2207"/>
      <c r="Q51" s="2207"/>
      <c r="R51" s="2364" t="s">
        <v>2476</v>
      </c>
      <c r="S51" s="2364"/>
      <c r="T51" s="2364"/>
      <c r="U51" s="2364"/>
      <c r="V51" s="2364"/>
      <c r="W51" s="2364"/>
      <c r="X51" s="2364"/>
      <c r="Y51" s="2364"/>
      <c r="Z51" s="2364" t="s">
        <v>1816</v>
      </c>
      <c r="AA51" s="2364"/>
      <c r="AB51" s="2364"/>
      <c r="AC51" s="2364"/>
      <c r="AD51" s="2364"/>
      <c r="AE51" s="2364"/>
      <c r="AF51" s="2364"/>
      <c r="AG51" s="2364"/>
      <c r="AH51" s="2364" t="s">
        <v>1817</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3" t="s">
        <v>2183</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3" t="s">
        <v>2184</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6" t="s">
        <v>1696</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8" t="s">
        <v>1815</v>
      </c>
      <c r="C59" s="2389"/>
      <c r="D59" s="2389"/>
      <c r="E59" s="2389"/>
      <c r="F59" s="2389"/>
      <c r="G59" s="2389"/>
      <c r="H59" s="2389"/>
      <c r="I59" s="2390"/>
      <c r="J59" s="2274" t="s">
        <v>2477</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8"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8"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8"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8"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8"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3" t="s">
        <v>1819</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1820</v>
      </c>
      <c r="AD68" s="2467"/>
      <c r="AE68" s="2467"/>
      <c r="AF68" s="2467"/>
      <c r="AG68" s="2467"/>
      <c r="AH68" s="2467"/>
      <c r="AI68" s="2467"/>
      <c r="AJ68" s="2467"/>
      <c r="AK68" s="2467"/>
      <c r="AL68" s="2467"/>
      <c r="AM68" s="2467"/>
      <c r="AN68" s="2467"/>
      <c r="AO68" s="2467"/>
      <c r="AP68" s="2467"/>
      <c r="AQ68" s="2467"/>
      <c r="AR68" s="2467"/>
      <c r="AS68" s="2467"/>
      <c r="AT68" s="2467"/>
      <c r="AU68" s="2467"/>
      <c r="AV68" s="2593" t="s">
        <v>676</v>
      </c>
      <c r="AW68" s="2426"/>
      <c r="AX68" s="2426"/>
      <c r="AY68" s="2426"/>
      <c r="AZ68" s="2426"/>
      <c r="BA68" s="2426"/>
      <c r="BB68" s="2426"/>
      <c r="BC68" s="2427"/>
      <c r="BD68" s="1209"/>
      <c r="BE68" s="1205"/>
      <c r="BM68" s="1254" t="s">
        <v>2478</v>
      </c>
    </row>
    <row r="69" spans="1:65" ht="15.8" customHeight="1" thickTop="1" thickBot="1">
      <c r="A69" s="1209"/>
      <c r="B69" s="2594" t="s">
        <v>1821</v>
      </c>
      <c r="C69" s="2595"/>
      <c r="D69" s="2595"/>
      <c r="E69" s="2595"/>
      <c r="F69" s="2595"/>
      <c r="G69" s="2595"/>
      <c r="H69" s="2595"/>
      <c r="I69" s="2595"/>
      <c r="J69" s="2595"/>
      <c r="K69" s="2595"/>
      <c r="L69" s="2595"/>
      <c r="M69" s="2595"/>
      <c r="N69" s="2595"/>
      <c r="O69" s="2596" t="s">
        <v>1822</v>
      </c>
      <c r="P69" s="2597"/>
      <c r="Q69" s="2597"/>
      <c r="R69" s="2597"/>
      <c r="S69" s="2597"/>
      <c r="T69" s="2597"/>
      <c r="U69" s="2597"/>
      <c r="V69" s="2597"/>
      <c r="W69" s="2597"/>
      <c r="X69" s="2597"/>
      <c r="Y69" s="2597"/>
      <c r="Z69" s="2597"/>
      <c r="AA69" s="2598"/>
      <c r="AB69" s="1209"/>
      <c r="AC69" s="2599" t="s">
        <v>1823</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553</v>
      </c>
    </row>
    <row r="70" spans="1:65" ht="15.8" customHeight="1">
      <c r="A70" s="1209"/>
      <c r="B70" s="2321" t="s">
        <v>2479</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1824</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676</v>
      </c>
    </row>
    <row r="71" spans="1:65" ht="15.8" customHeight="1" thickBot="1">
      <c r="A71" s="1209"/>
      <c r="B71" s="2321" t="s">
        <v>2480</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1825</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2481</v>
      </c>
    </row>
    <row r="72" spans="1:65" ht="15.8" customHeight="1">
      <c r="A72" s="1209"/>
      <c r="B72" s="2321" t="s">
        <v>2482</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2483</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8" customHeight="1">
      <c r="A73" s="1209"/>
      <c r="B73" s="2353" t="s">
        <v>2484</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2185</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8"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8"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604" t="s">
        <v>2551</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1" t="s">
        <v>2168</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2618</v>
      </c>
      <c r="AK83" s="2248"/>
      <c r="AL83" s="2248"/>
      <c r="AM83" s="2248"/>
      <c r="AN83" s="2248"/>
      <c r="AO83" s="2248"/>
      <c r="AP83" s="2248"/>
      <c r="AQ83" s="2248"/>
      <c r="AR83" s="2248"/>
      <c r="AS83" s="2248"/>
      <c r="AT83" s="2248"/>
      <c r="AU83" s="2248"/>
      <c r="AV83" s="2248"/>
      <c r="AW83" s="2248"/>
      <c r="AX83" s="2248"/>
      <c r="AY83" s="2251" t="s">
        <v>553</v>
      </c>
      <c r="AZ83" s="2251"/>
      <c r="BA83" s="2251"/>
      <c r="BB83" s="2252"/>
      <c r="BC83" s="1209"/>
      <c r="BD83" s="1209"/>
      <c r="BE83" s="1205"/>
    </row>
    <row r="84" spans="1:70" ht="15.8" customHeight="1">
      <c r="A84" s="1209"/>
      <c r="B84" s="2206"/>
      <c r="C84" s="2207"/>
      <c r="D84" s="2207"/>
      <c r="E84" s="2207"/>
      <c r="F84" s="2207"/>
      <c r="G84" s="2207"/>
      <c r="H84" s="2207"/>
      <c r="I84" s="2207" t="s">
        <v>1826</v>
      </c>
      <c r="J84" s="2207"/>
      <c r="K84" s="2207"/>
      <c r="L84" s="2207"/>
      <c r="M84" s="2207"/>
      <c r="N84" s="2207"/>
      <c r="O84" s="2207" t="s">
        <v>1827</v>
      </c>
      <c r="P84" s="2207"/>
      <c r="Q84" s="2207"/>
      <c r="R84" s="2207"/>
      <c r="S84" s="2207"/>
      <c r="T84" s="2207"/>
      <c r="U84" s="2207"/>
      <c r="V84" s="2203" t="s">
        <v>2186</v>
      </c>
      <c r="W84" s="2203"/>
      <c r="X84" s="2203"/>
      <c r="Y84" s="2203"/>
      <c r="Z84" s="2203"/>
      <c r="AA84" s="2203"/>
      <c r="AB84" s="2204" t="s">
        <v>1828</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8"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8" customHeight="1">
      <c r="A86" s="1209"/>
      <c r="B86" s="2206" t="s">
        <v>2169</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8" customHeight="1">
      <c r="A87" s="1209"/>
      <c r="B87" s="2206" t="s">
        <v>2170</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2485</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8" customHeight="1" thickBot="1">
      <c r="A88" s="1209"/>
      <c r="B88" s="2226" t="s">
        <v>1829</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604" t="s">
        <v>2551</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1" t="s">
        <v>2615</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2614</v>
      </c>
      <c r="AK96" s="2248"/>
      <c r="AL96" s="2248"/>
      <c r="AM96" s="2248"/>
      <c r="AN96" s="2248"/>
      <c r="AO96" s="2248"/>
      <c r="AP96" s="2248"/>
      <c r="AQ96" s="2248"/>
      <c r="AR96" s="2248"/>
      <c r="AS96" s="2248"/>
      <c r="AT96" s="2248"/>
      <c r="AU96" s="2248"/>
      <c r="AV96" s="2248"/>
      <c r="AW96" s="2248"/>
      <c r="AX96" s="2248"/>
      <c r="AY96" s="2251" t="s">
        <v>553</v>
      </c>
      <c r="AZ96" s="2251"/>
      <c r="BA96" s="2251"/>
      <c r="BB96" s="2252"/>
      <c r="BC96" s="1209"/>
      <c r="BD96" s="1209"/>
      <c r="BE96" s="1205"/>
      <c r="BQ96" s="1248" t="str">
        <f>Application!M243</f>
        <v>TPC Holdings IX, LLC</v>
      </c>
      <c r="BR96" s="1248">
        <f>Application!AH245</f>
        <v>0</v>
      </c>
    </row>
    <row r="97" spans="1:70" ht="15.8" customHeight="1">
      <c r="A97" s="1209"/>
      <c r="B97" s="2206"/>
      <c r="C97" s="2207"/>
      <c r="D97" s="2207"/>
      <c r="E97" s="2207"/>
      <c r="F97" s="2207"/>
      <c r="G97" s="2207"/>
      <c r="H97" s="2207"/>
      <c r="I97" s="2207" t="s">
        <v>1826</v>
      </c>
      <c r="J97" s="2207"/>
      <c r="K97" s="2207"/>
      <c r="L97" s="2207"/>
      <c r="M97" s="2207"/>
      <c r="N97" s="2207"/>
      <c r="O97" s="2207" t="s">
        <v>1827</v>
      </c>
      <c r="P97" s="2207"/>
      <c r="Q97" s="2207"/>
      <c r="R97" s="2207"/>
      <c r="S97" s="2207"/>
      <c r="T97" s="2207"/>
      <c r="U97" s="2207"/>
      <c r="V97" s="2203" t="s">
        <v>2186</v>
      </c>
      <c r="W97" s="2203"/>
      <c r="X97" s="2203"/>
      <c r="Y97" s="2203"/>
      <c r="Z97" s="2203"/>
      <c r="AA97" s="2203"/>
      <c r="AB97" s="2204" t="s">
        <v>1828</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Flexible PSH Solutions, Inc.</v>
      </c>
      <c r="BR97" s="1248">
        <f>Application!AH253</f>
        <v>0</v>
      </c>
    </row>
    <row r="98" spans="1:70" ht="15.8"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8" customHeight="1">
      <c r="A99" s="1209"/>
      <c r="B99" s="2206" t="s">
        <v>2169</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8" customHeight="1">
      <c r="A100" s="1209"/>
      <c r="B100" s="2206" t="s">
        <v>2170</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2485</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8" customHeight="1" thickBot="1">
      <c r="A101" s="1209"/>
      <c r="B101" s="2226" t="s">
        <v>1829</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6" t="s">
        <v>2611</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6"/>
      <c r="C108" s="2207"/>
      <c r="D108" s="2207"/>
      <c r="E108" s="2207"/>
      <c r="F108" s="2207"/>
      <c r="G108" s="2207"/>
      <c r="H108" s="2207"/>
      <c r="I108" s="2207" t="s">
        <v>1826</v>
      </c>
      <c r="J108" s="2207"/>
      <c r="K108" s="2207"/>
      <c r="L108" s="2207"/>
      <c r="M108" s="2207"/>
      <c r="N108" s="2207"/>
      <c r="O108" s="2207" t="s">
        <v>1827</v>
      </c>
      <c r="P108" s="2207"/>
      <c r="Q108" s="2207"/>
      <c r="R108" s="2207"/>
      <c r="S108" s="2207"/>
      <c r="T108" s="2207"/>
      <c r="U108" s="2207"/>
      <c r="V108" s="2203" t="s">
        <v>2186</v>
      </c>
      <c r="W108" s="2203"/>
      <c r="X108" s="2203"/>
      <c r="Y108" s="2203"/>
      <c r="Z108" s="2203"/>
      <c r="AA108" s="2203"/>
      <c r="AB108" s="2204" t="s">
        <v>1828</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6" t="s">
        <v>2169</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6" t="s">
        <v>2170</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6" t="s">
        <v>1829</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7" t="s">
        <v>2486</v>
      </c>
      <c r="C117" s="2248"/>
      <c r="D117" s="2248"/>
      <c r="E117" s="2248"/>
      <c r="F117" s="2248"/>
      <c r="G117" s="2248"/>
      <c r="H117" s="2248"/>
      <c r="I117" s="2248"/>
      <c r="J117" s="2248"/>
      <c r="K117" s="2248"/>
      <c r="L117" s="2248"/>
      <c r="M117" s="2248"/>
      <c r="N117" s="2248"/>
      <c r="O117" s="2248"/>
      <c r="P117" s="2248"/>
      <c r="Q117" s="2251" t="s">
        <v>553</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20" t="s">
        <v>2187</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2171</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8" customHeight="1">
      <c r="A126" s="1209"/>
      <c r="B126" s="2411" t="s">
        <v>1686</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8" customHeight="1">
      <c r="A127" s="1209"/>
      <c r="B127" s="2414"/>
      <c r="C127" s="2415"/>
      <c r="D127" s="2415"/>
      <c r="E127" s="2415"/>
      <c r="F127" s="2415"/>
      <c r="G127" s="2415"/>
      <c r="H127" s="2415"/>
      <c r="I127" s="2207" t="s">
        <v>2172</v>
      </c>
      <c r="J127" s="2207"/>
      <c r="K127" s="2207"/>
      <c r="L127" s="2207"/>
      <c r="M127" s="2207"/>
      <c r="N127" s="2207"/>
      <c r="O127" s="2416" t="s">
        <v>2173</v>
      </c>
      <c r="P127" s="2416"/>
      <c r="Q127" s="2416"/>
      <c r="R127" s="2416"/>
      <c r="S127" s="2416"/>
      <c r="T127" s="2416"/>
      <c r="U127" s="2417"/>
      <c r="V127" s="1209"/>
      <c r="W127" s="1209"/>
      <c r="X127" s="2394" t="s">
        <v>2185</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8" customHeight="1">
      <c r="A128" s="1209"/>
      <c r="B128" s="2420" t="s">
        <v>2174</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8" customHeight="1" thickBot="1">
      <c r="A129" s="1209"/>
      <c r="B129" s="2422" t="s">
        <v>2175</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8" customHeight="1">
      <c r="A133" s="1209"/>
      <c r="B133" s="2273" t="s">
        <v>1832</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8" customHeight="1">
      <c r="A134" s="1209"/>
      <c r="B134" s="2414"/>
      <c r="C134" s="2415"/>
      <c r="D134" s="2415"/>
      <c r="E134" s="2415"/>
      <c r="F134" s="2415"/>
      <c r="G134" s="2415"/>
      <c r="H134" s="2415"/>
      <c r="I134" s="2438" t="s">
        <v>1827</v>
      </c>
      <c r="J134" s="2438"/>
      <c r="K134" s="2438"/>
      <c r="L134" s="2438"/>
      <c r="M134" s="2438"/>
      <c r="N134" s="2438"/>
      <c r="O134" s="2438"/>
      <c r="P134" s="2438" t="s">
        <v>2186</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8"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8" customHeight="1">
      <c r="A136" s="1209"/>
      <c r="B136" s="2420" t="s">
        <v>2174</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8" customHeight="1" thickBot="1">
      <c r="A137" s="1209"/>
      <c r="B137" s="2422" t="s">
        <v>2175</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4" t="s">
        <v>1833</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553</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8" customHeight="1">
      <c r="A140" s="1209"/>
      <c r="B140" s="2428" t="s">
        <v>1834</v>
      </c>
      <c r="C140" s="2429"/>
      <c r="D140" s="2429"/>
      <c r="E140" s="2429"/>
      <c r="F140" s="2429"/>
      <c r="G140" s="2429"/>
      <c r="H140" s="2429"/>
      <c r="I140" s="2429"/>
      <c r="J140" s="2429"/>
      <c r="K140" s="2429"/>
      <c r="L140" s="2429"/>
      <c r="M140" s="2429"/>
      <c r="N140" s="2429"/>
      <c r="O140" s="2429"/>
      <c r="P140" s="2429"/>
      <c r="Q140" s="2429"/>
      <c r="R140" s="2430" t="s">
        <v>2188</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8" customHeight="1">
      <c r="A141" s="1209"/>
      <c r="B141" s="2432" t="s">
        <v>2189</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8"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8"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8"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8"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8"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8"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8"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8"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8"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1" t="s">
        <v>1836</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2191</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8" customHeight="1">
      <c r="A155" s="1209"/>
      <c r="B155" s="2414"/>
      <c r="C155" s="2415"/>
      <c r="D155" s="2415"/>
      <c r="E155" s="2415"/>
      <c r="F155" s="2415"/>
      <c r="G155" s="2415"/>
      <c r="H155" s="2415"/>
      <c r="I155" s="2438" t="s">
        <v>1827</v>
      </c>
      <c r="J155" s="2438"/>
      <c r="K155" s="2438"/>
      <c r="L155" s="2438"/>
      <c r="M155" s="2438"/>
      <c r="N155" s="2438"/>
      <c r="O155" s="2438"/>
      <c r="P155" s="2438" t="s">
        <v>2192</v>
      </c>
      <c r="Q155" s="2438"/>
      <c r="R155" s="2438"/>
      <c r="S155" s="2438"/>
      <c r="T155" s="2438"/>
      <c r="U155" s="2439"/>
      <c r="V155" s="1209"/>
      <c r="W155" s="1209"/>
      <c r="X155" s="2414"/>
      <c r="Y155" s="2415"/>
      <c r="Z155" s="2415"/>
      <c r="AA155" s="2415"/>
      <c r="AB155" s="2415"/>
      <c r="AC155" s="2415"/>
      <c r="AD155" s="2415"/>
      <c r="AE155" s="2438" t="s">
        <v>1827</v>
      </c>
      <c r="AF155" s="2438"/>
      <c r="AG155" s="2438"/>
      <c r="AH155" s="2438"/>
      <c r="AI155" s="2438"/>
      <c r="AJ155" s="2438"/>
      <c r="AK155" s="2438"/>
      <c r="AL155" s="2438" t="s">
        <v>2186</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8"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20" t="s">
        <v>2174</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2174</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2" t="s">
        <v>2175</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1" t="s">
        <v>2176</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4" t="s">
        <v>1837</v>
      </c>
      <c r="D161" s="2415"/>
      <c r="E161" s="2415"/>
      <c r="F161" s="2415"/>
      <c r="G161" s="2415"/>
      <c r="H161" s="2415"/>
      <c r="I161" s="2415"/>
      <c r="J161" s="2415"/>
      <c r="K161" s="2415"/>
      <c r="L161" s="2415"/>
      <c r="M161" s="2415"/>
      <c r="N161" s="2415"/>
      <c r="O161" s="2415"/>
      <c r="P161" s="2415"/>
      <c r="Q161" s="2415" t="s">
        <v>1838</v>
      </c>
      <c r="R161" s="2415"/>
      <c r="S161" s="2415"/>
      <c r="T161" s="2204" t="s">
        <v>2177</v>
      </c>
      <c r="U161" s="2204"/>
      <c r="V161" s="2204"/>
      <c r="W161" s="2204"/>
      <c r="X161" s="2204"/>
      <c r="Y161" s="2204"/>
      <c r="Z161" s="2204"/>
      <c r="AA161" s="2204"/>
      <c r="AB161" s="2415" t="s">
        <v>1839</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1" t="s">
        <v>1840</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1" t="s">
        <v>1841</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1" t="s">
        <v>1842</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1" t="s">
        <v>1813</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1" t="s">
        <v>170</v>
      </c>
      <c r="D166" s="2442"/>
      <c r="E166" s="2442"/>
      <c r="F166" s="2448" t="s">
        <v>1843</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1" t="s">
        <v>170</v>
      </c>
      <c r="D167" s="2442"/>
      <c r="E167" s="2442"/>
      <c r="F167" s="2448" t="s">
        <v>1843</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9" t="s">
        <v>170</v>
      </c>
      <c r="D168" s="2450"/>
      <c r="E168" s="2450"/>
      <c r="F168" s="2451" t="s">
        <v>1843</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6" t="s">
        <v>1844</v>
      </c>
      <c r="D170" s="2467"/>
      <c r="E170" s="2467"/>
      <c r="F170" s="2467"/>
      <c r="G170" s="2467"/>
      <c r="H170" s="2467"/>
      <c r="I170" s="2467"/>
      <c r="J170" s="2467"/>
      <c r="K170" s="2467"/>
      <c r="L170" s="2467"/>
      <c r="M170" s="2467"/>
      <c r="N170" s="2468"/>
      <c r="O170" s="1209"/>
      <c r="P170" s="2424" t="s">
        <v>1845</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4" t="s">
        <v>1846</v>
      </c>
      <c r="D171" s="2415"/>
      <c r="E171" s="2415"/>
      <c r="F171" s="2415"/>
      <c r="G171" s="2415"/>
      <c r="H171" s="2415"/>
      <c r="I171" s="2415" t="s">
        <v>1847</v>
      </c>
      <c r="J171" s="2415"/>
      <c r="K171" s="2415"/>
      <c r="L171" s="2415"/>
      <c r="M171" s="2415"/>
      <c r="N171" s="2440"/>
      <c r="O171" s="1209"/>
      <c r="P171" s="2394" t="s">
        <v>2185</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60" t="s">
        <v>2487</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2604</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8"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2625</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8" customHeight="1">
      <c r="A182" s="1209"/>
      <c r="B182" s="1209"/>
      <c r="C182" s="2466" t="s">
        <v>1837</v>
      </c>
      <c r="D182" s="2467"/>
      <c r="E182" s="2467"/>
      <c r="F182" s="2467"/>
      <c r="G182" s="2467"/>
      <c r="H182" s="2467"/>
      <c r="I182" s="2467"/>
      <c r="J182" s="2467"/>
      <c r="K182" s="2467"/>
      <c r="L182" s="2467"/>
      <c r="M182" s="2467"/>
      <c r="N182" s="2467" t="s">
        <v>1848</v>
      </c>
      <c r="O182" s="2467"/>
      <c r="P182" s="2467"/>
      <c r="Q182" s="2467"/>
      <c r="R182" s="2467"/>
      <c r="S182" s="2467"/>
      <c r="T182" s="2467"/>
      <c r="U182" s="2362" t="s">
        <v>1837</v>
      </c>
      <c r="V182" s="2362"/>
      <c r="W182" s="2362"/>
      <c r="X182" s="2362"/>
      <c r="Y182" s="2362"/>
      <c r="Z182" s="2362"/>
      <c r="AA182" s="2362"/>
      <c r="AB182" s="2362"/>
      <c r="AC182" s="2362"/>
      <c r="AD182" s="2362"/>
      <c r="AE182" s="2363"/>
      <c r="AF182" s="1209"/>
      <c r="AG182" s="1209"/>
      <c r="AH182" s="2219" t="s">
        <v>2609</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8" customHeight="1">
      <c r="A183" s="1209"/>
      <c r="B183" s="1209"/>
      <c r="C183" s="2209" t="s">
        <v>2488</v>
      </c>
      <c r="D183" s="2210"/>
      <c r="E183" s="2210"/>
      <c r="F183" s="2210"/>
      <c r="G183" s="2210"/>
      <c r="H183" s="2210"/>
      <c r="I183" s="2210"/>
      <c r="J183" s="2210"/>
      <c r="K183" s="2210"/>
      <c r="L183" s="2210"/>
      <c r="M183" s="2210"/>
      <c r="N183" s="2472">
        <f>'Sources and Uses Budget'!B105</f>
        <v>87054473</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2608</v>
      </c>
      <c r="AI183" s="2219"/>
      <c r="AJ183" s="2219"/>
      <c r="AK183" s="2219"/>
      <c r="AL183" s="2219"/>
      <c r="AM183" s="2219"/>
      <c r="AN183" s="2219"/>
      <c r="AO183" s="2219"/>
      <c r="AP183" s="2219"/>
      <c r="AQ183" s="2219"/>
      <c r="AR183" s="2219"/>
      <c r="AS183" s="2219"/>
      <c r="AT183" s="2219"/>
      <c r="AU183" s="2186">
        <f>MAX(0,Application!AG439-100)*20000</f>
        <v>920000</v>
      </c>
      <c r="AV183" s="2186"/>
      <c r="AW183" s="2186"/>
      <c r="AX183" s="2186"/>
      <c r="AY183" s="2186"/>
      <c r="AZ183" s="2186"/>
      <c r="BA183" s="2186"/>
      <c r="BB183" s="2186"/>
      <c r="BC183" s="2190"/>
      <c r="BD183" s="2191"/>
      <c r="BE183" s="2192"/>
    </row>
    <row r="184" spans="1:57" ht="15.8" customHeight="1">
      <c r="A184" s="1209"/>
      <c r="B184" s="1209"/>
      <c r="C184" s="2209" t="s">
        <v>2489</v>
      </c>
      <c r="D184" s="2210"/>
      <c r="E184" s="2210"/>
      <c r="F184" s="2210"/>
      <c r="G184" s="2210"/>
      <c r="H184" s="2210"/>
      <c r="I184" s="2210"/>
      <c r="J184" s="2210"/>
      <c r="K184" s="2210"/>
      <c r="L184" s="2210"/>
      <c r="M184" s="2210"/>
      <c r="N184" s="2472">
        <f>N183/J29</f>
        <v>989255.375</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2607</v>
      </c>
      <c r="AI184" s="2196"/>
      <c r="AJ184" s="2196"/>
      <c r="AK184" s="2196"/>
      <c r="AL184" s="2196"/>
      <c r="AM184" s="2196"/>
      <c r="AN184" s="2196"/>
      <c r="AO184" s="2196"/>
      <c r="AP184" s="2196"/>
      <c r="AQ184" s="2196"/>
      <c r="AR184" s="2196"/>
      <c r="AS184" s="2196"/>
      <c r="AT184" s="2196"/>
      <c r="AU184" s="2187">
        <f>AU182+AU183</f>
        <v>3420000</v>
      </c>
      <c r="AV184" s="2187"/>
      <c r="AW184" s="2187"/>
      <c r="AX184" s="2187"/>
      <c r="AY184" s="2187"/>
      <c r="AZ184" s="2187"/>
      <c r="BA184" s="2187"/>
      <c r="BB184" s="2187"/>
      <c r="BC184" s="2190"/>
      <c r="BD184" s="2191"/>
      <c r="BE184" s="2192"/>
    </row>
    <row r="185" spans="1:57" ht="15.8" customHeight="1">
      <c r="A185" s="1209"/>
      <c r="B185" s="1209"/>
      <c r="C185" s="2475" t="s">
        <v>2490</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2606</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8" customHeight="1" thickBot="1">
      <c r="A186" s="1209"/>
      <c r="B186" s="1209"/>
      <c r="C186" s="2209" t="s">
        <v>2491</v>
      </c>
      <c r="D186" s="2210"/>
      <c r="E186" s="2210"/>
      <c r="F186" s="2210"/>
      <c r="G186" s="2210"/>
      <c r="H186" s="2210"/>
      <c r="I186" s="2210"/>
      <c r="J186" s="2210"/>
      <c r="K186" s="2210"/>
      <c r="L186" s="2210"/>
      <c r="M186" s="2210"/>
      <c r="N186" s="2471">
        <f>SUM('Sources and Uses Budget'!B85:B86)</f>
        <v>1497800</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9" t="s">
        <v>2492</v>
      </c>
      <c r="D187" s="2210"/>
      <c r="E187" s="2210"/>
      <c r="F187" s="2210"/>
      <c r="G187" s="2210"/>
      <c r="H187" s="2210"/>
      <c r="I187" s="2210"/>
      <c r="J187" s="2210"/>
      <c r="K187" s="2210"/>
      <c r="L187" s="2210"/>
      <c r="M187" s="2210"/>
      <c r="N187" s="2471">
        <f>'Sources and Uses Budget'!B8</f>
        <v>10555000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1849</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8" customHeight="1">
      <c r="A188" s="1209"/>
      <c r="B188" s="1209"/>
      <c r="C188" s="2209" t="s">
        <v>2493</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1849</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8" customHeight="1">
      <c r="A189" s="1209"/>
      <c r="B189" s="1209"/>
      <c r="C189" s="2209" t="s">
        <v>2494</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2605</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8" customHeight="1">
      <c r="A190" s="1209"/>
      <c r="B190" s="1209"/>
      <c r="C190" s="2512" t="s">
        <v>301</v>
      </c>
      <c r="D190" s="2443"/>
      <c r="E190" s="2511" t="s">
        <v>1843</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2604</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8" customHeight="1" thickBot="1">
      <c r="A191" s="1209"/>
      <c r="B191" s="1209"/>
      <c r="C191" s="2400" t="s">
        <v>301</v>
      </c>
      <c r="D191" s="2370"/>
      <c r="E191" s="2511" t="s">
        <v>1843</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8" customHeight="1" thickBot="1">
      <c r="A192" s="1209"/>
      <c r="B192" s="1209"/>
      <c r="C192" s="2500" t="s">
        <v>301</v>
      </c>
      <c r="D192" s="2501"/>
      <c r="E192" s="2502" t="s">
        <v>1843</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1850</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8" customHeight="1">
      <c r="A193" s="1209"/>
      <c r="B193" s="1209"/>
      <c r="C193" s="2496" t="s">
        <v>1851</v>
      </c>
      <c r="D193" s="2497"/>
      <c r="E193" s="2497"/>
      <c r="F193" s="2497"/>
      <c r="G193" s="2497"/>
      <c r="H193" s="2497"/>
      <c r="I193" s="2497"/>
      <c r="J193" s="2497"/>
      <c r="K193" s="2497"/>
      <c r="L193" s="2497"/>
      <c r="M193" s="2497"/>
      <c r="N193" s="2498">
        <f>SUM(N185:T192)</f>
        <v>12052800</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2603</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8" customHeight="1" thickBot="1">
      <c r="A194" s="1209"/>
      <c r="B194" s="1209"/>
      <c r="C194" s="2539" t="s">
        <v>2495</v>
      </c>
      <c r="D194" s="2540"/>
      <c r="E194" s="2540"/>
      <c r="F194" s="2540"/>
      <c r="G194" s="2540"/>
      <c r="H194" s="2540"/>
      <c r="I194" s="2540"/>
      <c r="J194" s="2540"/>
      <c r="K194" s="2540"/>
      <c r="L194" s="2540"/>
      <c r="M194" s="2540"/>
      <c r="N194" s="2541">
        <f>(N183-N193)/J29</f>
        <v>852291.73863636365</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9" t="s">
        <v>2602</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9" t="s">
        <v>2601</v>
      </c>
      <c r="D198" s="2199"/>
      <c r="E198" s="2199"/>
      <c r="F198" s="2199"/>
      <c r="G198" s="2199"/>
      <c r="H198" s="2199"/>
      <c r="I198" s="2199"/>
      <c r="J198" s="2199"/>
      <c r="K198" s="2199"/>
      <c r="L198" s="2199"/>
      <c r="M198" s="2199"/>
      <c r="N198" s="2199"/>
      <c r="O198" s="2200" t="s">
        <v>2600</v>
      </c>
      <c r="P198" s="2200"/>
      <c r="Q198" s="2200"/>
      <c r="R198" s="2200"/>
      <c r="S198" s="2200"/>
      <c r="T198" s="2200"/>
      <c r="U198" s="2200"/>
      <c r="V198" s="2200"/>
      <c r="W198" s="2200"/>
      <c r="X198" s="2200" t="s">
        <v>2599</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7" t="s">
        <v>2598</v>
      </c>
      <c r="D199" s="2197"/>
      <c r="E199" s="2197"/>
      <c r="F199" s="2197"/>
      <c r="G199" s="2197"/>
      <c r="H199" s="2197"/>
      <c r="I199" s="2197"/>
      <c r="J199" s="2197"/>
      <c r="K199" s="2197"/>
      <c r="L199" s="2197"/>
      <c r="M199" s="2197"/>
      <c r="N199" s="2197"/>
      <c r="O199" s="2492" t="s">
        <v>2597</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7" t="s">
        <v>864</v>
      </c>
      <c r="D200" s="2197"/>
      <c r="E200" s="2197"/>
      <c r="F200" s="2197"/>
      <c r="G200" s="2197"/>
      <c r="H200" s="2197"/>
      <c r="I200" s="2197"/>
      <c r="J200" s="2197"/>
      <c r="K200" s="2197"/>
      <c r="L200" s="2197"/>
      <c r="M200" s="2197"/>
      <c r="N200" s="2197"/>
      <c r="O200" s="2492" t="s">
        <v>2597</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7" t="s">
        <v>2596</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2595</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8" t="s">
        <v>2594</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4" t="s">
        <v>2593</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7" t="s">
        <v>2592</v>
      </c>
      <c r="D205" s="2518"/>
      <c r="E205" s="2518"/>
      <c r="F205" s="2519"/>
      <c r="G205" s="2523" t="s">
        <v>2591</v>
      </c>
      <c r="H205" s="2518"/>
      <c r="I205" s="2518"/>
      <c r="J205" s="2518"/>
      <c r="K205" s="2518"/>
      <c r="L205" s="2518"/>
      <c r="M205" s="2518"/>
      <c r="N205" s="2518"/>
      <c r="O205" s="2519"/>
      <c r="P205" s="2525" t="s">
        <v>2590</v>
      </c>
      <c r="Q205" s="2526"/>
      <c r="R205" s="2526"/>
      <c r="S205" s="2526"/>
      <c r="T205" s="2527"/>
      <c r="U205" s="2531" t="s">
        <v>2589</v>
      </c>
      <c r="V205" s="2532"/>
      <c r="W205" s="2532"/>
      <c r="X205" s="2533"/>
      <c r="Y205" s="2531" t="s">
        <v>2588</v>
      </c>
      <c r="Z205" s="2532"/>
      <c r="AA205" s="2532"/>
      <c r="AB205" s="2533"/>
      <c r="AC205" s="2531" t="s">
        <v>2587</v>
      </c>
      <c r="AD205" s="2532"/>
      <c r="AE205" s="2532"/>
      <c r="AF205" s="2533"/>
      <c r="AG205" s="2523" t="s">
        <v>2586</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6">
        <v>1</v>
      </c>
      <c r="D207" s="2177"/>
      <c r="E207" s="2177"/>
      <c r="F207" s="2177"/>
      <c r="G207" s="2178" t="s">
        <v>2152</v>
      </c>
      <c r="H207" s="2178"/>
      <c r="I207" s="2178"/>
      <c r="J207" s="2178"/>
      <c r="K207" s="2178"/>
      <c r="L207" s="2178"/>
      <c r="M207" s="2178"/>
      <c r="N207" s="2178"/>
      <c r="O207" s="2178"/>
      <c r="P207" s="2179"/>
      <c r="Q207" s="2583"/>
      <c r="R207" s="2583"/>
      <c r="S207" s="2583"/>
      <c r="T207" s="2583"/>
      <c r="U207" s="2180" t="s">
        <v>2152</v>
      </c>
      <c r="V207" s="2180"/>
      <c r="W207" s="2180"/>
      <c r="X207" s="2180"/>
      <c r="Y207" s="2180" t="s">
        <v>2152</v>
      </c>
      <c r="Z207" s="2180"/>
      <c r="AA207" s="2180"/>
      <c r="AB207" s="2180"/>
      <c r="AC207" s="2181" t="s">
        <v>2152</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6">
        <v>2</v>
      </c>
      <c r="D208" s="2177"/>
      <c r="E208" s="2177"/>
      <c r="F208" s="2177"/>
      <c r="G208" s="2178" t="s">
        <v>2152</v>
      </c>
      <c r="H208" s="2178"/>
      <c r="I208" s="2178"/>
      <c r="J208" s="2178"/>
      <c r="K208" s="2178"/>
      <c r="L208" s="2178"/>
      <c r="M208" s="2178"/>
      <c r="N208" s="2178"/>
      <c r="O208" s="2178"/>
      <c r="P208" s="2179"/>
      <c r="Q208" s="2179"/>
      <c r="R208" s="2179"/>
      <c r="S208" s="2179"/>
      <c r="T208" s="2179"/>
      <c r="U208" s="2180" t="s">
        <v>2152</v>
      </c>
      <c r="V208" s="2180"/>
      <c r="W208" s="2180"/>
      <c r="X208" s="2180"/>
      <c r="Y208" s="2180" t="s">
        <v>2152</v>
      </c>
      <c r="Z208" s="2180"/>
      <c r="AA208" s="2180"/>
      <c r="AB208" s="2180"/>
      <c r="AC208" s="2181" t="s">
        <v>2152</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6">
        <v>3</v>
      </c>
      <c r="D209" s="2177"/>
      <c r="E209" s="2177"/>
      <c r="F209" s="2177"/>
      <c r="G209" s="2178" t="s">
        <v>2152</v>
      </c>
      <c r="H209" s="2178"/>
      <c r="I209" s="2178"/>
      <c r="J209" s="2178"/>
      <c r="K209" s="2178"/>
      <c r="L209" s="2178"/>
      <c r="M209" s="2178"/>
      <c r="N209" s="2178"/>
      <c r="O209" s="2178"/>
      <c r="P209" s="2179"/>
      <c r="Q209" s="2179"/>
      <c r="R209" s="2179"/>
      <c r="S209" s="2179"/>
      <c r="T209" s="2179"/>
      <c r="U209" s="2180" t="s">
        <v>2152</v>
      </c>
      <c r="V209" s="2180"/>
      <c r="W209" s="2180"/>
      <c r="X209" s="2180"/>
      <c r="Y209" s="2180" t="s">
        <v>2152</v>
      </c>
      <c r="Z209" s="2180"/>
      <c r="AA209" s="2180"/>
      <c r="AB209" s="2180"/>
      <c r="AC209" s="2181" t="s">
        <v>2152</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6">
        <v>4</v>
      </c>
      <c r="D210" s="2177"/>
      <c r="E210" s="2177"/>
      <c r="F210" s="2177"/>
      <c r="G210" s="2178" t="s">
        <v>2152</v>
      </c>
      <c r="H210" s="2178"/>
      <c r="I210" s="2178"/>
      <c r="J210" s="2178"/>
      <c r="K210" s="2178"/>
      <c r="L210" s="2178"/>
      <c r="M210" s="2178"/>
      <c r="N210" s="2178"/>
      <c r="O210" s="2178"/>
      <c r="P210" s="2179"/>
      <c r="Q210" s="2179"/>
      <c r="R210" s="2179"/>
      <c r="S210" s="2179"/>
      <c r="T210" s="2179"/>
      <c r="U210" s="2180" t="s">
        <v>2152</v>
      </c>
      <c r="V210" s="2180"/>
      <c r="W210" s="2180"/>
      <c r="X210" s="2180"/>
      <c r="Y210" s="2180" t="s">
        <v>2152</v>
      </c>
      <c r="Z210" s="2180"/>
      <c r="AA210" s="2180"/>
      <c r="AB210" s="2180"/>
      <c r="AC210" s="2181" t="s">
        <v>2152</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2152</v>
      </c>
      <c r="V211" s="2180"/>
      <c r="W211" s="2180"/>
      <c r="X211" s="2180"/>
      <c r="Y211" s="2180" t="s">
        <v>2152</v>
      </c>
      <c r="Z211" s="2180"/>
      <c r="AA211" s="2180"/>
      <c r="AB211" s="2180"/>
      <c r="AC211" s="2181" t="s">
        <v>2152</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6">
        <v>6</v>
      </c>
      <c r="D212" s="2177"/>
      <c r="E212" s="2177"/>
      <c r="F212" s="2177"/>
      <c r="G212" s="2178" t="s">
        <v>2152</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2152</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2152</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1" t="s">
        <v>2585</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1" t="s">
        <v>1852</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8"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8" customHeight="1">
      <c r="A221" s="1209"/>
      <c r="B221" s="2557" t="s">
        <v>1853</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8" customHeight="1">
      <c r="A222" s="1209"/>
      <c r="B222" s="2557" t="s">
        <v>1854</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60" t="s">
        <v>1855</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4" t="s">
        <v>1857</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3" t="s">
        <v>2496</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8"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8"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8"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2" t="s">
        <v>1858</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8" t="s">
        <v>1859</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8" t="s">
        <v>1860</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8" t="s">
        <v>443</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9" t="s">
        <v>1861</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50" t="s">
        <v>1862</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tabSelected="1" workbookViewId="0">
      <selection activeCell="T13" sqref="T13:X13"/>
    </sheetView>
  </sheetViews>
  <sheetFormatPr defaultColWidth="0" defaultRowHeight="12.95" customHeight="1"/>
  <cols>
    <col min="1" max="1" width="1.453125" style="433" customWidth="1"/>
    <col min="2" max="2" width="0.81640625" style="433" customWidth="1"/>
    <col min="3" max="18" width="2.453125" style="433" customWidth="1"/>
    <col min="19" max="19" width="6.26953125" style="433" customWidth="1"/>
    <col min="20" max="39" width="2.72656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2.95" customHeight="1">
      <c r="A1" s="2660" t="s">
        <v>1388</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72127786</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505</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506</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507</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508</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813</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509</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57" t="s">
        <v>978</v>
      </c>
      <c r="D18" s="1657"/>
      <c r="E18" s="1657"/>
      <c r="F18" s="1657"/>
      <c r="G18" s="1657"/>
      <c r="H18" s="1657"/>
      <c r="I18" s="1657"/>
      <c r="J18" s="1657"/>
      <c r="K18" s="1657"/>
      <c r="L18" s="1657"/>
      <c r="M18" s="1657"/>
      <c r="N18" s="1657"/>
      <c r="O18" s="1657"/>
      <c r="P18" s="1657"/>
      <c r="Q18" s="1657"/>
      <c r="R18" s="1657"/>
      <c r="S18" s="1658"/>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57" t="s">
        <v>978</v>
      </c>
      <c r="D19" s="1657"/>
      <c r="E19" s="1657"/>
      <c r="F19" s="1657"/>
      <c r="G19" s="1657"/>
      <c r="H19" s="1657"/>
      <c r="I19" s="1657"/>
      <c r="J19" s="1657"/>
      <c r="K19" s="1657"/>
      <c r="L19" s="1657"/>
      <c r="M19" s="1657"/>
      <c r="N19" s="1657"/>
      <c r="O19" s="1657"/>
      <c r="P19" s="1657"/>
      <c r="Q19" s="1657"/>
      <c r="R19" s="1657"/>
      <c r="S19" s="1658"/>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1371</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39">
        <f>T11+T22</f>
        <v>72127786</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979</v>
      </c>
      <c r="C24" s="2624"/>
      <c r="D24" s="2624"/>
      <c r="E24" s="2624"/>
      <c r="F24" s="2624"/>
      <c r="G24" s="2624"/>
      <c r="H24" s="2624"/>
      <c r="I24" s="2624"/>
      <c r="J24" s="2624"/>
      <c r="K24" s="2624"/>
      <c r="L24" s="2624"/>
      <c r="M24" s="2624"/>
      <c r="N24" s="2624"/>
      <c r="O24" s="2624"/>
      <c r="P24" s="2624"/>
      <c r="Q24" s="2624"/>
      <c r="R24" s="2624"/>
      <c r="S24" s="2625"/>
      <c r="T24" s="2627">
        <f>Application!AJ1052</f>
        <v>216507924.41</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1372</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39">
        <f>T23*T25</f>
        <v>93766121.799999997</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39">
        <f>IF(ISERROR((T26*T27)),0,(T26*T27))</f>
        <v>93766121.799999997</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27">
        <f>T28+Y28+AD28+AI28</f>
        <v>93766121.799999997</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1374</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1373</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1254</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93766121.799999997</v>
      </c>
      <c r="Z38" s="2617"/>
      <c r="AA38" s="2617"/>
      <c r="AB38" s="2617"/>
      <c r="AC38" s="2617"/>
      <c r="AD38" s="2617">
        <f>IF(T24&gt;=(T23+Y23+AD23+AI23),AD28+AI28,0)</f>
        <v>0</v>
      </c>
      <c r="AE38" s="2617"/>
      <c r="AF38" s="2617"/>
      <c r="AG38" s="2617"/>
      <c r="AH38" s="2617"/>
    </row>
    <row r="39" spans="1:76" ht="12.95"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649</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3750645</v>
      </c>
      <c r="Z40" s="2617"/>
      <c r="AA40" s="2617"/>
      <c r="AB40" s="2617"/>
      <c r="AC40" s="2617"/>
      <c r="AD40" s="2639">
        <f>ROUND(AD38*AD39,0)</f>
        <v>0</v>
      </c>
      <c r="AE40" s="2617"/>
      <c r="AF40" s="2617"/>
      <c r="AG40" s="2617"/>
      <c r="AH40" s="2617"/>
    </row>
    <row r="41" spans="1:76" ht="12.95" customHeight="1">
      <c r="B41" s="2623" t="s">
        <v>650</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3750645</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1384</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594</v>
      </c>
      <c r="C46" s="435" t="s">
        <v>283</v>
      </c>
    </row>
    <row r="47" spans="1:76" ht="12.95" customHeight="1">
      <c r="D47" s="435" t="s">
        <v>284</v>
      </c>
      <c r="AB47" s="2631">
        <f>'Sources and Uses Budget'!B105-MAX(IF('Sources and Uses Budget'!B15="",0,'Sources and Uses Budget'!B15),IF(Application!AG394="",0,Application!AG394))</f>
        <v>87054473</v>
      </c>
      <c r="AC47" s="2632"/>
      <c r="AD47" s="2632"/>
      <c r="AE47" s="2632"/>
      <c r="AF47" s="2633"/>
    </row>
    <row r="48" spans="1:76" ht="12.95" customHeight="1">
      <c r="D48" s="435" t="s">
        <v>21</v>
      </c>
      <c r="AB48" s="2631">
        <f>Application!AO639-MAX(IF('Sources and Uses Budget'!B15="",0,'Sources and Uses Budget'!B15),IF(Application!AG394="",0,Application!AG394))</f>
        <v>46145146</v>
      </c>
      <c r="AC48" s="2632"/>
      <c r="AD48" s="2632"/>
      <c r="AE48" s="2632"/>
      <c r="AF48" s="2633"/>
    </row>
    <row r="49" spans="1:76" ht="12.95" customHeight="1">
      <c r="D49" s="435" t="s">
        <v>91</v>
      </c>
      <c r="AB49" s="2631">
        <f>AB47-AB48</f>
        <v>40909327</v>
      </c>
      <c r="AC49" s="2632"/>
      <c r="AD49" s="2632"/>
      <c r="AE49" s="2632"/>
      <c r="AF49" s="2633"/>
    </row>
    <row r="50" spans="1:76" ht="12.95" customHeight="1">
      <c r="D50" s="435" t="s">
        <v>688</v>
      </c>
      <c r="AA50" s="446"/>
      <c r="AB50" s="2619">
        <v>0.83999000000000001</v>
      </c>
      <c r="AC50" s="2620"/>
      <c r="AD50" s="2620"/>
      <c r="AE50" s="2620"/>
      <c r="AF50" s="2621"/>
    </row>
    <row r="51" spans="1:76" s="448" customFormat="1" ht="12.95" customHeight="1">
      <c r="A51" s="433"/>
      <c r="B51" s="433"/>
      <c r="C51" s="433"/>
      <c r="D51" s="433"/>
      <c r="E51" s="2630" t="s">
        <v>2039</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48702160</v>
      </c>
      <c r="AC54" s="2632"/>
      <c r="AD54" s="2632"/>
      <c r="AE54" s="2632"/>
      <c r="AF54" s="2633"/>
    </row>
    <row r="55" spans="1:76" ht="12.95" customHeight="1">
      <c r="D55" s="435" t="s">
        <v>334</v>
      </c>
      <c r="AB55" s="2631">
        <f>(AB54/10)</f>
        <v>4870216</v>
      </c>
      <c r="AC55" s="2632"/>
      <c r="AD55" s="2632"/>
      <c r="AE55" s="2632"/>
      <c r="AF55" s="2633"/>
    </row>
    <row r="56" spans="1:76" ht="12.95" customHeight="1">
      <c r="D56" s="435" t="s">
        <v>764</v>
      </c>
      <c r="AB56" s="2634">
        <f>(IF((Y41&lt;AB55),Y41,AB55))</f>
        <v>3750645</v>
      </c>
      <c r="AC56" s="2635"/>
      <c r="AD56" s="2635"/>
      <c r="AE56" s="2635"/>
      <c r="AF56" s="2636"/>
    </row>
    <row r="57" spans="1:76" ht="12.95" customHeight="1">
      <c r="D57" s="435" t="s">
        <v>763</v>
      </c>
      <c r="AB57" s="2631">
        <f>ROUND((10*AB56*AB50),0)</f>
        <v>31505043</v>
      </c>
      <c r="AC57" s="2632"/>
      <c r="AD57" s="2632"/>
      <c r="AE57" s="2632"/>
      <c r="AF57" s="2633"/>
    </row>
    <row r="58" spans="1:76" ht="12.95" customHeight="1">
      <c r="D58" s="435"/>
      <c r="AB58" s="454"/>
      <c r="AC58" s="454"/>
      <c r="AD58" s="454"/>
      <c r="AE58" s="454"/>
      <c r="AF58" s="454"/>
    </row>
    <row r="59" spans="1:76" ht="12.95" customHeight="1">
      <c r="D59" s="435" t="s">
        <v>762</v>
      </c>
      <c r="AB59" s="2615">
        <f>AB49-AB57</f>
        <v>9404284</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597</v>
      </c>
      <c r="C63" s="219" t="s">
        <v>1355</v>
      </c>
      <c r="Y63" s="2626" t="s">
        <v>1001</v>
      </c>
      <c r="Z63" s="2626"/>
      <c r="AA63" s="2626"/>
      <c r="AB63" s="2626"/>
      <c r="AC63" s="2626"/>
      <c r="AD63" s="2626" t="s">
        <v>370</v>
      </c>
      <c r="AE63" s="2626"/>
      <c r="AF63" s="2626"/>
      <c r="AG63" s="2626"/>
      <c r="AH63" s="2626"/>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72127786</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1357</v>
      </c>
      <c r="Y68" s="2617">
        <f>ROUND(Y64*Y67,0)</f>
        <v>21638336</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1358</v>
      </c>
      <c r="AB71" s="2619">
        <v>0.83966819999999998</v>
      </c>
      <c r="AC71" s="2620"/>
      <c r="AD71" s="2620"/>
      <c r="AE71" s="2620"/>
      <c r="AF71" s="2621"/>
    </row>
    <row r="72" spans="1:36" ht="12.95" customHeight="1">
      <c r="A72" s="435"/>
      <c r="C72" s="435"/>
      <c r="D72" s="435"/>
      <c r="E72" s="2622" t="s">
        <v>1359</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10">
        <f>ROUND(IF(ISERROR((AB59/AB71)),0,(AB59/AB71)),0)</f>
        <v>11200000</v>
      </c>
      <c r="AC76" s="2610"/>
      <c r="AD76" s="2610"/>
      <c r="AE76" s="2610"/>
      <c r="AF76" s="2610"/>
    </row>
    <row r="77" spans="1:36" ht="12.95" customHeight="1">
      <c r="C77" s="435"/>
      <c r="D77" s="219" t="s">
        <v>1361</v>
      </c>
      <c r="AB77" s="2611">
        <f>IF((Y68+AD68&lt;AB76),Y68+AD68,AB76)</f>
        <v>11200000</v>
      </c>
      <c r="AC77" s="2612"/>
      <c r="AD77" s="2612"/>
      <c r="AE77" s="2612"/>
      <c r="AF77" s="2613"/>
    </row>
    <row r="78" spans="1:36" ht="12.95" customHeight="1">
      <c r="C78" s="435"/>
      <c r="D78" s="219" t="s">
        <v>1362</v>
      </c>
      <c r="AB78" s="2614">
        <f>AB77*AB71</f>
        <v>9404283.8399999999</v>
      </c>
      <c r="AC78" s="2614"/>
      <c r="AD78" s="2614"/>
      <c r="AE78" s="2614"/>
      <c r="AF78" s="2614"/>
    </row>
    <row r="79" spans="1:36" ht="12.95" customHeight="1">
      <c r="C79" s="435"/>
      <c r="D79" s="435"/>
      <c r="AB79" s="456"/>
      <c r="AC79" s="456"/>
      <c r="AD79" s="456"/>
      <c r="AE79" s="456"/>
      <c r="AF79" s="456"/>
    </row>
    <row r="80" spans="1:36" ht="12.95" customHeight="1">
      <c r="D80" s="435" t="s">
        <v>762</v>
      </c>
      <c r="AB80" s="2615">
        <f>AB49-(AB57+AB78)</f>
        <v>0.15999999642372131</v>
      </c>
      <c r="AC80" s="2615"/>
      <c r="AD80" s="2615"/>
      <c r="AE80" s="2615"/>
      <c r="AF80" s="2615"/>
    </row>
    <row r="81" spans="1:78" ht="12.95" customHeight="1">
      <c r="F81" s="556"/>
      <c r="J81" s="556" t="str">
        <f>IF(AB80&gt;0,"FUNDING GAP MUST NOT EXCEED ZERO","")</f>
        <v>FUNDING GAP MUST NOT EXCEED ZERO</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15" sqref="C15"/>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923</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50</v>
      </c>
      <c r="C4" s="1122" t="s">
        <v>386</v>
      </c>
      <c r="D4" s="459">
        <f>Application!O718</f>
        <v>441</v>
      </c>
      <c r="E4" s="460"/>
      <c r="F4" s="1123">
        <v>2132</v>
      </c>
      <c r="G4" s="459">
        <f>F4*B4</f>
        <v>106600</v>
      </c>
      <c r="H4" s="460"/>
      <c r="I4" s="459">
        <f t="shared" ref="I4:I27" si="0">IF(F4=0,"",(F4-D4))</f>
        <v>1691</v>
      </c>
      <c r="J4" s="459">
        <f t="shared" ref="J4:J27" si="1">IF(F4=0,"",(I4*B4))</f>
        <v>84550</v>
      </c>
      <c r="K4" s="218"/>
      <c r="L4" s="328"/>
    </row>
    <row r="5" spans="1:12">
      <c r="A5" s="459" t="str">
        <f>Application!B719</f>
        <v>SRO/Studio</v>
      </c>
      <c r="B5" s="1121">
        <f>Application!G719</f>
        <v>35</v>
      </c>
      <c r="C5" s="1122" t="s">
        <v>386</v>
      </c>
      <c r="D5" s="459">
        <f>Application!O719</f>
        <v>662</v>
      </c>
      <c r="E5" s="460"/>
      <c r="F5" s="1123">
        <v>2132</v>
      </c>
      <c r="G5" s="459">
        <f t="shared" ref="G5:G38" si="2">F5*B5</f>
        <v>74620</v>
      </c>
      <c r="H5" s="460"/>
      <c r="I5" s="459">
        <f t="shared" si="0"/>
        <v>1470</v>
      </c>
      <c r="J5" s="459">
        <f t="shared" si="1"/>
        <v>51450</v>
      </c>
      <c r="K5" s="218"/>
      <c r="L5" s="328"/>
    </row>
    <row r="6" spans="1:12">
      <c r="A6" s="459" t="str">
        <f>Application!B720</f>
        <v>SRO/Studio</v>
      </c>
      <c r="B6" s="1121">
        <f>Application!G720</f>
        <v>34</v>
      </c>
      <c r="C6" s="1122"/>
      <c r="D6" s="459">
        <f>Application!O720</f>
        <v>883</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1 Bedroom</v>
      </c>
      <c r="B8" s="1121">
        <f>Application!G722</f>
        <v>5</v>
      </c>
      <c r="C8" s="1122" t="s">
        <v>386</v>
      </c>
      <c r="D8" s="459">
        <f>Application!O722</f>
        <v>473</v>
      </c>
      <c r="E8" s="460"/>
      <c r="F8" s="1123">
        <v>2407</v>
      </c>
      <c r="G8" s="459">
        <f t="shared" si="2"/>
        <v>12035</v>
      </c>
      <c r="H8" s="460"/>
      <c r="I8" s="459">
        <f t="shared" si="0"/>
        <v>1934</v>
      </c>
      <c r="J8" s="459">
        <f t="shared" si="1"/>
        <v>9670</v>
      </c>
      <c r="K8" s="218"/>
      <c r="L8" s="328"/>
    </row>
    <row r="9" spans="1:12">
      <c r="A9" s="459" t="str">
        <f>Application!B723</f>
        <v>1 Bedroom</v>
      </c>
      <c r="B9" s="1121">
        <f>Application!G723</f>
        <v>5</v>
      </c>
      <c r="C9" s="1122" t="s">
        <v>386</v>
      </c>
      <c r="D9" s="459">
        <f>Application!O723</f>
        <v>709</v>
      </c>
      <c r="E9" s="460"/>
      <c r="F9" s="1123">
        <v>2407</v>
      </c>
      <c r="G9" s="459">
        <f t="shared" si="2"/>
        <v>12035</v>
      </c>
      <c r="H9" s="460"/>
      <c r="I9" s="459">
        <f t="shared" si="0"/>
        <v>1698</v>
      </c>
      <c r="J9" s="459">
        <f t="shared" si="1"/>
        <v>8490</v>
      </c>
      <c r="K9" s="218"/>
      <c r="L9" s="328"/>
    </row>
    <row r="10" spans="1:12">
      <c r="A10" s="459" t="str">
        <f>Application!B724</f>
        <v>1 Bedroom</v>
      </c>
      <c r="B10" s="1121">
        <f>Application!G724</f>
        <v>8</v>
      </c>
      <c r="C10" s="1122"/>
      <c r="D10" s="459">
        <f>Application!O724</f>
        <v>946</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t="str">
        <f>Application!B726</f>
        <v>2 Bedrooms</v>
      </c>
      <c r="B12" s="1121">
        <f>Application!G726</f>
        <v>3</v>
      </c>
      <c r="C12" s="1122" t="s">
        <v>386</v>
      </c>
      <c r="D12" s="459">
        <f>Application!O726</f>
        <v>567</v>
      </c>
      <c r="E12" s="460"/>
      <c r="F12" s="1123">
        <v>3052</v>
      </c>
      <c r="G12" s="459">
        <f t="shared" si="2"/>
        <v>9156</v>
      </c>
      <c r="H12" s="460"/>
      <c r="I12" s="459">
        <f t="shared" si="0"/>
        <v>2485</v>
      </c>
      <c r="J12" s="459">
        <f t="shared" si="1"/>
        <v>7455</v>
      </c>
      <c r="K12" s="218"/>
      <c r="L12" s="328"/>
    </row>
    <row r="13" spans="1:12">
      <c r="A13" s="459" t="str">
        <f>Application!B727</f>
        <v>2 Bedrooms</v>
      </c>
      <c r="B13" s="1121">
        <f>Application!G727</f>
        <v>2</v>
      </c>
      <c r="C13" s="1122" t="s">
        <v>386</v>
      </c>
      <c r="D13" s="459">
        <f>Application!O727</f>
        <v>851</v>
      </c>
      <c r="E13" s="460"/>
      <c r="F13" s="1123">
        <v>3052</v>
      </c>
      <c r="G13" s="459">
        <f t="shared" si="2"/>
        <v>6104</v>
      </c>
      <c r="H13" s="460"/>
      <c r="I13" s="459">
        <f t="shared" si="0"/>
        <v>2201</v>
      </c>
      <c r="J13" s="459">
        <f t="shared" si="1"/>
        <v>4402</v>
      </c>
      <c r="K13" s="218"/>
      <c r="L13" s="328"/>
    </row>
    <row r="14" spans="1:12">
      <c r="A14" s="459" t="str">
        <f>Application!B728</f>
        <v>2 Bedrooms</v>
      </c>
      <c r="B14" s="1121">
        <f>Application!G728</f>
        <v>4</v>
      </c>
      <c r="C14" s="1122"/>
      <c r="D14" s="459">
        <f>Application!O728</f>
        <v>1135</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96663</v>
      </c>
      <c r="E40" s="460"/>
      <c r="F40" s="460"/>
      <c r="G40" s="463">
        <f>SUM(G4:G38)*12</f>
        <v>2646600</v>
      </c>
      <c r="H40" s="464"/>
      <c r="I40" s="462"/>
      <c r="J40" s="463">
        <f>SUM(J4:J38)*12</f>
        <v>1992204</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55" sqref="E55"/>
    </sheetView>
  </sheetViews>
  <sheetFormatPr defaultColWidth="0" defaultRowHeight="12.45" zeroHeight="1"/>
  <cols>
    <col min="1" max="1" width="3.7265625" customWidth="1"/>
    <col min="2" max="2" width="30.4531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1159956</v>
      </c>
      <c r="G4" s="235">
        <f>E4*$C$4</f>
        <v>1188954.8999999999</v>
      </c>
      <c r="I4" s="235">
        <f>G4*$C$4</f>
        <v>1218678.7724999997</v>
      </c>
      <c r="K4" s="235">
        <f>I4*$C$4</f>
        <v>1249145.7418124997</v>
      </c>
      <c r="M4" s="235">
        <f>K4*$C$4</f>
        <v>1280374.385357812</v>
      </c>
      <c r="O4" s="235">
        <f>M4*$C$4</f>
        <v>1312383.7449917572</v>
      </c>
      <c r="Q4" s="235">
        <f>O4*$C$4</f>
        <v>1345193.3386165511</v>
      </c>
      <c r="S4" s="235">
        <f>Q4*$C$4</f>
        <v>1378823.1720819648</v>
      </c>
      <c r="U4" s="235">
        <f>S4*$C$4</f>
        <v>1413293.7513840138</v>
      </c>
      <c r="W4" s="235">
        <f>U4*$C$4</f>
        <v>1448626.0951686141</v>
      </c>
      <c r="Y4" s="235">
        <f>W4*$C$4</f>
        <v>1484841.7475478293</v>
      </c>
      <c r="AA4" s="235">
        <f>Y4*$C$4</f>
        <v>1521962.7912365249</v>
      </c>
      <c r="AC4" s="235">
        <f>AA4*$C$4</f>
        <v>1560011.8610174379</v>
      </c>
      <c r="AE4" s="235">
        <f>AC4*$C$4</f>
        <v>1599012.1575428736</v>
      </c>
      <c r="AG4" s="235">
        <f>AE4*$C$4</f>
        <v>1638987.4614814452</v>
      </c>
    </row>
    <row r="5" spans="1:34" s="225" customFormat="1" ht="14">
      <c r="B5" s="225" t="s">
        <v>848</v>
      </c>
      <c r="C5" s="254">
        <f>IF(Application!$D$211="Special Needs",0.1,0.05)</f>
        <v>0.1</v>
      </c>
      <c r="E5" s="237">
        <f>-E4*$C$5</f>
        <v>-115995.6</v>
      </c>
      <c r="F5" s="237"/>
      <c r="G5" s="237">
        <f>-G4*$C$5</f>
        <v>-118895.48999999999</v>
      </c>
      <c r="H5" s="237"/>
      <c r="I5" s="237">
        <f>-I4*$C$5</f>
        <v>-121867.87724999998</v>
      </c>
      <c r="J5" s="237"/>
      <c r="K5" s="237">
        <f>-K4*$C$5</f>
        <v>-124914.57418124998</v>
      </c>
      <c r="L5" s="237"/>
      <c r="M5" s="237">
        <f>-M4*$C$5</f>
        <v>-128037.43853578121</v>
      </c>
      <c r="N5" s="237"/>
      <c r="O5" s="237">
        <f>-O4*$C$5</f>
        <v>-131238.37449917573</v>
      </c>
      <c r="P5" s="237"/>
      <c r="Q5" s="237">
        <f>-Q4*$C$5</f>
        <v>-134519.33386165512</v>
      </c>
      <c r="R5" s="237"/>
      <c r="S5" s="237">
        <f>-S4*$C$5</f>
        <v>-137882.31720819647</v>
      </c>
      <c r="T5" s="237"/>
      <c r="U5" s="237">
        <f>-U4*$C$5</f>
        <v>-141329.37513840137</v>
      </c>
      <c r="V5" s="237"/>
      <c r="W5" s="237">
        <f>-W4*$C$5</f>
        <v>-144862.60951686141</v>
      </c>
      <c r="X5" s="237"/>
      <c r="Y5" s="237">
        <f>-Y4*$C$5</f>
        <v>-148484.17475478293</v>
      </c>
      <c r="Z5" s="237"/>
      <c r="AA5" s="237">
        <f>-AA4*$C$5</f>
        <v>-152196.27912365249</v>
      </c>
      <c r="AB5" s="237"/>
      <c r="AC5" s="237">
        <f>-AC4*$C$5</f>
        <v>-156001.18610174381</v>
      </c>
      <c r="AD5" s="237"/>
      <c r="AE5" s="237">
        <f>-AE4*$C$5</f>
        <v>-159901.21575428738</v>
      </c>
      <c r="AF5" s="237"/>
      <c r="AG5" s="237">
        <f>-AG4*$C$5</f>
        <v>-163898.74614814454</v>
      </c>
    </row>
    <row r="6" spans="1:34" s="225" customFormat="1" ht="14">
      <c r="A6" s="225" t="s">
        <v>846</v>
      </c>
      <c r="C6" s="253">
        <v>1.0249999999999999</v>
      </c>
      <c r="E6" s="238">
        <f>Application!Z809</f>
        <v>1992204</v>
      </c>
      <c r="F6" s="238"/>
      <c r="G6" s="238">
        <f>E6*$C$6</f>
        <v>2042009.0999999999</v>
      </c>
      <c r="H6" s="238"/>
      <c r="I6" s="238">
        <f>G6*$C$6</f>
        <v>2093059.3274999997</v>
      </c>
      <c r="J6" s="238"/>
      <c r="K6" s="238">
        <f>I6*$C$6</f>
        <v>2145385.8106874996</v>
      </c>
      <c r="L6" s="238"/>
      <c r="M6" s="238">
        <f>K6*$C$6</f>
        <v>2199020.4559546867</v>
      </c>
      <c r="N6" s="238"/>
      <c r="O6" s="238">
        <f>M6*$C$6</f>
        <v>2253995.9673535535</v>
      </c>
      <c r="P6" s="238"/>
      <c r="Q6" s="238">
        <f>O6*$C$6</f>
        <v>2310345.8665373921</v>
      </c>
      <c r="R6" s="238"/>
      <c r="S6" s="238">
        <f>Q6*$C$6</f>
        <v>2368104.5132008269</v>
      </c>
      <c r="T6" s="238"/>
      <c r="U6" s="238">
        <f>S6*$C$6</f>
        <v>2427307.1260308474</v>
      </c>
      <c r="V6" s="238"/>
      <c r="W6" s="238">
        <f>U6*$C$6</f>
        <v>2487989.8041816186</v>
      </c>
      <c r="X6" s="238"/>
      <c r="Y6" s="238">
        <f>W6*$C$6</f>
        <v>2550189.5492861588</v>
      </c>
      <c r="Z6" s="238"/>
      <c r="AA6" s="238">
        <f>Y6*$C$6</f>
        <v>2613944.2880183123</v>
      </c>
      <c r="AB6" s="238"/>
      <c r="AC6" s="238">
        <f>AA6*$C$6</f>
        <v>2679292.89521877</v>
      </c>
      <c r="AD6" s="238"/>
      <c r="AE6" s="238">
        <f>AC6*$C$6</f>
        <v>2746275.2175992392</v>
      </c>
      <c r="AF6" s="238"/>
      <c r="AG6" s="238">
        <f>AE6*$C$6</f>
        <v>2814932.0980392201</v>
      </c>
    </row>
    <row r="7" spans="1:34" s="225" customFormat="1" ht="14">
      <c r="B7" s="225" t="s">
        <v>848</v>
      </c>
      <c r="C7" s="254">
        <f>IF(Application!$D$211="Special Needs",0.1,0.05)</f>
        <v>0.1</v>
      </c>
      <c r="E7" s="237">
        <f>-E6*$C$7</f>
        <v>-199220.40000000002</v>
      </c>
      <c r="F7" s="237"/>
      <c r="G7" s="237">
        <f>-G6*$C$7</f>
        <v>-204200.91</v>
      </c>
      <c r="H7" s="237"/>
      <c r="I7" s="237">
        <f>-I6*$C$7</f>
        <v>-209305.93274999998</v>
      </c>
      <c r="J7" s="237"/>
      <c r="K7" s="237">
        <f>-K6*$C$7</f>
        <v>-214538.58106874998</v>
      </c>
      <c r="L7" s="237"/>
      <c r="M7" s="237">
        <f>-M6*$C$7</f>
        <v>-219902.04559546869</v>
      </c>
      <c r="N7" s="237"/>
      <c r="O7" s="237">
        <f>-O6*$C$7</f>
        <v>-225399.59673535536</v>
      </c>
      <c r="P7" s="237"/>
      <c r="Q7" s="237">
        <f>-Q6*$C$7</f>
        <v>-231034.58665373921</v>
      </c>
      <c r="R7" s="237"/>
      <c r="S7" s="237">
        <f>-S6*$C$7</f>
        <v>-236810.45132008271</v>
      </c>
      <c r="T7" s="237"/>
      <c r="U7" s="237">
        <f>-U6*$C$7</f>
        <v>-242730.71260308474</v>
      </c>
      <c r="V7" s="237"/>
      <c r="W7" s="237">
        <f>-W6*$C$7</f>
        <v>-248798.98041816187</v>
      </c>
      <c r="X7" s="237"/>
      <c r="Y7" s="237">
        <f>-Y6*$C$7</f>
        <v>-255018.95492861589</v>
      </c>
      <c r="Z7" s="237"/>
      <c r="AA7" s="237">
        <f>-AA6*$C$7</f>
        <v>-261394.42880183124</v>
      </c>
      <c r="AB7" s="237"/>
      <c r="AC7" s="237">
        <f>-AC6*$C$7</f>
        <v>-267929.28952187701</v>
      </c>
      <c r="AD7" s="237"/>
      <c r="AE7" s="237">
        <f>-AE6*$C$7</f>
        <v>-274627.52175992395</v>
      </c>
      <c r="AF7" s="237"/>
      <c r="AG7" s="237">
        <f>-AG6*$C$7</f>
        <v>-281493.20980392204</v>
      </c>
    </row>
    <row r="8" spans="1:34" s="225" customFormat="1" ht="14">
      <c r="A8" s="225" t="s">
        <v>289</v>
      </c>
      <c r="C8" s="253">
        <v>1.0249999999999999</v>
      </c>
      <c r="E8" s="238">
        <f>Application!Z817</f>
        <v>22200</v>
      </c>
      <c r="F8" s="238"/>
      <c r="G8" s="238">
        <f>E8*$C$8</f>
        <v>22754.999999999996</v>
      </c>
      <c r="H8" s="238"/>
      <c r="I8" s="238">
        <f>G8*$C$8</f>
        <v>23323.874999999993</v>
      </c>
      <c r="J8" s="238"/>
      <c r="K8" s="238">
        <f>I8*$C$8</f>
        <v>23906.971874999992</v>
      </c>
      <c r="L8" s="238"/>
      <c r="M8" s="238">
        <f>K8*$C$8</f>
        <v>24504.646171874989</v>
      </c>
      <c r="N8" s="238"/>
      <c r="O8" s="238">
        <f>M8*$C$8</f>
        <v>25117.262326171862</v>
      </c>
      <c r="P8" s="238"/>
      <c r="Q8" s="238">
        <f>O8*$C$8</f>
        <v>25745.193884326156</v>
      </c>
      <c r="R8" s="238"/>
      <c r="S8" s="238">
        <f>Q8*$C$8</f>
        <v>26388.823731434306</v>
      </c>
      <c r="T8" s="238"/>
      <c r="U8" s="238">
        <f>S8*$C$8</f>
        <v>27048.544324720162</v>
      </c>
      <c r="V8" s="238"/>
      <c r="W8" s="238">
        <f>U8*$C$8</f>
        <v>27724.757932838165</v>
      </c>
      <c r="X8" s="238"/>
      <c r="Y8" s="238">
        <f>W8*$C$8</f>
        <v>28417.876881159118</v>
      </c>
      <c r="Z8" s="238"/>
      <c r="AA8" s="238">
        <f>Y8*$C$8</f>
        <v>29128.323803188094</v>
      </c>
      <c r="AB8" s="238"/>
      <c r="AC8" s="238">
        <f>AA8*$C$8</f>
        <v>29856.531898267793</v>
      </c>
      <c r="AD8" s="238"/>
      <c r="AE8" s="238">
        <f>AC8*$C$8</f>
        <v>30602.945195724486</v>
      </c>
      <c r="AF8" s="238"/>
      <c r="AG8" s="238">
        <f>AE8*$C$8</f>
        <v>31368.018825617593</v>
      </c>
    </row>
    <row r="9" spans="1:34" s="225" customFormat="1" ht="14">
      <c r="B9" s="225" t="s">
        <v>848</v>
      </c>
      <c r="C9" s="254">
        <f>IF(Application!$D$211="Special Needs",0.1,0.05)</f>
        <v>0.1</v>
      </c>
      <c r="E9" s="237">
        <f>-E8*$C$9</f>
        <v>-2220</v>
      </c>
      <c r="F9" s="237"/>
      <c r="G9" s="237">
        <f>-G8*$C$9</f>
        <v>-2275.4999999999995</v>
      </c>
      <c r="H9" s="237"/>
      <c r="I9" s="237">
        <f>-I8*$C$9</f>
        <v>-2332.3874999999994</v>
      </c>
      <c r="J9" s="237"/>
      <c r="K9" s="237">
        <f>-K8*$C$9</f>
        <v>-2390.6971874999995</v>
      </c>
      <c r="L9" s="237"/>
      <c r="M9" s="237">
        <f>-M8*$C$9</f>
        <v>-2450.4646171874988</v>
      </c>
      <c r="N9" s="237"/>
      <c r="O9" s="237">
        <f>-O8*$C$9</f>
        <v>-2511.7262326171863</v>
      </c>
      <c r="P9" s="237"/>
      <c r="Q9" s="237">
        <f>-Q8*$C$9</f>
        <v>-2574.5193884326159</v>
      </c>
      <c r="R9" s="237"/>
      <c r="S9" s="237">
        <f>-S8*$C$9</f>
        <v>-2638.8823731434309</v>
      </c>
      <c r="T9" s="237"/>
      <c r="U9" s="237">
        <f>-U8*$C$9</f>
        <v>-2704.8544324720165</v>
      </c>
      <c r="V9" s="237"/>
      <c r="W9" s="237">
        <f>-W8*$C$9</f>
        <v>-2772.4757932838165</v>
      </c>
      <c r="X9" s="237"/>
      <c r="Y9" s="237">
        <f>-Y8*$C$9</f>
        <v>-2841.7876881159118</v>
      </c>
      <c r="Z9" s="237"/>
      <c r="AA9" s="237">
        <f>-AA8*$C$9</f>
        <v>-2912.8323803188096</v>
      </c>
      <c r="AB9" s="237"/>
      <c r="AC9" s="237">
        <f>-AC8*$C$9</f>
        <v>-2985.6531898267795</v>
      </c>
      <c r="AD9" s="237"/>
      <c r="AE9" s="237">
        <f>-AE8*$C$9</f>
        <v>-3060.2945195724487</v>
      </c>
      <c r="AF9" s="237"/>
      <c r="AG9" s="237">
        <f>-AG8*$C$9</f>
        <v>-3136.8018825617596</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2856924</v>
      </c>
      <c r="G11" s="239">
        <f>SUM(G4:G10)</f>
        <v>2928347.0999999996</v>
      </c>
      <c r="I11" s="239">
        <f>SUM(I4:I10)</f>
        <v>3001555.7774999994</v>
      </c>
      <c r="K11" s="239">
        <f>SUM(K4:K10)</f>
        <v>3076594.6719374987</v>
      </c>
      <c r="M11" s="239">
        <f>SUM(M4:M10)</f>
        <v>3153509.5387359364</v>
      </c>
      <c r="O11" s="239">
        <f>SUM(O4:O10)</f>
        <v>3232347.2772043343</v>
      </c>
      <c r="Q11" s="239">
        <f>SUM(Q4:Q10)</f>
        <v>3313155.9591344427</v>
      </c>
      <c r="S11" s="239">
        <f>SUM(S4:S10)</f>
        <v>3395984.8581128032</v>
      </c>
      <c r="U11" s="239">
        <f>SUM(U4:U10)</f>
        <v>3480884.4795656232</v>
      </c>
      <c r="W11" s="239">
        <f>SUM(W4:W10)</f>
        <v>3567906.5915547637</v>
      </c>
      <c r="Y11" s="239">
        <f>SUM(Y4:Y10)</f>
        <v>3657104.256343632</v>
      </c>
      <c r="AA11" s="239">
        <f>SUM(AA4:AA10)</f>
        <v>3748531.8627522229</v>
      </c>
      <c r="AC11" s="239">
        <f>SUM(AC4:AC10)</f>
        <v>3842245.1593210278</v>
      </c>
      <c r="AE11" s="239">
        <f>SUM(AE4:AE10)</f>
        <v>3938301.2883040532</v>
      </c>
      <c r="AG11" s="239">
        <f>SUM(AG4:AG10)</f>
        <v>4036758.8205116545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331099</v>
      </c>
      <c r="G15" s="235">
        <f>E15*$C$14</f>
        <v>342687.46499999997</v>
      </c>
      <c r="I15" s="235">
        <f>G15*$C$14</f>
        <v>354681.52627499995</v>
      </c>
      <c r="K15" s="235">
        <f>I15*$C$14</f>
        <v>367095.37969462492</v>
      </c>
      <c r="M15" s="235">
        <f>K15*$C$14</f>
        <v>379943.71798393677</v>
      </c>
      <c r="O15" s="235">
        <f>M15*$C$14</f>
        <v>393241.74811337452</v>
      </c>
      <c r="Q15" s="235">
        <f>O15*$C$14</f>
        <v>407005.20929734258</v>
      </c>
      <c r="S15" s="235">
        <f>Q15*$C$14</f>
        <v>421250.39162274951</v>
      </c>
      <c r="U15" s="235">
        <f>S15*$C$14</f>
        <v>435994.15532954573</v>
      </c>
      <c r="W15" s="235">
        <f>U15*$C$14</f>
        <v>451253.95076607977</v>
      </c>
      <c r="Y15" s="235">
        <f>W15*$C$14</f>
        <v>467047.8390428925</v>
      </c>
      <c r="AA15" s="235">
        <f>Y15*$C$14</f>
        <v>483394.51340939372</v>
      </c>
      <c r="AC15" s="235">
        <f>AA15*$C$14</f>
        <v>500313.32137872244</v>
      </c>
      <c r="AE15" s="235">
        <f>AC15*$C$14</f>
        <v>517824.28762697766</v>
      </c>
      <c r="AG15" s="235">
        <f>AE15*$C$14</f>
        <v>535948.1376939218</v>
      </c>
    </row>
    <row r="16" spans="1:34" s="225" customFormat="1" ht="14">
      <c r="A16" s="225" t="s">
        <v>345</v>
      </c>
      <c r="C16" s="249"/>
      <c r="E16" s="238">
        <f>Application!W849</f>
        <v>131400</v>
      </c>
      <c r="F16" s="238"/>
      <c r="G16" s="238">
        <f t="shared" ref="G16:AG21" si="0">E16*$C$14</f>
        <v>135999</v>
      </c>
      <c r="H16" s="238"/>
      <c r="I16" s="238">
        <f t="shared" si="0"/>
        <v>140758.965</v>
      </c>
      <c r="J16" s="238"/>
      <c r="K16" s="238">
        <f t="shared" si="0"/>
        <v>145685.52877499998</v>
      </c>
      <c r="L16" s="238"/>
      <c r="M16" s="238">
        <f t="shared" si="0"/>
        <v>150784.52228212496</v>
      </c>
      <c r="N16" s="238"/>
      <c r="O16" s="238">
        <f t="shared" si="0"/>
        <v>156061.98056199931</v>
      </c>
      <c r="P16" s="238"/>
      <c r="Q16" s="238">
        <f t="shared" si="0"/>
        <v>161524.14988166929</v>
      </c>
      <c r="R16" s="238"/>
      <c r="S16" s="238">
        <f t="shared" si="0"/>
        <v>167177.49512752771</v>
      </c>
      <c r="T16" s="238"/>
      <c r="U16" s="238">
        <f t="shared" si="0"/>
        <v>173028.70745699116</v>
      </c>
      <c r="V16" s="238"/>
      <c r="W16" s="238">
        <f t="shared" si="0"/>
        <v>179084.71221798583</v>
      </c>
      <c r="X16" s="238"/>
      <c r="Y16" s="238">
        <f t="shared" si="0"/>
        <v>185352.67714561531</v>
      </c>
      <c r="Z16" s="238"/>
      <c r="AA16" s="238">
        <f t="shared" si="0"/>
        <v>191840.02084571184</v>
      </c>
      <c r="AB16" s="238"/>
      <c r="AC16" s="238">
        <f t="shared" si="0"/>
        <v>198554.42157531175</v>
      </c>
      <c r="AD16" s="238"/>
      <c r="AE16" s="238">
        <f t="shared" si="0"/>
        <v>205503.82633044763</v>
      </c>
      <c r="AF16" s="238"/>
      <c r="AG16" s="238">
        <f t="shared" si="0"/>
        <v>212696.46025201329</v>
      </c>
    </row>
    <row r="17" spans="1:33" s="225" customFormat="1" ht="14">
      <c r="A17" s="225" t="s">
        <v>569</v>
      </c>
      <c r="C17" s="249"/>
      <c r="E17" s="238">
        <f>Application!W855</f>
        <v>302000</v>
      </c>
      <c r="F17" s="238"/>
      <c r="G17" s="238">
        <f t="shared" si="0"/>
        <v>312570</v>
      </c>
      <c r="H17" s="238"/>
      <c r="I17" s="238">
        <f t="shared" si="0"/>
        <v>323509.94999999995</v>
      </c>
      <c r="J17" s="238"/>
      <c r="K17" s="238">
        <f t="shared" si="0"/>
        <v>334832.79824999993</v>
      </c>
      <c r="L17" s="238"/>
      <c r="M17" s="238">
        <f t="shared" si="0"/>
        <v>346551.94618874992</v>
      </c>
      <c r="N17" s="238"/>
      <c r="O17" s="238">
        <f t="shared" si="0"/>
        <v>358681.26430535613</v>
      </c>
      <c r="P17" s="238"/>
      <c r="Q17" s="238">
        <f t="shared" si="0"/>
        <v>371235.10855604359</v>
      </c>
      <c r="R17" s="238"/>
      <c r="S17" s="238">
        <f t="shared" si="0"/>
        <v>384228.33735550509</v>
      </c>
      <c r="T17" s="238"/>
      <c r="U17" s="238">
        <f t="shared" si="0"/>
        <v>397676.32916294772</v>
      </c>
      <c r="V17" s="238"/>
      <c r="W17" s="238">
        <f t="shared" si="0"/>
        <v>411595.00068365084</v>
      </c>
      <c r="X17" s="238"/>
      <c r="Y17" s="238">
        <f t="shared" si="0"/>
        <v>426000.82570757857</v>
      </c>
      <c r="Z17" s="238"/>
      <c r="AA17" s="238">
        <f t="shared" si="0"/>
        <v>440910.85460734379</v>
      </c>
      <c r="AB17" s="238"/>
      <c r="AC17" s="238">
        <f t="shared" si="0"/>
        <v>456342.7345186008</v>
      </c>
      <c r="AD17" s="238"/>
      <c r="AE17" s="238">
        <f t="shared" si="0"/>
        <v>472314.73022675177</v>
      </c>
      <c r="AF17" s="238"/>
      <c r="AG17" s="238">
        <f t="shared" si="0"/>
        <v>488845.74578468804</v>
      </c>
    </row>
    <row r="18" spans="1:33" s="225" customFormat="1" ht="14">
      <c r="A18" s="225" t="s">
        <v>852</v>
      </c>
      <c r="C18" s="249"/>
      <c r="E18" s="238">
        <f>Application!W862</f>
        <v>290240</v>
      </c>
      <c r="F18" s="238"/>
      <c r="G18" s="238">
        <f t="shared" si="0"/>
        <v>300398.39999999997</v>
      </c>
      <c r="H18" s="238"/>
      <c r="I18" s="238">
        <f t="shared" si="0"/>
        <v>310912.34399999992</v>
      </c>
      <c r="J18" s="238"/>
      <c r="K18" s="238">
        <f t="shared" si="0"/>
        <v>321794.27603999991</v>
      </c>
      <c r="L18" s="238"/>
      <c r="M18" s="238">
        <f t="shared" si="0"/>
        <v>333057.07570139988</v>
      </c>
      <c r="N18" s="238"/>
      <c r="O18" s="238">
        <f t="shared" si="0"/>
        <v>344714.07335094886</v>
      </c>
      <c r="P18" s="238"/>
      <c r="Q18" s="238">
        <f t="shared" si="0"/>
        <v>356779.06591823202</v>
      </c>
      <c r="R18" s="238"/>
      <c r="S18" s="238">
        <f t="shared" si="0"/>
        <v>369266.33322537009</v>
      </c>
      <c r="T18" s="238"/>
      <c r="U18" s="238">
        <f t="shared" si="0"/>
        <v>382190.65488825802</v>
      </c>
      <c r="V18" s="238"/>
      <c r="W18" s="238">
        <f t="shared" si="0"/>
        <v>395567.32780934701</v>
      </c>
      <c r="X18" s="238"/>
      <c r="Y18" s="238">
        <f t="shared" si="0"/>
        <v>409412.1842826741</v>
      </c>
      <c r="Z18" s="238"/>
      <c r="AA18" s="238">
        <f t="shared" si="0"/>
        <v>423741.61073256767</v>
      </c>
      <c r="AB18" s="238"/>
      <c r="AC18" s="238">
        <f t="shared" si="0"/>
        <v>438572.5671082075</v>
      </c>
      <c r="AD18" s="238"/>
      <c r="AE18" s="238">
        <f t="shared" si="0"/>
        <v>453922.60695699474</v>
      </c>
      <c r="AF18" s="238"/>
      <c r="AG18" s="238">
        <f t="shared" si="0"/>
        <v>469809.89820048952</v>
      </c>
    </row>
    <row r="19" spans="1:33" s="225" customFormat="1" ht="14">
      <c r="A19" s="225" t="s">
        <v>155</v>
      </c>
      <c r="C19" s="249"/>
      <c r="E19" s="238">
        <f>Application!W863</f>
        <v>86600</v>
      </c>
      <c r="F19" s="238"/>
      <c r="G19" s="238">
        <f t="shared" si="0"/>
        <v>89631</v>
      </c>
      <c r="H19" s="238"/>
      <c r="I19" s="238">
        <f t="shared" si="0"/>
        <v>92768.084999999992</v>
      </c>
      <c r="J19" s="238"/>
      <c r="K19" s="238">
        <f t="shared" si="0"/>
        <v>96014.967974999978</v>
      </c>
      <c r="L19" s="238"/>
      <c r="M19" s="238">
        <f t="shared" si="0"/>
        <v>99375.491854124964</v>
      </c>
      <c r="N19" s="238"/>
      <c r="O19" s="238">
        <f t="shared" si="0"/>
        <v>102853.63406901933</v>
      </c>
      <c r="P19" s="238"/>
      <c r="Q19" s="238">
        <f t="shared" si="0"/>
        <v>106453.51126143501</v>
      </c>
      <c r="R19" s="238"/>
      <c r="S19" s="238">
        <f t="shared" si="0"/>
        <v>110179.38415558523</v>
      </c>
      <c r="T19" s="238"/>
      <c r="U19" s="238">
        <f t="shared" si="0"/>
        <v>114035.66260103071</v>
      </c>
      <c r="V19" s="238"/>
      <c r="W19" s="238">
        <f t="shared" si="0"/>
        <v>118026.91079206677</v>
      </c>
      <c r="X19" s="238"/>
      <c r="Y19" s="238">
        <f t="shared" si="0"/>
        <v>122157.85266978911</v>
      </c>
      <c r="Z19" s="238"/>
      <c r="AA19" s="238">
        <f t="shared" si="0"/>
        <v>126433.37751323171</v>
      </c>
      <c r="AB19" s="238"/>
      <c r="AC19" s="238">
        <f t="shared" si="0"/>
        <v>130858.5457261948</v>
      </c>
      <c r="AD19" s="238"/>
      <c r="AE19" s="238">
        <f t="shared" si="0"/>
        <v>135438.5948266116</v>
      </c>
      <c r="AF19" s="238"/>
      <c r="AG19" s="238">
        <f t="shared" si="0"/>
        <v>140178.94564554299</v>
      </c>
    </row>
    <row r="20" spans="1:33" s="225" customFormat="1" ht="14">
      <c r="A20" s="225" t="s">
        <v>391</v>
      </c>
      <c r="C20" s="249"/>
      <c r="E20" s="238">
        <f>Application!W872</f>
        <v>412600</v>
      </c>
      <c r="F20" s="238"/>
      <c r="G20" s="238">
        <f t="shared" si="0"/>
        <v>427040.99999999994</v>
      </c>
      <c r="H20" s="238"/>
      <c r="I20" s="238">
        <f t="shared" si="0"/>
        <v>441987.43499999988</v>
      </c>
      <c r="J20" s="238"/>
      <c r="K20" s="238">
        <f t="shared" si="0"/>
        <v>457456.99522499985</v>
      </c>
      <c r="L20" s="238"/>
      <c r="M20" s="238">
        <f t="shared" si="0"/>
        <v>473467.99005787482</v>
      </c>
      <c r="N20" s="238"/>
      <c r="O20" s="238">
        <f t="shared" si="0"/>
        <v>490039.36970990041</v>
      </c>
      <c r="P20" s="238"/>
      <c r="Q20" s="238">
        <f t="shared" si="0"/>
        <v>507190.74764974689</v>
      </c>
      <c r="R20" s="238"/>
      <c r="S20" s="238">
        <f t="shared" si="0"/>
        <v>524942.42381748802</v>
      </c>
      <c r="T20" s="238"/>
      <c r="U20" s="238">
        <f t="shared" si="0"/>
        <v>543315.40865110001</v>
      </c>
      <c r="V20" s="238"/>
      <c r="W20" s="238">
        <f t="shared" si="0"/>
        <v>562331.44795388845</v>
      </c>
      <c r="X20" s="238"/>
      <c r="Y20" s="238">
        <f t="shared" si="0"/>
        <v>582013.0486322745</v>
      </c>
      <c r="Z20" s="238"/>
      <c r="AA20" s="238">
        <f t="shared" si="0"/>
        <v>602383.50533440406</v>
      </c>
      <c r="AB20" s="238"/>
      <c r="AC20" s="238">
        <f t="shared" si="0"/>
        <v>623466.92802110815</v>
      </c>
      <c r="AD20" s="238"/>
      <c r="AE20" s="238">
        <f t="shared" si="0"/>
        <v>645288.27050184691</v>
      </c>
      <c r="AF20" s="238"/>
      <c r="AG20" s="238">
        <f t="shared" si="0"/>
        <v>667873.35996941151</v>
      </c>
    </row>
    <row r="21" spans="1:33" s="225" customFormat="1" ht="14">
      <c r="A21" s="242" t="s">
        <v>2777</v>
      </c>
      <c r="B21" s="242"/>
      <c r="C21" s="249"/>
      <c r="E21" s="248">
        <f>Application!W879</f>
        <v>6150</v>
      </c>
      <c r="F21" s="238"/>
      <c r="G21" s="248">
        <f t="shared" si="0"/>
        <v>6365.2499999999991</v>
      </c>
      <c r="H21" s="238"/>
      <c r="I21" s="248">
        <f t="shared" si="0"/>
        <v>6588.0337499999987</v>
      </c>
      <c r="J21" s="238"/>
      <c r="K21" s="248">
        <f t="shared" si="0"/>
        <v>6818.6149312499983</v>
      </c>
      <c r="L21" s="238"/>
      <c r="M21" s="248">
        <f t="shared" si="0"/>
        <v>7057.2664538437475</v>
      </c>
      <c r="N21" s="238"/>
      <c r="O21" s="248">
        <f t="shared" si="0"/>
        <v>7304.2707797282783</v>
      </c>
      <c r="P21" s="238"/>
      <c r="Q21" s="248">
        <f t="shared" si="0"/>
        <v>7559.9202570187672</v>
      </c>
      <c r="R21" s="238"/>
      <c r="S21" s="248">
        <f t="shared" si="0"/>
        <v>7824.517466014423</v>
      </c>
      <c r="T21" s="238"/>
      <c r="U21" s="248">
        <f t="shared" si="0"/>
        <v>8098.3755773249268</v>
      </c>
      <c r="V21" s="238"/>
      <c r="W21" s="248">
        <f t="shared" si="0"/>
        <v>8381.8187225312977</v>
      </c>
      <c r="X21" s="238"/>
      <c r="Y21" s="248">
        <f t="shared" si="0"/>
        <v>8675.1823778198923</v>
      </c>
      <c r="Z21" s="238"/>
      <c r="AA21" s="248">
        <f t="shared" si="0"/>
        <v>8978.8137610435879</v>
      </c>
      <c r="AB21" s="238"/>
      <c r="AC21" s="248">
        <f t="shared" si="0"/>
        <v>9293.072242680113</v>
      </c>
      <c r="AD21" s="238"/>
      <c r="AE21" s="248">
        <f t="shared" si="0"/>
        <v>9618.329771173916</v>
      </c>
      <c r="AF21" s="238"/>
      <c r="AG21" s="248">
        <f t="shared" si="0"/>
        <v>9954.9713131650024</v>
      </c>
    </row>
    <row r="22" spans="1:33" s="239" customFormat="1" ht="14">
      <c r="A22" s="239" t="s">
        <v>853</v>
      </c>
      <c r="C22" s="249"/>
      <c r="E22" s="239">
        <f>SUM(E15:E21)</f>
        <v>1560089</v>
      </c>
      <c r="G22" s="239">
        <f>SUM(G15:G21)</f>
        <v>1614692.115</v>
      </c>
      <c r="I22" s="239">
        <f>SUM(I15:I21)</f>
        <v>1671206.3390249994</v>
      </c>
      <c r="K22" s="239">
        <f>SUM(K15:K21)</f>
        <v>1729698.5608908744</v>
      </c>
      <c r="M22" s="239">
        <f>SUM(M15:M21)</f>
        <v>1790238.0105220552</v>
      </c>
      <c r="O22" s="239">
        <f>SUM(O15:O21)</f>
        <v>1852896.3408903268</v>
      </c>
      <c r="Q22" s="239">
        <f>SUM(Q15:Q21)</f>
        <v>1917747.7128214883</v>
      </c>
      <c r="S22" s="239">
        <f>SUM(S15:S21)</f>
        <v>1984868.8827702401</v>
      </c>
      <c r="U22" s="239">
        <f>SUM(U15:U21)</f>
        <v>2054339.2936671984</v>
      </c>
      <c r="W22" s="239">
        <f>SUM(W15:W21)</f>
        <v>2126241.16894555</v>
      </c>
      <c r="Y22" s="239">
        <f>SUM(Y15:Y21)</f>
        <v>2200659.6098586437</v>
      </c>
      <c r="AA22" s="239">
        <f>SUM(AA15:AA21)</f>
        <v>2277682.6962036961</v>
      </c>
      <c r="AC22" s="239">
        <f>SUM(AC15:AC21)</f>
        <v>2357401.5905708252</v>
      </c>
      <c r="AE22" s="239">
        <f>SUM(AE15:AE21)</f>
        <v>2439910.6462408043</v>
      </c>
      <c r="AG22" s="239">
        <f>SUM(AG15:AG21)</f>
        <v>2525307.5188592323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856</v>
      </c>
      <c r="C28" s="253"/>
      <c r="E28" s="238">
        <f>Application!AC889</f>
        <v>74000</v>
      </c>
      <c r="F28" s="238"/>
      <c r="G28" s="238">
        <f>$E$28</f>
        <v>74000</v>
      </c>
      <c r="H28" s="238"/>
      <c r="I28" s="238">
        <f>$E$28</f>
        <v>74000</v>
      </c>
      <c r="J28" s="238"/>
      <c r="K28" s="238">
        <f>$E$28</f>
        <v>74000</v>
      </c>
      <c r="L28" s="238"/>
      <c r="M28" s="238">
        <f>$E$28</f>
        <v>74000</v>
      </c>
      <c r="N28" s="238"/>
      <c r="O28" s="238">
        <f>$E$28</f>
        <v>74000</v>
      </c>
      <c r="P28" s="238"/>
      <c r="Q28" s="238">
        <f>$E$28</f>
        <v>74000</v>
      </c>
      <c r="R28" s="238"/>
      <c r="S28" s="238">
        <f>$E$28</f>
        <v>74000</v>
      </c>
      <c r="T28" s="238"/>
      <c r="U28" s="238">
        <f>$E$28</f>
        <v>74000</v>
      </c>
      <c r="V28" s="238"/>
      <c r="W28" s="238">
        <f>$E$28</f>
        <v>74000</v>
      </c>
      <c r="X28" s="238"/>
      <c r="Y28" s="238">
        <f>$E$28</f>
        <v>74000</v>
      </c>
      <c r="Z28" s="238"/>
      <c r="AA28" s="238">
        <f>$E$28</f>
        <v>74000</v>
      </c>
      <c r="AB28" s="238"/>
      <c r="AC28" s="238">
        <f>$E$28</f>
        <v>74000</v>
      </c>
      <c r="AD28" s="238"/>
      <c r="AE28" s="238">
        <f>$E$28</f>
        <v>74000</v>
      </c>
      <c r="AF28" s="238"/>
      <c r="AG28" s="238">
        <f>$E$28</f>
        <v>74000</v>
      </c>
    </row>
    <row r="29" spans="1:33" s="225" customFormat="1" ht="14">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854</v>
      </c>
      <c r="C30" s="253">
        <v>1.02</v>
      </c>
      <c r="E30" s="238">
        <f>Application!AC891</f>
        <v>20600</v>
      </c>
      <c r="F30" s="238"/>
      <c r="G30" s="238">
        <f>E30*$C$30</f>
        <v>21012</v>
      </c>
      <c r="H30" s="238"/>
      <c r="I30" s="238">
        <f>G30*$C$30</f>
        <v>21432.240000000002</v>
      </c>
      <c r="J30" s="238"/>
      <c r="K30" s="238">
        <f>I30*$C$30</f>
        <v>21860.884800000003</v>
      </c>
      <c r="L30" s="238"/>
      <c r="M30" s="238">
        <f>K30*$C$30</f>
        <v>22298.102496000003</v>
      </c>
      <c r="N30" s="238"/>
      <c r="O30" s="238">
        <f>M30*$C$30</f>
        <v>22744.064545920002</v>
      </c>
      <c r="P30" s="238"/>
      <c r="Q30" s="238">
        <f>O30*$C$30</f>
        <v>23198.945836838404</v>
      </c>
      <c r="R30" s="238"/>
      <c r="S30" s="238">
        <f>Q30*$C$30</f>
        <v>23662.924753575171</v>
      </c>
      <c r="T30" s="238"/>
      <c r="U30" s="238">
        <f>S30*$C$30</f>
        <v>24136.183248646674</v>
      </c>
      <c r="V30" s="238"/>
      <c r="W30" s="238">
        <f>U30*$C$30</f>
        <v>24618.906913619609</v>
      </c>
      <c r="X30" s="238"/>
      <c r="Y30" s="238">
        <f>W30*$C$30</f>
        <v>25111.285051892002</v>
      </c>
      <c r="Z30" s="238"/>
      <c r="AA30" s="238">
        <f>Y30*$C$30</f>
        <v>25613.510752929844</v>
      </c>
      <c r="AB30" s="238"/>
      <c r="AC30" s="238">
        <f>AA30*$C$30</f>
        <v>26125.780967988441</v>
      </c>
      <c r="AD30" s="238"/>
      <c r="AE30" s="238">
        <f>AC30*$C$30</f>
        <v>26648.29658734821</v>
      </c>
      <c r="AF30" s="238"/>
      <c r="AG30" s="238">
        <f>AE30*$C$30</f>
        <v>27181.262519095173</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1654689</v>
      </c>
      <c r="G35" s="239">
        <f>SUM(G22:G33)</f>
        <v>1709704.115</v>
      </c>
      <c r="I35" s="239">
        <f>SUM(I22:I33)</f>
        <v>1766638.5790249994</v>
      </c>
      <c r="K35" s="239">
        <f>SUM(K22:K33)</f>
        <v>1825559.4456908745</v>
      </c>
      <c r="M35" s="239">
        <f>SUM(M22:M33)</f>
        <v>1886536.1130180552</v>
      </c>
      <c r="O35" s="239">
        <f>SUM(O22:O33)</f>
        <v>1949640.4054362467</v>
      </c>
      <c r="Q35" s="239">
        <f>SUM(Q22:Q33)</f>
        <v>2014946.6586583266</v>
      </c>
      <c r="S35" s="239">
        <f>SUM(S22:S33)</f>
        <v>2082531.8075238152</v>
      </c>
      <c r="U35" s="239">
        <f>SUM(U22:U33)</f>
        <v>2152475.4769158447</v>
      </c>
      <c r="W35" s="239">
        <f>SUM(W22:W33)</f>
        <v>2224860.0758591695</v>
      </c>
      <c r="Y35" s="239">
        <f>SUM(Y22:Y33)</f>
        <v>2299770.8949105358</v>
      </c>
      <c r="AA35" s="239">
        <f>SUM(AA22:AA33)</f>
        <v>2377296.2069566259</v>
      </c>
      <c r="AC35" s="239">
        <f>SUM(AC22:AC33)</f>
        <v>2457527.3715388137</v>
      </c>
      <c r="AE35" s="239">
        <f>SUM(AE22:AE33)</f>
        <v>2540558.9428281523</v>
      </c>
      <c r="AG35" s="239">
        <f>SUM(AG22:AG33)</f>
        <v>2626488.7813783274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1202235</v>
      </c>
      <c r="G37" s="239">
        <f>G11-G35</f>
        <v>1218642.9849999996</v>
      </c>
      <c r="I37" s="239">
        <f>I11-I35</f>
        <v>1234917.198475</v>
      </c>
      <c r="K37" s="239">
        <f>K11-K35</f>
        <v>1251035.2262466243</v>
      </c>
      <c r="M37" s="239">
        <f>M11-M35</f>
        <v>1266973.4257178812</v>
      </c>
      <c r="O37" s="239">
        <f>O11-O35</f>
        <v>1282706.8717680876</v>
      </c>
      <c r="Q37" s="239">
        <f>Q11-Q35</f>
        <v>1298209.3004761161</v>
      </c>
      <c r="S37" s="239">
        <f>S11-S35</f>
        <v>1313453.050588988</v>
      </c>
      <c r="U37" s="239">
        <f>U11-U35</f>
        <v>1328409.0026497785</v>
      </c>
      <c r="W37" s="239">
        <f>W11-W35</f>
        <v>1343046.5156955943</v>
      </c>
      <c r="Y37" s="239">
        <f>Y11-Y35</f>
        <v>1357333.3614330962</v>
      </c>
      <c r="AA37" s="239">
        <f>AA11-AA35</f>
        <v>1371235.655795597</v>
      </c>
      <c r="AC37" s="239">
        <f>AC11-AC35</f>
        <v>1384717.7877822141</v>
      </c>
      <c r="AE37" s="239">
        <f>AE11-AE35</f>
        <v>1397742.3454759009</v>
      </c>
      <c r="AG37" s="239">
        <f>AG11-AG35</f>
        <v>1410270.0391333271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906048</v>
      </c>
      <c r="F40" s="238"/>
      <c r="G40" s="238">
        <f>$E$40</f>
        <v>906048</v>
      </c>
      <c r="H40" s="238"/>
      <c r="I40" s="238">
        <f>$E$40</f>
        <v>906048</v>
      </c>
      <c r="J40" s="238"/>
      <c r="K40" s="238">
        <f>$E$40</f>
        <v>906048</v>
      </c>
      <c r="L40" s="238"/>
      <c r="M40" s="238">
        <f>$E$40</f>
        <v>906048</v>
      </c>
      <c r="N40" s="238"/>
      <c r="O40" s="238">
        <f>$E$40</f>
        <v>906048</v>
      </c>
      <c r="P40" s="238"/>
      <c r="Q40" s="238">
        <f>$E$40</f>
        <v>906048</v>
      </c>
      <c r="R40" s="238"/>
      <c r="S40" s="238">
        <f>$E$40</f>
        <v>906048</v>
      </c>
      <c r="T40" s="238"/>
      <c r="U40" s="238">
        <f>$E$40</f>
        <v>906048</v>
      </c>
      <c r="V40" s="238"/>
      <c r="W40" s="238">
        <f>$E$40</f>
        <v>906048</v>
      </c>
      <c r="X40" s="238"/>
      <c r="Y40" s="238">
        <f>$E$40</f>
        <v>906048</v>
      </c>
      <c r="Z40" s="238"/>
      <c r="AA40" s="238">
        <f>$E$40</f>
        <v>906048</v>
      </c>
      <c r="AB40" s="238"/>
      <c r="AC40" s="238">
        <f>$E$40</f>
        <v>906048</v>
      </c>
      <c r="AD40" s="238"/>
      <c r="AE40" s="238">
        <f>$E$40</f>
        <v>906048</v>
      </c>
      <c r="AF40" s="238"/>
      <c r="AG40" s="238">
        <f>$E$40</f>
        <v>906048</v>
      </c>
    </row>
    <row r="41" spans="1:33" s="225" customFormat="1" ht="14">
      <c r="A41" s="241" t="s">
        <v>2776</v>
      </c>
      <c r="B41" s="242"/>
      <c r="C41" s="236"/>
      <c r="E41" s="238">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990048</v>
      </c>
      <c r="G43" s="239">
        <f>SUM(G40:G42)</f>
        <v>990048</v>
      </c>
      <c r="I43" s="239">
        <f>SUM(I40:I42)</f>
        <v>990048</v>
      </c>
      <c r="K43" s="239">
        <f>SUM(K40:K42)</f>
        <v>990048</v>
      </c>
      <c r="M43" s="239">
        <f>SUM(M40:M42)</f>
        <v>990048</v>
      </c>
      <c r="O43" s="239">
        <f>SUM(O40:O42)</f>
        <v>990048</v>
      </c>
      <c r="Q43" s="239">
        <f>SUM(Q40:Q42)</f>
        <v>990048</v>
      </c>
      <c r="S43" s="239">
        <f>SUM(S40:S42)</f>
        <v>990048</v>
      </c>
      <c r="U43" s="239">
        <f>SUM(U40:U42)</f>
        <v>990048</v>
      </c>
      <c r="W43" s="239">
        <f>SUM(W40:W42)</f>
        <v>990048</v>
      </c>
      <c r="Y43" s="239">
        <f>SUM(Y40:Y42)</f>
        <v>990048</v>
      </c>
      <c r="AA43" s="239">
        <f>SUM(AA40:AA42)</f>
        <v>990048</v>
      </c>
      <c r="AC43" s="239">
        <f>SUM(AC40:AC42)</f>
        <v>990048</v>
      </c>
      <c r="AE43" s="239">
        <f>SUM(AE40:AE42)</f>
        <v>990048</v>
      </c>
      <c r="AG43" s="239">
        <f>SUM(AG40:AG42)</f>
        <v>990048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212187</v>
      </c>
      <c r="G45" s="239">
        <f>G37-G43</f>
        <v>228594.98499999964</v>
      </c>
      <c r="I45" s="239">
        <f>I37-I43</f>
        <v>244869.19847499998</v>
      </c>
      <c r="K45" s="239">
        <f>K37-K43</f>
        <v>260987.22624662425</v>
      </c>
      <c r="M45" s="239">
        <f>M37-M43</f>
        <v>276925.42571788118</v>
      </c>
      <c r="O45" s="239">
        <f>O37-O43</f>
        <v>292658.87176808761</v>
      </c>
      <c r="Q45" s="239">
        <f>Q37-Q43</f>
        <v>308161.30047611613</v>
      </c>
      <c r="S45" s="239">
        <f>S37-S43</f>
        <v>323405.050588988</v>
      </c>
      <c r="U45" s="239">
        <f>U37-U43</f>
        <v>338361.0026497785</v>
      </c>
      <c r="W45" s="239">
        <f>W37-W43</f>
        <v>352998.51569559425</v>
      </c>
      <c r="Y45" s="239">
        <f>Y37-Y43</f>
        <v>367285.36143309623</v>
      </c>
      <c r="AA45" s="239">
        <f>AA37-AA43</f>
        <v>381187.65579559701</v>
      </c>
      <c r="AC45" s="239">
        <f>AC37-AC43</f>
        <v>394669.78778221412</v>
      </c>
      <c r="AE45" s="239">
        <f>AE37-AE43</f>
        <v>407694.34547590092</v>
      </c>
      <c r="AG45" s="239">
        <f>AG37-AG43</f>
        <v>420222.03913332708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6.6844025252334335E-2</v>
      </c>
      <c r="G47" s="243">
        <f>G45/(G4+G6+G8)</f>
        <v>7.025652338139822E-2</v>
      </c>
      <c r="I47" s="243">
        <f>I45/(I4+I6+I8)</f>
        <v>7.3422683089719804E-2</v>
      </c>
      <c r="K47" s="243">
        <f>K45/(K4+K6+K8)</f>
        <v>7.6346912306793968E-2</v>
      </c>
      <c r="M47" s="243">
        <f>M45/(M4+M6+M8)</f>
        <v>7.9033495882811389E-2</v>
      </c>
      <c r="O47" s="243">
        <f>O45/(O4+O6+O8)</f>
        <v>8.1486598438484659E-2</v>
      </c>
      <c r="Q47" s="243">
        <f>Q45/(Q4+Q6+Q8)</f>
        <v>8.3710267143886755E-2</v>
      </c>
      <c r="S47" s="243">
        <f>S45/(S4+S6+S8)</f>
        <v>8.570843442801386E-2</v>
      </c>
      <c r="U47" s="243">
        <f>U45/(U4+U6+U8)</f>
        <v>8.7484920620750403E-2</v>
      </c>
      <c r="W47" s="243">
        <f>W45/(W4+W6+W8)</f>
        <v>8.9043436528867578E-2</v>
      </c>
      <c r="Y47" s="243">
        <f>Y45/(Y4+Y6+Y8)</f>
        <v>9.0387585947652699E-2</v>
      </c>
      <c r="AA47" s="243">
        <f>AA45/(AA4+AA6+AA8)</f>
        <v>9.1520868109722153E-2</v>
      </c>
      <c r="AC47" s="243">
        <f>AC45/(AC4+AC6+AC8)</f>
        <v>9.2446680072533802E-2</v>
      </c>
      <c r="AE47" s="243">
        <f>AE45/(AE4+AE6+AE8)</f>
        <v>9.3168319046082776E-2</v>
      </c>
      <c r="AG47" s="243">
        <f>AG45/(AG4+AG6+AG8)</f>
        <v>9.3688984662219171E-2</v>
      </c>
    </row>
    <row r="48" spans="1:33" s="243" customFormat="1" ht="14">
      <c r="A48" s="243" t="s">
        <v>862</v>
      </c>
      <c r="C48" s="236"/>
      <c r="E48" s="243">
        <f>E45/E43</f>
        <v>0.21431991176185397</v>
      </c>
      <c r="G48" s="243">
        <f>G45/G43</f>
        <v>0.23089283044862435</v>
      </c>
      <c r="I48" s="243">
        <f>I45/I43</f>
        <v>0.24733063293395874</v>
      </c>
      <c r="K48" s="243">
        <f>K45/K43</f>
        <v>0.26361067973131025</v>
      </c>
      <c r="M48" s="243">
        <f>M45/M43</f>
        <v>0.27970909058740706</v>
      </c>
      <c r="O48" s="243">
        <f>O45/O43</f>
        <v>0.29560068983330873</v>
      </c>
      <c r="Q48" s="243">
        <f>Q45/Q43</f>
        <v>0.31125894954195771</v>
      </c>
      <c r="S48" s="243">
        <f>S45/S43</f>
        <v>0.32665593040841251</v>
      </c>
      <c r="U48" s="243">
        <f>U45/U43</f>
        <v>0.34176222026586439</v>
      </c>
      <c r="W48" s="243">
        <f>W45/W43</f>
        <v>0.35654687014730019</v>
      </c>
      <c r="Y48" s="243">
        <f>Y45/Y43</f>
        <v>0.37097732779935544</v>
      </c>
      <c r="AA48" s="243">
        <f>AA45/AA43</f>
        <v>0.38501936855142077</v>
      </c>
      <c r="AC48" s="243">
        <f>AC45/AC43</f>
        <v>0.39863702343948387</v>
      </c>
      <c r="AE48" s="243">
        <f>AE45/AE43</f>
        <v>0.41179250448049076</v>
      </c>
      <c r="AG48" s="243">
        <f>AG45/AG43</f>
        <v>0.42444612698912282</v>
      </c>
    </row>
    <row r="49" spans="1:35" s="244" customFormat="1" ht="14">
      <c r="A49" s="244" t="s">
        <v>860</v>
      </c>
      <c r="C49" s="245"/>
      <c r="E49" s="244">
        <f>E37/E43</f>
        <v>1.2143199117618539</v>
      </c>
      <c r="G49" s="244">
        <f>G37/G43</f>
        <v>1.2308928304486244</v>
      </c>
      <c r="I49" s="244">
        <f>I37/I43</f>
        <v>1.2473306329339588</v>
      </c>
      <c r="K49" s="244">
        <f>K37/K43</f>
        <v>1.2636106797313102</v>
      </c>
      <c r="M49" s="244">
        <f>M37/M43</f>
        <v>1.2797090905874071</v>
      </c>
      <c r="O49" s="244">
        <f>O37/O43</f>
        <v>1.2956006898333088</v>
      </c>
      <c r="Q49" s="244">
        <f>Q37/Q43</f>
        <v>1.3112589495419578</v>
      </c>
      <c r="S49" s="244">
        <f>S37/S43</f>
        <v>1.3266559304084125</v>
      </c>
      <c r="U49" s="244">
        <f>U37/U43</f>
        <v>1.3417622202658643</v>
      </c>
      <c r="W49" s="244">
        <f>W37/W43</f>
        <v>1.3565468701473002</v>
      </c>
      <c r="Y49" s="244">
        <f>Y37/Y43</f>
        <v>1.3709773277993553</v>
      </c>
      <c r="AA49" s="244">
        <f>AA37/AA43</f>
        <v>1.3850193685514207</v>
      </c>
      <c r="AC49" s="244">
        <f>AC37/AC43</f>
        <v>1.3986370234394838</v>
      </c>
      <c r="AE49" s="244">
        <f>AE37/AE43</f>
        <v>1.4117925044804909</v>
      </c>
      <c r="AG49" s="244">
        <f>AG37/AG43</f>
        <v>1.4244461269891229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2787</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15000</v>
      </c>
      <c r="G53" s="995">
        <f>E53*$C$53</f>
        <v>15000</v>
      </c>
      <c r="I53" s="995">
        <f>G53*$C$53</f>
        <v>15000</v>
      </c>
      <c r="K53" s="995">
        <f>I53*$C$53</f>
        <v>15000</v>
      </c>
      <c r="M53" s="995">
        <f>K53*$C$53</f>
        <v>15000</v>
      </c>
      <c r="O53" s="995">
        <f>M53*$C$53</f>
        <v>15000</v>
      </c>
      <c r="Q53" s="995">
        <f>O53*$C$53</f>
        <v>15000</v>
      </c>
      <c r="S53" s="995">
        <f>Q53*$C$53</f>
        <v>15000</v>
      </c>
      <c r="U53" s="995">
        <f>S53*$C$53</f>
        <v>15000</v>
      </c>
      <c r="W53" s="995">
        <f>U53*$C$53</f>
        <v>15000</v>
      </c>
      <c r="Y53" s="995">
        <f>W53*$C$53</f>
        <v>15000</v>
      </c>
      <c r="AA53" s="995">
        <f>Y53*$C$53</f>
        <v>15000</v>
      </c>
      <c r="AC53" s="995">
        <f>AA53*$C$53</f>
        <v>15000</v>
      </c>
      <c r="AE53" s="995">
        <f>AC53*$C$53</f>
        <v>15000</v>
      </c>
      <c r="AG53" s="995">
        <f>AE53*$C$53</f>
        <v>15000</v>
      </c>
    </row>
    <row r="54" spans="1:35" s="3" customFormat="1">
      <c r="A54" s="3" t="s">
        <v>865</v>
      </c>
      <c r="C54" s="993"/>
      <c r="E54" s="1000">
        <v>10000</v>
      </c>
      <c r="F54" s="995"/>
      <c r="G54" s="995">
        <f t="shared" ref="G54:AG57" si="1">E54*$C$53</f>
        <v>10000</v>
      </c>
      <c r="H54" s="995"/>
      <c r="I54" s="995">
        <f t="shared" si="1"/>
        <v>10000</v>
      </c>
      <c r="J54" s="995"/>
      <c r="K54" s="995">
        <f t="shared" si="1"/>
        <v>10000</v>
      </c>
      <c r="L54" s="995"/>
      <c r="M54" s="995">
        <f t="shared" si="1"/>
        <v>10000</v>
      </c>
      <c r="N54" s="995"/>
      <c r="O54" s="995">
        <f t="shared" si="1"/>
        <v>10000</v>
      </c>
      <c r="P54" s="995"/>
      <c r="Q54" s="995">
        <f t="shared" si="1"/>
        <v>10000</v>
      </c>
      <c r="R54" s="995"/>
      <c r="S54" s="995">
        <f t="shared" si="1"/>
        <v>10000</v>
      </c>
      <c r="T54" s="995"/>
      <c r="U54" s="995">
        <f t="shared" si="1"/>
        <v>10000</v>
      </c>
      <c r="V54" s="995"/>
      <c r="W54" s="995">
        <f t="shared" si="1"/>
        <v>10000</v>
      </c>
      <c r="X54" s="995"/>
      <c r="Y54" s="995">
        <f t="shared" si="1"/>
        <v>10000</v>
      </c>
      <c r="Z54" s="995"/>
      <c r="AA54" s="995">
        <f t="shared" si="1"/>
        <v>10000</v>
      </c>
      <c r="AB54" s="995"/>
      <c r="AC54" s="995">
        <f t="shared" si="1"/>
        <v>10000</v>
      </c>
      <c r="AD54" s="995"/>
      <c r="AE54" s="995">
        <f t="shared" si="1"/>
        <v>10000</v>
      </c>
      <c r="AF54" s="995"/>
      <c r="AG54" s="995">
        <f t="shared" si="1"/>
        <v>10000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25000</v>
      </c>
      <c r="F58" s="995"/>
      <c r="G58" s="995">
        <f>SUM(G53:G57)</f>
        <v>25000</v>
      </c>
      <c r="H58" s="995"/>
      <c r="I58" s="995">
        <f>SUM(I53:I57)</f>
        <v>25000</v>
      </c>
      <c r="J58" s="995"/>
      <c r="K58" s="995">
        <f>SUM(K53:K57)</f>
        <v>25000</v>
      </c>
      <c r="L58" s="995"/>
      <c r="M58" s="995">
        <f>SUM(M53:M57)</f>
        <v>25000</v>
      </c>
      <c r="N58" s="995"/>
      <c r="O58" s="995">
        <f>SUM(O53:O57)</f>
        <v>25000</v>
      </c>
      <c r="P58" s="995"/>
      <c r="Q58" s="995">
        <f>SUM(Q53:Q57)</f>
        <v>25000</v>
      </c>
      <c r="R58" s="995"/>
      <c r="S58" s="995">
        <f>SUM(S53:S57)</f>
        <v>25000</v>
      </c>
      <c r="T58" s="995"/>
      <c r="U58" s="995">
        <f>SUM(U53:U57)</f>
        <v>25000</v>
      </c>
      <c r="V58" s="995"/>
      <c r="W58" s="995">
        <f>SUM(W53:W57)</f>
        <v>25000</v>
      </c>
      <c r="X58" s="995"/>
      <c r="Y58" s="995">
        <f>SUM(Y53:Y57)</f>
        <v>25000</v>
      </c>
      <c r="Z58" s="995"/>
      <c r="AA58" s="995">
        <f>SUM(AA53:AA57)</f>
        <v>25000</v>
      </c>
      <c r="AB58" s="995"/>
      <c r="AC58" s="995">
        <f>SUM(AC53:AC57)</f>
        <v>25000</v>
      </c>
      <c r="AD58" s="995"/>
      <c r="AE58" s="995">
        <f>SUM(AE53:AE57)</f>
        <v>25000</v>
      </c>
      <c r="AF58" s="995"/>
      <c r="AG58" s="995">
        <f>SUM(AG53:AG57)</f>
        <v>25000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187187</v>
      </c>
      <c r="G60" s="997">
        <f>G45-G58</f>
        <v>203594.98499999964</v>
      </c>
      <c r="I60" s="997">
        <f>I45-I58</f>
        <v>219869.19847499998</v>
      </c>
      <c r="K60" s="997">
        <f>K45-K58</f>
        <v>235987.22624662425</v>
      </c>
      <c r="M60" s="997">
        <f>M45-M58</f>
        <v>251925.42571788118</v>
      </c>
      <c r="O60" s="997">
        <f>O45-O58</f>
        <v>267658.87176808761</v>
      </c>
      <c r="Q60" s="997">
        <f>Q45-Q58</f>
        <v>283161.30047611613</v>
      </c>
      <c r="S60" s="997">
        <f>S45-S58</f>
        <v>298405.050588988</v>
      </c>
      <c r="U60" s="997">
        <f>U45-U58</f>
        <v>313361.0026497785</v>
      </c>
      <c r="W60" s="997">
        <f>W45-W58</f>
        <v>327998.51569559425</v>
      </c>
      <c r="Y60" s="997">
        <f>Y45-Y58</f>
        <v>342285.36143309623</v>
      </c>
      <c r="AA60" s="997">
        <f>AA45-AA58</f>
        <v>356187.65579559701</v>
      </c>
      <c r="AC60" s="997">
        <f>AC45-AC58</f>
        <v>369669.78778221412</v>
      </c>
      <c r="AE60" s="997">
        <f>AE45-AE58</f>
        <v>382694.34547590092</v>
      </c>
      <c r="AG60" s="997">
        <f>AG45-AG58</f>
        <v>395222.03913332708</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9" t="s">
        <v>1288</v>
      </c>
      <c r="B63" s="2679"/>
      <c r="C63" s="2679"/>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2735</v>
      </c>
      <c r="C66" s="998"/>
      <c r="E66" s="999">
        <f>$E60*0.25</f>
        <v>46796.75</v>
      </c>
      <c r="G66" s="995">
        <f>G60*$C$65</f>
        <v>50898.746249999909</v>
      </c>
      <c r="I66" s="995">
        <f>I60*$C$65</f>
        <v>54967.299618749996</v>
      </c>
      <c r="K66" s="995">
        <f>K60*$C$65</f>
        <v>58996.806561656063</v>
      </c>
      <c r="M66" s="995">
        <f>M60*$C$65</f>
        <v>62981.356429470296</v>
      </c>
      <c r="O66" s="995">
        <f>O60*$C$65</f>
        <v>66914.717942021904</v>
      </c>
      <c r="Q66" s="995">
        <f>Q60*$C$65</f>
        <v>70790.325119029032</v>
      </c>
      <c r="S66" s="995">
        <f>S60*$C$65</f>
        <v>74601.262647247</v>
      </c>
      <c r="U66" s="995">
        <f>U60*$C$65</f>
        <v>78340.250662444625</v>
      </c>
      <c r="W66" s="995">
        <f>W60*$C$65</f>
        <v>81999.628923898563</v>
      </c>
      <c r="Y66" s="995">
        <f>Y60*$C$65</f>
        <v>85571.340358274058</v>
      </c>
      <c r="AA66" s="995">
        <f>AA60*$C$65</f>
        <v>89046.913948899251</v>
      </c>
      <c r="AC66" s="995">
        <f>AC60*$C$65</f>
        <v>92417.446945553529</v>
      </c>
      <c r="AE66" s="995">
        <f>AE60*$C$65</f>
        <v>95673.58636897523</v>
      </c>
      <c r="AG66" s="995">
        <f>AG60*$C$65</f>
        <v>98805.50978333177</v>
      </c>
    </row>
    <row r="67" spans="1:35" s="995" customFormat="1">
      <c r="A67" s="1000"/>
      <c r="B67" s="1000" t="s">
        <v>2732</v>
      </c>
      <c r="C67" s="1005"/>
      <c r="E67" s="999">
        <f>$E60*0.25</f>
        <v>46796.75</v>
      </c>
      <c r="G67" s="995">
        <f>G60*$C$65</f>
        <v>50898.746249999909</v>
      </c>
      <c r="I67" s="995">
        <f>I60*$C$65</f>
        <v>54967.299618749996</v>
      </c>
      <c r="K67" s="995">
        <f>K60*$C$65</f>
        <v>58996.806561656063</v>
      </c>
      <c r="M67" s="995">
        <f>M60*$C$65</f>
        <v>62981.356429470296</v>
      </c>
      <c r="O67" s="995">
        <f>O60*$C$65</f>
        <v>66914.717942021904</v>
      </c>
      <c r="Q67" s="995">
        <f>Q60*$C$65</f>
        <v>70790.325119029032</v>
      </c>
      <c r="S67" s="995">
        <f>S60*$C$65</f>
        <v>74601.262647247</v>
      </c>
      <c r="U67" s="995">
        <f>U60*$C$65</f>
        <v>78340.250662444625</v>
      </c>
      <c r="W67" s="995">
        <f>W60*$C$65</f>
        <v>81999.628923898563</v>
      </c>
      <c r="Y67" s="995">
        <f>Y60*$C$65</f>
        <v>85571.340358274058</v>
      </c>
      <c r="AA67" s="995">
        <f>AA60*$C$65</f>
        <v>89046.913948899251</v>
      </c>
      <c r="AC67" s="995">
        <f>AC60*$C$65</f>
        <v>92417.446945553529</v>
      </c>
      <c r="AE67" s="995">
        <f>AE60*$C$65</f>
        <v>95673.58636897523</v>
      </c>
      <c r="AG67" s="995">
        <f>AG60*$C$65</f>
        <v>98805.50978333177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93593.5</v>
      </c>
      <c r="G70" s="995">
        <f>SUM(G66:G69)</f>
        <v>101797.49249999982</v>
      </c>
      <c r="I70" s="995">
        <f>SUM(I66:I69)</f>
        <v>109934.59923749999</v>
      </c>
      <c r="K70" s="995">
        <f>SUM(K66:K69)</f>
        <v>117993.61312331213</v>
      </c>
      <c r="M70" s="995">
        <f>SUM(M66:M69)</f>
        <v>125962.71285894059</v>
      </c>
      <c r="O70" s="995">
        <f>SUM(O66:O69)</f>
        <v>133829.43588404381</v>
      </c>
      <c r="Q70" s="995">
        <f>SUM(Q66:Q69)</f>
        <v>141580.65023805806</v>
      </c>
      <c r="S70" s="995">
        <f>SUM(S66:S69)</f>
        <v>149202.525294494</v>
      </c>
      <c r="U70" s="995">
        <f>SUM(U66:U69)</f>
        <v>156680.50132488925</v>
      </c>
      <c r="W70" s="995">
        <f>SUM(W66:W69)</f>
        <v>163999.25784779713</v>
      </c>
      <c r="Y70" s="995">
        <f>SUM(Y66:Y69)</f>
        <v>171142.68071654812</v>
      </c>
      <c r="AA70" s="995">
        <f>SUM(AA66:AA69)</f>
        <v>178093.8278977985</v>
      </c>
      <c r="AC70" s="995">
        <f>SUM(AC66:AC69)</f>
        <v>184834.89389110706</v>
      </c>
      <c r="AE70" s="995">
        <f>SUM(AE66:AE69)</f>
        <v>191347.17273795046</v>
      </c>
      <c r="AG70" s="995">
        <f>SUM(AG66:AG69)</f>
        <v>197611.01956666354</v>
      </c>
    </row>
    <row r="71" spans="1:35" s="995" customFormat="1">
      <c r="A71" s="997"/>
      <c r="C71" s="1005"/>
    </row>
    <row r="72" spans="1:35" s="995" customFormat="1">
      <c r="A72" s="997" t="s">
        <v>1911</v>
      </c>
      <c r="C72" s="1005"/>
      <c r="E72" s="997">
        <f>E60-E62-E70</f>
        <v>93593.5</v>
      </c>
      <c r="G72" s="997">
        <f>G60-G62-G70</f>
        <v>101797.49249999982</v>
      </c>
      <c r="I72" s="997">
        <f>I60-I62-I70</f>
        <v>109934.59923749999</v>
      </c>
      <c r="K72" s="997">
        <f>K60-K62-K70</f>
        <v>117993.61312331213</v>
      </c>
      <c r="M72" s="997">
        <f>M60-M62-M70</f>
        <v>125962.71285894059</v>
      </c>
      <c r="O72" s="997">
        <f>O60-O62-O70</f>
        <v>133829.43588404381</v>
      </c>
      <c r="Q72" s="997">
        <f>Q60-Q62-Q70</f>
        <v>141580.65023805806</v>
      </c>
      <c r="S72" s="997">
        <f>S60-S62-S70</f>
        <v>149202.525294494</v>
      </c>
      <c r="U72" s="997">
        <f>U60-U62-U70</f>
        <v>156680.50132488925</v>
      </c>
      <c r="W72" s="997">
        <f>W60-W62-W70</f>
        <v>163999.25784779713</v>
      </c>
      <c r="Y72" s="997">
        <f>Y60-Y62-Y70</f>
        <v>171142.68071654812</v>
      </c>
      <c r="AA72" s="997">
        <f>AA60-AA62-AA70</f>
        <v>178093.8278977985</v>
      </c>
      <c r="AC72" s="997">
        <f>AC60-AC62-AC70</f>
        <v>184834.89389110706</v>
      </c>
      <c r="AE72" s="997">
        <f>AE60-AE62-AE70</f>
        <v>191347.17273795046</v>
      </c>
      <c r="AG72" s="997">
        <f>AG60-AG62-AG70</f>
        <v>197611.01956666354</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1321</v>
      </c>
      <c r="D1" s="301"/>
    </row>
    <row r="2" spans="1:7" s="296" customFormat="1" ht="12.95">
      <c r="A2" s="279" t="s">
        <v>902</v>
      </c>
      <c r="B2" s="281"/>
      <c r="C2" s="281"/>
      <c r="D2" s="278"/>
      <c r="E2" s="282"/>
      <c r="F2" s="281"/>
    </row>
    <row r="3" spans="1:7" s="379" customFormat="1" ht="80.3"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10555000</v>
      </c>
      <c r="C5" s="286">
        <f>'Sources and Uses Budget'!$C4</f>
        <v>10555000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10555000</v>
      </c>
      <c r="C9" s="290">
        <f>SUM(C5:C8)</f>
        <v>10555000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500000</v>
      </c>
      <c r="C11" s="286">
        <f>'Sources and Uses Budget'!$C10</f>
        <v>500000</v>
      </c>
      <c r="D11" s="290">
        <f t="shared" si="0"/>
        <v>0</v>
      </c>
      <c r="E11" s="288"/>
      <c r="F11" s="287"/>
      <c r="G11" s="383"/>
    </row>
    <row r="12" spans="1:7" s="380" customFormat="1">
      <c r="A12" s="396" t="s">
        <v>604</v>
      </c>
      <c r="B12" s="290">
        <f>SUM(B10:B11)</f>
        <v>500000</v>
      </c>
      <c r="C12" s="290">
        <f>SUM(C10:C11)</f>
        <v>500000</v>
      </c>
      <c r="D12" s="290">
        <f t="shared" si="0"/>
        <v>0</v>
      </c>
      <c r="E12" s="288"/>
      <c r="F12" s="287"/>
      <c r="G12" s="383"/>
    </row>
    <row r="13" spans="1:7" s="380" customFormat="1">
      <c r="A13" s="396" t="s">
        <v>84</v>
      </c>
      <c r="B13" s="290">
        <f>SUM(B9+B12)</f>
        <v>11055000</v>
      </c>
      <c r="C13" s="290">
        <f>SUM(C9+C12)</f>
        <v>11055000</v>
      </c>
      <c r="D13" s="290">
        <f t="shared" si="0"/>
        <v>0</v>
      </c>
      <c r="E13" s="288"/>
      <c r="F13" s="287"/>
      <c r="G13" s="383"/>
    </row>
    <row r="14" spans="1:7" s="380" customFormat="1">
      <c r="A14" s="397" t="s">
        <v>916</v>
      </c>
      <c r="B14" s="286">
        <f>'Sources and Uses Budget'!$C13</f>
        <v>1500000</v>
      </c>
      <c r="C14" s="286">
        <f>'Sources and Uses Budget'!$C13</f>
        <v>1500000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76550</v>
      </c>
      <c r="C28" s="286">
        <f>'Sources and Uses Budget'!$C$27</f>
        <v>76550</v>
      </c>
      <c r="D28" s="290">
        <f t="shared" si="0"/>
        <v>0</v>
      </c>
      <c r="E28" s="288"/>
      <c r="F28" s="287"/>
      <c r="G28" s="383"/>
    </row>
    <row r="29" spans="1:7" s="380" customFormat="1" ht="12.95">
      <c r="A29" s="284" t="s">
        <v>142</v>
      </c>
      <c r="B29" s="284"/>
      <c r="C29" s="284"/>
      <c r="D29" s="284"/>
      <c r="E29" s="303"/>
      <c r="F29" s="284"/>
      <c r="G29" s="383"/>
    </row>
    <row r="30" spans="1:7" s="380" customFormat="1">
      <c r="A30" s="145" t="s">
        <v>606</v>
      </c>
      <c r="B30" s="286">
        <f>'Sources and Uses Budget'!$C29</f>
        <v>3108000</v>
      </c>
      <c r="C30" s="286">
        <f>'Sources and Uses Budget'!$C29</f>
        <v>3108000</v>
      </c>
      <c r="D30" s="290">
        <f t="shared" si="0"/>
        <v>0</v>
      </c>
      <c r="E30" s="288"/>
      <c r="F30" s="287"/>
      <c r="G30" s="383"/>
    </row>
    <row r="31" spans="1:7" s="380" customFormat="1">
      <c r="A31" s="145" t="s">
        <v>607</v>
      </c>
      <c r="B31" s="286">
        <f>'Sources and Uses Budget'!$C30</f>
        <v>41287428</v>
      </c>
      <c r="C31" s="286">
        <f>'Sources and Uses Budget'!$C30</f>
        <v>41287428</v>
      </c>
      <c r="D31" s="290">
        <f t="shared" si="0"/>
        <v>0</v>
      </c>
      <c r="E31" s="288"/>
      <c r="F31" s="287"/>
      <c r="G31" s="383"/>
    </row>
    <row r="32" spans="1:7" s="380" customFormat="1">
      <c r="A32" s="145" t="s">
        <v>608</v>
      </c>
      <c r="B32" s="286">
        <f>'Sources and Uses Budget'!$C31</f>
        <v>2693726</v>
      </c>
      <c r="C32" s="286">
        <f>'Sources and Uses Budget'!$C31</f>
        <v>2693726</v>
      </c>
      <c r="D32" s="290">
        <f t="shared" si="0"/>
        <v>0</v>
      </c>
      <c r="E32" s="288"/>
      <c r="F32" s="287"/>
      <c r="G32" s="383"/>
    </row>
    <row r="33" spans="1:7" s="380" customFormat="1">
      <c r="A33" s="145" t="s">
        <v>137</v>
      </c>
      <c r="B33" s="286">
        <f>'Sources and Uses Budget'!$C32</f>
        <v>951783</v>
      </c>
      <c r="C33" s="286">
        <f>'Sources and Uses Budget'!$C32</f>
        <v>951783</v>
      </c>
      <c r="D33" s="290">
        <f t="shared" si="0"/>
        <v>0</v>
      </c>
      <c r="E33" s="288"/>
      <c r="F33" s="287"/>
      <c r="G33" s="383"/>
    </row>
    <row r="34" spans="1:7" s="380" customFormat="1">
      <c r="A34" s="145" t="s">
        <v>138</v>
      </c>
      <c r="B34" s="286">
        <f>'Sources and Uses Budget'!$C33</f>
        <v>2855349</v>
      </c>
      <c r="C34" s="286">
        <f>'Sources and Uses Budget'!$C33</f>
        <v>2855349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1130700</v>
      </c>
      <c r="C36" s="286">
        <f>'Sources and Uses Budget'!$C35</f>
        <v>1130700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52026986</v>
      </c>
      <c r="C39" s="290">
        <f>SUM(C30:C38)</f>
        <v>52026986</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885000</v>
      </c>
      <c r="C41" s="286">
        <f>'Sources and Uses Budget'!$C40</f>
        <v>885000</v>
      </c>
      <c r="D41" s="290">
        <f t="shared" si="0"/>
        <v>0</v>
      </c>
      <c r="E41" s="288"/>
      <c r="F41" s="287"/>
      <c r="G41" s="383"/>
    </row>
    <row r="42" spans="1:7" s="380" customFormat="1">
      <c r="A42" s="289" t="s">
        <v>146</v>
      </c>
      <c r="B42" s="286">
        <f>'Sources and Uses Budget'!$C41</f>
        <v>200000</v>
      </c>
      <c r="C42" s="286">
        <f>'Sources and Uses Budget'!$C41</f>
        <v>200000</v>
      </c>
      <c r="D42" s="290">
        <f t="shared" si="0"/>
        <v>0</v>
      </c>
      <c r="E42" s="288"/>
      <c r="F42" s="287"/>
      <c r="G42" s="383"/>
    </row>
    <row r="43" spans="1:7" s="380" customFormat="1">
      <c r="A43" s="291" t="s">
        <v>147</v>
      </c>
      <c r="B43" s="290">
        <f>SUM(B41:B42)</f>
        <v>1085000</v>
      </c>
      <c r="C43" s="290">
        <f>SUM(C41:C42)</f>
        <v>1085000</v>
      </c>
      <c r="D43" s="290">
        <f t="shared" si="0"/>
        <v>0</v>
      </c>
      <c r="E43" s="288"/>
      <c r="F43" s="287"/>
      <c r="G43" s="383"/>
    </row>
    <row r="44" spans="1:7" s="380" customFormat="1">
      <c r="A44" s="291" t="s">
        <v>148</v>
      </c>
      <c r="B44" s="286">
        <f>'Sources and Uses Budget'!$C43</f>
        <v>450000</v>
      </c>
      <c r="C44" s="286">
        <f>'Sources and Uses Budget'!$C43</f>
        <v>450000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5720000</v>
      </c>
      <c r="C46" s="286">
        <f>'Sources and Uses Budget'!$C45</f>
        <v>5720000</v>
      </c>
      <c r="D46" s="290">
        <f t="shared" si="0"/>
        <v>0</v>
      </c>
      <c r="E46" s="288"/>
      <c r="F46" s="287"/>
      <c r="G46" s="383"/>
    </row>
    <row r="47" spans="1:7" s="380" customFormat="1">
      <c r="A47" s="145" t="s">
        <v>151</v>
      </c>
      <c r="B47" s="286">
        <f>'Sources and Uses Budget'!$C46</f>
        <v>460000</v>
      </c>
      <c r="C47" s="286">
        <f>'Sources and Uses Budget'!$C46</f>
        <v>460000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Lender Costs (Legal, etc)</v>
      </c>
      <c r="B54" s="286">
        <f>'Sources and Uses Budget'!$C53</f>
        <v>150000</v>
      </c>
      <c r="C54" s="286">
        <f>'Sources and Uses Budget'!$C53</f>
        <v>150000</v>
      </c>
      <c r="D54" s="290">
        <f t="shared" si="0"/>
        <v>0</v>
      </c>
      <c r="E54" s="288"/>
      <c r="F54" s="287"/>
      <c r="G54" s="383"/>
    </row>
    <row r="55" spans="1:7" s="381" customFormat="1">
      <c r="A55" s="291" t="s">
        <v>157</v>
      </c>
      <c r="B55" s="293">
        <f>SUM(B46:B54)</f>
        <v>6550000</v>
      </c>
      <c r="C55" s="293">
        <f>SUM(C46:C54)</f>
        <v>6550000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60750</v>
      </c>
      <c r="C57" s="286">
        <f>'Sources and Uses Budget'!$C56</f>
        <v>60750</v>
      </c>
      <c r="D57" s="290">
        <f t="shared" si="0"/>
        <v>0</v>
      </c>
      <c r="E57" s="288"/>
      <c r="F57" s="287"/>
      <c r="G57" s="383"/>
    </row>
    <row r="58" spans="1:7" s="380" customFormat="1" ht="12.05" customHeight="1">
      <c r="A58" s="289" t="s">
        <v>152</v>
      </c>
      <c r="B58" s="286">
        <f>'Sources and Uses Budget'!$C57</f>
        <v>25000</v>
      </c>
      <c r="C58" s="286">
        <f>'Sources and Uses Budget'!$C57</f>
        <v>25000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85750</v>
      </c>
      <c r="C63" s="290">
        <f>SUM(C57:C62)</f>
        <v>85750</v>
      </c>
      <c r="D63" s="290">
        <f t="shared" si="0"/>
        <v>0</v>
      </c>
      <c r="E63" s="288"/>
      <c r="F63" s="287"/>
      <c r="G63" s="383"/>
    </row>
    <row r="64" spans="1:7" s="380" customFormat="1" ht="12.95">
      <c r="A64" s="294" t="s">
        <v>303</v>
      </c>
      <c r="B64" s="290">
        <f>SUM(B9+B12+B14+B15+B17+B26+B28+B39+B43+B44+B55+B63)</f>
        <v>72829286</v>
      </c>
      <c r="C64" s="290">
        <f>SUM(C9+C12+C14+C15+C17+C26+C28+C39+C43+C44+C55+C63)</f>
        <v>72829286</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70000</v>
      </c>
      <c r="C66" s="286">
        <f>'Sources and Uses Budget'!$C65</f>
        <v>70000</v>
      </c>
      <c r="D66" s="290">
        <f t="shared" si="0"/>
        <v>0</v>
      </c>
      <c r="E66" s="288"/>
      <c r="F66" s="287"/>
      <c r="G66" s="383"/>
    </row>
    <row r="67" spans="1:7" s="380" customFormat="1" ht="22.8">
      <c r="A67" s="304" t="s">
        <v>1752</v>
      </c>
      <c r="B67" s="286">
        <f>'Sources and Uses Budget'!$C66</f>
        <v>160000</v>
      </c>
      <c r="C67" s="286">
        <f>'Sources and Uses Budget'!$C66</f>
        <v>160000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f>'Sources and Uses Budget'!A69</f>
        <v>0</v>
      </c>
      <c r="B70" s="286">
        <f>'Sources and Uses Budget'!$C69</f>
        <v>0</v>
      </c>
      <c r="C70" s="286">
        <f>'Sources and Uses Budget'!$C69</f>
        <v>0</v>
      </c>
      <c r="D70" s="290">
        <f t="shared" si="0"/>
        <v>0</v>
      </c>
      <c r="E70" s="288"/>
      <c r="F70" s="287"/>
      <c r="G70" s="383"/>
    </row>
    <row r="71" spans="1:7" s="380" customFormat="1">
      <c r="A71" s="149" t="s">
        <v>1756</v>
      </c>
      <c r="B71" s="290">
        <f>SUM(B66:B70)</f>
        <v>230000</v>
      </c>
      <c r="C71" s="290">
        <f>SUM(C66:C70)</f>
        <v>230000</v>
      </c>
      <c r="D71" s="290">
        <f t="shared" si="0"/>
        <v>0</v>
      </c>
      <c r="E71" s="288"/>
      <c r="F71" s="287"/>
      <c r="G71" s="383"/>
    </row>
    <row r="72" spans="1:7" s="380" customFormat="1" ht="12.95">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1005</v>
      </c>
      <c r="B75" s="286">
        <f>'Sources and Uses Budget'!$C74</f>
        <v>1247000</v>
      </c>
      <c r="C75" s="286">
        <f>'Sources and Uses Budget'!$C74</f>
        <v>1247000</v>
      </c>
      <c r="D75" s="290">
        <f t="shared" si="0"/>
        <v>0</v>
      </c>
      <c r="E75" s="288"/>
      <c r="F75" s="287"/>
      <c r="G75" s="383"/>
    </row>
    <row r="76" spans="1:7" s="380" customFormat="1">
      <c r="A76" s="289" t="s">
        <v>613</v>
      </c>
      <c r="B76" s="286">
        <f>'Sources and Uses Budget'!$C75</f>
        <v>661184</v>
      </c>
      <c r="C76" s="286">
        <f>'Sources and Uses Budget'!$C75</f>
        <v>661184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1908184</v>
      </c>
      <c r="C78" s="290">
        <f>SUM(C73:C77)</f>
        <v>1908184</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5140000</v>
      </c>
      <c r="C80" s="286">
        <f>'Sources and Uses Budget'!$C79</f>
        <v>5140000</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1313</v>
      </c>
      <c r="B82" s="290">
        <f>SUM(B80:B81)</f>
        <v>5940000</v>
      </c>
      <c r="C82" s="290">
        <f>SUM(C80:C81)</f>
        <v>5940000</v>
      </c>
      <c r="D82" s="290">
        <f t="shared" si="1"/>
        <v>0</v>
      </c>
      <c r="E82" s="288"/>
      <c r="F82" s="287"/>
      <c r="G82" s="383"/>
    </row>
    <row r="83" spans="1:7" s="380" customFormat="1" ht="12.95">
      <c r="A83" s="284" t="s">
        <v>773</v>
      </c>
      <c r="B83" s="284"/>
      <c r="C83" s="284"/>
      <c r="D83" s="284"/>
      <c r="E83" s="303"/>
      <c r="F83" s="284"/>
      <c r="G83" s="383"/>
    </row>
    <row r="84" spans="1:7" s="380" customFormat="1" ht="13.75" customHeight="1">
      <c r="A84" s="289" t="s">
        <v>774</v>
      </c>
      <c r="B84" s="286">
        <f>'Sources and Uses Budget'!$C83</f>
        <v>99366</v>
      </c>
      <c r="C84" s="286">
        <f>'Sources and Uses Budget'!$C83</f>
        <v>99366</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1497800</v>
      </c>
      <c r="C86" s="286">
        <f>'Sources and Uses Budget'!$C85</f>
        <v>1497800</v>
      </c>
      <c r="D86" s="290">
        <f t="shared" si="1"/>
        <v>0</v>
      </c>
      <c r="E86" s="288"/>
      <c r="F86" s="287"/>
      <c r="G86" s="383"/>
    </row>
    <row r="87" spans="1:7" s="380" customFormat="1">
      <c r="A87" s="289" t="s">
        <v>777</v>
      </c>
      <c r="B87" s="286">
        <f>'Sources and Uses Budget'!$C86</f>
        <v>0</v>
      </c>
      <c r="C87" s="286">
        <f>'Sources and Uses Budget'!$C86</f>
        <v>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111837</v>
      </c>
      <c r="C89" s="286">
        <f>'Sources and Uses Budget'!$C88</f>
        <v>111837</v>
      </c>
      <c r="D89" s="290">
        <f t="shared" si="1"/>
        <v>0</v>
      </c>
      <c r="E89" s="288"/>
      <c r="F89" s="287"/>
      <c r="G89" s="383"/>
    </row>
    <row r="90" spans="1:7" s="380" customFormat="1">
      <c r="A90" s="289" t="s">
        <v>780</v>
      </c>
      <c r="B90" s="286">
        <f>'Sources and Uses Budget'!$C89</f>
        <v>438000</v>
      </c>
      <c r="C90" s="286">
        <f>'Sources and Uses Budget'!$C89</f>
        <v>438000</v>
      </c>
      <c r="D90" s="290">
        <f t="shared" si="1"/>
        <v>0</v>
      </c>
      <c r="E90" s="288"/>
      <c r="F90" s="287"/>
      <c r="G90" s="383"/>
    </row>
    <row r="91" spans="1:7" s="380" customFormat="1">
      <c r="A91" s="289" t="s">
        <v>781</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40000</v>
      </c>
      <c r="C94" s="286">
        <f>'Sources and Uses Budget'!$C93</f>
        <v>40000</v>
      </c>
      <c r="D94" s="290">
        <f t="shared" si="1"/>
        <v>0</v>
      </c>
      <c r="E94" s="288"/>
      <c r="F94" s="287"/>
      <c r="G94" s="383"/>
    </row>
    <row r="95" spans="1:7" s="380" customFormat="1">
      <c r="A95" s="292" t="s">
        <v>34</v>
      </c>
      <c r="B95" s="286">
        <f>'Sources and Uses Budget'!$C94</f>
        <v>430000</v>
      </c>
      <c r="C95" s="286">
        <f>'Sources and Uses Budget'!$C94</f>
        <v>430000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2647003</v>
      </c>
      <c r="C97" s="290">
        <f>SUM(C84:C96)</f>
        <v>2647003</v>
      </c>
      <c r="D97" s="290">
        <f t="shared" si="1"/>
        <v>0</v>
      </c>
      <c r="E97" s="288"/>
      <c r="F97" s="287"/>
      <c r="G97" s="383"/>
    </row>
    <row r="98" spans="1:7" s="380" customFormat="1">
      <c r="A98" s="291" t="s">
        <v>783</v>
      </c>
      <c r="B98" s="290">
        <f>SUM(B64+B71+B78+B82+B97)</f>
        <v>83554473</v>
      </c>
      <c r="C98" s="290">
        <f>SUM(C64+C71+C78+C82+C97)</f>
        <v>83554473</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3500000</v>
      </c>
      <c r="C100" s="286">
        <f>'Sources and Uses Budget'!$C99</f>
        <v>3500000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3500000</v>
      </c>
      <c r="C105" s="290">
        <f>SUM(C100:C104)</f>
        <v>3500000</v>
      </c>
      <c r="D105" s="290">
        <f t="shared" si="1"/>
        <v>0</v>
      </c>
      <c r="E105" s="288"/>
      <c r="F105" s="287"/>
      <c r="G105" s="383"/>
    </row>
    <row r="106" spans="1:7" s="380" customFormat="1">
      <c r="A106" s="291" t="s">
        <v>788</v>
      </c>
      <c r="B106" s="293">
        <f>SUM(B98+B105)</f>
        <v>87054473</v>
      </c>
      <c r="C106" s="293">
        <f>SUM(C98+C105)</f>
        <v>87054473</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308</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599</v>
      </c>
    </row>
    <row r="7" spans="1:9" ht="11.9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35"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3.5">
      <c r="A17" s="176"/>
      <c r="B17" s="468" t="s">
        <v>308</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1150</v>
      </c>
      <c r="E21" s="1311"/>
      <c r="F21" s="1311"/>
    </row>
    <row r="22" spans="1:6" ht="13.5">
      <c r="A22" s="176"/>
      <c r="B22" s="176"/>
      <c r="D22" s="35"/>
    </row>
    <row r="23" spans="1:6" ht="13.5">
      <c r="A23" s="176"/>
      <c r="B23" s="468" t="s">
        <v>308</v>
      </c>
      <c r="D23" s="1268" t="s">
        <v>1151</v>
      </c>
      <c r="E23" s="1268"/>
      <c r="F23" s="1268"/>
    </row>
    <row r="24" spans="1:6" ht="13.5">
      <c r="A24" s="176"/>
      <c r="B24" s="176"/>
      <c r="D24" s="1268"/>
      <c r="E24" s="1268"/>
      <c r="F24" s="1268"/>
    </row>
    <row r="25" spans="1:6"/>
    <row r="26" spans="1:6" ht="13.5">
      <c r="A26" s="176"/>
      <c r="B26" s="468"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1153</v>
      </c>
      <c r="E32" s="1268"/>
      <c r="F32" s="1268"/>
    </row>
    <row r="33" spans="1:6">
      <c r="D33" s="1268"/>
      <c r="E33" s="1268"/>
      <c r="F33" s="1268"/>
    </row>
    <row r="34" spans="1:6" ht="13.5">
      <c r="A34" s="176"/>
      <c r="B34" s="176"/>
      <c r="D34" s="220"/>
    </row>
    <row r="35" spans="1:6" ht="14.5" customHeight="1">
      <c r="A35" s="176"/>
      <c r="B35" s="468" t="s">
        <v>308</v>
      </c>
      <c r="D35" s="1268" t="s">
        <v>1154</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1155</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1156</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5" customHeight="1">
      <c r="A50" s="176"/>
      <c r="B50" s="468" t="s">
        <v>308</v>
      </c>
      <c r="D50" s="1268" t="s">
        <v>1157</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1158</v>
      </c>
      <c r="E54" s="1268"/>
      <c r="F54" s="1268"/>
      <c r="G54" s="3"/>
    </row>
    <row r="55" spans="1:7" ht="13.5">
      <c r="A55" s="176"/>
      <c r="B55" s="176"/>
      <c r="C55" s="385"/>
      <c r="D55" s="1268"/>
      <c r="E55" s="1268"/>
      <c r="F55" s="1268"/>
      <c r="G55" s="3"/>
    </row>
    <row r="56" spans="1:7">
      <c r="D56" s="220"/>
    </row>
    <row r="57" spans="1:7" ht="13.5">
      <c r="A57" s="176"/>
      <c r="B57" s="468" t="s">
        <v>308</v>
      </c>
      <c r="D57" s="1268" t="s">
        <v>1159</v>
      </c>
      <c r="E57" s="1268"/>
      <c r="F57" s="1268"/>
    </row>
    <row r="58" spans="1:7">
      <c r="D58" s="1268"/>
      <c r="E58" s="1268"/>
      <c r="F58" s="1268"/>
    </row>
    <row r="59" spans="1:7">
      <c r="D59" s="1268"/>
      <c r="E59" s="1268"/>
      <c r="F59" s="1268"/>
    </row>
    <row r="60" spans="1:7">
      <c r="D60" s="3"/>
    </row>
    <row r="61" spans="1:7" ht="13.5">
      <c r="A61" s="176"/>
      <c r="B61" s="468" t="s">
        <v>308</v>
      </c>
      <c r="D61" s="1268" t="s">
        <v>1160</v>
      </c>
      <c r="E61" s="1268"/>
      <c r="F61" s="1268"/>
    </row>
    <row r="62" spans="1:7">
      <c r="D62" s="1268"/>
      <c r="E62" s="1268"/>
      <c r="F62" s="1268"/>
    </row>
    <row r="63" spans="1:7"/>
    <row r="64" spans="1:7" ht="13.5">
      <c r="A64" s="176"/>
      <c r="B64" s="468" t="s">
        <v>308</v>
      </c>
      <c r="D64" s="1268" t="s">
        <v>1161</v>
      </c>
      <c r="E64" s="1268"/>
      <c r="F64" s="1268"/>
    </row>
    <row r="65" spans="1:7">
      <c r="D65" s="1268"/>
      <c r="E65" s="1268"/>
      <c r="F65" s="1268"/>
    </row>
    <row r="66" spans="1:7">
      <c r="D66" s="1268"/>
      <c r="E66" s="1268"/>
      <c r="F66" s="1268"/>
    </row>
    <row r="67" spans="1:7">
      <c r="D67"/>
    </row>
    <row r="68" spans="1:7" ht="13.5">
      <c r="A68" s="176"/>
      <c r="B68" s="468" t="s">
        <v>308</v>
      </c>
      <c r="D68" s="1268" t="s">
        <v>1162</v>
      </c>
      <c r="E68" s="1268"/>
      <c r="F68" s="1268"/>
    </row>
    <row r="69" spans="1:7">
      <c r="D69" s="1268"/>
      <c r="E69" s="1268"/>
      <c r="F69" s="1268"/>
    </row>
    <row r="70" spans="1:7" ht="13.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3.5">
      <c r="A76" s="176"/>
      <c r="B76" s="468" t="s">
        <v>308</v>
      </c>
      <c r="D76" s="1268" t="s">
        <v>1168</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5" customHeight="1">
      <c r="A83" s="176"/>
      <c r="B83" s="468" t="s">
        <v>308</v>
      </c>
      <c r="D83" s="1277" t="s">
        <v>1267</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1169</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1170</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1171</v>
      </c>
      <c r="E114" s="1306"/>
      <c r="F114" s="1306"/>
      <c r="G114"/>
    </row>
    <row r="115" spans="1:7" ht="13.5">
      <c r="A115" s="176"/>
      <c r="B115" s="176"/>
      <c r="C115"/>
      <c r="D115" s="1306"/>
      <c r="E115" s="1306"/>
      <c r="F115" s="1306"/>
      <c r="G115"/>
    </row>
    <row r="116" spans="1:7"/>
    <row r="117" spans="1:7" ht="13.5">
      <c r="A117" s="176"/>
      <c r="B117" s="468"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1173</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308</v>
      </c>
      <c r="D136" s="1268" t="s">
        <v>1281</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308</v>
      </c>
      <c r="C156" s="218"/>
      <c r="D156" s="1277" t="s">
        <v>1174</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308</v>
      </c>
      <c r="C159" s="218"/>
      <c r="D159" s="1277" t="s">
        <v>1175</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308</v>
      </c>
      <c r="D164" s="1282" t="s">
        <v>1176</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1070</v>
      </c>
      <c r="B168" s="1283"/>
      <c r="C168" s="1283"/>
      <c r="D168" s="1283"/>
      <c r="E168" s="1283"/>
      <c r="F168" s="1283"/>
      <c r="G168" s="1283"/>
    </row>
    <row r="169" spans="1:7" ht="12.05" customHeight="1">
      <c r="D169" s="35"/>
      <c r="E169" s="35"/>
      <c r="F169" s="35"/>
    </row>
    <row r="170" spans="1:7">
      <c r="B170" s="1300" t="s">
        <v>448</v>
      </c>
      <c r="C170" s="1300"/>
      <c r="D170" s="1300"/>
      <c r="E170" s="1300"/>
      <c r="F170" s="1300"/>
    </row>
    <row r="171" spans="1:7" ht="12.05" customHeight="1">
      <c r="A171" s="172"/>
      <c r="B171" s="172"/>
      <c r="C171" s="172"/>
    </row>
    <row r="172" spans="1:7">
      <c r="A172" s="1283" t="s">
        <v>1071</v>
      </c>
      <c r="B172" s="1283"/>
      <c r="C172" s="1283"/>
      <c r="D172" s="1283"/>
      <c r="E172" s="1283"/>
      <c r="F172" s="1283"/>
      <c r="G172" s="1283"/>
    </row>
    <row r="173" spans="1:7" ht="12.05" customHeight="1">
      <c r="A173" s="2"/>
      <c r="B173" s="2"/>
      <c r="E173" s="2"/>
    </row>
    <row r="174" spans="1:7" ht="13.35"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05" customHeight="1">
      <c r="A177" s="2"/>
      <c r="B177" s="2"/>
      <c r="E177" s="2"/>
    </row>
    <row r="178" spans="1:7" ht="13.5">
      <c r="A178" s="176"/>
      <c r="B178" s="468" t="s">
        <v>308</v>
      </c>
      <c r="D178" s="1295" t="s">
        <v>1178</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3.5">
      <c r="A186" s="176"/>
      <c r="B186" s="468" t="s">
        <v>308</v>
      </c>
      <c r="C186" s="385"/>
      <c r="D186" s="1268" t="s">
        <v>1177</v>
      </c>
      <c r="E186" s="1268"/>
      <c r="F186" s="1268"/>
      <c r="G186" s="3"/>
    </row>
    <row r="187" spans="1:7" ht="14.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1201</v>
      </c>
      <c r="E194" s="1287"/>
      <c r="F194" s="1287"/>
    </row>
    <row r="195" spans="1:6" ht="12.05" customHeight="1">
      <c r="A195" s="13"/>
      <c r="B195" s="13"/>
      <c r="C195" s="13"/>
    </row>
    <row r="196" spans="1:6" ht="13.35" customHeight="1">
      <c r="A196" s="13"/>
      <c r="C196" s="13"/>
      <c r="D196" s="1284" t="s">
        <v>554</v>
      </c>
      <c r="E196" s="1284"/>
      <c r="F196" s="1284"/>
    </row>
    <row r="197" spans="1:6" ht="13.5">
      <c r="A197" s="176"/>
      <c r="B197" s="468" t="s">
        <v>308</v>
      </c>
      <c r="D197" s="1268" t="s">
        <v>1195</v>
      </c>
      <c r="E197" s="1268"/>
      <c r="F197" s="1268"/>
    </row>
    <row r="198" spans="1:6" ht="13.5">
      <c r="A198" s="176"/>
      <c r="B198" s="176"/>
      <c r="D198" s="1268"/>
      <c r="E198" s="1268"/>
      <c r="F198" s="1268"/>
    </row>
    <row r="199" spans="1:6"/>
    <row r="200" spans="1:6" ht="13.5">
      <c r="A200" s="176"/>
      <c r="B200" s="468" t="s">
        <v>308</v>
      </c>
      <c r="D200" s="1268" t="s">
        <v>1196</v>
      </c>
      <c r="E200" s="1268"/>
      <c r="F200" s="1268"/>
    </row>
    <row r="201" spans="1:6" ht="13.5">
      <c r="A201" s="176"/>
      <c r="B201" s="176"/>
      <c r="D201" s="1268"/>
      <c r="E201" s="1268"/>
      <c r="F201" s="1268"/>
    </row>
    <row r="202" spans="1:6" ht="13.5">
      <c r="A202" s="176"/>
      <c r="B202" s="176"/>
      <c r="D202" s="1268"/>
      <c r="E202" s="1268"/>
      <c r="F202" s="1268"/>
    </row>
    <row r="203" spans="1:6" ht="5.05" customHeight="1">
      <c r="A203" s="176"/>
      <c r="B203" s="176"/>
      <c r="D203" s="35"/>
      <c r="E203" s="35"/>
      <c r="F203" s="35"/>
    </row>
    <row r="204" spans="1:6" ht="13.5">
      <c r="A204" s="176"/>
      <c r="B204" s="176"/>
      <c r="D204" s="1268" t="s">
        <v>1197</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1198</v>
      </c>
      <c r="E210" s="1268"/>
      <c r="F210" s="1268"/>
    </row>
    <row r="211" spans="1:7" ht="13.5">
      <c r="A211" s="176"/>
      <c r="B211" s="176"/>
      <c r="D211" s="1268"/>
      <c r="E211" s="1268"/>
      <c r="F211" s="1268"/>
    </row>
    <row r="212" spans="1:7" ht="13.5">
      <c r="A212" s="176"/>
      <c r="B212" s="176"/>
      <c r="D212" s="1300" t="s">
        <v>908</v>
      </c>
      <c r="E212" s="1300"/>
      <c r="F212" s="1300"/>
    </row>
    <row r="213" spans="1:7" ht="13.5">
      <c r="A213" s="176"/>
      <c r="B213" s="176"/>
      <c r="D213" s="35"/>
      <c r="E213" s="35"/>
      <c r="F213" s="35"/>
    </row>
    <row r="214" spans="1:7" ht="14.5" customHeight="1">
      <c r="A214" s="176"/>
      <c r="B214" s="468" t="s">
        <v>308</v>
      </c>
      <c r="D214" s="1268" t="s">
        <v>1200</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1199</v>
      </c>
      <c r="E220" s="1268"/>
      <c r="F220" s="1268"/>
    </row>
    <row r="221" spans="1:7" ht="13.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1203</v>
      </c>
      <c r="E228" s="1286"/>
      <c r="F228" s="1286"/>
    </row>
    <row r="229" spans="1:6" ht="13.5">
      <c r="A229" s="176"/>
      <c r="B229" s="176"/>
      <c r="D229" s="1286"/>
      <c r="E229" s="1286"/>
      <c r="F229" s="1286"/>
    </row>
    <row r="230" spans="1:6">
      <c r="D230" s="35"/>
      <c r="E230" s="35"/>
      <c r="F230" s="35"/>
    </row>
    <row r="231" spans="1:6" ht="14.5" customHeight="1">
      <c r="A231" s="176"/>
      <c r="B231" s="468" t="s">
        <v>308</v>
      </c>
      <c r="D231" s="1268" t="s">
        <v>1204</v>
      </c>
      <c r="E231" s="1268"/>
      <c r="F231" s="1268"/>
    </row>
    <row r="232" spans="1:6">
      <c r="D232" s="1268"/>
      <c r="E232" s="1268"/>
      <c r="F232" s="1268"/>
    </row>
    <row r="233" spans="1:6">
      <c r="D233" s="1287" t="s">
        <v>900</v>
      </c>
      <c r="E233" s="1287"/>
      <c r="F233" s="1287"/>
    </row>
    <row r="234" spans="1:6">
      <c r="D234" s="35"/>
      <c r="E234" s="35"/>
      <c r="F234" s="35"/>
    </row>
    <row r="235" spans="1:6" ht="14.5" customHeight="1">
      <c r="A235" s="176"/>
      <c r="B235" s="468"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1208</v>
      </c>
      <c r="E251" s="1290"/>
      <c r="F251" s="1290"/>
    </row>
    <row r="252" spans="1:7">
      <c r="E252" s="35"/>
      <c r="F252" s="35"/>
    </row>
    <row r="253" spans="1:7" ht="13.5">
      <c r="A253" s="176"/>
      <c r="B253" s="468" t="s">
        <v>308</v>
      </c>
      <c r="D253" s="1268" t="s">
        <v>1209</v>
      </c>
      <c r="E253" s="1268"/>
      <c r="F253" s="1268"/>
    </row>
    <row r="254" spans="1:7" ht="13.5">
      <c r="A254" s="176"/>
      <c r="B254" s="176"/>
      <c r="D254" s="1268"/>
      <c r="E254" s="1268"/>
      <c r="F254" s="1268"/>
    </row>
    <row r="255" spans="1:7">
      <c r="D255" s="35"/>
      <c r="E255" s="35"/>
      <c r="F255" s="35"/>
    </row>
    <row r="256" spans="1:7" ht="13.5">
      <c r="A256" s="176"/>
      <c r="B256" s="468" t="s">
        <v>308</v>
      </c>
      <c r="D256" s="1268" t="s">
        <v>1210</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1211</v>
      </c>
      <c r="E260" s="1268"/>
      <c r="F260" s="1268"/>
    </row>
    <row r="261" spans="1:7" ht="13.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308</v>
      </c>
      <c r="D268" s="1279" t="s">
        <v>1213</v>
      </c>
      <c r="E268" s="1279"/>
      <c r="F268" s="1279"/>
    </row>
    <row r="269" spans="1:7" ht="13.5">
      <c r="A269" s="176"/>
      <c r="B269" s="176"/>
      <c r="D269" s="341"/>
      <c r="E269" s="342"/>
      <c r="F269" s="342"/>
    </row>
    <row r="270" spans="1:7" ht="13.35" customHeight="1">
      <c r="B270" s="468" t="s">
        <v>308</v>
      </c>
      <c r="D270" s="1288" t="s">
        <v>1214</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35" customHeight="1">
      <c r="B276" s="468" t="s">
        <v>308</v>
      </c>
      <c r="D276" s="1288" t="s">
        <v>1215</v>
      </c>
      <c r="E276" s="1288"/>
      <c r="F276" s="1288"/>
    </row>
    <row r="277" spans="1:6">
      <c r="D277" s="1288"/>
      <c r="E277" s="1288"/>
      <c r="F277" s="1288"/>
    </row>
    <row r="278" spans="1:6" ht="13.5">
      <c r="A278" s="176"/>
      <c r="B278" s="176"/>
      <c r="D278" s="341"/>
      <c r="E278" s="342"/>
      <c r="F278" s="342"/>
    </row>
    <row r="279" spans="1:6">
      <c r="B279" s="468" t="s">
        <v>308</v>
      </c>
      <c r="D279" s="1279" t="s">
        <v>1216</v>
      </c>
      <c r="E279" s="1279"/>
      <c r="F279" s="1279"/>
    </row>
    <row r="280" spans="1:6">
      <c r="E280" s="35"/>
      <c r="F280" s="35"/>
    </row>
    <row r="281" spans="1:6" ht="13.5">
      <c r="A281" s="176"/>
      <c r="B281" s="468" t="s">
        <v>308</v>
      </c>
      <c r="D281" s="1268" t="s">
        <v>1217</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996</v>
      </c>
      <c r="E314" s="1291"/>
      <c r="F314" s="1291"/>
      <c r="G314"/>
    </row>
    <row r="315" spans="1:7" ht="12.95" thickTop="1">
      <c r="D315" s="1292" t="s">
        <v>1220</v>
      </c>
      <c r="E315" s="1292"/>
      <c r="F315" s="1292"/>
      <c r="G315"/>
    </row>
    <row r="316" spans="1:7">
      <c r="A316" s="218"/>
      <c r="B316" s="218"/>
      <c r="C316" s="218"/>
      <c r="D316" s="220"/>
      <c r="E316" s="220"/>
      <c r="F316" s="35"/>
      <c r="G316"/>
    </row>
    <row r="317" spans="1:7" ht="13.5">
      <c r="A317" s="176"/>
      <c r="B317" s="468" t="s">
        <v>308</v>
      </c>
      <c r="C317" s="218"/>
      <c r="D317" s="1281" t="s">
        <v>1221</v>
      </c>
      <c r="E317" s="1281"/>
      <c r="F317" s="1281"/>
      <c r="G317"/>
    </row>
    <row r="318" spans="1:7">
      <c r="A318" s="218"/>
      <c r="B318" s="218"/>
      <c r="C318" s="218"/>
      <c r="D318" s="220"/>
      <c r="E318" s="220"/>
      <c r="F318" s="35"/>
      <c r="G318"/>
    </row>
    <row r="319" spans="1:7">
      <c r="A319" s="218"/>
      <c r="B319" s="468" t="s">
        <v>308</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3000000000000007" customHeight="1">
      <c r="A344" s="218"/>
      <c r="B344" s="218"/>
      <c r="C344" s="218"/>
      <c r="D344" s="1277"/>
      <c r="E344" s="1277"/>
      <c r="F344" s="1277"/>
      <c r="G344"/>
    </row>
    <row r="345" spans="1:7" ht="13.35"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1227</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1228</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1232</v>
      </c>
      <c r="E416" s="1268"/>
      <c r="F416" s="1268"/>
      <c r="G416"/>
    </row>
    <row r="417" spans="1:7">
      <c r="D417" s="1268"/>
      <c r="E417" s="1268"/>
      <c r="F417" s="1268"/>
      <c r="G417"/>
    </row>
    <row r="418" spans="1:7">
      <c r="D418" s="35"/>
      <c r="E418" s="35"/>
      <c r="F418" s="35"/>
      <c r="G418"/>
    </row>
    <row r="419" spans="1:7" ht="13.5">
      <c r="B419" s="468"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3.5">
      <c r="A445" s="176"/>
      <c r="B445" s="176"/>
      <c r="D445" s="1281" t="s">
        <v>1236</v>
      </c>
      <c r="E445" s="1281"/>
      <c r="F445" s="1281"/>
    </row>
    <row r="446" spans="1:7" ht="13.5">
      <c r="A446" s="176"/>
      <c r="B446" s="176"/>
      <c r="D446" s="481"/>
      <c r="E446" s="3"/>
      <c r="F446" s="3"/>
    </row>
    <row r="447" spans="1:7" ht="13.5">
      <c r="A447" s="176"/>
      <c r="B447" s="468" t="s">
        <v>308</v>
      </c>
      <c r="D447" s="1277" t="s">
        <v>1237</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1238</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1239</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1240</v>
      </c>
      <c r="E459" s="1279"/>
      <c r="F459" s="1279"/>
      <c r="G459"/>
    </row>
    <row r="460" spans="1:7" ht="13.5">
      <c r="A460" s="176"/>
      <c r="B460" s="176"/>
      <c r="D460" s="118"/>
      <c r="E460" s="3"/>
      <c r="F460" s="3"/>
      <c r="G460"/>
    </row>
    <row r="461" spans="1:7" ht="13.5">
      <c r="A461" s="176"/>
      <c r="B461" s="468" t="s">
        <v>308</v>
      </c>
      <c r="D461" s="1268" t="s">
        <v>1241</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1242</v>
      </c>
      <c r="E464" s="1279"/>
      <c r="F464" s="1279"/>
      <c r="G464"/>
    </row>
    <row r="465" spans="1:7" ht="13.5">
      <c r="A465" s="176"/>
      <c r="B465" s="176"/>
      <c r="D465" s="35"/>
    </row>
    <row r="466" spans="1:7">
      <c r="A466" s="1283" t="s">
        <v>1077</v>
      </c>
      <c r="B466" s="1283"/>
      <c r="C466" s="1283"/>
      <c r="D466" s="1283"/>
      <c r="E466" s="1283"/>
      <c r="F466" s="1283"/>
      <c r="G466" s="1283"/>
    </row>
    <row r="467" spans="1:7" ht="12.05" customHeight="1">
      <c r="A467" s="176"/>
      <c r="B467" s="176"/>
      <c r="D467" s="35"/>
    </row>
    <row r="468" spans="1:7">
      <c r="C468" s="172"/>
      <c r="D468" s="1284" t="s">
        <v>801</v>
      </c>
      <c r="E468" s="1284"/>
      <c r="F468" s="1284"/>
    </row>
    <row r="469" spans="1:7" ht="13.35"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308</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308</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308</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308</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8" t="s">
        <v>308</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308</v>
      </c>
      <c r="D506" s="1299" t="s">
        <v>1115</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35" customHeight="1">
      <c r="A519" s="176"/>
      <c r="B519" s="468" t="s">
        <v>308</v>
      </c>
      <c r="C519" s="179"/>
      <c r="D519" s="1279" t="s">
        <v>895</v>
      </c>
      <c r="E519" s="1279"/>
      <c r="F519" s="1279"/>
      <c r="G519"/>
    </row>
    <row r="520" spans="1:7" ht="13.35" customHeight="1">
      <c r="A520" s="179"/>
      <c r="B520" s="179"/>
      <c r="C520" s="179"/>
      <c r="D520" s="118"/>
      <c r="E520"/>
      <c r="F520"/>
      <c r="G520"/>
    </row>
    <row r="521" spans="1:7" ht="13.5">
      <c r="A521" s="176"/>
      <c r="B521" s="468"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3.5">
      <c r="A546" s="176"/>
      <c r="B546" s="176"/>
      <c r="C546" s="179"/>
      <c r="E546" s="35"/>
      <c r="F546" s="35"/>
    </row>
    <row r="547" spans="1:7" ht="13.5">
      <c r="A547" s="176"/>
      <c r="B547" s="468"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1147</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1096</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1099</v>
      </c>
      <c r="E573" s="1282"/>
      <c r="F573" s="1282"/>
    </row>
    <row r="574" spans="1:6">
      <c r="A574" s="13"/>
      <c r="B574" s="13"/>
      <c r="D574" s="1282"/>
      <c r="E574" s="1282"/>
      <c r="F574" s="1282"/>
    </row>
    <row r="575" spans="1:6">
      <c r="A575" s="13"/>
      <c r="B575" s="13"/>
      <c r="D575" s="255"/>
    </row>
    <row r="576" spans="1:6">
      <c r="A576" s="13"/>
      <c r="B576" s="468" t="s">
        <v>308</v>
      </c>
      <c r="D576" s="1282" t="s">
        <v>1100</v>
      </c>
      <c r="E576" s="1282"/>
      <c r="F576" s="1282"/>
    </row>
    <row r="577" spans="1:7">
      <c r="A577" s="13"/>
      <c r="B577" s="13"/>
      <c r="D577" s="1282"/>
      <c r="E577" s="1282"/>
      <c r="F577" s="1282"/>
    </row>
    <row r="578" spans="1:7">
      <c r="A578" s="13"/>
      <c r="B578" s="13"/>
      <c r="D578" s="255"/>
    </row>
    <row r="579" spans="1:7" ht="13.5">
      <c r="A579" s="176"/>
      <c r="B579" s="468" t="s">
        <v>308</v>
      </c>
      <c r="D579" s="1282" t="s">
        <v>896</v>
      </c>
      <c r="E579" s="1282"/>
      <c r="F579" s="1282"/>
    </row>
    <row r="580" spans="1:7" ht="13.5">
      <c r="A580" s="176"/>
      <c r="B580" s="176"/>
      <c r="D580" s="255"/>
    </row>
    <row r="581" spans="1:7" ht="13.5">
      <c r="A581" s="176"/>
      <c r="B581" s="468" t="s">
        <v>308</v>
      </c>
      <c r="D581" s="1282" t="s">
        <v>1101</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3.5">
      <c r="A593" s="176"/>
      <c r="B593" s="468" t="s">
        <v>308</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1186</v>
      </c>
      <c r="E605" s="1293"/>
      <c r="F605" s="1293"/>
    </row>
    <row r="606" spans="1:7">
      <c r="D606" s="1293"/>
      <c r="E606" s="1293"/>
      <c r="F606" s="1293"/>
    </row>
    <row r="607" spans="1:7">
      <c r="D607"/>
    </row>
    <row r="608" spans="1:7">
      <c r="B608" s="468" t="s">
        <v>308</v>
      </c>
      <c r="D608" s="1293" t="s">
        <v>1187</v>
      </c>
      <c r="E608" s="1293"/>
      <c r="F608" s="1293"/>
    </row>
    <row r="609" spans="1:7">
      <c r="C609" s="180"/>
      <c r="D609" s="1293"/>
      <c r="E609" s="1293"/>
      <c r="F609" s="1293"/>
    </row>
    <row r="610" spans="1:7">
      <c r="C610" s="180"/>
    </row>
    <row r="611" spans="1:7">
      <c r="B611" s="468" t="s">
        <v>308</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3.5">
      <c r="A618" s="176"/>
      <c r="B618" s="468"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1192</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5" customHeight="1">
      <c r="A640" s="176"/>
      <c r="B640" s="468" t="s">
        <v>308</v>
      </c>
      <c r="C640" s="179"/>
      <c r="D640" s="1268" t="s">
        <v>1245</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1095</v>
      </c>
      <c r="E646" s="1307"/>
      <c r="F646" s="1307"/>
    </row>
    <row r="647" spans="1:11" ht="13.5">
      <c r="A647" s="176"/>
      <c r="B647" s="176"/>
      <c r="C647" s="179"/>
      <c r="D647" s="1308" t="s">
        <v>1246</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935</v>
      </c>
      <c r="E669" s="1279"/>
      <c r="F669" s="1279"/>
      <c r="H669" s="181"/>
      <c r="I669" s="181"/>
      <c r="J669" s="181"/>
      <c r="K669" s="181"/>
    </row>
    <row r="670" spans="1:11" ht="13.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35"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3.5">
      <c r="A759" s="176"/>
      <c r="B759" s="468" t="s">
        <v>308</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3.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ht="12.45"/>
    <row r="5" spans="1:10" ht="12.7" customHeight="1">
      <c r="A5" s="1321" t="s">
        <v>2359</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ht="12.45"/>
    <row r="11" spans="1:10" ht="12.7" customHeight="1">
      <c r="A11" s="1325" t="s">
        <v>2063</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2062</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4" t="s">
        <v>1293</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1294</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1293</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2059</v>
      </c>
      <c r="B72" s="1322"/>
      <c r="C72" s="1322"/>
      <c r="D72" s="1322"/>
      <c r="E72" s="1322"/>
      <c r="F72" s="1322"/>
      <c r="G72" s="1322"/>
      <c r="H72" s="1322"/>
      <c r="I72" s="1322"/>
    </row>
    <row r="73" spans="1:9" ht="12.45">
      <c r="A73" s="1274" t="s">
        <v>2357</v>
      </c>
      <c r="B73" s="1274"/>
      <c r="C73" s="1274"/>
      <c r="D73" s="1274"/>
      <c r="E73" s="1274"/>
    </row>
    <row r="74" spans="1:9" ht="12.45">
      <c r="A74" s="1274" t="s">
        <v>2358</v>
      </c>
      <c r="B74" s="1274"/>
      <c r="C74" s="1274"/>
      <c r="D74" s="1274"/>
      <c r="E74" s="1274"/>
    </row>
    <row r="75" spans="1:9" ht="12.45">
      <c r="A75" s="1274" t="s">
        <v>2060</v>
      </c>
      <c r="B75" s="1274"/>
      <c r="C75" s="1274"/>
      <c r="D75" s="1274"/>
      <c r="E75" s="1274"/>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105255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workbookViewId="0">
      <selection activeCell="A6" sqref="A6:G7"/>
    </sheetView>
  </sheetViews>
  <sheetFormatPr defaultColWidth="0" defaultRowHeight="12.45"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75"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3.5">
      <c r="A15" s="518"/>
      <c r="B15" s="519" t="s">
        <v>308</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3.5">
      <c r="A20" s="518"/>
      <c r="B20" s="519" t="s">
        <v>308</v>
      </c>
      <c r="D20" s="1295" t="s">
        <v>2221</v>
      </c>
      <c r="E20" s="1295"/>
      <c r="F20" s="1295"/>
      <c r="I20" s="524" t="s">
        <v>2072</v>
      </c>
    </row>
    <row r="21" spans="1:9" ht="13.5">
      <c r="A21" s="518"/>
      <c r="D21" s="1295"/>
      <c r="E21" s="1295"/>
      <c r="F21" s="1295"/>
      <c r="I21" s="524"/>
    </row>
    <row r="22" spans="1:9" ht="13.5">
      <c r="A22" s="518"/>
      <c r="D22" s="423"/>
      <c r="E22" s="96" t="s">
        <v>2217</v>
      </c>
      <c r="F22" s="423"/>
      <c r="I22" s="524"/>
    </row>
    <row r="23" spans="1:9" ht="13.5">
      <c r="A23" s="518"/>
      <c r="B23" s="518"/>
      <c r="D23" s="480"/>
      <c r="I23" s="524"/>
    </row>
    <row r="24" spans="1:9" ht="13.5">
      <c r="A24" s="518"/>
      <c r="B24" s="519" t="s">
        <v>308</v>
      </c>
      <c r="D24" s="1295" t="s">
        <v>1151</v>
      </c>
      <c r="E24" s="1295"/>
      <c r="F24" s="1295"/>
      <c r="I24" s="524" t="s">
        <v>2072</v>
      </c>
    </row>
    <row r="25" spans="1:9" ht="13.5">
      <c r="A25" s="518"/>
      <c r="B25" s="518"/>
      <c r="D25" s="1295"/>
      <c r="E25" s="1295"/>
      <c r="F25" s="1295"/>
      <c r="I25" s="524"/>
    </row>
    <row r="26" spans="1:9">
      <c r="I26" s="524"/>
    </row>
    <row r="27" spans="1:9" ht="13.5">
      <c r="A27" s="518"/>
      <c r="B27" s="519" t="s">
        <v>308</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2361</v>
      </c>
      <c r="E33" s="1295"/>
      <c r="F33" s="1295"/>
      <c r="I33" s="524" t="s">
        <v>2071</v>
      </c>
    </row>
    <row r="34" spans="1:9">
      <c r="D34" s="1295"/>
      <c r="E34" s="1295"/>
      <c r="F34" s="1295"/>
      <c r="I34" s="524"/>
    </row>
    <row r="35" spans="1:9" ht="13.5">
      <c r="A35" s="518"/>
      <c r="B35" s="518"/>
      <c r="D35" s="481"/>
      <c r="I35" s="524"/>
    </row>
    <row r="36" spans="1:9" ht="14.5" customHeight="1">
      <c r="A36" s="518"/>
      <c r="B36" s="519" t="s">
        <v>308</v>
      </c>
      <c r="D36" s="1295" t="s">
        <v>1318</v>
      </c>
      <c r="E36" s="1295"/>
      <c r="F36" s="1295"/>
      <c r="I36" s="524" t="s">
        <v>2142</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308</v>
      </c>
      <c r="D41" s="1295" t="s">
        <v>1155</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308</v>
      </c>
      <c r="D47" s="1295" t="s">
        <v>1156</v>
      </c>
      <c r="E47" s="1295"/>
      <c r="F47" s="1295"/>
      <c r="I47" s="524" t="s">
        <v>2142</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5" customHeight="1">
      <c r="A52" s="518"/>
      <c r="B52" s="519" t="s">
        <v>308</v>
      </c>
      <c r="D52" s="1295" t="s">
        <v>1157</v>
      </c>
      <c r="E52" s="1295"/>
      <c r="F52" s="1295"/>
      <c r="I52" s="524" t="s">
        <v>2142</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308</v>
      </c>
      <c r="D56" s="1344" t="s">
        <v>1158</v>
      </c>
      <c r="E56" s="1344"/>
      <c r="F56" s="1344"/>
      <c r="I56" s="524"/>
    </row>
    <row r="57" spans="1:9" ht="13.5">
      <c r="A57" s="518"/>
      <c r="B57" s="518"/>
      <c r="D57" s="1344"/>
      <c r="E57" s="1344"/>
      <c r="F57" s="1344"/>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308</v>
      </c>
      <c r="D61" s="1295" t="s">
        <v>1159</v>
      </c>
      <c r="E61" s="1295"/>
      <c r="F61" s="1295"/>
      <c r="I61" s="524" t="s">
        <v>2073</v>
      </c>
    </row>
    <row r="62" spans="1:9">
      <c r="D62" s="1295"/>
      <c r="E62" s="1295"/>
      <c r="F62" s="1295"/>
      <c r="I62" s="524"/>
    </row>
    <row r="63" spans="1:9">
      <c r="D63" s="1295"/>
      <c r="E63" s="1295"/>
      <c r="F63" s="1295"/>
      <c r="I63" s="524"/>
    </row>
    <row r="64" spans="1:9">
      <c r="I64" s="524"/>
    </row>
    <row r="65" spans="1:9" ht="13.5">
      <c r="A65" s="518"/>
      <c r="B65" s="519" t="s">
        <v>308</v>
      </c>
      <c r="D65" s="1295" t="s">
        <v>1160</v>
      </c>
      <c r="E65" s="1295"/>
      <c r="F65" s="1295"/>
      <c r="I65" s="524" t="s">
        <v>2074</v>
      </c>
    </row>
    <row r="66" spans="1:9">
      <c r="D66" s="1295"/>
      <c r="E66" s="1295"/>
      <c r="F66" s="1295"/>
      <c r="I66" s="524"/>
    </row>
    <row r="67" spans="1:9">
      <c r="I67" s="524"/>
    </row>
    <row r="68" spans="1:9" ht="13.5">
      <c r="A68" s="518"/>
      <c r="B68" s="519" t="s">
        <v>308</v>
      </c>
      <c r="D68" s="1295" t="s">
        <v>1161</v>
      </c>
      <c r="E68" s="1295"/>
      <c r="F68" s="1295"/>
      <c r="I68" s="524"/>
    </row>
    <row r="69" spans="1:9">
      <c r="D69" s="1295"/>
      <c r="E69" s="1295"/>
      <c r="F69" s="1295"/>
      <c r="I69" s="524" t="s">
        <v>2075</v>
      </c>
    </row>
    <row r="70" spans="1:9">
      <c r="D70" s="1295"/>
      <c r="E70" s="1295"/>
      <c r="F70" s="1295"/>
      <c r="I70" s="524"/>
    </row>
    <row r="71" spans="1:9">
      <c r="I71" s="524"/>
    </row>
    <row r="72" spans="1:9" ht="13.5">
      <c r="A72" s="518"/>
      <c r="B72" s="519" t="s">
        <v>308</v>
      </c>
      <c r="D72" s="1295" t="s">
        <v>1162</v>
      </c>
      <c r="E72" s="1295"/>
      <c r="F72" s="1295"/>
      <c r="I72" s="524" t="s">
        <v>2075</v>
      </c>
    </row>
    <row r="73" spans="1:9">
      <c r="D73" s="1295"/>
      <c r="E73" s="1295"/>
      <c r="F73" s="1295"/>
      <c r="I73" s="524"/>
    </row>
    <row r="74" spans="1:9" ht="13.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75" customHeight="1">
      <c r="A80" s="518"/>
      <c r="B80" s="519" t="s">
        <v>308</v>
      </c>
      <c r="D80" s="1295" t="s">
        <v>1351</v>
      </c>
      <c r="E80" s="1295"/>
      <c r="F80" s="1295"/>
      <c r="I80" s="524" t="s">
        <v>2076</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308</v>
      </c>
      <c r="D89" s="1295" t="s">
        <v>1930</v>
      </c>
      <c r="E89" s="1295"/>
      <c r="F89" s="1295"/>
      <c r="I89" s="524" t="s">
        <v>2077</v>
      </c>
    </row>
    <row r="90" spans="1:9" ht="13.5">
      <c r="A90" s="518"/>
      <c r="B90" s="518"/>
      <c r="D90" s="1295"/>
      <c r="E90" s="1295"/>
      <c r="F90" s="1295"/>
      <c r="I90" s="524"/>
    </row>
    <row r="91" spans="1:9" ht="13.5">
      <c r="A91" s="518"/>
      <c r="B91" s="518"/>
      <c r="D91" s="479"/>
      <c r="E91" s="479"/>
      <c r="F91" s="479"/>
      <c r="I91" s="524"/>
    </row>
    <row r="92" spans="1:9" ht="13.5">
      <c r="A92" s="518"/>
      <c r="B92" s="519" t="s">
        <v>308</v>
      </c>
      <c r="D92" s="1295" t="s">
        <v>1933</v>
      </c>
      <c r="E92" s="1295"/>
      <c r="F92" s="1295"/>
      <c r="I92" s="524" t="s">
        <v>2078</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308</v>
      </c>
      <c r="D96" s="1295" t="s">
        <v>1932</v>
      </c>
      <c r="E96" s="1295"/>
      <c r="F96" s="1295"/>
      <c r="I96" s="524" t="s">
        <v>2123</v>
      </c>
    </row>
    <row r="97" spans="1:9" s="1022" customFormat="1" ht="13.5">
      <c r="A97" s="1020"/>
      <c r="B97" s="1020"/>
      <c r="C97" s="1021"/>
      <c r="D97" s="1295"/>
      <c r="E97" s="1295"/>
      <c r="F97" s="1295"/>
      <c r="I97" s="1260"/>
    </row>
    <row r="98" spans="1:9" ht="13.5">
      <c r="A98" s="518"/>
      <c r="B98" s="518"/>
      <c r="D98" s="423"/>
      <c r="E98" s="336" t="s">
        <v>2222</v>
      </c>
      <c r="F98" s="479"/>
      <c r="I98" s="524"/>
    </row>
    <row r="99" spans="1:9" ht="13.5">
      <c r="A99" s="518"/>
      <c r="B99" s="518"/>
      <c r="D99" s="416"/>
      <c r="E99" s="416"/>
      <c r="F99" s="416"/>
      <c r="I99" s="524"/>
    </row>
    <row r="100" spans="1:9" ht="13.5">
      <c r="A100" s="518"/>
      <c r="B100" s="519" t="s">
        <v>308</v>
      </c>
      <c r="D100" s="1295" t="s">
        <v>1931</v>
      </c>
      <c r="E100" s="1295"/>
      <c r="F100" s="1295"/>
      <c r="I100" s="524" t="s">
        <v>2079</v>
      </c>
    </row>
    <row r="101" spans="1:9" ht="13.5">
      <c r="A101" s="518"/>
      <c r="B101" s="518"/>
      <c r="D101" s="1295"/>
      <c r="E101" s="1295"/>
      <c r="F101" s="1295"/>
      <c r="I101" s="524"/>
    </row>
    <row r="102" spans="1:9" ht="13.5">
      <c r="A102" s="518"/>
      <c r="B102" s="518"/>
      <c r="D102" s="479"/>
      <c r="E102" s="479"/>
      <c r="F102" s="479"/>
      <c r="I102" s="524"/>
    </row>
    <row r="103" spans="1:9" ht="14.5" customHeight="1">
      <c r="A103" s="518"/>
      <c r="B103" s="519" t="s">
        <v>308</v>
      </c>
      <c r="D103" s="1295" t="s">
        <v>1298</v>
      </c>
      <c r="E103" s="1295"/>
      <c r="F103" s="1295"/>
      <c r="I103" s="524" t="s">
        <v>2080</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308</v>
      </c>
      <c r="D119" s="1306" t="s">
        <v>1169</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308</v>
      </c>
      <c r="C128" s="433"/>
      <c r="D128" s="1306" t="s">
        <v>2362</v>
      </c>
      <c r="E128" s="1306"/>
      <c r="F128" s="1306"/>
      <c r="I128" s="524" t="s">
        <v>2081</v>
      </c>
    </row>
    <row r="129" spans="1:9" ht="13.5">
      <c r="A129" s="518"/>
      <c r="B129" s="518"/>
      <c r="C129" s="433"/>
      <c r="D129" s="1306"/>
      <c r="E129" s="1306"/>
      <c r="F129" s="1306"/>
      <c r="I129" s="524"/>
    </row>
    <row r="130" spans="1:9">
      <c r="I130" s="524"/>
    </row>
    <row r="131" spans="1:9" ht="13.5">
      <c r="A131" s="518"/>
      <c r="B131" s="519" t="s">
        <v>308</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308</v>
      </c>
      <c r="D137" s="1295" t="s">
        <v>1173</v>
      </c>
      <c r="E137" s="1295"/>
      <c r="F137" s="1295"/>
      <c r="I137" s="524" t="s">
        <v>2082</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308</v>
      </c>
      <c r="D151" s="1295" t="s">
        <v>1281</v>
      </c>
      <c r="E151" s="1295"/>
      <c r="F151" s="1295"/>
      <c r="I151" s="524" t="s">
        <v>2083</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2386</v>
      </c>
      <c r="E169" s="1340"/>
      <c r="F169" s="1340"/>
      <c r="G169" s="541"/>
      <c r="I169" s="524"/>
    </row>
    <row r="170" spans="1:9" ht="13.75" customHeight="1">
      <c r="D170" s="1281"/>
      <c r="E170" s="1281"/>
      <c r="F170" s="1281"/>
      <c r="G170" s="1281"/>
      <c r="I170" s="524"/>
    </row>
    <row r="171" spans="1:9" ht="14.5" customHeight="1">
      <c r="A171" s="523"/>
      <c r="B171" s="519" t="s">
        <v>308</v>
      </c>
      <c r="C171" s="510"/>
      <c r="D171" s="1277" t="s">
        <v>2576</v>
      </c>
      <c r="E171" s="1277"/>
      <c r="F171" s="1277"/>
      <c r="G171" s="510"/>
      <c r="I171" s="524" t="s">
        <v>2078</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308</v>
      </c>
      <c r="C177" s="510"/>
      <c r="D177" s="1277" t="s">
        <v>1175</v>
      </c>
      <c r="E177" s="1277"/>
      <c r="F177" s="1277"/>
      <c r="G177" s="510"/>
      <c r="I177" s="524" t="s">
        <v>2084</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308</v>
      </c>
      <c r="D182" s="1282" t="s">
        <v>2363</v>
      </c>
      <c r="E182" s="1282"/>
      <c r="F182" s="1282"/>
      <c r="I182" s="524" t="s">
        <v>2085</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2364</v>
      </c>
      <c r="B186" s="1283"/>
      <c r="C186" s="1283"/>
      <c r="D186" s="1283"/>
      <c r="E186" s="1283"/>
      <c r="F186" s="1283"/>
      <c r="G186" s="1283"/>
      <c r="H186" s="1063"/>
      <c r="I186" s="1259"/>
    </row>
    <row r="187" spans="1:9" ht="12.05" customHeight="1">
      <c r="D187" s="480"/>
      <c r="E187" s="480"/>
      <c r="F187" s="480"/>
      <c r="I187" s="524"/>
    </row>
    <row r="188" spans="1:9">
      <c r="B188" s="1298" t="s">
        <v>448</v>
      </c>
      <c r="C188" s="1298"/>
      <c r="D188" s="1298"/>
      <c r="E188" s="1298"/>
      <c r="F188" s="1298"/>
      <c r="I188" s="524"/>
    </row>
    <row r="189" spans="1:9">
      <c r="B189" s="423" t="s">
        <v>2064</v>
      </c>
      <c r="C189" s="423"/>
      <c r="D189" s="423"/>
      <c r="E189" s="423"/>
      <c r="F189" s="423"/>
      <c r="I189" s="524"/>
    </row>
    <row r="190" spans="1:9" ht="12.05" customHeight="1">
      <c r="A190" s="516"/>
      <c r="B190" s="516"/>
      <c r="C190" s="516"/>
      <c r="I190" s="524"/>
    </row>
    <row r="191" spans="1:9">
      <c r="A191" s="1283" t="s">
        <v>1071</v>
      </c>
      <c r="B191" s="1283"/>
      <c r="C191" s="1283"/>
      <c r="D191" s="1283"/>
      <c r="E191" s="1283"/>
      <c r="F191" s="1283"/>
      <c r="G191" s="1283"/>
      <c r="H191" s="1063"/>
      <c r="I191" s="1259"/>
    </row>
    <row r="192" spans="1:9" ht="12.05" customHeight="1">
      <c r="A192" s="435"/>
      <c r="B192" s="435"/>
      <c r="E192" s="435"/>
      <c r="I192" s="524"/>
    </row>
    <row r="193" spans="1:9" ht="13.75"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308</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308</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308</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308</v>
      </c>
      <c r="D209" s="417" t="s">
        <v>2193</v>
      </c>
      <c r="E209" s="416"/>
      <c r="F209" s="416"/>
      <c r="I209" s="524" t="s">
        <v>2137</v>
      </c>
    </row>
    <row r="210" spans="1:9" ht="13.5">
      <c r="A210" s="518"/>
      <c r="B210" s="518"/>
      <c r="D210" s="1279" t="s">
        <v>2200</v>
      </c>
      <c r="E210" s="1279"/>
      <c r="F210" s="1279"/>
      <c r="I210" s="524"/>
    </row>
    <row r="211" spans="1:9">
      <c r="D211" s="416"/>
      <c r="E211" s="1343" t="s">
        <v>2226</v>
      </c>
      <c r="F211" s="1343"/>
      <c r="I211" s="524"/>
    </row>
    <row r="212" spans="1:9">
      <c r="D212" s="481"/>
      <c r="I212" s="524"/>
    </row>
    <row r="213" spans="1:9">
      <c r="B213" s="519" t="s">
        <v>308</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3.5">
      <c r="A217" s="518"/>
      <c r="B217" s="519" t="s">
        <v>308</v>
      </c>
      <c r="D217" s="1295" t="s">
        <v>1320</v>
      </c>
      <c r="E217" s="1295"/>
      <c r="F217" s="1295"/>
      <c r="I217" s="524"/>
    </row>
    <row r="218" spans="1:9" ht="14.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1201</v>
      </c>
      <c r="E225" s="1296"/>
      <c r="F225" s="1296"/>
      <c r="I225" s="524"/>
    </row>
    <row r="226" spans="1:9" ht="12.05" customHeight="1">
      <c r="A226" s="524"/>
      <c r="B226" s="524"/>
      <c r="C226" s="524"/>
      <c r="I226" s="524"/>
    </row>
    <row r="227" spans="1:9" ht="13.75" customHeight="1">
      <c r="A227" s="524"/>
      <c r="C227" s="524"/>
      <c r="D227" s="1294" t="s">
        <v>554</v>
      </c>
      <c r="E227" s="1294"/>
      <c r="F227" s="1294"/>
      <c r="I227" s="524" t="s">
        <v>2086</v>
      </c>
    </row>
    <row r="228" spans="1:9" ht="13.5">
      <c r="A228" s="518"/>
      <c r="B228" s="519" t="s">
        <v>308</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308</v>
      </c>
      <c r="D233" s="1295" t="s">
        <v>1942</v>
      </c>
      <c r="E233" s="1295"/>
      <c r="F233" s="1295"/>
      <c r="I233" s="524" t="s">
        <v>2087</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1197</v>
      </c>
      <c r="E239" s="1295"/>
      <c r="F239" s="1295"/>
      <c r="I239" s="524" t="s">
        <v>2086</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308</v>
      </c>
      <c r="D245" s="1295" t="s">
        <v>2365</v>
      </c>
      <c r="E245" s="1295"/>
      <c r="F245" s="1295"/>
      <c r="I245" s="524" t="s">
        <v>2125</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2194</v>
      </c>
      <c r="I248" s="524"/>
    </row>
    <row r="249" spans="1:9" ht="13.5">
      <c r="A249" s="518"/>
      <c r="B249" s="518"/>
      <c r="D249" s="480"/>
      <c r="E249" s="480"/>
      <c r="F249" s="480"/>
      <c r="I249" s="524"/>
    </row>
    <row r="250" spans="1:9" ht="14.5" customHeight="1">
      <c r="A250" s="518"/>
      <c r="B250" s="519" t="s">
        <v>308</v>
      </c>
      <c r="D250" s="1295" t="s">
        <v>2366</v>
      </c>
      <c r="E250" s="1295"/>
      <c r="F250" s="1295"/>
      <c r="I250" s="524" t="s">
        <v>2143</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308</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308</v>
      </c>
      <c r="D259" s="1295" t="s">
        <v>1199</v>
      </c>
      <c r="E259" s="1295"/>
      <c r="F259" s="1295"/>
      <c r="I259" s="524"/>
    </row>
    <row r="260" spans="1:9" ht="13.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5" customHeight="1">
      <c r="A267" s="518"/>
      <c r="B267" s="519" t="s">
        <v>308</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5" customHeight="1">
      <c r="A271" s="518"/>
      <c r="B271" s="519" t="s">
        <v>308</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308</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1208</v>
      </c>
      <c r="E288" s="1346"/>
      <c r="F288" s="1346"/>
      <c r="I288" s="524"/>
    </row>
    <row r="289" spans="1:9">
      <c r="E289" s="480"/>
      <c r="F289" s="480"/>
      <c r="I289" s="524"/>
    </row>
    <row r="290" spans="1:9" ht="13.5">
      <c r="A290" s="518"/>
      <c r="B290" s="519" t="s">
        <v>308</v>
      </c>
      <c r="D290" s="1295" t="s">
        <v>1209</v>
      </c>
      <c r="E290" s="1295"/>
      <c r="F290" s="1295"/>
      <c r="I290" s="524" t="s">
        <v>2088</v>
      </c>
    </row>
    <row r="291" spans="1:9" ht="13.5">
      <c r="A291" s="518"/>
      <c r="B291" s="518"/>
      <c r="D291" s="1295"/>
      <c r="E291" s="1295"/>
      <c r="F291" s="1295"/>
      <c r="I291" s="524"/>
    </row>
    <row r="292" spans="1:9">
      <c r="D292" s="480"/>
      <c r="E292" s="480"/>
      <c r="F292" s="480"/>
      <c r="I292" s="524"/>
    </row>
    <row r="293" spans="1:9" ht="13.5">
      <c r="A293" s="518"/>
      <c r="B293" s="519" t="s">
        <v>308</v>
      </c>
      <c r="D293" s="1295" t="s">
        <v>1210</v>
      </c>
      <c r="E293" s="1295"/>
      <c r="F293" s="1295"/>
      <c r="I293" s="524" t="s">
        <v>2088</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308</v>
      </c>
      <c r="D297" s="1295" t="s">
        <v>1211</v>
      </c>
      <c r="E297" s="1295"/>
      <c r="F297" s="1295"/>
      <c r="I297" s="524" t="s">
        <v>2088</v>
      </c>
    </row>
    <row r="298" spans="1:9" ht="13.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308</v>
      </c>
      <c r="D305" s="1296" t="s">
        <v>1213</v>
      </c>
      <c r="E305" s="1296"/>
      <c r="F305" s="1296"/>
      <c r="I305" s="524" t="s">
        <v>2089</v>
      </c>
    </row>
    <row r="306" spans="1:9" ht="13.5">
      <c r="A306" s="518"/>
      <c r="B306" s="518"/>
      <c r="D306" s="528"/>
      <c r="E306" s="529"/>
      <c r="F306" s="529"/>
      <c r="I306" s="524"/>
    </row>
    <row r="307" spans="1:9" ht="13.75" customHeight="1">
      <c r="B307" s="519" t="s">
        <v>308</v>
      </c>
      <c r="D307" s="1349" t="s">
        <v>1323</v>
      </c>
      <c r="E307" s="1349"/>
      <c r="F307" s="1349"/>
      <c r="I307" s="524" t="s">
        <v>2089</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75" customHeight="1">
      <c r="B313" s="519" t="s">
        <v>308</v>
      </c>
      <c r="D313" s="1349" t="s">
        <v>1215</v>
      </c>
      <c r="E313" s="1349"/>
      <c r="F313" s="1349"/>
      <c r="I313" s="524" t="s">
        <v>2089</v>
      </c>
    </row>
    <row r="314" spans="1:9">
      <c r="D314" s="1349"/>
      <c r="E314" s="1349"/>
      <c r="F314" s="1349"/>
      <c r="I314" s="524"/>
    </row>
    <row r="315" spans="1:9" ht="13.5">
      <c r="A315" s="518"/>
      <c r="B315" s="518"/>
      <c r="D315" s="528"/>
      <c r="E315" s="529"/>
      <c r="F315" s="529"/>
      <c r="I315" s="524"/>
    </row>
    <row r="316" spans="1:9">
      <c r="B316" s="519" t="s">
        <v>308</v>
      </c>
      <c r="D316" s="1296" t="s">
        <v>1216</v>
      </c>
      <c r="E316" s="1296"/>
      <c r="F316" s="1296"/>
      <c r="I316" s="524" t="s">
        <v>2075</v>
      </c>
    </row>
    <row r="317" spans="1:9">
      <c r="E317" s="480"/>
      <c r="F317" s="480"/>
      <c r="I317" s="524"/>
    </row>
    <row r="318" spans="1:9" ht="13.5">
      <c r="A318" s="518"/>
      <c r="B318" s="519" t="s">
        <v>308</v>
      </c>
      <c r="D318" s="1295" t="s">
        <v>2387</v>
      </c>
      <c r="E318" s="1295"/>
      <c r="F318" s="1295"/>
      <c r="I318" s="524" t="s">
        <v>2090</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308</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45" t="s">
        <v>996</v>
      </c>
      <c r="E351" s="1345"/>
      <c r="F351" s="1345"/>
      <c r="G351" s="1062"/>
      <c r="H351" s="1062"/>
      <c r="I351" s="1262"/>
    </row>
    <row r="352" spans="1:9" ht="12.9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3.5">
      <c r="A355" s="518"/>
      <c r="B355" s="519" t="s">
        <v>308</v>
      </c>
      <c r="C355" s="521"/>
      <c r="D355" s="1296" t="s">
        <v>2199</v>
      </c>
      <c r="E355" s="1296"/>
      <c r="F355" s="1296"/>
      <c r="I355" s="1352" t="s">
        <v>2141</v>
      </c>
    </row>
    <row r="356" spans="1:9" ht="12.7"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3.5">
      <c r="A360" s="518"/>
      <c r="B360" s="519" t="s">
        <v>308</v>
      </c>
      <c r="C360" s="510"/>
      <c r="D360" s="1281" t="s">
        <v>2369</v>
      </c>
      <c r="E360" s="1281"/>
      <c r="F360" s="1281"/>
      <c r="I360" s="514"/>
    </row>
    <row r="361" spans="1:9">
      <c r="A361" s="510"/>
      <c r="B361" s="510"/>
      <c r="C361" s="510"/>
      <c r="D361" s="481"/>
      <c r="E361" s="481"/>
      <c r="F361" s="480"/>
      <c r="I361" s="524"/>
    </row>
    <row r="362" spans="1:9">
      <c r="A362" s="510"/>
      <c r="B362" s="519" t="s">
        <v>308</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308</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308</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3000000000000007" customHeight="1">
      <c r="A400" s="510"/>
      <c r="B400" s="510"/>
      <c r="C400" s="510"/>
      <c r="D400" s="1277"/>
      <c r="E400" s="1277"/>
      <c r="F400" s="1277"/>
      <c r="I400" s="524"/>
    </row>
    <row r="401" spans="1:9" ht="13.75"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308</v>
      </c>
      <c r="D423" s="1277" t="s">
        <v>2128</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308</v>
      </c>
      <c r="C429" s="510"/>
      <c r="D429" s="1277" t="s">
        <v>1345</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2388</v>
      </c>
      <c r="E433" s="1277"/>
      <c r="F433" s="1277"/>
      <c r="I433" s="524"/>
    </row>
    <row r="434" spans="1:9">
      <c r="D434" s="480"/>
      <c r="E434" s="480"/>
      <c r="F434" s="480"/>
      <c r="I434" s="524"/>
    </row>
    <row r="435" spans="1:9" ht="13.5">
      <c r="A435" s="518"/>
      <c r="B435" s="519" t="s">
        <v>308</v>
      </c>
      <c r="C435" s="521"/>
      <c r="D435" s="1295" t="s">
        <v>2371</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308</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308</v>
      </c>
      <c r="C471" s="518"/>
      <c r="D471" s="1295" t="s">
        <v>1301</v>
      </c>
      <c r="E471" s="1295"/>
      <c r="F471" s="1295"/>
      <c r="I471" s="524"/>
    </row>
    <row r="472" spans="1:9">
      <c r="D472" s="1295"/>
      <c r="E472" s="1295"/>
      <c r="F472" s="1295"/>
      <c r="I472" s="524"/>
    </row>
    <row r="473" spans="1:9">
      <c r="D473" s="480"/>
      <c r="E473" s="480"/>
      <c r="F473" s="480"/>
      <c r="I473" s="524"/>
    </row>
    <row r="474" spans="1:9" ht="13.5">
      <c r="B474" s="519" t="s">
        <v>308</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3.5">
      <c r="A499" s="518"/>
      <c r="B499" s="518"/>
      <c r="D499" s="1281" t="s">
        <v>1236</v>
      </c>
      <c r="E499" s="1281"/>
      <c r="F499" s="1281"/>
      <c r="I499" s="524"/>
    </row>
    <row r="500" spans="1:9" ht="13.5">
      <c r="A500" s="518"/>
      <c r="B500" s="518"/>
      <c r="D500" s="481"/>
      <c r="I500" s="524"/>
    </row>
    <row r="501" spans="1:9" ht="13.5">
      <c r="A501" s="518"/>
      <c r="B501" s="519" t="s">
        <v>308</v>
      </c>
      <c r="D501" s="1277" t="s">
        <v>1237</v>
      </c>
      <c r="E501" s="1277"/>
      <c r="F501" s="1277"/>
      <c r="I501" s="524" t="s">
        <v>2092</v>
      </c>
    </row>
    <row r="502" spans="1:9" ht="13.5">
      <c r="A502" s="518"/>
      <c r="B502" s="518"/>
      <c r="D502" s="1277"/>
      <c r="E502" s="1277"/>
      <c r="F502" s="1277"/>
      <c r="I502" s="524"/>
    </row>
    <row r="503" spans="1:9" ht="13.5">
      <c r="A503" s="518"/>
      <c r="B503" s="518"/>
      <c r="D503" s="480"/>
      <c r="I503" s="524"/>
    </row>
    <row r="504" spans="1:9" ht="12.7" customHeight="1">
      <c r="B504" s="519" t="s">
        <v>308</v>
      </c>
      <c r="D504" s="1282" t="s">
        <v>1381</v>
      </c>
      <c r="E504" s="1282"/>
      <c r="F504" s="1282"/>
      <c r="I504" s="524" t="s">
        <v>2093</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308</v>
      </c>
      <c r="D509" s="1296" t="s">
        <v>1240</v>
      </c>
      <c r="E509" s="1296"/>
      <c r="F509" s="1296"/>
      <c r="I509" s="524" t="s">
        <v>2094</v>
      </c>
    </row>
    <row r="510" spans="1:9" ht="13.5">
      <c r="A510" s="518"/>
      <c r="B510" s="518"/>
      <c r="D510" s="480"/>
      <c r="I510" s="524"/>
    </row>
    <row r="511" spans="1:9" ht="13.5">
      <c r="A511" s="518"/>
      <c r="B511" s="519" t="s">
        <v>308</v>
      </c>
      <c r="D511" s="1295" t="s">
        <v>1241</v>
      </c>
      <c r="E511" s="1295"/>
      <c r="F511" s="1295"/>
      <c r="I511" s="524" t="s">
        <v>2094</v>
      </c>
    </row>
    <row r="512" spans="1:9" ht="13.5">
      <c r="A512" s="518"/>
      <c r="D512" s="1295"/>
      <c r="E512" s="1295"/>
      <c r="F512" s="1295"/>
      <c r="I512" s="524"/>
    </row>
    <row r="513" spans="1:9">
      <c r="A513" s="524"/>
      <c r="B513" s="524"/>
      <c r="D513" s="481"/>
      <c r="I513" s="524"/>
    </row>
    <row r="514" spans="1:9">
      <c r="A514" s="524"/>
      <c r="B514" s="519" t="s">
        <v>308</v>
      </c>
      <c r="D514" s="1296" t="s">
        <v>1242</v>
      </c>
      <c r="E514" s="1296"/>
      <c r="F514" s="1296"/>
      <c r="I514" s="524" t="s">
        <v>2147</v>
      </c>
    </row>
    <row r="515" spans="1:9" ht="13.5">
      <c r="A515" s="518"/>
      <c r="B515" s="518"/>
      <c r="D515" s="480"/>
      <c r="I515" s="524"/>
    </row>
    <row r="516" spans="1:9">
      <c r="A516" s="1283" t="s">
        <v>1077</v>
      </c>
      <c r="B516" s="1283"/>
      <c r="C516" s="1283"/>
      <c r="D516" s="1283"/>
      <c r="E516" s="1283"/>
      <c r="F516" s="1283"/>
      <c r="G516" s="1283"/>
      <c r="H516" s="1063"/>
      <c r="I516" s="1259"/>
    </row>
    <row r="517" spans="1:9" ht="12.05"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5" customHeight="1">
      <c r="A522" s="517"/>
      <c r="B522" s="519" t="s">
        <v>308</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308</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308</v>
      </c>
      <c r="C531" s="517"/>
      <c r="D531" s="1295" t="s">
        <v>2374</v>
      </c>
      <c r="E531" s="1295"/>
      <c r="F531" s="1295"/>
      <c r="I531" s="524" t="s">
        <v>2095</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75" customHeight="1">
      <c r="A543" s="518"/>
      <c r="B543" s="519" t="s">
        <v>308</v>
      </c>
      <c r="C543" s="521"/>
      <c r="D543" s="1296" t="s">
        <v>895</v>
      </c>
      <c r="E543" s="1296"/>
      <c r="F543" s="1296"/>
      <c r="I543" s="524" t="s">
        <v>2145</v>
      </c>
    </row>
    <row r="544" spans="1:9" ht="13.75" customHeight="1">
      <c r="A544" s="521"/>
      <c r="B544" s="521"/>
      <c r="C544" s="521"/>
      <c r="D544" s="480"/>
      <c r="I544" s="524"/>
    </row>
    <row r="545" spans="1:9" ht="13.5">
      <c r="A545" s="518"/>
      <c r="B545" s="519" t="s">
        <v>308</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308</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308</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308</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308</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308</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308</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308</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308</v>
      </c>
      <c r="C573" s="521"/>
      <c r="D573" s="1295" t="s">
        <v>2375</v>
      </c>
      <c r="E573" s="1295"/>
      <c r="F573" s="1295"/>
      <c r="I573" s="524" t="s">
        <v>2099</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308</v>
      </c>
      <c r="D583" s="1282" t="s">
        <v>901</v>
      </c>
      <c r="E583" s="1282"/>
      <c r="F583" s="1282"/>
      <c r="I583" s="524"/>
    </row>
    <row r="584" spans="1:9">
      <c r="A584" s="524"/>
      <c r="B584" s="524"/>
      <c r="D584" s="510"/>
      <c r="I584" s="524"/>
    </row>
    <row r="585" spans="1:9">
      <c r="A585" s="524"/>
      <c r="B585" s="519" t="s">
        <v>308</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308</v>
      </c>
      <c r="D597" s="1282" t="s">
        <v>1100</v>
      </c>
      <c r="E597" s="1282"/>
      <c r="F597" s="1282"/>
      <c r="I597" s="524" t="s">
        <v>2149</v>
      </c>
    </row>
    <row r="598" spans="1:9">
      <c r="A598" s="524"/>
      <c r="B598" s="524"/>
      <c r="D598" s="1282"/>
      <c r="E598" s="1282"/>
      <c r="F598" s="1282"/>
      <c r="I598" s="524"/>
    </row>
    <row r="599" spans="1:9" ht="13.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308</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 customHeight="1">
      <c r="A615" s="524"/>
      <c r="B615" s="519" t="s">
        <v>308</v>
      </c>
      <c r="D615" s="1293" t="s">
        <v>1186</v>
      </c>
      <c r="E615" s="1293"/>
      <c r="F615" s="1293"/>
      <c r="I615" s="524" t="s">
        <v>2150</v>
      </c>
    </row>
    <row r="616" spans="1:9">
      <c r="D616" s="1293"/>
      <c r="E616" s="1293"/>
      <c r="F616" s="1293"/>
      <c r="I616" s="524"/>
    </row>
    <row r="617" spans="1:9">
      <c r="I617" s="524"/>
    </row>
    <row r="618" spans="1:9">
      <c r="B618" s="519" t="s">
        <v>308</v>
      </c>
      <c r="D618" s="1293" t="s">
        <v>1187</v>
      </c>
      <c r="E618" s="1293"/>
      <c r="F618" s="1293"/>
      <c r="I618" s="524" t="s">
        <v>2103</v>
      </c>
    </row>
    <row r="619" spans="1:9">
      <c r="C619" s="534"/>
      <c r="D619" s="1293"/>
      <c r="E619" s="1293"/>
      <c r="F619" s="1293"/>
      <c r="I619" s="524"/>
    </row>
    <row r="620" spans="1:9">
      <c r="C620" s="534"/>
      <c r="I620" s="524"/>
    </row>
    <row r="621" spans="1:9">
      <c r="B621" s="519" t="s">
        <v>308</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308</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308</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308</v>
      </c>
      <c r="C638" s="521"/>
      <c r="D638" s="1295" t="s">
        <v>1330</v>
      </c>
      <c r="E638" s="1295"/>
      <c r="F638" s="1295"/>
      <c r="I638" s="524" t="s">
        <v>2104</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308</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 customHeight="1">
      <c r="B648" s="519" t="s">
        <v>308</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 customHeight="1">
      <c r="A653" s="517"/>
      <c r="B653" s="519" t="s">
        <v>308</v>
      </c>
      <c r="C653" s="521"/>
      <c r="D653" s="1295" t="s">
        <v>1391</v>
      </c>
      <c r="E653" s="1295"/>
      <c r="F653" s="1295"/>
      <c r="I653" s="524" t="s">
        <v>2156</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308</v>
      </c>
      <c r="C659" s="521"/>
      <c r="D659" s="1295" t="s">
        <v>1390</v>
      </c>
      <c r="E659" s="1295"/>
      <c r="F659" s="1295"/>
      <c r="I659" s="524" t="s">
        <v>2156</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308</v>
      </c>
      <c r="C664" s="521"/>
      <c r="D664" s="1295" t="s">
        <v>2379</v>
      </c>
      <c r="E664" s="1295"/>
      <c r="F664" s="1295"/>
      <c r="I664" s="524" t="s">
        <v>2156</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3.5">
      <c r="A680" s="518"/>
      <c r="B680" s="519" t="s">
        <v>308</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308</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3.5">
      <c r="A689" s="518"/>
      <c r="B689" s="519" t="s">
        <v>308</v>
      </c>
      <c r="C689" s="517"/>
      <c r="D689" s="1296" t="s">
        <v>935</v>
      </c>
      <c r="E689" s="1296"/>
      <c r="F689" s="1296"/>
      <c r="H689" s="535"/>
      <c r="I689" s="517"/>
      <c r="J689" s="535"/>
      <c r="K689" s="535"/>
    </row>
    <row r="690" spans="1:11" ht="13.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308</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308</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308</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308</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308</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308</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308</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308</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308</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308</v>
      </c>
      <c r="C782" s="1024"/>
      <c r="D782" s="1308" t="s">
        <v>1946</v>
      </c>
      <c r="E782" s="1308"/>
      <c r="F782" s="1308"/>
      <c r="G782" s="1023"/>
      <c r="I782" s="517" t="s">
        <v>2157</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308</v>
      </c>
      <c r="C786" s="1024"/>
      <c r="D786" s="1308" t="s">
        <v>1947</v>
      </c>
      <c r="E786" s="1308"/>
      <c r="F786" s="1308"/>
      <c r="G786" s="1023"/>
      <c r="I786" s="517" t="s">
        <v>2157</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1991</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308</v>
      </c>
      <c r="C796" s="1024"/>
      <c r="D796" s="1308" t="s">
        <v>1948</v>
      </c>
      <c r="E796" s="1308"/>
      <c r="F796" s="1308"/>
      <c r="G796" s="1023"/>
      <c r="I796" s="517" t="s">
        <v>2157</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308</v>
      </c>
      <c r="C803" s="1024"/>
      <c r="D803" s="1308" t="s">
        <v>1949</v>
      </c>
      <c r="E803" s="1308"/>
      <c r="F803" s="1308"/>
      <c r="G803" s="1023"/>
      <c r="I803" s="517" t="s">
        <v>2157</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308</v>
      </c>
      <c r="C810" s="1024"/>
      <c r="D810" s="1305" t="s">
        <v>1950</v>
      </c>
      <c r="E810" s="1305"/>
      <c r="F810" s="1305"/>
      <c r="G810" s="1023"/>
      <c r="I810" s="517" t="s">
        <v>2157</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1951</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 customHeight="1">
      <c r="A821" s="176"/>
      <c r="B821" s="176"/>
      <c r="C821" s="385"/>
      <c r="D821" s="474"/>
      <c r="E821" s="474"/>
      <c r="F821" s="474"/>
      <c r="G821" s="3"/>
      <c r="I821" s="524"/>
    </row>
    <row r="822" spans="1:9" ht="12.7" customHeight="1">
      <c r="A822" s="385"/>
      <c r="B822" s="519" t="s">
        <v>308</v>
      </c>
      <c r="C822" s="1024"/>
      <c r="D822" s="1268" t="s">
        <v>1953</v>
      </c>
      <c r="E822" s="1268"/>
      <c r="F822" s="1268"/>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308</v>
      </c>
      <c r="C836" s="1024"/>
      <c r="D836" s="1268" t="s">
        <v>1954</v>
      </c>
      <c r="E836" s="1268"/>
      <c r="F836" s="1268"/>
      <c r="G836" s="3"/>
      <c r="I836" s="524" t="s">
        <v>2143</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308</v>
      </c>
      <c r="C840" s="1024"/>
      <c r="D840" s="1301" t="s">
        <v>1955</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2381</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308</v>
      </c>
      <c r="C849" s="1024"/>
      <c r="D849" s="1268" t="s">
        <v>1956</v>
      </c>
      <c r="E849" s="1268"/>
      <c r="F849" s="1268"/>
      <c r="G849" s="3"/>
      <c r="I849" s="524" t="s">
        <v>2126</v>
      </c>
    </row>
    <row r="850" spans="1:9" ht="12.7" customHeight="1">
      <c r="A850" s="176"/>
      <c r="B850" s="176"/>
      <c r="C850" s="1024"/>
      <c r="D850" s="1268" t="s">
        <v>1957</v>
      </c>
      <c r="E850" s="1268"/>
      <c r="F850" s="1268"/>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308</v>
      </c>
      <c r="C853" s="1024"/>
      <c r="D853" s="1268" t="s">
        <v>1958</v>
      </c>
      <c r="E853" s="1268"/>
      <c r="F853" s="1268"/>
      <c r="G853" s="3"/>
      <c r="I853" s="524" t="s">
        <v>2144</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1993</v>
      </c>
      <c r="E860" s="1284"/>
      <c r="F860" s="1284"/>
      <c r="G860" s="1023"/>
      <c r="I860" s="524"/>
    </row>
    <row r="861" spans="1:9" ht="12.7" customHeight="1">
      <c r="A861" s="385"/>
      <c r="B861" s="385"/>
      <c r="C861" s="175"/>
      <c r="D861" s="1337" t="s">
        <v>1960</v>
      </c>
      <c r="E861" s="1337"/>
      <c r="F861" s="1337"/>
      <c r="G861" s="1023"/>
      <c r="I861" s="524"/>
    </row>
    <row r="862" spans="1:9" ht="12.7" customHeight="1">
      <c r="A862" s="385"/>
      <c r="B862" s="385"/>
      <c r="C862" s="175"/>
      <c r="D862" s="1030"/>
      <c r="E862" s="1030"/>
      <c r="F862" s="1030"/>
      <c r="G862" s="1023"/>
      <c r="I862" s="524"/>
    </row>
    <row r="863" spans="1:9" ht="12.7" customHeight="1">
      <c r="A863" s="176"/>
      <c r="B863" s="519" t="s">
        <v>308</v>
      </c>
      <c r="C863" s="385"/>
      <c r="D863" s="1279" t="s">
        <v>1961</v>
      </c>
      <c r="E863" s="1279"/>
      <c r="F863" s="1279"/>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308</v>
      </c>
      <c r="C866" s="385"/>
      <c r="D866" s="1268" t="s">
        <v>1962</v>
      </c>
      <c r="E866" s="1286"/>
      <c r="F866" s="1286"/>
      <c r="G866" s="3"/>
      <c r="I866" s="524" t="s">
        <v>2144</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308</v>
      </c>
      <c r="C869" s="385"/>
      <c r="D869" s="1333" t="s">
        <v>1963</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2381</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308</v>
      </c>
      <c r="C878" s="385"/>
      <c r="D878" s="1311" t="s">
        <v>1956</v>
      </c>
      <c r="E878" s="1311"/>
      <c r="F878" s="1311"/>
      <c r="G878" s="1023"/>
      <c r="I878" s="524" t="s">
        <v>2126</v>
      </c>
    </row>
    <row r="879" spans="1:9" ht="12.7" customHeight="1">
      <c r="A879" s="176"/>
      <c r="B879" s="176"/>
      <c r="C879" s="385"/>
      <c r="D879" s="1311" t="s">
        <v>1957</v>
      </c>
      <c r="E879" s="1311"/>
      <c r="F879" s="1311"/>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308</v>
      </c>
      <c r="C882" s="385"/>
      <c r="D882" s="1268" t="s">
        <v>1958</v>
      </c>
      <c r="E882" s="1268"/>
      <c r="F882" s="1268"/>
      <c r="G882" s="1023"/>
      <c r="I882" s="524" t="s">
        <v>2144</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1994</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2000</v>
      </c>
      <c r="E889" s="1307"/>
      <c r="F889" s="1307"/>
      <c r="G889" s="57"/>
      <c r="I889" s="524"/>
    </row>
    <row r="890" spans="1:9" ht="12.7" customHeight="1">
      <c r="A890" s="57"/>
      <c r="B890" s="57"/>
      <c r="C890" s="57"/>
      <c r="D890" s="1016"/>
      <c r="E890" s="1016"/>
      <c r="F890" s="1016"/>
      <c r="G890" s="57"/>
      <c r="I890" s="524"/>
    </row>
    <row r="891" spans="1:9" ht="12.7" customHeight="1">
      <c r="A891" s="57"/>
      <c r="B891" s="519" t="s">
        <v>308</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7" t="s">
        <v>1995</v>
      </c>
      <c r="E893" s="1307"/>
      <c r="F893" s="1307"/>
      <c r="G893" s="1023"/>
      <c r="I893" s="524"/>
    </row>
    <row r="894" spans="1:9" ht="12.7" customHeight="1">
      <c r="A894" s="172"/>
      <c r="B894" s="172"/>
      <c r="C894" s="172"/>
      <c r="D894" s="1279" t="s">
        <v>1964</v>
      </c>
      <c r="E894" s="1279"/>
      <c r="F894" s="1279"/>
      <c r="G894" s="1023"/>
      <c r="I894" s="524"/>
    </row>
    <row r="895" spans="1:9" ht="12.7" customHeight="1">
      <c r="A895" s="1024"/>
      <c r="B895" s="1024"/>
      <c r="C895" s="1024"/>
      <c r="D895" s="2"/>
      <c r="E895" s="1023"/>
      <c r="F895" s="1023"/>
      <c r="G895" s="1023"/>
      <c r="I895" s="524"/>
    </row>
    <row r="896" spans="1:9" ht="12.7" customHeight="1">
      <c r="A896" s="176"/>
      <c r="B896" s="519" t="s">
        <v>308</v>
      </c>
      <c r="C896" s="385"/>
      <c r="D896" s="1268" t="s">
        <v>1968</v>
      </c>
      <c r="E896" s="1268"/>
      <c r="F896" s="1268"/>
      <c r="G896" s="3"/>
      <c r="I896" s="524" t="s">
        <v>2110</v>
      </c>
    </row>
    <row r="897" spans="1:9" ht="12.7" customHeight="1">
      <c r="A897" s="385"/>
      <c r="B897" s="385"/>
      <c r="C897" s="385"/>
      <c r="D897" s="1268"/>
      <c r="E897" s="1268"/>
      <c r="F897" s="1268"/>
      <c r="G897" s="3"/>
      <c r="I897" s="524"/>
    </row>
    <row r="898" spans="1:9" ht="12.7" customHeight="1">
      <c r="A898" s="172"/>
      <c r="B898" s="172"/>
      <c r="C898" s="172"/>
      <c r="D898" s="1268" t="s">
        <v>1967</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308</v>
      </c>
      <c r="C901" s="175"/>
      <c r="D901" s="1278" t="s">
        <v>1965</v>
      </c>
      <c r="E901" s="1278"/>
      <c r="F901" s="1278"/>
      <c r="G901" s="1023"/>
      <c r="I901" s="524" t="s">
        <v>2109</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308</v>
      </c>
      <c r="C910" s="1024"/>
      <c r="D910" s="1268" t="s">
        <v>1969</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308</v>
      </c>
      <c r="C913" s="1024"/>
      <c r="D913" s="1305" t="s">
        <v>1970</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308</v>
      </c>
      <c r="C918" s="1024"/>
      <c r="D918" s="1279" t="s">
        <v>2382</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308</v>
      </c>
      <c r="C920" s="1024"/>
      <c r="D920" s="1279" t="s">
        <v>2383</v>
      </c>
      <c r="E920" s="1279"/>
      <c r="F920" s="1279"/>
      <c r="G920" s="1023"/>
      <c r="I920" s="524"/>
    </row>
    <row r="921" spans="1:9" ht="12.7" customHeight="1">
      <c r="A921" s="175"/>
      <c r="B921" s="175"/>
      <c r="C921" s="175"/>
      <c r="D921" s="2"/>
      <c r="E921" s="3"/>
      <c r="F921" s="1023"/>
      <c r="G921" s="1023"/>
      <c r="I921" s="524"/>
    </row>
    <row r="922" spans="1:9" ht="12.7" customHeight="1">
      <c r="A922" s="1032"/>
      <c r="B922" s="519" t="s">
        <v>308</v>
      </c>
      <c r="C922" s="1033"/>
      <c r="D922" s="1278" t="s">
        <v>1966</v>
      </c>
      <c r="E922" s="1278"/>
      <c r="F922" s="1278"/>
      <c r="G922" s="1034"/>
      <c r="I922" s="524" t="s">
        <v>2159</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308</v>
      </c>
      <c r="C932" s="175"/>
      <c r="D932" s="1334" t="s">
        <v>2161</v>
      </c>
      <c r="E932" s="1334"/>
      <c r="F932" s="1334"/>
      <c r="G932" s="1023"/>
      <c r="I932" s="524" t="s">
        <v>2159</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308</v>
      </c>
      <c r="C940" s="175"/>
      <c r="D940" s="1277" t="s">
        <v>2455</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308</v>
      </c>
      <c r="C947" s="1024"/>
      <c r="D947" s="1305" t="s">
        <v>1971</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308</v>
      </c>
      <c r="C952" s="175"/>
      <c r="D952" s="1278" t="s">
        <v>2160</v>
      </c>
      <c r="E952" s="1278"/>
      <c r="F952" s="1278"/>
      <c r="G952" s="1023"/>
      <c r="I952" s="524" t="s">
        <v>2159</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1972</v>
      </c>
      <c r="E957" s="1284"/>
      <c r="F957" s="1284"/>
      <c r="G957" s="3"/>
      <c r="I957" s="524"/>
    </row>
    <row r="958" spans="1:9" ht="12.7" customHeight="1">
      <c r="A958" s="176"/>
      <c r="B958" s="519" t="s">
        <v>308</v>
      </c>
      <c r="C958" s="385"/>
      <c r="D958" s="1279" t="s">
        <v>1996</v>
      </c>
      <c r="E958" s="1279"/>
      <c r="F958" s="1279"/>
      <c r="G958" s="3"/>
      <c r="I958" s="524" t="s">
        <v>2159</v>
      </c>
    </row>
    <row r="959" spans="1:9" ht="12.7" customHeight="1">
      <c r="A959" s="385"/>
      <c r="B959" s="385"/>
      <c r="C959" s="385"/>
      <c r="D959" s="3"/>
      <c r="E959" s="3"/>
      <c r="F959" s="3"/>
      <c r="G959" s="3"/>
      <c r="I959" s="524"/>
    </row>
    <row r="960" spans="1:9" ht="12.7" customHeight="1">
      <c r="A960" s="385"/>
      <c r="B960" s="385"/>
      <c r="C960" s="385"/>
      <c r="D960" s="1284" t="s">
        <v>1973</v>
      </c>
      <c r="E960" s="1284"/>
      <c r="F960" s="1284"/>
      <c r="G960"/>
      <c r="I960" s="524"/>
    </row>
    <row r="961" spans="1:9" ht="12.7" customHeight="1">
      <c r="A961" s="176"/>
      <c r="B961" s="519" t="s">
        <v>308</v>
      </c>
      <c r="C961" s="385"/>
      <c r="D961" s="1268" t="s">
        <v>2384</v>
      </c>
      <c r="E961" s="1268"/>
      <c r="F961" s="1268"/>
      <c r="G961"/>
      <c r="I961" s="524" t="s">
        <v>2159</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1974</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1997</v>
      </c>
      <c r="E979" s="1284"/>
      <c r="F979" s="1284"/>
      <c r="G979" s="3"/>
      <c r="I979" s="524"/>
    </row>
    <row r="980" spans="1:9" ht="12.7" customHeight="1">
      <c r="A980" s="172"/>
      <c r="B980" s="172"/>
      <c r="C980" s="172"/>
      <c r="D980" s="1279" t="s">
        <v>1975</v>
      </c>
      <c r="E980" s="1279"/>
      <c r="F980" s="1279"/>
      <c r="G980" s="3"/>
      <c r="I980" s="524"/>
    </row>
    <row r="981" spans="1:9" ht="12.7" customHeight="1">
      <c r="A981" s="172"/>
      <c r="B981" s="172"/>
      <c r="C981" s="172"/>
      <c r="D981" s="3"/>
      <c r="E981" s="3"/>
      <c r="F981" s="1023"/>
      <c r="G981"/>
      <c r="I981" s="524"/>
    </row>
    <row r="982" spans="1:9" ht="12.7" customHeight="1">
      <c r="A982" s="385"/>
      <c r="B982" s="519" t="s">
        <v>308</v>
      </c>
      <c r="C982" s="385"/>
      <c r="D982" s="1332" t="s">
        <v>2214</v>
      </c>
      <c r="E982" s="1332"/>
      <c r="F982" s="1332"/>
      <c r="G982"/>
      <c r="I982" s="524" t="s">
        <v>2139</v>
      </c>
    </row>
    <row r="983" spans="1:9" ht="12.7" customHeight="1">
      <c r="A983" s="385"/>
      <c r="B983" s="385"/>
      <c r="C983" s="385"/>
      <c r="D983" s="1332"/>
      <c r="E983" s="1332"/>
      <c r="F983" s="1332"/>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308</v>
      </c>
      <c r="C990" s="175"/>
      <c r="D990" s="1268" t="s">
        <v>1976</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308</v>
      </c>
      <c r="C995" s="175"/>
      <c r="D995" s="1268" t="s">
        <v>1977</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308</v>
      </c>
      <c r="C998" s="385"/>
      <c r="D998" s="1279" t="s">
        <v>1978</v>
      </c>
      <c r="E998" s="1279"/>
      <c r="F998" s="1279"/>
      <c r="G998"/>
      <c r="I998" s="524"/>
    </row>
    <row r="999" spans="1:9" ht="12.7" customHeight="1">
      <c r="A999" s="385"/>
      <c r="B999" s="385"/>
      <c r="C999" s="385"/>
      <c r="D999" s="3"/>
      <c r="E999" s="3"/>
      <c r="F999" s="3"/>
      <c r="G999"/>
      <c r="I999" s="524"/>
    </row>
    <row r="1000" spans="1:9" ht="12.7" customHeight="1">
      <c r="A1000" s="176"/>
      <c r="B1000" s="519" t="s">
        <v>308</v>
      </c>
      <c r="C1000" s="385"/>
      <c r="D1000" s="1279" t="s">
        <v>1979</v>
      </c>
      <c r="E1000" s="1279"/>
      <c r="F1000" s="1279"/>
      <c r="G1000"/>
      <c r="I1000" s="524"/>
    </row>
    <row r="1001" spans="1:9" ht="12.7" customHeight="1">
      <c r="A1001" s="385"/>
      <c r="B1001" s="385"/>
      <c r="C1001" s="385"/>
      <c r="D1001" s="118"/>
      <c r="E1001" s="3"/>
      <c r="F1001" s="3"/>
      <c r="G1001"/>
      <c r="I1001" s="524"/>
    </row>
    <row r="1002" spans="1:9" ht="12.7" customHeight="1">
      <c r="A1002" s="176"/>
      <c r="B1002" s="519" t="s">
        <v>308</v>
      </c>
      <c r="C1002" s="385"/>
      <c r="D1002" s="1279" t="s">
        <v>1980</v>
      </c>
      <c r="E1002" s="1279"/>
      <c r="F1002" s="1279"/>
      <c r="G1002"/>
      <c r="I1002" s="524"/>
    </row>
    <row r="1003" spans="1:9" ht="12.7" customHeight="1">
      <c r="A1003" s="385"/>
      <c r="B1003" s="385"/>
      <c r="C1003" s="385"/>
      <c r="D1003" s="118"/>
      <c r="E1003" s="3"/>
      <c r="F1003" s="3"/>
      <c r="G1003"/>
      <c r="I1003" s="524"/>
    </row>
    <row r="1004" spans="1:9" ht="12.7" customHeight="1">
      <c r="A1004" s="176"/>
      <c r="B1004" s="519" t="s">
        <v>308</v>
      </c>
      <c r="C1004" s="385"/>
      <c r="D1004" s="1268" t="s">
        <v>1981</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308</v>
      </c>
      <c r="C1007" s="1035"/>
      <c r="D1007" s="1308" t="s">
        <v>1982</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308</v>
      </c>
      <c r="C1010" s="1035"/>
      <c r="D1010" s="1326" t="s">
        <v>1983</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308</v>
      </c>
      <c r="C1012" s="385"/>
      <c r="D1012" s="1279" t="s">
        <v>1984</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308</v>
      </c>
      <c r="C1014" s="385"/>
      <c r="D1014" s="1268" t="s">
        <v>1985</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1986</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1987</v>
      </c>
      <c r="E1019" s="1307"/>
      <c r="F1019" s="1307"/>
      <c r="G1019" s="3"/>
      <c r="I1019" s="524"/>
    </row>
    <row r="1020" spans="1:9" ht="12.7" customHeight="1">
      <c r="A1020" s="385"/>
      <c r="B1020" s="385"/>
      <c r="C1020" s="385"/>
      <c r="D1020" s="1326" t="s">
        <v>1988</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2002</v>
      </c>
      <c r="E1022" s="1307"/>
      <c r="F1022" s="1307"/>
      <c r="G1022" s="3"/>
      <c r="I1022" s="524" t="s">
        <v>2111</v>
      </c>
    </row>
    <row r="1023" spans="1:9" ht="12.7" customHeight="1">
      <c r="A1023" s="385"/>
      <c r="B1023" s="519" t="s">
        <v>308</v>
      </c>
      <c r="C1023" s="385"/>
      <c r="D1023" s="1326" t="s">
        <v>1379</v>
      </c>
      <c r="E1023" s="1326"/>
      <c r="F1023" s="1326"/>
      <c r="G1023" s="3"/>
      <c r="I1023" s="524"/>
    </row>
    <row r="1024" spans="1:9" ht="12.7" customHeight="1">
      <c r="A1024" s="385"/>
      <c r="B1024" s="176"/>
      <c r="C1024" s="385"/>
      <c r="D1024" s="1326" t="s">
        <v>1989</v>
      </c>
      <c r="E1024" s="1326"/>
      <c r="F1024" s="1326"/>
      <c r="G1024" s="3"/>
      <c r="I1024" s="524"/>
    </row>
    <row r="1025" spans="1:9" ht="12.7" customHeight="1">
      <c r="A1025" s="385"/>
      <c r="B1025" s="385"/>
      <c r="C1025" s="385"/>
      <c r="D1025" s="1326"/>
      <c r="E1025" s="1326"/>
      <c r="F1025" s="1326"/>
      <c r="G1025" s="3"/>
      <c r="I1025" s="524"/>
    </row>
    <row r="1026" spans="1:9" ht="12.7" customHeight="1">
      <c r="A1026" s="1313" t="s">
        <v>1998</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1380</v>
      </c>
      <c r="E1028" s="1315"/>
      <c r="F1028" s="1315"/>
      <c r="G1028" s="3"/>
      <c r="I1028" s="524"/>
    </row>
    <row r="1029" spans="1:9" ht="12.7" hidden="1" customHeight="1">
      <c r="A1029" s="118"/>
      <c r="B1029" s="519" t="s">
        <v>308</v>
      </c>
      <c r="D1029" s="1317" t="s">
        <v>1379</v>
      </c>
      <c r="E1029" s="1317"/>
      <c r="F1029" s="1317"/>
      <c r="G1029" s="3"/>
      <c r="I1029" s="524"/>
    </row>
    <row r="1030" spans="1:9" ht="12.7" hidden="1" customHeight="1">
      <c r="A1030" s="118"/>
      <c r="B1030" s="433"/>
      <c r="D1030" s="1317" t="s">
        <v>1999</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1093</v>
      </c>
      <c r="E1032" s="1327"/>
      <c r="F1032" s="1327"/>
      <c r="G1032" s="3"/>
      <c r="I1032" s="524" t="s">
        <v>2140</v>
      </c>
    </row>
    <row r="1033" spans="1:9" ht="12.7" customHeight="1">
      <c r="A1033" s="345"/>
      <c r="B1033" s="345"/>
      <c r="C1033" s="345"/>
      <c r="D1033" s="1311" t="s">
        <v>1110</v>
      </c>
      <c r="E1033" s="1311"/>
      <c r="F1033" s="1311"/>
      <c r="G1033" s="98"/>
      <c r="I1033" s="524"/>
    </row>
    <row r="1034" spans="1:9" ht="12.7" customHeight="1">
      <c r="A1034" s="176"/>
      <c r="B1034" s="519" t="s">
        <v>308</v>
      </c>
      <c r="C1034" s="385"/>
      <c r="D1034" s="1311" t="s">
        <v>1003</v>
      </c>
      <c r="E1034" s="1311"/>
      <c r="F1034" s="1311"/>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308</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308</v>
      </c>
      <c r="C1050" s="433"/>
      <c r="D1050" s="433" t="s">
        <v>2001</v>
      </c>
      <c r="I1050" s="524" t="s">
        <v>2113</v>
      </c>
    </row>
    <row r="1051" spans="1:9">
      <c r="A1051" s="433"/>
      <c r="B1051" s="433"/>
      <c r="C1051" s="433"/>
      <c r="I1051" s="524"/>
    </row>
    <row r="1052" spans="1:9">
      <c r="A1052" s="433"/>
      <c r="B1052" s="519" t="s">
        <v>308</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308</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308</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308</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308</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308</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308</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308</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XFC1105"/>
  <sheetViews>
    <sheetView showGridLines="0" zoomScale="110" zoomScaleNormal="110" workbookViewId="0">
      <selection activeCell="A13" sqref="A13:AT14"/>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2635</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86" t="s">
        <v>2657</v>
      </c>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row>
    <row r="17" spans="1:52" ht="12.95" customHeight="1"/>
    <row r="18" spans="1:52" ht="12.95" customHeight="1">
      <c r="A18" s="57" t="s">
        <v>101</v>
      </c>
      <c r="C18" s="4"/>
      <c r="D18" s="4"/>
      <c r="E18" s="4"/>
      <c r="F18" s="4"/>
      <c r="G18" s="4"/>
      <c r="H18" s="1445" t="s">
        <v>2636</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883</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8" t="s">
        <v>1031</v>
      </c>
      <c r="B21" s="1788"/>
      <c r="C21" s="1788"/>
      <c r="D21" s="1788"/>
      <c r="E21" s="1788"/>
      <c r="F21" s="1788"/>
      <c r="G21" s="1788"/>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5">
        <f>'Basis &amp; Credits'!AB56</f>
        <v>3750645</v>
      </c>
      <c r="N26" s="1785"/>
      <c r="O26" s="1785"/>
      <c r="P26" s="1785"/>
      <c r="Q26" s="1785"/>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11200000</v>
      </c>
      <c r="N27" s="1388"/>
      <c r="O27" s="1388"/>
      <c r="P27" s="1388"/>
      <c r="Q27" s="138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2508</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03" t="s">
        <v>553</v>
      </c>
      <c r="P33" s="1403"/>
      <c r="Q33" s="1443" t="s">
        <v>2509</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2510</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2517</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2518</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2519</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1" t="s">
        <v>2520</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2.95"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2.95"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2521</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0" t="s">
        <v>2524</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2.95"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1" t="s">
        <v>2525</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2.95"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2.95"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2.95"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2.95"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2.95"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2.95"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0" t="s">
        <v>2773</v>
      </c>
      <c r="H113" s="1800"/>
      <c r="I113" s="3" t="s">
        <v>182</v>
      </c>
      <c r="L113" s="1800" t="s">
        <v>2637</v>
      </c>
      <c r="M113" s="1800"/>
      <c r="N113" s="1800"/>
      <c r="O113" s="1800"/>
      <c r="P113" s="1795" t="s">
        <v>2529</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5" t="s">
        <v>502</v>
      </c>
      <c r="D115" s="1815"/>
      <c r="E115" s="1815"/>
      <c r="F115" s="1815"/>
      <c r="G115" s="1815"/>
      <c r="H115" s="1815"/>
      <c r="I115" s="1815"/>
      <c r="J115" s="1815"/>
      <c r="K115" s="1815"/>
      <c r="L115" s="216" t="s">
        <v>2772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800"/>
      <c r="Z117" s="1800"/>
      <c r="AA117" s="1800"/>
      <c r="AB117" s="1800"/>
      <c r="AC117" s="1800"/>
      <c r="AD117" s="1800"/>
      <c r="AE117" s="1800"/>
      <c r="AF117" s="1800"/>
      <c r="AG117" s="1800"/>
      <c r="AH117" s="1800"/>
      <c r="AI117" s="1800"/>
      <c r="AJ117" s="1800"/>
      <c r="AK117" s="1800"/>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0" t="s">
        <v>2660</v>
      </c>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0" t="s">
        <v>2771</v>
      </c>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45" t="s">
        <v>2641</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551" t="s">
        <v>2642</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443</v>
      </c>
      <c r="F155" s="8"/>
      <c r="G155" s="8"/>
      <c r="H155" s="8"/>
      <c r="I155" s="8"/>
      <c r="J155" s="8"/>
      <c r="K155" s="8"/>
      <c r="L155" s="8"/>
      <c r="M155" s="8"/>
      <c r="N155" s="8"/>
      <c r="O155" s="1790" t="s">
        <v>2645</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404" t="s">
        <v>2643</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2644</v>
      </c>
      <c r="P157" s="1446"/>
      <c r="Q157" s="1446"/>
      <c r="R157" s="1446"/>
      <c r="S157" s="1446"/>
      <c r="T157" s="1446"/>
      <c r="U157" s="1446"/>
      <c r="V157" s="1446"/>
      <c r="W157" s="1446"/>
      <c r="X157" s="1446"/>
      <c r="Y157" s="8"/>
      <c r="Z157" s="8"/>
      <c r="AA157" s="8"/>
      <c r="AB157" s="8"/>
      <c r="AC157" s="8"/>
      <c r="AD157" s="8"/>
      <c r="AE157" s="8"/>
      <c r="AF157" s="8"/>
      <c r="BN157" s="23" t="s">
        <v>643</v>
      </c>
      <c r="BT157" t="s">
        <v>484</v>
      </c>
    </row>
    <row r="158" spans="1:72" ht="12.95" customHeight="1">
      <c r="D158" t="s">
        <v>316</v>
      </c>
      <c r="O158" s="1792">
        <v>90026</v>
      </c>
      <c r="P158" s="1792"/>
      <c r="Q158" s="1792"/>
      <c r="R158" s="1792"/>
      <c r="S158" s="9"/>
      <c r="T158" s="9"/>
      <c r="U158" s="9"/>
      <c r="V158" s="9"/>
      <c r="W158" s="9"/>
      <c r="X158" s="9"/>
      <c r="Y158" s="9"/>
      <c r="Z158" s="9"/>
      <c r="AA158" s="9"/>
      <c r="AB158" s="9"/>
      <c r="AC158" s="9"/>
      <c r="AD158" s="9"/>
      <c r="AE158" s="9"/>
      <c r="AF158" s="9"/>
      <c r="BN158" s="23" t="s">
        <v>644</v>
      </c>
      <c r="BT158" t="s">
        <v>485</v>
      </c>
    </row>
    <row r="159" spans="1:72" ht="12.95" customHeight="1">
      <c r="D159" t="s">
        <v>317</v>
      </c>
      <c r="O159" s="1794">
        <v>2138088596</v>
      </c>
      <c r="P159" s="1794"/>
      <c r="Q159" s="1794"/>
      <c r="R159" s="1794"/>
      <c r="S159" s="1794"/>
      <c r="T159" s="1794"/>
      <c r="V159" s="97" t="s">
        <v>272</v>
      </c>
      <c r="W159" s="1793"/>
      <c r="X159" s="1793"/>
      <c r="Y159" s="10"/>
      <c r="Z159" s="10"/>
      <c r="AA159" s="10"/>
      <c r="AB159" s="10"/>
      <c r="AC159" s="10"/>
      <c r="AD159" s="10"/>
      <c r="AE159" s="10"/>
      <c r="AF159" s="10"/>
      <c r="BN159" s="23" t="s">
        <v>340</v>
      </c>
      <c r="BT159" t="s">
        <v>486</v>
      </c>
    </row>
    <row r="160" spans="1:72" ht="12.95" customHeight="1">
      <c r="D160" t="s">
        <v>318</v>
      </c>
      <c r="O160" s="1794">
        <v>2138088910</v>
      </c>
      <c r="P160" s="1794"/>
      <c r="Q160" s="1794"/>
      <c r="R160" s="1794"/>
      <c r="S160" s="1794"/>
      <c r="T160" s="1794"/>
      <c r="U160" s="10"/>
      <c r="V160" s="10"/>
      <c r="W160" s="10"/>
      <c r="X160" s="10"/>
      <c r="Y160" s="10"/>
      <c r="Z160" s="10"/>
      <c r="AA160" s="10"/>
      <c r="AB160" s="10"/>
      <c r="AC160" s="10"/>
      <c r="AD160" s="10"/>
      <c r="AE160" s="10"/>
      <c r="AF160" s="10"/>
      <c r="BN160" s="23" t="s">
        <v>667</v>
      </c>
      <c r="BT160" t="s">
        <v>487</v>
      </c>
    </row>
    <row r="161" spans="1:72" ht="12.95" customHeight="1">
      <c r="D161" t="s">
        <v>319</v>
      </c>
      <c r="O161" s="1783" t="s">
        <v>2646</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676</v>
      </c>
      <c r="BN161" s="23" t="s">
        <v>668</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2.95" customHeight="1">
      <c r="C164" s="27"/>
      <c r="D164" s="1816" t="s">
        <v>2624</v>
      </c>
      <c r="E164" s="1816"/>
      <c r="F164" s="1816"/>
      <c r="G164" s="1816"/>
      <c r="H164" s="1816"/>
      <c r="I164" s="1816"/>
      <c r="J164" s="1816"/>
      <c r="K164" s="1816"/>
      <c r="L164" s="1816"/>
      <c r="M164" s="1816"/>
      <c r="N164" s="1816"/>
      <c r="O164" s="1816"/>
      <c r="P164" s="1816"/>
      <c r="Q164" s="1816"/>
      <c r="R164" s="1816"/>
      <c r="S164" s="1816"/>
      <c r="T164" s="1816"/>
      <c r="U164" s="1816"/>
      <c r="V164" s="1816"/>
      <c r="W164" s="1816"/>
      <c r="X164" s="1816"/>
      <c r="Y164" s="1816"/>
      <c r="Z164" s="1816"/>
      <c r="AA164" s="1816"/>
      <c r="AB164" s="1816"/>
      <c r="AC164" s="1816"/>
      <c r="AD164" s="1816"/>
      <c r="AE164" s="1816"/>
      <c r="AF164" s="1816"/>
      <c r="AG164" s="1816"/>
      <c r="AH164" s="1816"/>
      <c r="BN164" s="23" t="s">
        <v>671</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2.95" customHeight="1">
      <c r="A169" s="1465" t="s">
        <v>547</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680</v>
      </c>
      <c r="BT169" t="s">
        <v>496</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681</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500</v>
      </c>
    </row>
    <row r="174" spans="1:72" ht="12.95" customHeight="1">
      <c r="C174" s="24"/>
      <c r="D174" s="3" t="s">
        <v>1306</v>
      </c>
      <c r="J174" s="1404" t="s">
        <v>2419</v>
      </c>
      <c r="K174" s="1404"/>
      <c r="L174" s="1404"/>
      <c r="M174" s="1404"/>
      <c r="N174" s="1404"/>
      <c r="O174" s="1404"/>
      <c r="P174" s="1404"/>
      <c r="Q174" s="1404"/>
      <c r="R174" s="1404"/>
      <c r="S174" s="1404"/>
      <c r="T174" s="1404"/>
      <c r="U174" s="1404"/>
      <c r="V174" s="1404"/>
      <c r="W174" s="1404"/>
      <c r="X174" s="1404"/>
      <c r="Y174" s="1404"/>
      <c r="Z174" s="1404"/>
      <c r="AA174" s="1404"/>
      <c r="AB174" s="1404"/>
      <c r="BB174" t="s">
        <v>2272</v>
      </c>
      <c r="BN174" s="23" t="s">
        <v>217</v>
      </c>
      <c r="BT174" t="s">
        <v>501</v>
      </c>
    </row>
    <row r="175" spans="1:72" ht="12.95" customHeight="1">
      <c r="C175" s="8"/>
      <c r="D175" s="3" t="s">
        <v>323</v>
      </c>
      <c r="O175" s="27"/>
      <c r="U175" s="1403" t="s">
        <v>676</v>
      </c>
      <c r="V175" s="1403"/>
      <c r="BB175" t="s">
        <v>2236</v>
      </c>
      <c r="BN175" s="23" t="s">
        <v>218</v>
      </c>
      <c r="BT175" t="s">
        <v>502</v>
      </c>
    </row>
    <row r="176" spans="1:72" ht="12.95" customHeight="1">
      <c r="C176" s="8"/>
      <c r="D176" s="26"/>
      <c r="E176" t="s">
        <v>305</v>
      </c>
      <c r="O176" s="27"/>
      <c r="P176" t="s">
        <v>2394</v>
      </c>
      <c r="T176" s="27" t="s">
        <v>306</v>
      </c>
      <c r="U176" s="1457"/>
      <c r="V176" s="1457"/>
      <c r="W176" s="1" t="s">
        <v>307</v>
      </c>
      <c r="X176" s="1812"/>
      <c r="Y176" s="1812"/>
      <c r="BB176" t="s">
        <v>2273</v>
      </c>
      <c r="BN176" s="23" t="s">
        <v>220</v>
      </c>
      <c r="BT176" t="s">
        <v>503</v>
      </c>
    </row>
    <row r="177" spans="1:72" ht="12.95" customHeight="1">
      <c r="C177" s="24"/>
      <c r="D177" t="s">
        <v>250</v>
      </c>
      <c r="R177" s="1403" t="s">
        <v>676</v>
      </c>
      <c r="S177" s="1403"/>
      <c r="BB177" t="s">
        <v>2578</v>
      </c>
      <c r="BN177" s="23" t="s">
        <v>221</v>
      </c>
      <c r="BT177" t="s">
        <v>504</v>
      </c>
    </row>
    <row r="178" spans="1:72" ht="12.95" customHeight="1">
      <c r="C178" s="24"/>
      <c r="D178" s="3" t="s">
        <v>1307</v>
      </c>
      <c r="AA178" t="s">
        <v>2394</v>
      </c>
      <c r="AE178" s="27" t="s">
        <v>306</v>
      </c>
      <c r="AF178" s="1635"/>
      <c r="AG178" s="1635"/>
      <c r="AH178" s="1" t="s">
        <v>307</v>
      </c>
      <c r="AI178" s="1687"/>
      <c r="AJ178" s="1687"/>
      <c r="AK178" s="1687"/>
      <c r="BB178" t="s">
        <v>2579</v>
      </c>
      <c r="BN178" s="23" t="s">
        <v>222</v>
      </c>
      <c r="BT178" t="s">
        <v>53</v>
      </c>
    </row>
    <row r="179" spans="1:72" ht="12.95" customHeight="1">
      <c r="C179" s="24"/>
      <c r="BN179" s="23" t="s">
        <v>223</v>
      </c>
      <c r="BT179" t="s">
        <v>54</v>
      </c>
    </row>
    <row r="180" spans="1:72" ht="12.95" customHeight="1">
      <c r="C180" s="24"/>
      <c r="D180" t="s">
        <v>2395</v>
      </c>
      <c r="X180" s="1403" t="s">
        <v>676</v>
      </c>
      <c r="Y180" s="1403"/>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49" t="str">
        <f>H18</f>
        <v>Locke Lofts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231</v>
      </c>
      <c r="BT184" t="s">
        <v>62</v>
      </c>
    </row>
    <row r="185" spans="1:72" ht="12.95" customHeight="1">
      <c r="C185" s="21"/>
      <c r="D185" t="s">
        <v>587</v>
      </c>
      <c r="I185" s="1405" t="s">
        <v>2640</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232</v>
      </c>
      <c r="BT185" t="s">
        <v>63</v>
      </c>
    </row>
    <row r="186" spans="1:72" ht="12.95" customHeight="1">
      <c r="C186" s="21"/>
      <c r="E186" t="s">
        <v>168</v>
      </c>
      <c r="BN186" s="23" t="s">
        <v>233</v>
      </c>
      <c r="BT186" t="s">
        <v>64</v>
      </c>
    </row>
    <row r="187" spans="1:72"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234</v>
      </c>
      <c r="BT187" t="s">
        <v>65</v>
      </c>
    </row>
    <row r="188" spans="1:72" ht="12.95" customHeight="1">
      <c r="C188" s="21"/>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BN188" s="23" t="s">
        <v>236</v>
      </c>
      <c r="BT188" t="s">
        <v>66</v>
      </c>
    </row>
    <row r="189" spans="1:72" ht="12.95" customHeight="1">
      <c r="C189" s="21"/>
      <c r="D189" t="s">
        <v>588</v>
      </c>
      <c r="I189" s="1404" t="s">
        <v>502</v>
      </c>
      <c r="J189" s="1404"/>
      <c r="K189" s="1404"/>
      <c r="L189" s="1404"/>
      <c r="M189" s="1404"/>
      <c r="N189" s="1404"/>
      <c r="O189" s="1404"/>
      <c r="P189" s="1404"/>
      <c r="Q189" t="s">
        <v>590</v>
      </c>
      <c r="T189" s="1404" t="s">
        <v>502</v>
      </c>
      <c r="U189" s="1404"/>
      <c r="V189" s="1404"/>
      <c r="W189" s="1404"/>
      <c r="X189" s="1404"/>
      <c r="Y189" s="1404"/>
      <c r="Z189" s="1404"/>
      <c r="AA189" s="1404"/>
      <c r="AB189" s="1404"/>
      <c r="AC189" s="1404"/>
      <c r="AD189" s="1404"/>
      <c r="AE189" s="1404"/>
      <c r="BC189" t="s">
        <v>308</v>
      </c>
      <c r="BH189" s="3" t="s">
        <v>599</v>
      </c>
      <c r="BN189" s="23" t="s">
        <v>237</v>
      </c>
      <c r="BT189" t="s">
        <v>67</v>
      </c>
    </row>
    <row r="190" spans="1:72" ht="12.95" customHeight="1">
      <c r="C190" s="21"/>
      <c r="D190" t="s">
        <v>591</v>
      </c>
      <c r="I190" s="1405">
        <v>90004</v>
      </c>
      <c r="J190" s="1405"/>
      <c r="K190" s="1405"/>
      <c r="L190" s="1405"/>
      <c r="M190" s="1405"/>
      <c r="N190" s="1405"/>
      <c r="O190" t="s">
        <v>593</v>
      </c>
      <c r="T190" s="1801">
        <v>1927</v>
      </c>
      <c r="U190" s="1801"/>
      <c r="V190" s="1801"/>
      <c r="W190" s="1801"/>
      <c r="X190" s="1801"/>
      <c r="Y190" s="1801"/>
      <c r="Z190" s="1801"/>
      <c r="AA190" s="1801"/>
      <c r="AB190" s="1801"/>
      <c r="AC190" s="1801"/>
      <c r="AD190" s="1801"/>
      <c r="AE190" s="1801"/>
      <c r="BC190" t="s">
        <v>1063</v>
      </c>
      <c r="BH190" t="s">
        <v>1063</v>
      </c>
      <c r="BN190" s="23" t="s">
        <v>642</v>
      </c>
      <c r="BT190" t="s">
        <v>68</v>
      </c>
    </row>
    <row r="191" spans="1:72" ht="12.95" customHeight="1">
      <c r="C191" s="21"/>
      <c r="D191" t="s">
        <v>470</v>
      </c>
      <c r="N191" s="1803" t="s">
        <v>2647</v>
      </c>
      <c r="O191" s="1803"/>
      <c r="P191" s="1803"/>
      <c r="Q191" s="1803"/>
      <c r="R191" s="1803"/>
      <c r="S191" s="1803"/>
      <c r="T191" s="1803"/>
      <c r="U191" s="1803"/>
      <c r="V191" s="1803"/>
      <c r="W191" s="1803"/>
      <c r="X191" s="1803"/>
      <c r="Y191" s="1803"/>
      <c r="Z191" s="1803"/>
      <c r="AA191" s="1803"/>
      <c r="AB191" s="1803"/>
      <c r="AC191" s="1803"/>
      <c r="AD191" s="1803"/>
      <c r="AE191" s="1803"/>
      <c r="BC191" t="s">
        <v>1062</v>
      </c>
      <c r="BH191" t="s">
        <v>1062</v>
      </c>
      <c r="BN191" s="23" t="s">
        <v>696</v>
      </c>
      <c r="BT191" t="s">
        <v>735</v>
      </c>
    </row>
    <row r="192" spans="1:72" ht="12.95" customHeight="1">
      <c r="C192" s="21"/>
      <c r="M192" s="40"/>
      <c r="N192" s="1804"/>
      <c r="O192" s="1804"/>
      <c r="P192" s="1804"/>
      <c r="Q192" s="1804"/>
      <c r="R192" s="1804"/>
      <c r="S192" s="1804"/>
      <c r="T192" s="1804"/>
      <c r="U192" s="1804"/>
      <c r="V192" s="1804"/>
      <c r="W192" s="1804"/>
      <c r="X192" s="1804"/>
      <c r="Y192" s="1804"/>
      <c r="Z192" s="1804"/>
      <c r="AA192" s="1804"/>
      <c r="AB192" s="1804"/>
      <c r="AC192" s="1804"/>
      <c r="AD192" s="1804"/>
      <c r="AE192" s="1804"/>
      <c r="BC192" t="s">
        <v>1065</v>
      </c>
      <c r="BH192" s="3" t="s">
        <v>1473</v>
      </c>
      <c r="BN192" s="23" t="s">
        <v>697</v>
      </c>
      <c r="BT192" t="s">
        <v>736</v>
      </c>
    </row>
    <row r="193" spans="1:74" ht="12.95" customHeight="1">
      <c r="C193" s="21"/>
      <c r="D193" t="s">
        <v>2396</v>
      </c>
      <c r="M193" s="40"/>
      <c r="N193" s="928"/>
      <c r="O193" s="928"/>
      <c r="P193" s="928"/>
      <c r="Q193" s="928"/>
      <c r="R193" s="928"/>
      <c r="S193" s="928"/>
      <c r="T193" s="1809" t="s">
        <v>2273</v>
      </c>
      <c r="U193" s="1809"/>
      <c r="V193" s="1809"/>
      <c r="W193" s="1809"/>
      <c r="X193" s="1809"/>
      <c r="Y193" s="1809"/>
      <c r="Z193" s="1809"/>
      <c r="AA193" s="1809"/>
      <c r="AB193" s="1809"/>
      <c r="AC193" s="1809"/>
      <c r="AD193" s="1809"/>
      <c r="AE193" s="1809"/>
      <c r="AF193" s="1809"/>
      <c r="AG193" s="1809"/>
      <c r="AH193" s="1809"/>
      <c r="AI193" s="1809"/>
      <c r="BC193" t="s">
        <v>1064</v>
      </c>
      <c r="BH193" s="3" t="s">
        <v>1740</v>
      </c>
      <c r="BN193" s="23" t="s">
        <v>698</v>
      </c>
      <c r="BT193" t="s">
        <v>737</v>
      </c>
    </row>
    <row r="194" spans="1:74" ht="12.95" customHeight="1">
      <c r="C194" s="21"/>
      <c r="D194" s="3" t="s">
        <v>2580</v>
      </c>
      <c r="M194" s="40"/>
      <c r="N194" s="928"/>
      <c r="O194" s="928"/>
      <c r="P194" s="928"/>
      <c r="Q194" s="928"/>
      <c r="R194" s="928"/>
      <c r="S194" s="928"/>
      <c r="AH194" s="1403" t="s">
        <v>676</v>
      </c>
      <c r="AI194" s="1403"/>
      <c r="BC194" t="s">
        <v>1473</v>
      </c>
      <c r="BN194" s="23" t="s">
        <v>699</v>
      </c>
      <c r="BT194" t="s">
        <v>738</v>
      </c>
    </row>
    <row r="195" spans="1:74" ht="12.95" customHeight="1">
      <c r="C195" s="21"/>
      <c r="D195" t="s">
        <v>332</v>
      </c>
      <c r="T195" s="1403" t="s">
        <v>553</v>
      </c>
      <c r="U195" s="1403"/>
      <c r="W195" t="s">
        <v>692</v>
      </c>
      <c r="AH195" s="1403">
        <v>34</v>
      </c>
      <c r="AI195" s="1403"/>
      <c r="BC195" t="s">
        <v>2046</v>
      </c>
      <c r="BN195" s="23" t="s">
        <v>243</v>
      </c>
      <c r="BT195" t="s">
        <v>739</v>
      </c>
    </row>
    <row r="196" spans="1:74" ht="12.95" customHeight="1">
      <c r="C196" s="21"/>
      <c r="D196" t="s">
        <v>387</v>
      </c>
      <c r="T196" s="1434" t="s">
        <v>676</v>
      </c>
      <c r="U196" s="1434"/>
      <c r="W196" t="s">
        <v>693</v>
      </c>
      <c r="AH196" s="1403">
        <v>53</v>
      </c>
      <c r="AI196" s="1403"/>
      <c r="BN196" s="23" t="s">
        <v>244</v>
      </c>
      <c r="BT196" t="s">
        <v>69</v>
      </c>
    </row>
    <row r="197" spans="1:74" ht="12.95" customHeight="1">
      <c r="C197" s="21"/>
      <c r="D197" s="3" t="s">
        <v>169</v>
      </c>
      <c r="T197" s="1434" t="s">
        <v>676</v>
      </c>
      <c r="U197" s="1434"/>
      <c r="W197" t="s">
        <v>694</v>
      </c>
      <c r="AH197" s="1403">
        <v>24</v>
      </c>
      <c r="AI197" s="1403"/>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34" t="s">
        <v>599</v>
      </c>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03" t="s">
        <v>676</v>
      </c>
      <c r="AA199" s="140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195</v>
      </c>
      <c r="BU201"/>
    </row>
    <row r="202" spans="1:74" ht="12.95" customHeight="1">
      <c r="C202" s="21"/>
      <c r="D202" s="546"/>
      <c r="BC202" t="s">
        <v>1089</v>
      </c>
      <c r="BD202" s="469"/>
      <c r="BN202" s="23" t="s">
        <v>709</v>
      </c>
      <c r="BO202" s="14"/>
      <c r="BP202" s="32"/>
      <c r="BQ202" s="32"/>
      <c r="BR202" s="32"/>
      <c r="BS202" s="32"/>
      <c r="BT202" s="32" t="s">
        <v>196</v>
      </c>
    </row>
    <row r="203" spans="1:74" ht="12.95" customHeight="1">
      <c r="A203" s="2" t="s">
        <v>594</v>
      </c>
      <c r="C203" s="2" t="s">
        <v>136</v>
      </c>
      <c r="BC203" t="s">
        <v>1090</v>
      </c>
      <c r="BN203" s="23" t="s">
        <v>710</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7">
        <f>M26</f>
        <v>3750645</v>
      </c>
      <c r="Q204" s="1799"/>
      <c r="R204" s="1799"/>
      <c r="S204" s="1799"/>
      <c r="T204" s="1799"/>
      <c r="U204" s="1799"/>
      <c r="Z204" s="1797" t="s">
        <v>2628</v>
      </c>
      <c r="AA204" s="1797"/>
      <c r="AB204" s="1797"/>
      <c r="AC204" s="1797"/>
      <c r="AD204" s="1797"/>
      <c r="AE204" s="1797"/>
      <c r="AF204" s="1797"/>
      <c r="BC204" t="s">
        <v>618</v>
      </c>
      <c r="BN204" s="23" t="s">
        <v>711</v>
      </c>
      <c r="BT204" s="32" t="s">
        <v>198</v>
      </c>
      <c r="BU204" s="14"/>
    </row>
    <row r="205" spans="1:74" ht="12.95" customHeight="1">
      <c r="C205" s="21"/>
      <c r="D205" s="1796" t="s">
        <v>1353</v>
      </c>
      <c r="E205" s="1449"/>
      <c r="F205" s="1449"/>
      <c r="G205" s="1449"/>
      <c r="H205" s="1449"/>
      <c r="I205" s="1449"/>
      <c r="J205" s="1449"/>
      <c r="K205" s="1449"/>
      <c r="L205" s="1449"/>
      <c r="M205" s="1449"/>
      <c r="P205" s="1799">
        <f>M27</f>
        <v>11200000</v>
      </c>
      <c r="Q205" s="1799"/>
      <c r="R205" s="1799"/>
      <c r="S205" s="1799"/>
      <c r="T205" s="1799"/>
      <c r="U205" s="1799"/>
      <c r="V205" s="28"/>
      <c r="W205" s="3" t="s">
        <v>1908</v>
      </c>
      <c r="Z205" s="1797"/>
      <c r="AA205" s="1797"/>
      <c r="AB205" s="1797"/>
      <c r="AC205" s="1797"/>
      <c r="AD205" s="1797"/>
      <c r="AE205" s="1797"/>
      <c r="AF205" s="1797"/>
      <c r="AG205" t="s">
        <v>1354</v>
      </c>
      <c r="AP205" s="1403" t="s">
        <v>676</v>
      </c>
      <c r="AQ205" s="1403"/>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798"/>
      <c r="AA206" s="1798"/>
      <c r="AB206" s="1798"/>
      <c r="AC206" s="1798"/>
      <c r="AD206" s="1798"/>
      <c r="AE206" s="1798"/>
      <c r="AF206" s="1798"/>
      <c r="BC206" s="470" t="s">
        <v>1091</v>
      </c>
      <c r="BN206" s="23" t="s">
        <v>110</v>
      </c>
      <c r="BT206" s="32" t="s">
        <v>199</v>
      </c>
      <c r="BU206" s="14"/>
    </row>
    <row r="207" spans="1:74" ht="12.95" customHeight="1">
      <c r="A207" s="2" t="s">
        <v>597</v>
      </c>
      <c r="C207" s="2" t="s">
        <v>559</v>
      </c>
      <c r="BC207" s="3" t="s">
        <v>2570</v>
      </c>
      <c r="BN207" s="23" t="s">
        <v>45</v>
      </c>
      <c r="BT207" s="32" t="s">
        <v>200</v>
      </c>
    </row>
    <row r="208" spans="1:74" ht="12.95" customHeight="1">
      <c r="C208" s="21"/>
      <c r="D208" s="1446" t="s">
        <v>2648</v>
      </c>
      <c r="E208" s="1446"/>
      <c r="F208" s="1446"/>
      <c r="G208" s="1446"/>
      <c r="H208" s="1446"/>
      <c r="I208" s="1446"/>
      <c r="J208" s="1446"/>
      <c r="K208" s="1446"/>
      <c r="L208" s="1446"/>
      <c r="M208" s="1446"/>
      <c r="BC208" t="s">
        <v>1092</v>
      </c>
      <c r="BN208" s="23" t="s">
        <v>46</v>
      </c>
      <c r="BT208" s="32" t="s">
        <v>201</v>
      </c>
    </row>
    <row r="209" spans="1:72" ht="12.95" customHeight="1">
      <c r="BC209" t="s">
        <v>666</v>
      </c>
      <c r="BN209" s="23" t="s">
        <v>47</v>
      </c>
      <c r="BT209" s="32" t="s">
        <v>202</v>
      </c>
    </row>
    <row r="210" spans="1:72" ht="12.95" customHeight="1">
      <c r="A210" s="2" t="s">
        <v>598</v>
      </c>
      <c r="C210" s="2" t="s">
        <v>389</v>
      </c>
      <c r="BN210" s="23" t="s">
        <v>48</v>
      </c>
      <c r="BT210" s="32" t="s">
        <v>203</v>
      </c>
    </row>
    <row r="211" spans="1:72" ht="12.95" customHeight="1">
      <c r="C211" s="21"/>
      <c r="D211" s="1446" t="s">
        <v>1065</v>
      </c>
      <c r="E211" s="1446"/>
      <c r="F211" s="1446"/>
      <c r="G211" s="1446"/>
      <c r="H211" s="1446"/>
      <c r="I211" s="1446"/>
      <c r="J211" s="1446"/>
      <c r="K211" s="1446"/>
      <c r="L211" s="1446"/>
      <c r="M211" s="1446"/>
      <c r="BN211" s="23" t="s">
        <v>129</v>
      </c>
      <c r="BT211" s="32" t="s">
        <v>130</v>
      </c>
    </row>
    <row r="212" spans="1:72" ht="12.95" customHeight="1">
      <c r="C212" s="21"/>
      <c r="D212" t="s">
        <v>1350</v>
      </c>
      <c r="Y212" s="1403">
        <v>146</v>
      </c>
      <c r="Z212" s="1403"/>
      <c r="AB212" s="1807">
        <f>IFERROR(Y212/AG440,"")</f>
        <v>1</v>
      </c>
      <c r="AC212" s="1808"/>
      <c r="BC212" t="s">
        <v>308</v>
      </c>
      <c r="BI212" t="s">
        <v>1288</v>
      </c>
      <c r="BN212" s="23" t="s">
        <v>49</v>
      </c>
      <c r="BT212" s="32" t="s">
        <v>204</v>
      </c>
    </row>
    <row r="213" spans="1:72" ht="12.95" customHeight="1">
      <c r="D213" s="1189" t="s">
        <v>1739</v>
      </c>
      <c r="BC213" t="s">
        <v>534</v>
      </c>
      <c r="BI213" t="s">
        <v>2628</v>
      </c>
      <c r="BN213" s="23" t="s">
        <v>50</v>
      </c>
      <c r="BT213" s="32" t="s">
        <v>205</v>
      </c>
    </row>
    <row r="214" spans="1:72" ht="12.95" customHeight="1">
      <c r="D214" s="1814" t="s">
        <v>599</v>
      </c>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c r="Y214" s="1814"/>
      <c r="Z214" s="1814"/>
      <c r="AU214" s="21"/>
      <c r="AV214" s="21"/>
      <c r="AW214" s="21"/>
      <c r="AX214" s="21"/>
      <c r="AY214" s="21"/>
      <c r="BC214" t="s">
        <v>538</v>
      </c>
      <c r="BI214" t="s">
        <v>2634</v>
      </c>
      <c r="BN214" s="23" t="s">
        <v>327</v>
      </c>
      <c r="BT214" s="32" t="s">
        <v>206</v>
      </c>
    </row>
    <row r="215" spans="1:72" ht="12.95" customHeight="1">
      <c r="D215" s="3" t="s">
        <v>1764</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535</v>
      </c>
      <c r="BI215" t="s">
        <v>2629</v>
      </c>
    </row>
    <row r="216" spans="1:72" ht="12.95" customHeight="1">
      <c r="D216" s="3" t="s">
        <v>1762</v>
      </c>
      <c r="Z216" s="40"/>
      <c r="AB216" s="1813"/>
      <c r="AC216" s="1813"/>
      <c r="AD216" s="1813"/>
      <c r="AE216" s="1813"/>
      <c r="AF216" s="1813"/>
      <c r="AG216" s="1813"/>
      <c r="AH216" s="1813"/>
      <c r="AI216" s="1813"/>
      <c r="AJ216" s="1813"/>
      <c r="AK216" s="1813"/>
      <c r="AL216" s="1813"/>
      <c r="AM216" s="21"/>
      <c r="AN216" s="21"/>
      <c r="AO216" s="21"/>
      <c r="AP216" s="21"/>
      <c r="AQ216" s="21"/>
      <c r="AR216" s="21"/>
      <c r="AS216" s="21"/>
      <c r="AT216" s="21"/>
      <c r="AU216" s="21"/>
      <c r="AV216" s="21"/>
      <c r="AW216" s="21"/>
      <c r="AX216" s="21"/>
      <c r="AY216" s="21"/>
      <c r="BC216" t="s">
        <v>574</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1326</v>
      </c>
      <c r="D218" s="28"/>
      <c r="BC218" t="s">
        <v>537</v>
      </c>
    </row>
    <row r="219" spans="1:72" ht="12.95" customHeight="1">
      <c r="A219" s="2"/>
      <c r="C219" s="2"/>
      <c r="D219" s="4" t="s">
        <v>1006</v>
      </c>
      <c r="AZ219" s="3"/>
      <c r="BA219" s="3"/>
      <c r="BC219" t="s">
        <v>378</v>
      </c>
    </row>
    <row r="220" spans="1:72" ht="12.95" customHeight="1">
      <c r="A220" s="2"/>
      <c r="C220" s="2"/>
      <c r="D220" s="1446" t="s">
        <v>886</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5" t="s">
        <v>548</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599</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553</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599</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2" t="str">
        <f>H16</f>
        <v>Flexible PSH Solutions, Inc.</v>
      </c>
      <c r="N232" s="1802"/>
      <c r="O232" s="1802"/>
      <c r="P232" s="1802"/>
      <c r="Q232" s="1802"/>
      <c r="R232" s="1802"/>
      <c r="S232" s="1802"/>
      <c r="T232" s="1802"/>
      <c r="U232" s="1802"/>
      <c r="V232" s="1802"/>
      <c r="W232" s="1802"/>
      <c r="X232" s="1802"/>
      <c r="Y232" s="1802"/>
      <c r="Z232" s="1802"/>
      <c r="AA232" s="1802"/>
      <c r="AB232" s="1802"/>
      <c r="AC232" s="1802"/>
      <c r="AD232" s="1802"/>
      <c r="AE232" s="1802"/>
      <c r="AF232" s="1802"/>
      <c r="AG232" s="1802"/>
      <c r="AH232" s="1802"/>
      <c r="AI232" s="1802"/>
      <c r="AJ232" s="1802"/>
      <c r="AK232" s="180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5" t="s">
        <v>2774</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2.95" customHeight="1">
      <c r="D234" s="4" t="s">
        <v>588</v>
      </c>
      <c r="E234" s="4"/>
      <c r="M234" s="1445" t="s">
        <v>502</v>
      </c>
      <c r="N234" s="1446"/>
      <c r="O234" s="1446"/>
      <c r="P234" s="1446"/>
      <c r="Q234" s="1446"/>
      <c r="R234" s="1446"/>
      <c r="S234" s="1446"/>
      <c r="T234" s="1446"/>
      <c r="V234" s="33" t="s">
        <v>86</v>
      </c>
      <c r="W234" s="1551" t="s">
        <v>2659</v>
      </c>
      <c r="X234" s="1487"/>
      <c r="Y234" s="4" t="s">
        <v>591</v>
      </c>
      <c r="AC234" s="1446">
        <v>90010</v>
      </c>
      <c r="AD234" s="1446"/>
      <c r="AE234" s="144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5" t="s">
        <v>2660</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464">
        <v>6613880531</v>
      </c>
      <c r="N236" s="1464"/>
      <c r="O236" s="1464"/>
      <c r="P236" s="1464"/>
      <c r="Q236" s="1464"/>
      <c r="R236" s="1464"/>
      <c r="S236" s="4" t="s">
        <v>207</v>
      </c>
      <c r="T236" s="4"/>
      <c r="U236" s="1487"/>
      <c r="V236" s="1487"/>
      <c r="W236" s="1487"/>
      <c r="X236" s="4" t="s">
        <v>89</v>
      </c>
      <c r="Z236" s="1464"/>
      <c r="AA236" s="1464"/>
      <c r="AB236" s="1464"/>
      <c r="AC236" s="1464"/>
      <c r="AD236" s="1464"/>
      <c r="AE236" s="1464"/>
      <c r="AU236" s="4"/>
      <c r="AV236" s="4"/>
      <c r="AW236" s="4"/>
      <c r="AX236" s="4"/>
      <c r="AY236" s="4"/>
      <c r="AZ236" s="4"/>
      <c r="BB236" s="218" t="s">
        <v>545</v>
      </c>
      <c r="BG236" s="259">
        <f>IF(AND(AND($M$249="nonprofit",$M$257="nonprofit",$M$265="(select one)")),1,0)</f>
        <v>0</v>
      </c>
    </row>
    <row r="237" spans="1:69" ht="12.95" customHeight="1">
      <c r="D237" s="4" t="s">
        <v>90</v>
      </c>
      <c r="E237" s="4"/>
      <c r="F237" s="4"/>
      <c r="M237" s="1783" t="s">
        <v>2661</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5" t="s">
        <v>378</v>
      </c>
      <c r="N238" s="1405"/>
      <c r="O238" s="1405"/>
      <c r="P238" s="1405"/>
      <c r="Q238" s="1405"/>
      <c r="R238" s="1405"/>
      <c r="S238" s="1405"/>
      <c r="T238" s="1405"/>
      <c r="U238" s="218" t="s">
        <v>920</v>
      </c>
      <c r="V238" s="218"/>
      <c r="W238" s="218"/>
      <c r="X238" s="218"/>
      <c r="Y238" s="218"/>
      <c r="Z238" s="218"/>
      <c r="AA238" s="1805" t="s">
        <v>599</v>
      </c>
      <c r="AB238" s="1806"/>
      <c r="AC238" s="1806"/>
      <c r="AD238" s="1806"/>
      <c r="AE238" s="1806"/>
      <c r="AF238" s="1806"/>
      <c r="AG238" s="1806"/>
      <c r="AH238" s="1806"/>
      <c r="AI238" s="1806"/>
      <c r="AJ238" s="1806"/>
      <c r="AK238" s="1806"/>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6" t="s">
        <v>2654</v>
      </c>
      <c r="N243" s="1787"/>
      <c r="O243" s="1787"/>
      <c r="P243" s="1787"/>
      <c r="Q243" s="1787"/>
      <c r="R243" s="1787"/>
      <c r="S243" s="1787"/>
      <c r="T243" s="1787"/>
      <c r="U243" s="1787"/>
      <c r="V243" s="1787"/>
      <c r="W243" s="1787"/>
      <c r="X243" s="1787"/>
      <c r="Y243" s="1787"/>
      <c r="Z243" s="1787"/>
      <c r="AA243" s="1787"/>
      <c r="AB243" s="1787"/>
      <c r="AC243" s="1787"/>
      <c r="AD243" s="1787"/>
      <c r="AE243" s="1787"/>
      <c r="AF243" s="1787" t="s">
        <v>2652</v>
      </c>
      <c r="AG243" s="1787"/>
      <c r="AH243" s="1787"/>
      <c r="AI243" s="1787"/>
      <c r="AJ243" s="1787"/>
      <c r="AK243" s="178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2655</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1283</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45" t="s">
        <v>2638</v>
      </c>
      <c r="N245" s="1446"/>
      <c r="O245" s="1446"/>
      <c r="P245" s="1446"/>
      <c r="Q245" s="1446"/>
      <c r="R245" s="1446"/>
      <c r="S245" s="1446"/>
      <c r="T245" s="1446"/>
      <c r="V245" s="33" t="s">
        <v>86</v>
      </c>
      <c r="W245" s="1551" t="s">
        <v>2650</v>
      </c>
      <c r="X245" s="1487"/>
      <c r="Y245" s="4" t="s">
        <v>591</v>
      </c>
      <c r="AC245" s="1446">
        <v>83616</v>
      </c>
      <c r="AD245" s="1446"/>
      <c r="AE245" s="1446"/>
      <c r="AF245" s="3" t="s">
        <v>1284</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45" t="s">
        <v>2639</v>
      </c>
      <c r="N246" s="1446"/>
      <c r="O246" s="1446"/>
      <c r="P246" s="1446"/>
      <c r="Q246" s="1446"/>
      <c r="R246" s="1446"/>
      <c r="S246" s="1446"/>
      <c r="T246" s="1446"/>
      <c r="U246" s="1446"/>
      <c r="V246" s="1446"/>
      <c r="W246" s="1446"/>
      <c r="X246" s="1446"/>
      <c r="Y246" s="1446"/>
      <c r="Z246" s="1446"/>
      <c r="AA246" s="1446"/>
      <c r="AB246" s="1446"/>
      <c r="AC246" s="1446"/>
      <c r="AD246" s="1446"/>
      <c r="AE246" s="1446"/>
      <c r="AH246" s="1784">
        <v>5.0000000000000001E-3</v>
      </c>
      <c r="AI246" s="1784"/>
      <c r="AJ246" s="1784"/>
      <c r="AK246" s="178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64">
        <v>2084610022</v>
      </c>
      <c r="N247" s="1464"/>
      <c r="O247" s="1464"/>
      <c r="P247" s="1464"/>
      <c r="Q247" s="1464"/>
      <c r="R247" s="1464"/>
      <c r="S247" s="4" t="s">
        <v>207</v>
      </c>
      <c r="T247" s="4"/>
      <c r="U247" s="1487">
        <v>3015</v>
      </c>
      <c r="V247" s="1487"/>
      <c r="W247" s="1487"/>
      <c r="X247" s="4" t="s">
        <v>89</v>
      </c>
      <c r="Z247" s="1464">
        <v>2084613267</v>
      </c>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3" t="s">
        <v>2651</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5" t="s">
        <v>544</v>
      </c>
      <c r="N249" s="1405"/>
      <c r="O249" s="1405"/>
      <c r="P249" s="1405"/>
      <c r="Q249" s="1405"/>
      <c r="R249" s="1405"/>
      <c r="S249" s="1405"/>
      <c r="T249" s="1405"/>
      <c r="U249" s="218" t="s">
        <v>920</v>
      </c>
      <c r="V249" s="218"/>
      <c r="W249" s="218"/>
      <c r="X249" s="218"/>
      <c r="Y249" s="218"/>
      <c r="Z249" s="218"/>
      <c r="AA249" s="1805" t="s">
        <v>2656</v>
      </c>
      <c r="AB249" s="1806"/>
      <c r="AC249" s="1806"/>
      <c r="AD249" s="1806"/>
      <c r="AE249" s="1806"/>
      <c r="AF249" s="1806"/>
      <c r="AG249" s="1806"/>
      <c r="AH249" s="1806"/>
      <c r="AI249" s="1806"/>
      <c r="AJ249" s="1806"/>
      <c r="AK249" s="180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86" t="s">
        <v>2657</v>
      </c>
      <c r="N251" s="1787"/>
      <c r="O251" s="1787"/>
      <c r="P251" s="1787"/>
      <c r="Q251" s="1787"/>
      <c r="R251" s="1787"/>
      <c r="S251" s="1787"/>
      <c r="T251" s="1787"/>
      <c r="U251" s="1787"/>
      <c r="V251" s="1787"/>
      <c r="W251" s="1787"/>
      <c r="X251" s="1787"/>
      <c r="Y251" s="1787"/>
      <c r="Z251" s="1787"/>
      <c r="AA251" s="1787"/>
      <c r="AB251" s="1787"/>
      <c r="AC251" s="1787"/>
      <c r="AD251" s="1787"/>
      <c r="AE251" s="1787"/>
      <c r="AF251" s="1787" t="s">
        <v>2653</v>
      </c>
      <c r="AG251" s="1787"/>
      <c r="AH251" s="1787"/>
      <c r="AI251" s="1787"/>
      <c r="AJ251" s="1787"/>
      <c r="AK251" s="1787"/>
      <c r="AU251" s="4"/>
      <c r="AV251" s="4"/>
      <c r="AW251" s="4"/>
      <c r="AX251" s="4"/>
      <c r="AY251" s="4"/>
      <c r="BN251" s="34"/>
    </row>
    <row r="252" spans="1:71" ht="12.95" customHeight="1">
      <c r="A252" s="19"/>
      <c r="B252" s="4"/>
      <c r="C252" s="4"/>
      <c r="D252" s="4" t="s">
        <v>85</v>
      </c>
      <c r="E252" s="4"/>
      <c r="F252" s="4"/>
      <c r="G252" s="4"/>
      <c r="H252" s="4"/>
      <c r="I252" s="4"/>
      <c r="J252" s="4"/>
      <c r="K252" s="4"/>
      <c r="L252" s="4"/>
      <c r="M252" s="1445" t="s">
        <v>2658</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1283</v>
      </c>
      <c r="AL252" s="4"/>
      <c r="AM252" s="4"/>
      <c r="AN252" s="4"/>
      <c r="AO252" s="4"/>
      <c r="AP252" s="4"/>
      <c r="AQ252" s="4"/>
      <c r="AR252" s="4"/>
      <c r="AS252" s="4"/>
      <c r="AT252" s="4"/>
      <c r="BN252" s="34"/>
    </row>
    <row r="253" spans="1:71" ht="12.95" customHeight="1">
      <c r="A253" s="19"/>
      <c r="B253" s="4"/>
      <c r="C253" s="4"/>
      <c r="D253" s="4" t="s">
        <v>588</v>
      </c>
      <c r="E253" s="4"/>
      <c r="M253" s="1445" t="s">
        <v>502</v>
      </c>
      <c r="N253" s="1446"/>
      <c r="O253" s="1446"/>
      <c r="P253" s="1446"/>
      <c r="Q253" s="1446"/>
      <c r="R253" s="1446"/>
      <c r="S253" s="1446"/>
      <c r="T253" s="1446"/>
      <c r="V253" s="33" t="s">
        <v>86</v>
      </c>
      <c r="W253" s="1551" t="s">
        <v>2659</v>
      </c>
      <c r="X253" s="1487"/>
      <c r="Y253" s="4" t="s">
        <v>591</v>
      </c>
      <c r="AC253" s="1446">
        <v>90010</v>
      </c>
      <c r="AD253" s="1446"/>
      <c r="AE253" s="1446"/>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2660</v>
      </c>
      <c r="N254" s="1446"/>
      <c r="O254" s="1446"/>
      <c r="P254" s="1446"/>
      <c r="Q254" s="1446"/>
      <c r="R254" s="1446"/>
      <c r="S254" s="1446"/>
      <c r="T254" s="1446"/>
      <c r="U254" s="1446"/>
      <c r="V254" s="1446"/>
      <c r="W254" s="1446"/>
      <c r="X254" s="1446"/>
      <c r="Y254" s="1446"/>
      <c r="Z254" s="1446"/>
      <c r="AA254" s="1446"/>
      <c r="AB254" s="1446"/>
      <c r="AC254" s="1446"/>
      <c r="AD254" s="1446"/>
      <c r="AE254" s="1446"/>
      <c r="AH254" s="1784">
        <v>5.0000000000000001E-3</v>
      </c>
      <c r="AI254" s="1784"/>
      <c r="AJ254" s="1784"/>
      <c r="AK254" s="1784"/>
      <c r="AL254" s="4"/>
      <c r="AM254" s="4"/>
      <c r="AN254" s="4"/>
      <c r="AO254" s="4"/>
      <c r="AP254" s="4"/>
      <c r="AQ254" s="4"/>
      <c r="AR254" s="4"/>
      <c r="AS254" s="4"/>
      <c r="AT254" s="4"/>
    </row>
    <row r="255" spans="1:71" ht="12.95" customHeight="1">
      <c r="A255" s="19"/>
      <c r="B255" s="4"/>
      <c r="C255" s="4"/>
      <c r="D255" s="4" t="s">
        <v>88</v>
      </c>
      <c r="E255" s="4"/>
      <c r="F255" s="4"/>
      <c r="M255" s="1464">
        <v>6613880531</v>
      </c>
      <c r="N255" s="1464"/>
      <c r="O255" s="1464"/>
      <c r="P255" s="1464"/>
      <c r="Q255" s="1464"/>
      <c r="R255" s="1464"/>
      <c r="S255" s="4" t="s">
        <v>207</v>
      </c>
      <c r="T255" s="4"/>
      <c r="U255" s="1487"/>
      <c r="V255" s="1487"/>
      <c r="W255" s="1487"/>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3" t="s">
        <v>2661</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5" t="s">
        <v>542</v>
      </c>
      <c r="N257" s="1405"/>
      <c r="O257" s="1405"/>
      <c r="P257" s="1405"/>
      <c r="Q257" s="1405"/>
      <c r="R257" s="1405"/>
      <c r="S257" s="1405"/>
      <c r="T257" s="1405"/>
      <c r="U257" s="218" t="s">
        <v>920</v>
      </c>
      <c r="V257" s="218"/>
      <c r="W257" s="218"/>
      <c r="X257" s="218"/>
      <c r="Y257" s="218"/>
      <c r="Z257" s="218"/>
      <c r="AA257" s="1805" t="s">
        <v>599</v>
      </c>
      <c r="AB257" s="1806"/>
      <c r="AC257" s="1806"/>
      <c r="AD257" s="1806"/>
      <c r="AE257" s="1806"/>
      <c r="AF257" s="1806"/>
      <c r="AG257" s="1806"/>
      <c r="AH257" s="1806"/>
      <c r="AI257" s="1806"/>
      <c r="AJ257" s="1806"/>
      <c r="AK257" s="180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787"/>
      <c r="N259" s="1787"/>
      <c r="O259" s="1787"/>
      <c r="P259" s="1787"/>
      <c r="Q259" s="1787"/>
      <c r="R259" s="1787"/>
      <c r="S259" s="1787"/>
      <c r="T259" s="1787"/>
      <c r="U259" s="1787"/>
      <c r="V259" s="1787"/>
      <c r="W259" s="1787"/>
      <c r="X259" s="1787"/>
      <c r="Y259" s="1787"/>
      <c r="Z259" s="1787"/>
      <c r="AA259" s="1787"/>
      <c r="AB259" s="1787"/>
      <c r="AC259" s="1787"/>
      <c r="AD259" s="1787"/>
      <c r="AE259" s="1787"/>
      <c r="AF259" s="1787" t="s">
        <v>308</v>
      </c>
      <c r="AG259" s="1787"/>
      <c r="AH259" s="1787"/>
      <c r="AI259" s="1787"/>
      <c r="AJ259" s="1787"/>
      <c r="AK259" s="178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6"/>
      <c r="N261" s="1446"/>
      <c r="O261" s="1446"/>
      <c r="P261" s="1446"/>
      <c r="Q261" s="1446"/>
      <c r="R261" s="1446"/>
      <c r="S261" s="1446"/>
      <c r="T261" s="1446"/>
      <c r="V261" s="33" t="s">
        <v>86</v>
      </c>
      <c r="W261" s="1487"/>
      <c r="X261" s="1487"/>
      <c r="Y261" s="4" t="s">
        <v>591</v>
      </c>
      <c r="AC261" s="1446"/>
      <c r="AD261" s="1446"/>
      <c r="AE261" s="1446"/>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4"/>
      <c r="AI262" s="1784"/>
      <c r="AJ262" s="1784"/>
      <c r="AK262" s="178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87"/>
      <c r="V263" s="1487"/>
      <c r="W263" s="1487"/>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20"/>
      <c r="AB264" s="1820"/>
      <c r="AC264" s="1820"/>
      <c r="AD264" s="1820"/>
      <c r="AE264" s="182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5" t="s">
        <v>308</v>
      </c>
      <c r="N265" s="1405"/>
      <c r="O265" s="1405"/>
      <c r="P265" s="1405"/>
      <c r="Q265" s="1405"/>
      <c r="R265" s="1405"/>
      <c r="S265" s="1405"/>
      <c r="T265" s="1405"/>
      <c r="U265" s="218" t="s">
        <v>920</v>
      </c>
      <c r="V265" s="218"/>
      <c r="W265" s="218"/>
      <c r="X265" s="218"/>
      <c r="Y265" s="218"/>
      <c r="Z265" s="218"/>
      <c r="AA265" s="1819"/>
      <c r="AB265" s="1819"/>
      <c r="AC265" s="1819"/>
      <c r="AD265" s="1819"/>
      <c r="AE265" s="1819"/>
      <c r="AF265" s="1819"/>
      <c r="AG265" s="1819"/>
      <c r="AH265" s="1819"/>
      <c r="AI265" s="1819"/>
      <c r="AJ265" s="1819"/>
      <c r="AK265" s="181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8" t="str">
        <f>IFERROR(BO245,"")</f>
        <v>Joint Venture</v>
      </c>
      <c r="U267" s="1818"/>
      <c r="V267" s="1818"/>
      <c r="W267" s="1818"/>
      <c r="X267" s="181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6"/>
      <c r="Y270" s="1476"/>
      <c r="Z270" s="1476"/>
      <c r="AA270" s="1476"/>
      <c r="AB270" s="1476"/>
      <c r="AC270" s="147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6" t="s">
        <v>2662</v>
      </c>
      <c r="M274" s="1787"/>
      <c r="N274" s="1787"/>
      <c r="O274" s="1787"/>
      <c r="P274" s="1787"/>
      <c r="Q274" s="1787"/>
      <c r="R274" s="1787"/>
      <c r="S274" s="1787"/>
      <c r="T274" s="1787"/>
      <c r="U274" s="1787"/>
      <c r="V274" s="1787"/>
      <c r="W274" s="1787"/>
      <c r="X274" s="1787"/>
      <c r="Y274" s="1787"/>
      <c r="Z274" s="1787"/>
      <c r="AA274" s="1787"/>
      <c r="AB274" s="1787"/>
      <c r="AC274" s="1787"/>
      <c r="AD274" s="1787"/>
      <c r="AE274" s="1787"/>
      <c r="AF274" s="1787"/>
      <c r="AG274" s="1787"/>
      <c r="AH274" s="1787"/>
      <c r="AI274" s="1787"/>
      <c r="AJ274" s="178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2655</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5" t="s">
        <v>2638</v>
      </c>
      <c r="M276" s="1446"/>
      <c r="N276" s="1446"/>
      <c r="O276" s="1446"/>
      <c r="P276" s="1446"/>
      <c r="Q276" s="1446"/>
      <c r="R276" s="1446"/>
      <c r="S276" s="1446"/>
      <c r="U276" s="33" t="s">
        <v>86</v>
      </c>
      <c r="V276" s="1551" t="s">
        <v>2650</v>
      </c>
      <c r="W276" s="1487"/>
      <c r="X276" s="4" t="s">
        <v>591</v>
      </c>
      <c r="AB276" s="1446">
        <v>83616</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2663</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64">
        <v>2085772247</v>
      </c>
      <c r="M278" s="1464"/>
      <c r="N278" s="1464"/>
      <c r="O278" s="1464"/>
      <c r="P278" s="1464"/>
      <c r="Q278" s="1464"/>
      <c r="R278" s="4" t="s">
        <v>207</v>
      </c>
      <c r="S278" s="4"/>
      <c r="T278" s="1487"/>
      <c r="U278" s="1487"/>
      <c r="V278" s="1487"/>
      <c r="W278" s="4" t="s">
        <v>89</v>
      </c>
      <c r="Y278" s="1464">
        <v>2084613267</v>
      </c>
      <c r="Z278" s="1464"/>
      <c r="AA278" s="1464"/>
      <c r="AB278" s="1464"/>
      <c r="AC278" s="1464"/>
      <c r="AD278" s="1464"/>
      <c r="BN278" s="34"/>
    </row>
    <row r="279" spans="1:66" ht="12.95" customHeight="1">
      <c r="D279" s="4" t="s">
        <v>90</v>
      </c>
      <c r="E279" s="4"/>
      <c r="F279" s="4"/>
      <c r="L279" s="1783" t="s">
        <v>2664</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c r="BN279" s="34"/>
    </row>
    <row r="280" spans="1:66" ht="12.95" customHeight="1">
      <c r="D280" s="3" t="s">
        <v>631</v>
      </c>
      <c r="E280" s="3"/>
      <c r="F280" s="3"/>
      <c r="G280" s="3"/>
      <c r="H280" s="3"/>
      <c r="I280" s="3"/>
      <c r="L280" s="1551" t="s">
        <v>2665</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65" t="s">
        <v>549</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4" t="s">
        <v>2662</v>
      </c>
      <c r="I287" s="1404"/>
      <c r="J287" s="1404"/>
      <c r="K287" s="1404"/>
      <c r="L287" s="1404"/>
      <c r="M287" s="1404"/>
      <c r="N287" s="1404"/>
      <c r="O287" s="1404"/>
      <c r="P287" s="1404"/>
      <c r="Q287" s="1404"/>
      <c r="R287" s="1404"/>
      <c r="T287" s="3" t="s">
        <v>575</v>
      </c>
      <c r="V287" s="3"/>
      <c r="W287" s="3"/>
      <c r="X287" s="3"/>
      <c r="Y287" s="3"/>
      <c r="AA287" s="1404" t="s">
        <v>2706</v>
      </c>
      <c r="AB287" s="1404"/>
      <c r="AC287" s="1404"/>
      <c r="AD287" s="1404"/>
      <c r="AE287" s="1404"/>
      <c r="AF287" s="1404"/>
      <c r="AG287" s="1404"/>
      <c r="AH287" s="1404"/>
      <c r="AI287" s="1404"/>
      <c r="AJ287" s="1404"/>
      <c r="AK287" s="1404"/>
      <c r="BN287" s="34"/>
    </row>
    <row r="288" spans="1:66" ht="12.95" customHeight="1">
      <c r="B288" s="3" t="s">
        <v>479</v>
      </c>
      <c r="C288" s="3"/>
      <c r="D288" s="3"/>
      <c r="E288" s="3"/>
      <c r="F288" s="3"/>
      <c r="H288" s="1405" t="s">
        <v>2655</v>
      </c>
      <c r="I288" s="1405"/>
      <c r="J288" s="1405"/>
      <c r="K288" s="1405"/>
      <c r="L288" s="1405"/>
      <c r="M288" s="1405"/>
      <c r="N288" s="1405"/>
      <c r="O288" s="1405"/>
      <c r="P288" s="1405"/>
      <c r="Q288" s="1405"/>
      <c r="R288" s="1405"/>
      <c r="T288" s="3" t="s">
        <v>479</v>
      </c>
      <c r="V288" s="3"/>
      <c r="W288" s="3"/>
      <c r="X288" s="3"/>
      <c r="Y288" s="3"/>
      <c r="AA288" s="1405" t="s">
        <v>2707</v>
      </c>
      <c r="AB288" s="1405"/>
      <c r="AC288" s="1405"/>
      <c r="AD288" s="1405"/>
      <c r="AE288" s="1405"/>
      <c r="AF288" s="1405"/>
      <c r="AG288" s="1405"/>
      <c r="AH288" s="1405"/>
      <c r="AI288" s="1405"/>
      <c r="AJ288" s="1405"/>
      <c r="AK288" s="1405"/>
      <c r="BN288" s="34"/>
    </row>
    <row r="289" spans="2:66" ht="12.95" customHeight="1">
      <c r="B289" s="3" t="s">
        <v>480</v>
      </c>
      <c r="C289" s="3"/>
      <c r="D289" s="3"/>
      <c r="E289" s="3"/>
      <c r="F289" s="3"/>
      <c r="H289" s="1405" t="s">
        <v>2666</v>
      </c>
      <c r="I289" s="1405"/>
      <c r="J289" s="1405"/>
      <c r="K289" s="1405"/>
      <c r="L289" s="1405"/>
      <c r="M289" s="1405"/>
      <c r="N289" s="1405"/>
      <c r="O289" s="1405"/>
      <c r="P289" s="1405"/>
      <c r="Q289" s="1405"/>
      <c r="R289" s="1405"/>
      <c r="T289" s="3" t="s">
        <v>75</v>
      </c>
      <c r="V289" s="3"/>
      <c r="W289" s="3"/>
      <c r="X289" s="3"/>
      <c r="Y289" s="3"/>
      <c r="AA289" s="1405" t="s">
        <v>2708</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
        <v>2639</v>
      </c>
      <c r="I290" s="1405"/>
      <c r="J290" s="1405"/>
      <c r="K290" s="1405"/>
      <c r="L290" s="1405"/>
      <c r="M290" s="1405"/>
      <c r="N290" s="1405"/>
      <c r="O290" s="1405"/>
      <c r="P290" s="1405"/>
      <c r="Q290" s="1405"/>
      <c r="R290" s="1405"/>
      <c r="T290" s="3" t="s">
        <v>87</v>
      </c>
      <c r="V290" s="3"/>
      <c r="W290" s="3"/>
      <c r="X290" s="3"/>
      <c r="Y290" s="3"/>
      <c r="AA290" s="1405" t="s">
        <v>2709</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7">
        <v>2084610022</v>
      </c>
      <c r="I291" s="1467"/>
      <c r="J291" s="1467"/>
      <c r="K291" s="1467"/>
      <c r="L291" s="1467"/>
      <c r="M291" s="1467"/>
      <c r="N291" s="4" t="s">
        <v>207</v>
      </c>
      <c r="O291" s="4"/>
      <c r="P291" s="1446">
        <v>3015</v>
      </c>
      <c r="Q291" s="1446"/>
      <c r="R291" s="1446"/>
      <c r="S291" s="3"/>
      <c r="T291" s="3" t="s">
        <v>88</v>
      </c>
      <c r="V291" s="3"/>
      <c r="W291" s="3"/>
      <c r="X291" s="3"/>
      <c r="Y291" s="3"/>
      <c r="AA291" s="1467" t="s">
        <v>2710</v>
      </c>
      <c r="AB291" s="1467"/>
      <c r="AC291" s="1467"/>
      <c r="AD291" s="1467"/>
      <c r="AE291" s="1467"/>
      <c r="AF291" s="1467"/>
      <c r="AG291" s="4" t="s">
        <v>207</v>
      </c>
      <c r="AH291" s="4"/>
      <c r="AI291" s="1446"/>
      <c r="AJ291" s="1446"/>
      <c r="AK291" s="1446"/>
      <c r="BN291" s="34"/>
    </row>
    <row r="292" spans="2:66" ht="12.95" customHeight="1">
      <c r="B292" s="3" t="s">
        <v>89</v>
      </c>
      <c r="C292" s="3"/>
      <c r="D292" s="3"/>
      <c r="E292" s="3"/>
      <c r="F292" s="3"/>
      <c r="G292" s="3"/>
      <c r="H292" s="1464">
        <v>2084613267</v>
      </c>
      <c r="I292" s="1464"/>
      <c r="J292" s="1464"/>
      <c r="K292" s="1464"/>
      <c r="L292" s="1464"/>
      <c r="M292" s="1464"/>
      <c r="N292" s="4"/>
      <c r="O292" s="4"/>
      <c r="P292" s="35"/>
      <c r="Q292" s="35"/>
      <c r="R292" s="35"/>
      <c r="S292" s="3"/>
      <c r="T292" s="3" t="s">
        <v>89</v>
      </c>
      <c r="V292" s="3"/>
      <c r="W292" s="3"/>
      <c r="X292" s="3"/>
      <c r="Y292" s="3"/>
      <c r="AA292" s="1463" t="s">
        <v>599</v>
      </c>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405" t="s">
        <v>2651</v>
      </c>
      <c r="I293" s="1405"/>
      <c r="J293" s="1405"/>
      <c r="K293" s="1405"/>
      <c r="L293" s="1405"/>
      <c r="M293" s="1405"/>
      <c r="N293" s="1404"/>
      <c r="O293" s="1404"/>
      <c r="P293" s="1404"/>
      <c r="Q293" s="1404"/>
      <c r="R293" s="1404"/>
      <c r="S293" s="3"/>
      <c r="T293" s="3" t="s">
        <v>76</v>
      </c>
      <c r="V293" s="3"/>
      <c r="W293" s="3"/>
      <c r="X293" s="3"/>
      <c r="Y293" s="3"/>
      <c r="AA293" s="1405" t="s">
        <v>2711</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2667</v>
      </c>
      <c r="I295" s="1404"/>
      <c r="J295" s="1404"/>
      <c r="K295" s="1404"/>
      <c r="L295" s="1404"/>
      <c r="M295" s="1404"/>
      <c r="N295" s="1404"/>
      <c r="O295" s="1404"/>
      <c r="P295" s="1404"/>
      <c r="Q295" s="1404"/>
      <c r="R295" s="1404"/>
      <c r="T295" s="3" t="s">
        <v>365</v>
      </c>
      <c r="V295" s="3"/>
      <c r="W295" s="3"/>
      <c r="X295" s="3"/>
      <c r="Y295" s="3"/>
      <c r="AA295" s="1404" t="s">
        <v>2712</v>
      </c>
      <c r="AB295" s="1404"/>
      <c r="AC295" s="1404"/>
      <c r="AD295" s="1404"/>
      <c r="AE295" s="1404"/>
      <c r="AF295" s="1404"/>
      <c r="AG295" s="1404"/>
      <c r="AH295" s="1404"/>
      <c r="AI295" s="1404"/>
      <c r="AJ295" s="1404"/>
      <c r="AK295" s="1404"/>
      <c r="BN295" s="34"/>
    </row>
    <row r="296" spans="2:66" ht="12.95" customHeight="1">
      <c r="B296" s="3" t="s">
        <v>479</v>
      </c>
      <c r="C296" s="3"/>
      <c r="D296" s="3"/>
      <c r="E296" s="3"/>
      <c r="F296" s="3"/>
      <c r="H296" s="1405" t="s">
        <v>2668</v>
      </c>
      <c r="I296" s="1405"/>
      <c r="J296" s="1405"/>
      <c r="K296" s="1405"/>
      <c r="L296" s="1405"/>
      <c r="M296" s="1405"/>
      <c r="N296" s="1405"/>
      <c r="O296" s="1405"/>
      <c r="P296" s="1405"/>
      <c r="Q296" s="1405"/>
      <c r="R296" s="1405"/>
      <c r="T296" s="3" t="s">
        <v>479</v>
      </c>
      <c r="V296" s="3"/>
      <c r="W296" s="3"/>
      <c r="X296" s="3"/>
      <c r="Y296" s="3"/>
      <c r="AA296" s="1405" t="s">
        <v>2714</v>
      </c>
      <c r="AB296" s="1405"/>
      <c r="AC296" s="1405"/>
      <c r="AD296" s="1405"/>
      <c r="AE296" s="1405"/>
      <c r="AF296" s="1405"/>
      <c r="AG296" s="1405"/>
      <c r="AH296" s="1405"/>
      <c r="AI296" s="1405"/>
      <c r="AJ296" s="1405"/>
      <c r="AK296" s="1405"/>
      <c r="BN296" s="34"/>
    </row>
    <row r="297" spans="2:66" ht="12.95" customHeight="1">
      <c r="B297" s="3" t="s">
        <v>480</v>
      </c>
      <c r="C297" s="3"/>
      <c r="D297" s="3"/>
      <c r="E297" s="3"/>
      <c r="F297" s="3"/>
      <c r="H297" s="1405" t="s">
        <v>2666</v>
      </c>
      <c r="I297" s="1405"/>
      <c r="J297" s="1405"/>
      <c r="K297" s="1405"/>
      <c r="L297" s="1405"/>
      <c r="M297" s="1405"/>
      <c r="N297" s="1405"/>
      <c r="O297" s="1405"/>
      <c r="P297" s="1405"/>
      <c r="Q297" s="1405"/>
      <c r="R297" s="1405"/>
      <c r="T297" s="3" t="s">
        <v>75</v>
      </c>
      <c r="V297" s="3"/>
      <c r="W297" s="3"/>
      <c r="X297" s="3"/>
      <c r="Y297" s="3"/>
      <c r="AA297" s="1405" t="s">
        <v>2715</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2669</v>
      </c>
      <c r="I298" s="1405"/>
      <c r="J298" s="1405"/>
      <c r="K298" s="1405"/>
      <c r="L298" s="1405"/>
      <c r="M298" s="1405"/>
      <c r="N298" s="1405"/>
      <c r="O298" s="1405"/>
      <c r="P298" s="1405"/>
      <c r="Q298" s="1405"/>
      <c r="R298" s="1405"/>
      <c r="T298" s="3" t="s">
        <v>87</v>
      </c>
      <c r="V298" s="3"/>
      <c r="W298" s="3"/>
      <c r="X298" s="3"/>
      <c r="Y298" s="3"/>
      <c r="AA298" s="1405" t="s">
        <v>2713</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7">
        <v>2089084861</v>
      </c>
      <c r="I299" s="1467"/>
      <c r="J299" s="1467"/>
      <c r="K299" s="1467"/>
      <c r="L299" s="1467"/>
      <c r="M299" s="1467"/>
      <c r="N299" s="4" t="s">
        <v>207</v>
      </c>
      <c r="O299" s="4"/>
      <c r="P299" s="1446"/>
      <c r="Q299" s="1446"/>
      <c r="R299" s="1446"/>
      <c r="S299" s="3"/>
      <c r="T299" s="3" t="s">
        <v>88</v>
      </c>
      <c r="V299" s="3"/>
      <c r="W299" s="3"/>
      <c r="X299" s="3"/>
      <c r="Y299" s="3"/>
      <c r="AA299" s="1467">
        <v>8189669666</v>
      </c>
      <c r="AB299" s="1467"/>
      <c r="AC299" s="1467"/>
      <c r="AD299" s="1467"/>
      <c r="AE299" s="1467"/>
      <c r="AF299" s="1467"/>
      <c r="AG299" s="4" t="s">
        <v>207</v>
      </c>
      <c r="AH299" s="4"/>
      <c r="AI299" s="1446"/>
      <c r="AJ299" s="1446"/>
      <c r="AK299" s="1446"/>
      <c r="BN299" s="34"/>
    </row>
    <row r="300" spans="2:66" ht="12.95" customHeight="1">
      <c r="B300" s="3" t="s">
        <v>89</v>
      </c>
      <c r="C300" s="3"/>
      <c r="D300" s="3"/>
      <c r="E300" s="3"/>
      <c r="F300" s="3"/>
      <c r="G300" s="3"/>
      <c r="H300" s="1464">
        <v>2084613267</v>
      </c>
      <c r="I300" s="1464"/>
      <c r="J300" s="1464"/>
      <c r="K300" s="1464"/>
      <c r="L300" s="1464"/>
      <c r="M300" s="1464"/>
      <c r="N300" s="4"/>
      <c r="O300" s="4"/>
      <c r="P300" s="35"/>
      <c r="Q300" s="35"/>
      <c r="R300" s="35"/>
      <c r="S300" s="3"/>
      <c r="T300" s="3" t="s">
        <v>89</v>
      </c>
      <c r="V300" s="3"/>
      <c r="W300" s="3"/>
      <c r="X300" s="3"/>
      <c r="Y300" s="3"/>
      <c r="AA300" s="1463" t="s">
        <v>599</v>
      </c>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405" t="s">
        <v>2670</v>
      </c>
      <c r="I301" s="1405"/>
      <c r="J301" s="1405"/>
      <c r="K301" s="1405"/>
      <c r="L301" s="1405"/>
      <c r="M301" s="1405"/>
      <c r="N301" s="1404"/>
      <c r="O301" s="1404"/>
      <c r="P301" s="1404"/>
      <c r="Q301" s="1404"/>
      <c r="R301" s="1404"/>
      <c r="S301" s="3"/>
      <c r="T301" s="3" t="s">
        <v>76</v>
      </c>
      <c r="V301" s="3"/>
      <c r="W301" s="3"/>
      <c r="X301" s="3"/>
      <c r="Y301" s="3"/>
      <c r="AA301" s="1405" t="s">
        <v>2716</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t="s">
        <v>2671</v>
      </c>
      <c r="I303" s="1404"/>
      <c r="J303" s="1404"/>
      <c r="K303" s="1404"/>
      <c r="L303" s="1404"/>
      <c r="M303" s="1404"/>
      <c r="N303" s="1404"/>
      <c r="O303" s="1404"/>
      <c r="P303" s="1404"/>
      <c r="Q303" s="1404"/>
      <c r="R303" s="1404"/>
      <c r="T303" s="4" t="s">
        <v>889</v>
      </c>
      <c r="V303" s="3"/>
      <c r="W303" s="3"/>
      <c r="X303" s="3"/>
      <c r="Y303" s="3"/>
      <c r="AA303" s="1404" t="s">
        <v>2701</v>
      </c>
      <c r="AB303" s="1404"/>
      <c r="AC303" s="1404"/>
      <c r="AD303" s="1404"/>
      <c r="AE303" s="1404"/>
      <c r="AF303" s="1404"/>
      <c r="AG303" s="1404"/>
      <c r="AH303" s="1404"/>
      <c r="AI303" s="1404"/>
      <c r="AJ303" s="1404"/>
      <c r="AK303" s="1404"/>
      <c r="BN303" s="34"/>
    </row>
    <row r="304" spans="2:66" ht="12.95" customHeight="1">
      <c r="B304" s="3" t="s">
        <v>479</v>
      </c>
      <c r="C304" s="3"/>
      <c r="D304" s="3"/>
      <c r="E304" s="3"/>
      <c r="F304" s="3"/>
      <c r="H304" s="1405" t="s">
        <v>2672</v>
      </c>
      <c r="I304" s="1405"/>
      <c r="J304" s="1405"/>
      <c r="K304" s="1405"/>
      <c r="L304" s="1405"/>
      <c r="M304" s="1405"/>
      <c r="N304" s="1405"/>
      <c r="O304" s="1405"/>
      <c r="P304" s="1405"/>
      <c r="Q304" s="1405"/>
      <c r="R304" s="1405"/>
      <c r="T304" s="3" t="s">
        <v>479</v>
      </c>
      <c r="V304" s="3"/>
      <c r="W304" s="3"/>
      <c r="X304" s="3"/>
      <c r="Y304" s="3"/>
      <c r="AA304" s="1405" t="s">
        <v>2702</v>
      </c>
      <c r="AB304" s="1405"/>
      <c r="AC304" s="1405"/>
      <c r="AD304" s="1405"/>
      <c r="AE304" s="1405"/>
      <c r="AF304" s="1405"/>
      <c r="AG304" s="1405"/>
      <c r="AH304" s="1405"/>
      <c r="AI304" s="1405"/>
      <c r="AJ304" s="1405"/>
      <c r="AK304" s="1405"/>
      <c r="BN304" s="34"/>
    </row>
    <row r="305" spans="2:66" ht="12.95" customHeight="1">
      <c r="B305" s="3" t="s">
        <v>480</v>
      </c>
      <c r="C305" s="3"/>
      <c r="D305" s="3"/>
      <c r="E305" s="3"/>
      <c r="F305" s="3"/>
      <c r="H305" s="1405" t="s">
        <v>2673</v>
      </c>
      <c r="I305" s="1405"/>
      <c r="J305" s="1405"/>
      <c r="K305" s="1405"/>
      <c r="L305" s="1405"/>
      <c r="M305" s="1405"/>
      <c r="N305" s="1405"/>
      <c r="O305" s="1405"/>
      <c r="P305" s="1405"/>
      <c r="Q305" s="1405"/>
      <c r="R305" s="1405"/>
      <c r="T305" s="3" t="s">
        <v>75</v>
      </c>
      <c r="V305" s="3"/>
      <c r="W305" s="3"/>
      <c r="X305" s="3"/>
      <c r="Y305" s="3"/>
      <c r="AA305" s="1405" t="s">
        <v>2703</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t="s">
        <v>2674</v>
      </c>
      <c r="I306" s="1405"/>
      <c r="J306" s="1405"/>
      <c r="K306" s="1405"/>
      <c r="L306" s="1405"/>
      <c r="M306" s="1405"/>
      <c r="N306" s="1405"/>
      <c r="O306" s="1405"/>
      <c r="P306" s="1405"/>
      <c r="Q306" s="1405"/>
      <c r="R306" s="1405"/>
      <c r="T306" s="3" t="s">
        <v>87</v>
      </c>
      <c r="V306" s="3"/>
      <c r="W306" s="3"/>
      <c r="X306" s="3"/>
      <c r="Y306" s="3"/>
      <c r="AA306" s="1405" t="s">
        <v>2704</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7" t="s">
        <v>2675</v>
      </c>
      <c r="I307" s="1467"/>
      <c r="J307" s="1467"/>
      <c r="K307" s="1467"/>
      <c r="L307" s="1467"/>
      <c r="M307" s="1467"/>
      <c r="N307" s="4" t="s">
        <v>207</v>
      </c>
      <c r="O307" s="4"/>
      <c r="P307" s="1446"/>
      <c r="Q307" s="1446"/>
      <c r="R307" s="1446"/>
      <c r="S307" s="3"/>
      <c r="T307" s="3" t="s">
        <v>88</v>
      </c>
      <c r="V307" s="3"/>
      <c r="W307" s="3"/>
      <c r="X307" s="3"/>
      <c r="Y307" s="3"/>
      <c r="AA307" s="1467" t="s">
        <v>2698</v>
      </c>
      <c r="AB307" s="1467"/>
      <c r="AC307" s="1467"/>
      <c r="AD307" s="1467"/>
      <c r="AE307" s="1467"/>
      <c r="AF307" s="1467"/>
      <c r="AG307" s="4" t="s">
        <v>207</v>
      </c>
      <c r="AH307" s="4"/>
      <c r="AI307" s="1446"/>
      <c r="AJ307" s="1446"/>
      <c r="AK307" s="1446"/>
      <c r="BN307" s="34"/>
    </row>
    <row r="308" spans="2:66" ht="12.95" customHeight="1">
      <c r="B308" s="3" t="s">
        <v>89</v>
      </c>
      <c r="C308" s="3"/>
      <c r="D308" s="3"/>
      <c r="E308" s="3"/>
      <c r="F308" s="3"/>
      <c r="G308" s="3"/>
      <c r="H308" s="1464" t="s">
        <v>2676</v>
      </c>
      <c r="I308" s="1464"/>
      <c r="J308" s="1464"/>
      <c r="K308" s="1464"/>
      <c r="L308" s="1464"/>
      <c r="M308" s="1464"/>
      <c r="N308" s="4"/>
      <c r="O308" s="4"/>
      <c r="P308" s="35"/>
      <c r="Q308" s="35"/>
      <c r="R308" s="35"/>
      <c r="S308" s="3"/>
      <c r="T308" s="3" t="s">
        <v>89</v>
      </c>
      <c r="V308" s="3"/>
      <c r="W308" s="3"/>
      <c r="X308" s="3"/>
      <c r="Y308" s="3"/>
      <c r="AA308" s="1464" t="s">
        <v>2699</v>
      </c>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05" t="s">
        <v>2677</v>
      </c>
      <c r="I309" s="1405"/>
      <c r="J309" s="1405"/>
      <c r="K309" s="1405"/>
      <c r="L309" s="1405"/>
      <c r="M309" s="1405"/>
      <c r="N309" s="1404"/>
      <c r="O309" s="1404"/>
      <c r="P309" s="1404"/>
      <c r="Q309" s="1404"/>
      <c r="R309" s="1404"/>
      <c r="S309" s="3"/>
      <c r="T309" s="3" t="s">
        <v>76</v>
      </c>
      <c r="V309" s="3"/>
      <c r="W309" s="3"/>
      <c r="X309" s="3"/>
      <c r="Y309" s="3"/>
      <c r="AA309" s="1405" t="s">
        <v>2705</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04" t="s">
        <v>2671</v>
      </c>
      <c r="I311" s="1404"/>
      <c r="J311" s="1404"/>
      <c r="K311" s="1404"/>
      <c r="L311" s="1404"/>
      <c r="M311" s="1404"/>
      <c r="N311" s="1404"/>
      <c r="O311" s="1404"/>
      <c r="P311" s="1404"/>
      <c r="Q311" s="1404"/>
      <c r="R311" s="1404"/>
      <c r="S311" s="3"/>
      <c r="T311" s="3" t="s">
        <v>366</v>
      </c>
      <c r="V311" s="3"/>
      <c r="W311" s="3"/>
      <c r="X311" s="3"/>
      <c r="Y311" s="3"/>
      <c r="AA311" s="1404" t="s">
        <v>2694</v>
      </c>
      <c r="AB311" s="1404"/>
      <c r="AC311" s="1404"/>
      <c r="AD311" s="1404"/>
      <c r="AE311" s="1404"/>
      <c r="AF311" s="1404"/>
      <c r="AG311" s="1404"/>
      <c r="AH311" s="1404"/>
      <c r="AI311" s="1404"/>
      <c r="AJ311" s="1404"/>
      <c r="AK311" s="1404"/>
      <c r="BN311" s="34"/>
    </row>
    <row r="312" spans="2:66" ht="12.95" customHeight="1">
      <c r="B312" s="3" t="s">
        <v>479</v>
      </c>
      <c r="C312" s="3"/>
      <c r="D312" s="3"/>
      <c r="E312" s="3"/>
      <c r="F312" s="3"/>
      <c r="H312" s="1405" t="s">
        <v>2672</v>
      </c>
      <c r="I312" s="1405"/>
      <c r="J312" s="1405"/>
      <c r="K312" s="1405"/>
      <c r="L312" s="1405"/>
      <c r="M312" s="1405"/>
      <c r="N312" s="1405"/>
      <c r="O312" s="1405"/>
      <c r="P312" s="1405"/>
      <c r="Q312" s="1405"/>
      <c r="R312" s="1405"/>
      <c r="S312" s="3"/>
      <c r="T312" s="3" t="s">
        <v>479</v>
      </c>
      <c r="V312" s="3"/>
      <c r="W312" s="3"/>
      <c r="X312" s="3"/>
      <c r="Y312" s="3"/>
      <c r="AA312" s="1405" t="s">
        <v>2695</v>
      </c>
      <c r="AB312" s="1405"/>
      <c r="AC312" s="1405"/>
      <c r="AD312" s="1405"/>
      <c r="AE312" s="1405"/>
      <c r="AF312" s="1405"/>
      <c r="AG312" s="1405"/>
      <c r="AH312" s="1405"/>
      <c r="AI312" s="1405"/>
      <c r="AJ312" s="1405"/>
      <c r="AK312" s="1405"/>
      <c r="BN312" s="34"/>
    </row>
    <row r="313" spans="2:66" ht="12.95" customHeight="1">
      <c r="B313" s="3" t="s">
        <v>480</v>
      </c>
      <c r="C313" s="3"/>
      <c r="D313" s="3"/>
      <c r="E313" s="3"/>
      <c r="F313" s="3"/>
      <c r="H313" s="1405" t="s">
        <v>2673</v>
      </c>
      <c r="I313" s="1405"/>
      <c r="J313" s="1405"/>
      <c r="K313" s="1405"/>
      <c r="L313" s="1405"/>
      <c r="M313" s="1405"/>
      <c r="N313" s="1405"/>
      <c r="O313" s="1405"/>
      <c r="P313" s="1405"/>
      <c r="Q313" s="1405"/>
      <c r="R313" s="1405"/>
      <c r="S313" s="3"/>
      <c r="T313" s="3" t="s">
        <v>75</v>
      </c>
      <c r="V313" s="3"/>
      <c r="W313" s="3"/>
      <c r="X313" s="3"/>
      <c r="Y313" s="3"/>
      <c r="AA313" s="1405" t="s">
        <v>2696</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2674</v>
      </c>
      <c r="I314" s="1405"/>
      <c r="J314" s="1405"/>
      <c r="K314" s="1405"/>
      <c r="L314" s="1405"/>
      <c r="M314" s="1405"/>
      <c r="N314" s="1405"/>
      <c r="O314" s="1405"/>
      <c r="P314" s="1405"/>
      <c r="Q314" s="1405"/>
      <c r="R314" s="1405"/>
      <c r="S314" s="3"/>
      <c r="T314" s="3" t="s">
        <v>87</v>
      </c>
      <c r="V314" s="3"/>
      <c r="W314" s="3"/>
      <c r="X314" s="3"/>
      <c r="Y314" s="3"/>
      <c r="AA314" s="1405" t="s">
        <v>2697</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7" t="s">
        <v>2675</v>
      </c>
      <c r="I315" s="1467"/>
      <c r="J315" s="1467"/>
      <c r="K315" s="1467"/>
      <c r="L315" s="1467"/>
      <c r="M315" s="1467"/>
      <c r="N315" s="4" t="s">
        <v>207</v>
      </c>
      <c r="O315" s="4"/>
      <c r="P315" s="1446"/>
      <c r="Q315" s="1446"/>
      <c r="R315" s="1446"/>
      <c r="S315" s="3"/>
      <c r="T315" s="3" t="s">
        <v>88</v>
      </c>
      <c r="V315" s="3"/>
      <c r="W315" s="3"/>
      <c r="X315" s="3"/>
      <c r="Y315" s="3"/>
      <c r="AA315" s="1467" t="s">
        <v>2698</v>
      </c>
      <c r="AB315" s="1467"/>
      <c r="AC315" s="1467"/>
      <c r="AD315" s="1467"/>
      <c r="AE315" s="1467"/>
      <c r="AF315" s="1467"/>
      <c r="AG315" s="4" t="s">
        <v>207</v>
      </c>
      <c r="AH315" s="4"/>
      <c r="AI315" s="1446"/>
      <c r="AJ315" s="1446"/>
      <c r="AK315" s="1446"/>
      <c r="BN315" s="34"/>
    </row>
    <row r="316" spans="2:66" ht="12.95" customHeight="1">
      <c r="B316" s="3" t="s">
        <v>89</v>
      </c>
      <c r="C316" s="3"/>
      <c r="D316" s="3"/>
      <c r="E316" s="3"/>
      <c r="F316" s="3"/>
      <c r="G316" s="3"/>
      <c r="H316" s="1464" t="s">
        <v>2676</v>
      </c>
      <c r="I316" s="1464"/>
      <c r="J316" s="1464"/>
      <c r="K316" s="1464"/>
      <c r="L316" s="1464"/>
      <c r="M316" s="1464"/>
      <c r="N316" s="4"/>
      <c r="O316" s="4"/>
      <c r="P316" s="35"/>
      <c r="Q316" s="35"/>
      <c r="R316" s="35"/>
      <c r="S316" s="3"/>
      <c r="T316" s="3" t="s">
        <v>89</v>
      </c>
      <c r="V316" s="3"/>
      <c r="W316" s="3"/>
      <c r="X316" s="3"/>
      <c r="Y316" s="3"/>
      <c r="AA316" s="1464" t="s">
        <v>2699</v>
      </c>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405" t="s">
        <v>2677</v>
      </c>
      <c r="I317" s="1405"/>
      <c r="J317" s="1405"/>
      <c r="K317" s="1405"/>
      <c r="L317" s="1405"/>
      <c r="M317" s="1405"/>
      <c r="N317" s="1404"/>
      <c r="O317" s="1404"/>
      <c r="P317" s="1404"/>
      <c r="Q317" s="1404"/>
      <c r="R317" s="1404"/>
      <c r="S317" s="3"/>
      <c r="T317" s="3" t="s">
        <v>76</v>
      </c>
      <c r="V317" s="3"/>
      <c r="W317" s="3"/>
      <c r="X317" s="3"/>
      <c r="Y317" s="3"/>
      <c r="AA317" s="1405" t="s">
        <v>2700</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922</v>
      </c>
      <c r="C319" s="3"/>
      <c r="D319" s="3"/>
      <c r="E319" s="3"/>
      <c r="F319" s="3"/>
      <c r="H319" s="1404" t="s">
        <v>2678</v>
      </c>
      <c r="I319" s="1404"/>
      <c r="J319" s="1404"/>
      <c r="K319" s="1404"/>
      <c r="L319" s="1404"/>
      <c r="M319" s="1404"/>
      <c r="N319" s="1404"/>
      <c r="O319" s="1404"/>
      <c r="P319" s="1404"/>
      <c r="Q319" s="1404"/>
      <c r="R319" s="1404"/>
      <c r="T319" s="3" t="s">
        <v>367</v>
      </c>
      <c r="V319" s="3"/>
      <c r="W319" s="3"/>
      <c r="X319" s="3"/>
      <c r="Y319" s="3"/>
      <c r="AA319" s="1404" t="s">
        <v>2778</v>
      </c>
      <c r="AB319" s="1404"/>
      <c r="AC319" s="1404"/>
      <c r="AD319" s="1404"/>
      <c r="AE319" s="1404"/>
      <c r="AF319" s="1404"/>
      <c r="AG319" s="1404"/>
      <c r="AH319" s="1404"/>
      <c r="AI319" s="1404"/>
      <c r="AJ319" s="1404"/>
      <c r="AK319" s="1404"/>
      <c r="BN319" s="34"/>
    </row>
    <row r="320" spans="2:66" ht="12.95" customHeight="1">
      <c r="B320" s="3" t="s">
        <v>479</v>
      </c>
      <c r="C320" s="3"/>
      <c r="D320" s="3"/>
      <c r="E320" s="3"/>
      <c r="F320" s="3"/>
      <c r="H320" s="1405" t="s">
        <v>2679</v>
      </c>
      <c r="I320" s="1405"/>
      <c r="J320" s="1405"/>
      <c r="K320" s="1405"/>
      <c r="L320" s="1405"/>
      <c r="M320" s="1405"/>
      <c r="N320" s="1405"/>
      <c r="O320" s="1405"/>
      <c r="P320" s="1405"/>
      <c r="Q320" s="1405"/>
      <c r="R320" s="1405"/>
      <c r="T320" s="3" t="s">
        <v>479</v>
      </c>
      <c r="V320" s="3"/>
      <c r="W320" s="3"/>
      <c r="X320" s="3"/>
      <c r="Y320" s="3"/>
      <c r="AA320" s="1405" t="s">
        <v>2779</v>
      </c>
      <c r="AB320" s="1405"/>
      <c r="AC320" s="1405"/>
      <c r="AD320" s="1405"/>
      <c r="AE320" s="1405"/>
      <c r="AF320" s="1405"/>
      <c r="AG320" s="1405"/>
      <c r="AH320" s="1405"/>
      <c r="AI320" s="1405"/>
      <c r="AJ320" s="1405"/>
      <c r="AK320" s="1405"/>
      <c r="BN320" s="34"/>
    </row>
    <row r="321" spans="2:66" ht="12.95" customHeight="1">
      <c r="B321" s="3" t="s">
        <v>480</v>
      </c>
      <c r="C321" s="3"/>
      <c r="D321" s="3"/>
      <c r="E321" s="3"/>
      <c r="F321" s="3"/>
      <c r="H321" s="1405" t="s">
        <v>2680</v>
      </c>
      <c r="I321" s="1405"/>
      <c r="J321" s="1405"/>
      <c r="K321" s="1405"/>
      <c r="L321" s="1405"/>
      <c r="M321" s="1405"/>
      <c r="N321" s="1405"/>
      <c r="O321" s="1405"/>
      <c r="P321" s="1405"/>
      <c r="Q321" s="1405"/>
      <c r="R321" s="1405"/>
      <c r="T321" s="3" t="s">
        <v>75</v>
      </c>
      <c r="V321" s="3"/>
      <c r="W321" s="3"/>
      <c r="X321" s="3"/>
      <c r="Y321" s="3"/>
      <c r="AA321" s="1405" t="s">
        <v>2780</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t="s">
        <v>2681</v>
      </c>
      <c r="I322" s="1405"/>
      <c r="J322" s="1405"/>
      <c r="K322" s="1405"/>
      <c r="L322" s="1405"/>
      <c r="M322" s="1405"/>
      <c r="N322" s="1405"/>
      <c r="O322" s="1405"/>
      <c r="P322" s="1405"/>
      <c r="Q322" s="1405"/>
      <c r="R322" s="1405"/>
      <c r="T322" s="3" t="s">
        <v>87</v>
      </c>
      <c r="V322" s="3"/>
      <c r="W322" s="3"/>
      <c r="X322" s="3"/>
      <c r="Y322" s="3"/>
      <c r="AA322" s="1405" t="s">
        <v>2781</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7" t="s">
        <v>2682</v>
      </c>
      <c r="I323" s="1467"/>
      <c r="J323" s="1467"/>
      <c r="K323" s="1467"/>
      <c r="L323" s="1467"/>
      <c r="M323" s="1467"/>
      <c r="N323" s="4" t="s">
        <v>207</v>
      </c>
      <c r="O323" s="4"/>
      <c r="P323" s="1446"/>
      <c r="Q323" s="1446"/>
      <c r="R323" s="1446"/>
      <c r="S323" s="3"/>
      <c r="T323" s="3" t="s">
        <v>88</v>
      </c>
      <c r="V323" s="3"/>
      <c r="W323" s="3"/>
      <c r="X323" s="3"/>
      <c r="Y323" s="3"/>
      <c r="AA323" s="1782" t="s">
        <v>2782</v>
      </c>
      <c r="AB323" s="1467"/>
      <c r="AC323" s="1467"/>
      <c r="AD323" s="1467"/>
      <c r="AE323" s="1467"/>
      <c r="AF323" s="1467"/>
      <c r="AG323" s="4" t="s">
        <v>207</v>
      </c>
      <c r="AH323" s="4"/>
      <c r="AI323" s="1446"/>
      <c r="AJ323" s="1446"/>
      <c r="AK323" s="1446"/>
    </row>
    <row r="324" spans="2:66" ht="12.95" customHeight="1">
      <c r="B324" s="3" t="s">
        <v>89</v>
      </c>
      <c r="C324" s="3"/>
      <c r="D324" s="3"/>
      <c r="E324" s="3"/>
      <c r="F324" s="3"/>
      <c r="G324" s="3"/>
      <c r="H324" s="1463" t="s">
        <v>599</v>
      </c>
      <c r="I324" s="1464"/>
      <c r="J324" s="1464"/>
      <c r="K324" s="1464"/>
      <c r="L324" s="1464"/>
      <c r="M324" s="1464"/>
      <c r="N324" s="4"/>
      <c r="O324" s="4"/>
      <c r="P324" s="35"/>
      <c r="Q324" s="35"/>
      <c r="R324" s="35"/>
      <c r="S324" s="3"/>
      <c r="T324" s="3" t="s">
        <v>89</v>
      </c>
      <c r="V324" s="3"/>
      <c r="W324" s="3"/>
      <c r="X324" s="3"/>
      <c r="Y324" s="3"/>
      <c r="AA324" s="1463" t="s">
        <v>599</v>
      </c>
      <c r="AB324" s="1464"/>
      <c r="AC324" s="1464"/>
      <c r="AD324" s="1464"/>
      <c r="AE324" s="1464"/>
      <c r="AF324" s="1464"/>
      <c r="AG324" s="4"/>
      <c r="AH324" s="4"/>
      <c r="AI324" s="35"/>
      <c r="AJ324" s="35"/>
      <c r="AK324" s="35"/>
    </row>
    <row r="325" spans="2:66" ht="12.95" customHeight="1">
      <c r="B325" s="3" t="s">
        <v>76</v>
      </c>
      <c r="C325" s="3"/>
      <c r="D325" s="3"/>
      <c r="E325" s="3"/>
      <c r="F325" s="3"/>
      <c r="G325" s="3"/>
      <c r="H325" s="1405" t="s">
        <v>2683</v>
      </c>
      <c r="I325" s="1405"/>
      <c r="J325" s="1405"/>
      <c r="K325" s="1405"/>
      <c r="L325" s="1405"/>
      <c r="M325" s="1405"/>
      <c r="N325" s="1404"/>
      <c r="O325" s="1404"/>
      <c r="P325" s="1404"/>
      <c r="Q325" s="1404"/>
      <c r="R325" s="1404"/>
      <c r="S325" s="3"/>
      <c r="T325" s="3" t="s">
        <v>76</v>
      </c>
      <c r="V325" s="3"/>
      <c r="W325" s="3"/>
      <c r="X325" s="3"/>
      <c r="Y325" s="3"/>
      <c r="AA325" s="1405" t="s">
        <v>2783</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2688</v>
      </c>
      <c r="I327" s="1404"/>
      <c r="J327" s="1404"/>
      <c r="K327" s="1404"/>
      <c r="L327" s="1404"/>
      <c r="M327" s="1404"/>
      <c r="N327" s="1404"/>
      <c r="O327" s="1404"/>
      <c r="P327" s="1404"/>
      <c r="Q327" s="1404"/>
      <c r="R327" s="1404"/>
      <c r="T327" s="3" t="s">
        <v>369</v>
      </c>
      <c r="V327" s="3"/>
      <c r="W327" s="3"/>
      <c r="X327" s="3"/>
      <c r="Y327" s="3"/>
      <c r="AA327" s="1404" t="s">
        <v>2688</v>
      </c>
      <c r="AB327" s="1404"/>
      <c r="AC327" s="1404"/>
      <c r="AD327" s="1404"/>
      <c r="AE327" s="1404"/>
      <c r="AF327" s="1404"/>
      <c r="AG327" s="1404"/>
      <c r="AH327" s="1404"/>
      <c r="AI327" s="1404"/>
      <c r="AJ327" s="1404"/>
      <c r="AK327" s="1404"/>
    </row>
    <row r="328" spans="2:66" ht="12.95" customHeight="1">
      <c r="B328" s="3" t="s">
        <v>479</v>
      </c>
      <c r="C328" s="3"/>
      <c r="D328" s="3"/>
      <c r="E328" s="3"/>
      <c r="F328" s="3"/>
      <c r="H328" s="1405"/>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2.95" customHeight="1">
      <c r="B329" s="3" t="s">
        <v>480</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7"/>
      <c r="I331" s="1467"/>
      <c r="J331" s="1467"/>
      <c r="K331" s="1467"/>
      <c r="L331" s="1467"/>
      <c r="M331" s="1467"/>
      <c r="N331" s="4" t="s">
        <v>207</v>
      </c>
      <c r="O331" s="4"/>
      <c r="P331" s="1446"/>
      <c r="Q331" s="1446"/>
      <c r="R331" s="1446"/>
      <c r="S331" s="3"/>
      <c r="T331" s="3" t="s">
        <v>88</v>
      </c>
      <c r="V331" s="3"/>
      <c r="W331" s="3"/>
      <c r="X331" s="3"/>
      <c r="Y331" s="3"/>
      <c r="AA331" s="1467"/>
      <c r="AB331" s="1467"/>
      <c r="AC331" s="1467"/>
      <c r="AD331" s="1467"/>
      <c r="AE331" s="1467"/>
      <c r="AF331" s="1467"/>
      <c r="AG331" s="4" t="s">
        <v>207</v>
      </c>
      <c r="AH331" s="4"/>
      <c r="AI331" s="1446"/>
      <c r="AJ331" s="1446"/>
      <c r="AK331" s="1446"/>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4" t="s">
        <v>2750</v>
      </c>
      <c r="I335" s="1404"/>
      <c r="J335" s="1404"/>
      <c r="K335" s="1404"/>
      <c r="L335" s="1404"/>
      <c r="M335" s="1404"/>
      <c r="N335" s="1404"/>
      <c r="O335" s="1404"/>
      <c r="P335" s="1404"/>
      <c r="Q335" s="1404"/>
      <c r="R335" s="1404"/>
      <c r="T335" s="218" t="s">
        <v>898</v>
      </c>
      <c r="V335" s="3"/>
      <c r="W335" s="3"/>
      <c r="X335" s="3"/>
      <c r="Y335" s="3"/>
      <c r="AA335" s="1404" t="s">
        <v>2689</v>
      </c>
      <c r="AB335" s="1404"/>
      <c r="AC335" s="1404"/>
      <c r="AD335" s="1404"/>
      <c r="AE335" s="1404"/>
      <c r="AF335" s="1404"/>
      <c r="AG335" s="1404"/>
      <c r="AH335" s="1404"/>
      <c r="AI335" s="1404"/>
      <c r="AJ335" s="1404"/>
      <c r="AK335" s="1404"/>
    </row>
    <row r="336" spans="2:66" ht="12.95" customHeight="1">
      <c r="B336" s="3" t="s">
        <v>479</v>
      </c>
      <c r="C336" s="3"/>
      <c r="D336" s="3"/>
      <c r="E336" s="3"/>
      <c r="F336" s="3"/>
      <c r="H336" s="1405" t="s">
        <v>2643</v>
      </c>
      <c r="I336" s="1405"/>
      <c r="J336" s="1405"/>
      <c r="K336" s="1405"/>
      <c r="L336" s="1405"/>
      <c r="M336" s="1405"/>
      <c r="N336" s="1405"/>
      <c r="O336" s="1405"/>
      <c r="P336" s="1405"/>
      <c r="Q336" s="1405"/>
      <c r="R336" s="1405"/>
      <c r="T336" s="3" t="s">
        <v>479</v>
      </c>
      <c r="V336" s="3"/>
      <c r="W336" s="3"/>
      <c r="X336" s="3"/>
      <c r="Y336" s="3"/>
      <c r="AA336" s="1405" t="s">
        <v>2690</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2726</v>
      </c>
      <c r="I337" s="1405"/>
      <c r="J337" s="1405"/>
      <c r="K337" s="1405"/>
      <c r="L337" s="1405"/>
      <c r="M337" s="1405"/>
      <c r="N337" s="1405"/>
      <c r="O337" s="1405"/>
      <c r="P337" s="1405"/>
      <c r="Q337" s="1405"/>
      <c r="R337" s="1405"/>
      <c r="T337" s="3" t="s">
        <v>75</v>
      </c>
      <c r="V337" s="3"/>
      <c r="W337" s="3"/>
      <c r="X337" s="3"/>
      <c r="Y337" s="3"/>
      <c r="AA337" s="1405" t="s">
        <v>2684</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2685</v>
      </c>
      <c r="I338" s="1405"/>
      <c r="J338" s="1405"/>
      <c r="K338" s="1405"/>
      <c r="L338" s="1405"/>
      <c r="M338" s="1405"/>
      <c r="N338" s="1405"/>
      <c r="O338" s="1405"/>
      <c r="P338" s="1405"/>
      <c r="Q338" s="1405"/>
      <c r="R338" s="1405"/>
      <c r="T338" s="3" t="s">
        <v>87</v>
      </c>
      <c r="V338" s="3"/>
      <c r="W338" s="3"/>
      <c r="X338" s="3"/>
      <c r="Y338" s="3"/>
      <c r="AA338" s="1405" t="s">
        <v>2691</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7" t="s">
        <v>2686</v>
      </c>
      <c r="I339" s="1467"/>
      <c r="J339" s="1467"/>
      <c r="K339" s="1467"/>
      <c r="L339" s="1467"/>
      <c r="M339" s="1467"/>
      <c r="N339" s="4" t="s">
        <v>207</v>
      </c>
      <c r="O339" s="4"/>
      <c r="P339" s="1446"/>
      <c r="Q339" s="1446"/>
      <c r="R339" s="1446"/>
      <c r="S339" s="3"/>
      <c r="T339" s="3" t="s">
        <v>88</v>
      </c>
      <c r="V339" s="3"/>
      <c r="W339" s="3"/>
      <c r="X339" s="3"/>
      <c r="Y339" s="3"/>
      <c r="AA339" s="1467" t="s">
        <v>2692</v>
      </c>
      <c r="AB339" s="1467"/>
      <c r="AC339" s="1467"/>
      <c r="AD339" s="1467"/>
      <c r="AE339" s="1467"/>
      <c r="AF339" s="1467"/>
      <c r="AG339" s="4" t="s">
        <v>207</v>
      </c>
      <c r="AH339" s="4"/>
      <c r="AI339" s="1446"/>
      <c r="AJ339" s="1446"/>
      <c r="AK339" s="1446"/>
    </row>
    <row r="340" spans="1:66" ht="12.95" customHeight="1">
      <c r="B340" s="3" t="s">
        <v>89</v>
      </c>
      <c r="C340" s="3"/>
      <c r="D340" s="3"/>
      <c r="E340" s="3"/>
      <c r="F340" s="3"/>
      <c r="G340" s="3"/>
      <c r="H340" s="1463" t="s">
        <v>599</v>
      </c>
      <c r="I340" s="1464"/>
      <c r="J340" s="1464"/>
      <c r="K340" s="1464"/>
      <c r="L340" s="1464"/>
      <c r="M340" s="1464"/>
      <c r="N340" s="4"/>
      <c r="O340" s="4"/>
      <c r="P340" s="35"/>
      <c r="Q340" s="35"/>
      <c r="R340" s="35"/>
      <c r="S340" s="3"/>
      <c r="T340" s="3" t="s">
        <v>89</v>
      </c>
      <c r="V340" s="3"/>
      <c r="W340" s="3"/>
      <c r="X340" s="3"/>
      <c r="Y340" s="3"/>
      <c r="AA340" s="1463" t="s">
        <v>599</v>
      </c>
      <c r="AB340" s="1464"/>
      <c r="AC340" s="1464"/>
      <c r="AD340" s="1464"/>
      <c r="AE340" s="1464"/>
      <c r="AF340" s="1464"/>
      <c r="AG340" s="4"/>
      <c r="AH340" s="4"/>
      <c r="AI340" s="35"/>
      <c r="AJ340" s="35"/>
      <c r="AK340" s="35"/>
    </row>
    <row r="341" spans="1:66" ht="12.95" customHeight="1">
      <c r="B341" s="3" t="s">
        <v>76</v>
      </c>
      <c r="C341" s="3"/>
      <c r="D341" s="3"/>
      <c r="E341" s="3"/>
      <c r="F341" s="3"/>
      <c r="G341" s="3"/>
      <c r="H341" s="1405" t="s">
        <v>2687</v>
      </c>
      <c r="I341" s="1405"/>
      <c r="J341" s="1405"/>
      <c r="K341" s="1405"/>
      <c r="L341" s="1405"/>
      <c r="M341" s="1405"/>
      <c r="N341" s="1404"/>
      <c r="O341" s="1404"/>
      <c r="P341" s="1404"/>
      <c r="Q341" s="1404"/>
      <c r="R341" s="1404"/>
      <c r="S341" s="3"/>
      <c r="T341" s="3" t="s">
        <v>76</v>
      </c>
      <c r="V341" s="3"/>
      <c r="W341" s="3"/>
      <c r="X341" s="3"/>
      <c r="Y341" s="3"/>
      <c r="AA341" s="1405" t="s">
        <v>2693</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404" t="s">
        <v>2688</v>
      </c>
      <c r="Q343" s="1404"/>
      <c r="R343" s="1404"/>
      <c r="S343" s="1404"/>
      <c r="T343" s="1404"/>
      <c r="U343" s="1404"/>
      <c r="V343" s="1404"/>
      <c r="W343" s="1404"/>
      <c r="X343" s="1404"/>
      <c r="Y343" s="1404"/>
      <c r="Z343" s="1404"/>
      <c r="AA343" s="1404"/>
      <c r="AB343" s="1404"/>
      <c r="AC343" s="1404"/>
      <c r="AD343" s="1404"/>
      <c r="AE343" s="1404"/>
      <c r="BN343" t="s">
        <v>676</v>
      </c>
    </row>
    <row r="344" spans="1:66" ht="12.95"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550</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403" t="s">
        <v>553</v>
      </c>
      <c r="N355" s="1403"/>
      <c r="P355" t="s">
        <v>1761</v>
      </c>
      <c r="AJ355" s="1403" t="s">
        <v>553</v>
      </c>
      <c r="AK355" s="1403"/>
    </row>
    <row r="356" spans="1:46" ht="12.95" customHeight="1">
      <c r="D356" s="3" t="s">
        <v>1750</v>
      </c>
      <c r="M356" s="1403" t="s">
        <v>599</v>
      </c>
      <c r="N356" s="1403"/>
      <c r="P356" s="3" t="s">
        <v>1907</v>
      </c>
      <c r="AJ356" s="1451">
        <v>3</v>
      </c>
      <c r="AK356" s="1451"/>
    </row>
    <row r="357" spans="1:46" ht="12.95" customHeight="1">
      <c r="D357" s="3" t="s">
        <v>712</v>
      </c>
      <c r="M357" s="1403" t="s">
        <v>599</v>
      </c>
      <c r="N357" s="1403"/>
      <c r="P357" t="s">
        <v>1760</v>
      </c>
      <c r="AJ357" s="1403" t="s">
        <v>553</v>
      </c>
      <c r="AK357" s="1403"/>
    </row>
    <row r="358" spans="1:46" ht="12.95" customHeight="1">
      <c r="D358" s="3" t="s">
        <v>713</v>
      </c>
      <c r="M358" s="1403" t="s">
        <v>599</v>
      </c>
      <c r="N358" s="140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2.95" customHeight="1">
      <c r="E364" t="s">
        <v>371</v>
      </c>
      <c r="Y364" s="1403" t="s">
        <v>599</v>
      </c>
      <c r="Z364" s="1403"/>
    </row>
    <row r="365" spans="1:46" ht="12.95" customHeight="1">
      <c r="D365" s="4" t="s">
        <v>995</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714</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2.9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1"/>
      <c r="T377" s="1681"/>
      <c r="U377" s="1" t="s">
        <v>307</v>
      </c>
      <c r="V377" s="1681"/>
      <c r="W377" s="1681"/>
      <c r="Y377" t="s">
        <v>2394</v>
      </c>
      <c r="AC377" s="27" t="s">
        <v>306</v>
      </c>
      <c r="AD377" s="1681"/>
      <c r="AE377" s="1681"/>
      <c r="AF377" s="1" t="s">
        <v>307</v>
      </c>
      <c r="AG377" s="1681"/>
      <c r="AH377" s="1681"/>
    </row>
    <row r="378" spans="1:34" ht="12.95" customHeight="1">
      <c r="E378" s="4" t="s">
        <v>1009</v>
      </c>
      <c r="F378" s="4"/>
      <c r="G378" s="4"/>
      <c r="H378" s="4"/>
      <c r="I378" s="4"/>
      <c r="J378" s="4"/>
      <c r="K378" s="4"/>
      <c r="L378" s="4"/>
      <c r="N378" s="1681"/>
      <c r="O378" s="1681"/>
      <c r="P378" s="1681"/>
    </row>
    <row r="379" spans="1:34" ht="12.95" customHeight="1">
      <c r="E379" s="218" t="s">
        <v>2400</v>
      </c>
      <c r="F379" s="4"/>
      <c r="G379" s="4"/>
      <c r="H379" s="4"/>
      <c r="I379" s="4"/>
      <c r="J379" s="4"/>
      <c r="K379" s="4"/>
      <c r="L379" s="4"/>
      <c r="AG379" s="1687" t="s">
        <v>599</v>
      </c>
      <c r="AH379" s="1687"/>
    </row>
    <row r="380" spans="1:34" ht="12.95" customHeight="1">
      <c r="E380" s="4"/>
      <c r="F380" s="4"/>
      <c r="G380" s="4" t="s">
        <v>2401</v>
      </c>
      <c r="H380" s="4"/>
      <c r="I380" s="4"/>
      <c r="J380" s="4"/>
      <c r="K380" s="4"/>
      <c r="L380" s="4"/>
      <c r="AG380" s="1687" t="s">
        <v>599</v>
      </c>
      <c r="AH380" s="1687"/>
    </row>
    <row r="381" spans="1:34" ht="12.95" customHeight="1">
      <c r="E381" s="4"/>
      <c r="F381" s="4"/>
      <c r="G381" s="348" t="s">
        <v>1010</v>
      </c>
      <c r="H381" s="4"/>
      <c r="I381" s="4"/>
      <c r="J381" s="4"/>
      <c r="K381" s="4"/>
      <c r="L381" s="4"/>
      <c r="V381" s="1403" t="s">
        <v>599</v>
      </c>
      <c r="W381" s="1403"/>
      <c r="Y381" s="22" t="s">
        <v>997</v>
      </c>
    </row>
    <row r="382" spans="1:34" ht="12.95" customHeight="1">
      <c r="E382" s="4" t="s">
        <v>998</v>
      </c>
      <c r="F382" s="4"/>
      <c r="G382" s="4"/>
      <c r="H382" s="4"/>
      <c r="I382" s="4"/>
      <c r="J382" s="4"/>
      <c r="K382" s="4"/>
      <c r="L382" s="4"/>
      <c r="V382" s="1403" t="s">
        <v>599</v>
      </c>
      <c r="W382" s="1403"/>
      <c r="Y382" s="4" t="s">
        <v>999</v>
      </c>
    </row>
    <row r="383" spans="1:34" ht="12.95" customHeight="1"/>
    <row r="384" spans="1:34" ht="12.95" customHeight="1">
      <c r="A384" s="2" t="s">
        <v>78</v>
      </c>
      <c r="B384" s="2"/>
    </row>
    <row r="385" spans="4:36" ht="12.95" customHeight="1">
      <c r="D385" t="s">
        <v>429</v>
      </c>
      <c r="J385" s="1404" t="s">
        <v>2727</v>
      </c>
      <c r="K385" s="1404"/>
      <c r="L385" s="1404"/>
      <c r="M385" s="1404"/>
      <c r="N385" s="1404"/>
      <c r="O385" s="1404"/>
      <c r="P385" s="1404"/>
      <c r="Q385" s="1404"/>
      <c r="R385" s="1404"/>
      <c r="S385" s="1404"/>
      <c r="T385" s="1404"/>
      <c r="U385" s="1404"/>
      <c r="V385" s="8" t="s">
        <v>83</v>
      </c>
      <c r="W385" s="8"/>
      <c r="X385" s="8"/>
      <c r="Y385" s="8"/>
      <c r="Z385" s="8"/>
      <c r="AA385" s="8"/>
      <c r="AB385" s="8"/>
      <c r="AC385" s="1404" t="s">
        <v>2639</v>
      </c>
      <c r="AD385" s="1404"/>
      <c r="AE385" s="1404"/>
      <c r="AF385" s="1404"/>
      <c r="AG385" s="1404"/>
      <c r="AH385" s="1404"/>
      <c r="AI385" s="1404"/>
      <c r="AJ385" s="1404"/>
    </row>
    <row r="386" spans="4:36" ht="12.95" customHeight="1">
      <c r="D386" s="3" t="s">
        <v>1286</v>
      </c>
      <c r="J386" s="1405" t="s">
        <v>2639</v>
      </c>
      <c r="K386" s="1405"/>
      <c r="L386" s="1405"/>
      <c r="M386" s="1405"/>
      <c r="N386" s="1405"/>
      <c r="O386" s="1405"/>
      <c r="P386" s="1405"/>
      <c r="Q386" s="1405"/>
      <c r="R386" s="1405"/>
      <c r="S386" s="1405"/>
      <c r="T386" s="1405"/>
      <c r="U386" s="1405"/>
      <c r="V386" s="3" t="s">
        <v>1286</v>
      </c>
      <c r="W386" s="8"/>
      <c r="X386" s="8"/>
      <c r="Y386" s="8"/>
      <c r="Z386" s="8"/>
      <c r="AA386" s="8"/>
      <c r="AB386" s="8"/>
      <c r="AC386" s="1404"/>
      <c r="AD386" s="1404"/>
      <c r="AE386" s="1404"/>
      <c r="AF386" s="1404"/>
      <c r="AG386" s="1404"/>
      <c r="AH386" s="1404"/>
      <c r="AI386" s="1404"/>
      <c r="AJ386" s="1404"/>
    </row>
    <row r="387" spans="4:36" ht="12.95" customHeight="1">
      <c r="D387" s="3" t="s">
        <v>443</v>
      </c>
      <c r="J387" s="1405" t="s">
        <v>2728</v>
      </c>
      <c r="K387" s="1405"/>
      <c r="L387" s="1405"/>
      <c r="M387" s="1405"/>
      <c r="N387" s="1405"/>
      <c r="O387" s="1405"/>
      <c r="P387" s="1405"/>
      <c r="Q387" s="1405"/>
      <c r="R387" s="1405"/>
      <c r="S387" s="1405"/>
      <c r="T387" s="1405"/>
      <c r="U387" s="1405"/>
      <c r="V387" s="3" t="s">
        <v>443</v>
      </c>
      <c r="W387" s="8"/>
      <c r="X387" s="8"/>
      <c r="Y387" s="8"/>
      <c r="Z387" s="8"/>
      <c r="AA387" s="8"/>
      <c r="AB387" s="8"/>
      <c r="AC387" s="1404"/>
      <c r="AD387" s="1404"/>
      <c r="AE387" s="1404"/>
      <c r="AF387" s="1404"/>
      <c r="AG387" s="1404"/>
      <c r="AH387" s="1404"/>
      <c r="AI387" s="1404"/>
      <c r="AJ387" s="1404"/>
    </row>
    <row r="388" spans="4:36" ht="12.95" customHeight="1">
      <c r="D388" t="s">
        <v>1282</v>
      </c>
      <c r="J388" s="1434" t="s">
        <v>2729</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2.95" customHeight="1">
      <c r="D389" t="s">
        <v>4</v>
      </c>
      <c r="Q389" s="1686">
        <v>45377</v>
      </c>
      <c r="R389" s="1686"/>
      <c r="S389" s="1686"/>
      <c r="T389" s="1686"/>
      <c r="U389" s="1686"/>
      <c r="V389" t="s">
        <v>310</v>
      </c>
      <c r="AI389" s="1403" t="s">
        <v>553</v>
      </c>
      <c r="AJ389" s="1403"/>
    </row>
    <row r="390" spans="4:36" ht="12.95" customHeight="1">
      <c r="D390" t="s">
        <v>5</v>
      </c>
      <c r="Q390" s="1682">
        <v>45657</v>
      </c>
      <c r="R390" s="1683"/>
      <c r="S390" s="1683"/>
      <c r="T390" s="1683"/>
      <c r="U390" s="1683"/>
      <c r="W390" s="21" t="s">
        <v>74</v>
      </c>
      <c r="AG390" s="1678" t="s">
        <v>2730</v>
      </c>
      <c r="AH390" s="1679"/>
      <c r="AI390" s="1679"/>
      <c r="AJ390" s="1679"/>
    </row>
    <row r="391" spans="4:36" ht="12.95" customHeight="1">
      <c r="D391" t="s">
        <v>428</v>
      </c>
      <c r="Q391" s="1680">
        <v>10555000</v>
      </c>
      <c r="R391" s="1680"/>
      <c r="S391" s="1680"/>
      <c r="T391" s="1680"/>
      <c r="U391" s="1680"/>
      <c r="V391" s="3" t="s">
        <v>1285</v>
      </c>
      <c r="AG391" s="1826"/>
      <c r="AH391" s="1826"/>
      <c r="AI391" s="1826"/>
      <c r="AJ391" s="1826"/>
    </row>
    <row r="392" spans="4:36" ht="12.95" customHeight="1">
      <c r="D392" t="s">
        <v>88</v>
      </c>
      <c r="I392" s="1467">
        <v>2084610022</v>
      </c>
      <c r="J392" s="1467"/>
      <c r="K392" s="1467"/>
      <c r="L392" s="1467"/>
      <c r="M392" s="1467"/>
      <c r="N392" s="1467"/>
      <c r="Q392" s="4" t="s">
        <v>207</v>
      </c>
      <c r="S392" s="1685"/>
      <c r="T392" s="1685"/>
      <c r="U392" s="1685"/>
      <c r="V392" t="s">
        <v>73</v>
      </c>
      <c r="AI392" s="1403" t="s">
        <v>676</v>
      </c>
      <c r="AJ392" s="1403"/>
    </row>
    <row r="393" spans="4:36" ht="12.95" customHeight="1">
      <c r="D393" t="s">
        <v>311</v>
      </c>
      <c r="Q393" s="1437"/>
      <c r="R393" s="1437"/>
      <c r="S393" s="1437"/>
      <c r="T393" s="1437"/>
      <c r="U393" s="1437"/>
      <c r="V393" t="s">
        <v>312</v>
      </c>
      <c r="AG393" s="1679"/>
      <c r="AH393" s="1679"/>
      <c r="AI393" s="1679"/>
      <c r="AJ393" s="1679"/>
    </row>
    <row r="394" spans="4:36" ht="12.95" customHeight="1">
      <c r="D394" t="s">
        <v>313</v>
      </c>
      <c r="Q394" s="1774"/>
      <c r="R394" s="1774"/>
      <c r="S394" s="1774"/>
      <c r="T394" s="1774"/>
      <c r="U394" s="1774"/>
      <c r="V394" t="s">
        <v>1266</v>
      </c>
      <c r="AG394" s="1679"/>
      <c r="AH394" s="1679"/>
      <c r="AI394" s="1679"/>
      <c r="AJ394" s="1679"/>
    </row>
    <row r="395" spans="4:36" ht="12.95" customHeight="1">
      <c r="D395" t="s">
        <v>1265</v>
      </c>
      <c r="AG395" s="1679"/>
      <c r="AH395" s="1679"/>
      <c r="AI395" s="1679"/>
      <c r="AJ395" s="1679"/>
    </row>
    <row r="396" spans="4:36" ht="12.95" customHeight="1">
      <c r="AG396" s="490"/>
      <c r="AH396" s="490"/>
      <c r="AI396" s="490"/>
      <c r="AJ396" s="490"/>
    </row>
    <row r="397" spans="4:36" ht="12.95" customHeight="1">
      <c r="D397" s="3" t="s">
        <v>2500</v>
      </c>
      <c r="AG397" s="490"/>
      <c r="AH397" s="490"/>
      <c r="AI397" s="1403" t="s">
        <v>676</v>
      </c>
      <c r="AJ397" s="1403"/>
    </row>
    <row r="398" spans="4:36" ht="12.95" customHeight="1">
      <c r="D398" s="3" t="s">
        <v>1779</v>
      </c>
      <c r="T398" s="1781"/>
      <c r="U398" s="1781"/>
      <c r="V398" s="1781"/>
      <c r="W398" s="1781"/>
      <c r="X398" s="1781"/>
      <c r="Y398" s="1781"/>
      <c r="Z398" s="1781"/>
      <c r="AA398" s="1781"/>
      <c r="AB398" s="1781"/>
      <c r="AC398" s="1781"/>
      <c r="AD398" s="1781"/>
      <c r="AE398" s="1781"/>
      <c r="AF398" s="1781"/>
      <c r="AG398" s="1781"/>
      <c r="AH398" s="1781"/>
      <c r="AI398" s="1781"/>
      <c r="AJ398" s="1781"/>
    </row>
    <row r="399" spans="4:36" ht="12.95" customHeight="1">
      <c r="D399" s="3" t="s">
        <v>1778</v>
      </c>
      <c r="T399" s="1781"/>
      <c r="U399" s="1781"/>
      <c r="V399" s="1781"/>
      <c r="W399" s="1781"/>
      <c r="X399" s="1781"/>
      <c r="Y399" s="1781"/>
      <c r="Z399" s="1781"/>
      <c r="AA399" s="1781"/>
      <c r="AB399" s="1781"/>
      <c r="AC399" s="1781"/>
      <c r="AD399" s="1781"/>
      <c r="AE399" s="1781"/>
      <c r="AF399" s="1781"/>
      <c r="AG399" s="1781"/>
      <c r="AH399" s="1781"/>
      <c r="AI399" s="1781"/>
      <c r="AJ399" s="1781"/>
    </row>
    <row r="400" spans="4:36" ht="12.95" customHeight="1">
      <c r="AG400" s="490"/>
      <c r="AH400" s="490"/>
      <c r="AI400" s="490"/>
      <c r="AJ400" s="490"/>
    </row>
    <row r="401" spans="1:36" ht="12.95" customHeight="1">
      <c r="D401" s="3" t="s">
        <v>1772</v>
      </c>
      <c r="S401" s="1781" t="s">
        <v>676</v>
      </c>
      <c r="T401" s="1781"/>
      <c r="U401" s="1781"/>
      <c r="V401" t="s">
        <v>1773</v>
      </c>
      <c r="AG401" s="1847"/>
      <c r="AH401" s="1847"/>
      <c r="AI401" s="1847"/>
      <c r="AJ401" s="1847"/>
    </row>
    <row r="402" spans="1:36" ht="12.95" customHeight="1">
      <c r="D402" s="3" t="s">
        <v>1770</v>
      </c>
      <c r="S402" s="1781" t="s">
        <v>599</v>
      </c>
      <c r="T402" s="1781"/>
      <c r="U402" s="1781"/>
      <c r="V402" t="s">
        <v>1775</v>
      </c>
      <c r="AE402" s="1852"/>
      <c r="AF402" s="1852"/>
      <c r="AG402" s="1852"/>
      <c r="AH402" s="1852"/>
      <c r="AI402" s="1852"/>
      <c r="AJ402" s="1852"/>
    </row>
    <row r="403" spans="1:36" ht="12.95" customHeight="1">
      <c r="D403" s="3" t="s">
        <v>1771</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2.95" customHeight="1">
      <c r="D404" s="3" t="s">
        <v>1774</v>
      </c>
      <c r="K404" s="1813"/>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row>
    <row r="405" spans="1:36" ht="12.95" customHeight="1">
      <c r="D405" s="3" t="s">
        <v>1777</v>
      </c>
      <c r="E405" s="511"/>
      <c r="F405" s="511"/>
      <c r="G405" s="511"/>
      <c r="H405" s="511"/>
      <c r="I405" s="511"/>
      <c r="J405" s="511"/>
      <c r="K405" s="511"/>
      <c r="L405" s="511"/>
      <c r="M405" s="511"/>
      <c r="N405" s="511"/>
      <c r="O405" s="511"/>
      <c r="P405" s="511"/>
      <c r="Q405" s="511"/>
      <c r="R405" s="511"/>
      <c r="S405" s="1835" t="s">
        <v>2731</v>
      </c>
      <c r="T405" s="1835"/>
      <c r="U405" s="1835"/>
      <c r="V405" s="1835"/>
      <c r="W405" s="1835"/>
      <c r="X405" s="1835"/>
      <c r="Y405" s="1835"/>
      <c r="Z405" s="1835"/>
      <c r="AA405" s="1835"/>
      <c r="AB405" s="1835"/>
      <c r="AC405" s="1835"/>
      <c r="AD405" s="1835"/>
      <c r="AE405" s="1835"/>
      <c r="AF405" s="1835"/>
      <c r="AG405" s="1835"/>
      <c r="AH405" s="1835"/>
      <c r="AI405" s="1835"/>
      <c r="AJ405" s="1835"/>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1308</v>
      </c>
      <c r="I410" s="1445" t="s">
        <v>2717</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553</v>
      </c>
      <c r="S411" s="1403"/>
      <c r="AC411" s="27" t="s">
        <v>578</v>
      </c>
      <c r="AD411" s="1402">
        <v>6</v>
      </c>
      <c r="AE411" s="1402"/>
    </row>
    <row r="412" spans="1:36" ht="12.95" customHeight="1">
      <c r="E412" t="s">
        <v>107</v>
      </c>
      <c r="R412" s="1403" t="s">
        <v>599</v>
      </c>
      <c r="S412" s="1403"/>
      <c r="AC412" s="27" t="s">
        <v>578</v>
      </c>
      <c r="AD412" s="1402"/>
      <c r="AE412" s="1402"/>
    </row>
    <row r="413" spans="1:36" ht="12.95" customHeight="1">
      <c r="E413" t="s">
        <v>108</v>
      </c>
      <c r="S413" s="1403" t="s">
        <v>599</v>
      </c>
      <c r="T413" s="1403"/>
    </row>
    <row r="414" spans="1:36" ht="12.95" customHeight="1">
      <c r="E414" t="s">
        <v>170</v>
      </c>
      <c r="H414" s="1622" t="s">
        <v>335</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2.95"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2.95" customHeight="1"/>
    <row r="417" spans="1:39" ht="12.95" customHeight="1">
      <c r="A417" s="2" t="s">
        <v>598</v>
      </c>
      <c r="B417" s="2"/>
      <c r="C417" s="2"/>
      <c r="D417" s="2" t="s">
        <v>114</v>
      </c>
      <c r="AF417" s="2" t="s">
        <v>975</v>
      </c>
    </row>
    <row r="418" spans="1:39" ht="12.95" customHeight="1">
      <c r="E418" s="1681"/>
      <c r="F418" s="1681"/>
      <c r="G418" s="1681"/>
      <c r="H418" s="13" t="s">
        <v>115</v>
      </c>
      <c r="I418" s="1681"/>
      <c r="J418" s="1681"/>
      <c r="K418" s="1681"/>
      <c r="L418" t="s">
        <v>116</v>
      </c>
      <c r="N418" s="27" t="s">
        <v>583</v>
      </c>
      <c r="P418" s="1684">
        <v>0.79700000000000004</v>
      </c>
      <c r="Q418" s="1684"/>
      <c r="R418" s="1684"/>
      <c r="S418" t="s">
        <v>117</v>
      </c>
      <c r="W418" s="1872">
        <f>IF(E418&gt;0,(E418*I418),(P418*43560))</f>
        <v>34717.32</v>
      </c>
      <c r="X418" s="1872"/>
      <c r="Y418" s="1872"/>
      <c r="Z418" t="s">
        <v>118</v>
      </c>
      <c r="AF418" s="1701">
        <f>IFERROR(IF(P418&gt;0,(AG437/P418),(AG437/(W418/43560))),0)</f>
        <v>185.69636135508154</v>
      </c>
      <c r="AG418" s="1701"/>
      <c r="AH418" s="1701"/>
      <c r="AM418" s="3"/>
    </row>
    <row r="419" spans="1:39" ht="12.95" customHeight="1">
      <c r="E419" t="s">
        <v>51</v>
      </c>
    </row>
    <row r="420" spans="1:39" ht="12.95" customHeight="1">
      <c r="E420" s="1851"/>
      <c r="F420" s="1851"/>
      <c r="G420" s="1851"/>
      <c r="H420" s="1851"/>
      <c r="I420" s="1851"/>
      <c r="J420" s="1851"/>
      <c r="K420" s="1851"/>
      <c r="L420" s="1851"/>
      <c r="M420" s="1851"/>
      <c r="N420" s="1851"/>
      <c r="O420" s="1851"/>
      <c r="P420" s="1851"/>
      <c r="Q420" s="1851"/>
      <c r="R420" s="1851"/>
      <c r="S420" s="1851"/>
      <c r="T420" s="1851"/>
      <c r="U420" s="1851"/>
      <c r="V420" s="1851"/>
      <c r="W420" s="1851"/>
      <c r="X420" s="1851"/>
      <c r="Y420" s="1851"/>
      <c r="Z420" s="1851"/>
      <c r="AA420" s="1851"/>
      <c r="AB420" s="1851"/>
      <c r="AC420" s="1851"/>
      <c r="AD420" s="1851"/>
      <c r="AE420" s="1851"/>
      <c r="AF420" s="1851"/>
      <c r="AG420" s="1851"/>
      <c r="AH420" s="1851"/>
      <c r="AI420" s="1851"/>
      <c r="AJ420" s="1851"/>
    </row>
    <row r="421" spans="1:39" ht="12.95" customHeight="1">
      <c r="E421" s="118" t="s">
        <v>1924</v>
      </c>
      <c r="F421" s="1048"/>
      <c r="G421" s="1048"/>
      <c r="H421" s="1048"/>
      <c r="I421" s="1779">
        <v>0.79700000000000004</v>
      </c>
      <c r="J421" s="1779"/>
      <c r="K421" s="1779"/>
      <c r="L421" s="1048"/>
      <c r="M421" s="118"/>
      <c r="N421" s="1048"/>
      <c r="O421" s="1048"/>
      <c r="P421" s="1645">
        <f>(CS634+CS642+CS658)/I421</f>
        <v>199.49811794228356</v>
      </c>
      <c r="Q421" s="1645"/>
      <c r="R421" s="1645"/>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3">
        <v>0</v>
      </c>
      <c r="Q424" s="1403"/>
      <c r="S424" t="s">
        <v>190</v>
      </c>
      <c r="AE424" s="1403">
        <v>0</v>
      </c>
      <c r="AF424" s="1403"/>
    </row>
    <row r="425" spans="1:39" ht="12.95" customHeight="1">
      <c r="E425" t="s">
        <v>191</v>
      </c>
      <c r="P425" s="1403">
        <v>0</v>
      </c>
      <c r="Q425" s="1403"/>
      <c r="S425" t="s">
        <v>131</v>
      </c>
      <c r="AE425" s="1403" t="s">
        <v>599</v>
      </c>
      <c r="AF425" s="1403"/>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804"/>
      <c r="G428" s="1804"/>
      <c r="H428" s="1804"/>
      <c r="I428" s="1804"/>
      <c r="J428" s="1804"/>
      <c r="K428" s="1804"/>
      <c r="L428" s="1804"/>
      <c r="M428" s="1804"/>
      <c r="N428" s="1804"/>
      <c r="O428" s="1804"/>
      <c r="P428" s="1804"/>
      <c r="Q428" s="1804"/>
      <c r="R428" s="1804"/>
      <c r="S428" s="1804"/>
      <c r="T428" s="1804"/>
      <c r="U428" s="1804"/>
      <c r="V428" s="1804"/>
      <c r="W428" s="1804"/>
      <c r="X428" s="1804"/>
      <c r="Y428" s="1804"/>
      <c r="Z428" s="1804"/>
      <c r="AA428" s="1804"/>
      <c r="AB428" s="1804"/>
      <c r="AC428" s="1804"/>
      <c r="AD428" s="1804"/>
      <c r="AE428" s="1804"/>
      <c r="AF428" s="1804"/>
      <c r="AG428" s="1804"/>
      <c r="AH428" s="1804"/>
    </row>
    <row r="429" spans="1:39" ht="12.95" customHeight="1">
      <c r="E429" t="s">
        <v>616</v>
      </c>
      <c r="P429" s="1"/>
      <c r="Q429" s="1403" t="s">
        <v>676</v>
      </c>
      <c r="R429" s="1403"/>
    </row>
    <row r="430" spans="1:39" ht="12.95" customHeight="1">
      <c r="F430" t="s">
        <v>617</v>
      </c>
      <c r="P430" s="1"/>
      <c r="Q430" s="1"/>
      <c r="AF430" s="1403" t="s">
        <v>599</v>
      </c>
      <c r="AG430" s="1865"/>
    </row>
    <row r="431" spans="1:39" ht="12.95" customHeight="1"/>
    <row r="432" spans="1:39" ht="12.95" customHeight="1">
      <c r="A432" s="2"/>
      <c r="B432" s="2"/>
      <c r="C432" s="2"/>
      <c r="E432" s="4" t="s">
        <v>309</v>
      </c>
      <c r="Z432" s="1403" t="s">
        <v>676</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03" t="s">
        <v>599</v>
      </c>
      <c r="AA434" s="1403"/>
    </row>
    <row r="435" spans="1:110" ht="12.95" customHeight="1"/>
    <row r="436" spans="1:110" ht="12.95" customHeight="1">
      <c r="A436" s="2" t="s">
        <v>475</v>
      </c>
      <c r="B436" s="2"/>
      <c r="C436" s="2"/>
      <c r="D436" s="2" t="s">
        <v>772</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8"/>
      <c r="AG437" s="1840">
        <v>148</v>
      </c>
      <c r="AH437" s="1840"/>
      <c r="AI437" s="1840"/>
      <c r="AJ437" s="1840"/>
    </row>
    <row r="438" spans="1:110" ht="12.95" customHeight="1">
      <c r="D438" s="1691" t="s">
        <v>1327</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50">
        <v>0</v>
      </c>
      <c r="AH438" s="1363"/>
      <c r="AI438" s="1363"/>
      <c r="AJ438" s="1363"/>
    </row>
    <row r="439" spans="1:110" ht="12.95" customHeight="1">
      <c r="D439" s="1691" t="s">
        <v>1053</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40">
        <v>146</v>
      </c>
      <c r="AH439" s="1840"/>
      <c r="AI439" s="1840"/>
      <c r="AJ439" s="1840"/>
    </row>
    <row r="440" spans="1:110" ht="12.95" customHeight="1">
      <c r="D440" s="1691" t="s">
        <v>1054</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40">
        <v>146</v>
      </c>
      <c r="AH440" s="1840"/>
      <c r="AI440" s="1840"/>
      <c r="AJ440" s="1840"/>
    </row>
    <row r="441" spans="1:110" ht="12.95" customHeight="1">
      <c r="D441" s="1691" t="s">
        <v>1056</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9">
        <f>IF(ISERROR(AG440/AG439),"",AG440/AG439)</f>
        <v>1</v>
      </c>
      <c r="AH441" s="1849"/>
      <c r="AI441" s="1849"/>
      <c r="AJ441" s="1849"/>
    </row>
    <row r="442" spans="1:110" ht="12.95" customHeight="1">
      <c r="D442" s="1691" t="s">
        <v>1055</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05">
        <v>66179</v>
      </c>
      <c r="AH442" s="1705"/>
      <c r="AI442" s="1705"/>
      <c r="AJ442" s="1705"/>
    </row>
    <row r="443" spans="1:110" ht="12.95" customHeight="1">
      <c r="D443" s="1691" t="s">
        <v>1057</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05">
        <v>66179</v>
      </c>
      <c r="AH443" s="1705"/>
      <c r="AI443" s="1705"/>
      <c r="AJ443" s="1705"/>
    </row>
    <row r="444" spans="1:110" ht="12.95" customHeight="1">
      <c r="D444" s="1691" t="s">
        <v>1058</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9">
        <f>IF(ISERROR(AG443/AG442),"",AG443/AG442)</f>
        <v>1</v>
      </c>
      <c r="AH444" s="1849"/>
      <c r="AI444" s="1849"/>
      <c r="AJ444" s="1849"/>
    </row>
    <row r="445" spans="1:110" ht="12.95" customHeight="1">
      <c r="D445" s="1691" t="s">
        <v>1059</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9">
        <f>MIN(IF(AG441&gt;AG444,AG444,AG441),1)</f>
        <v>1</v>
      </c>
      <c r="AH445" s="1849"/>
      <c r="AI445" s="1849"/>
      <c r="AJ445" s="1849"/>
    </row>
    <row r="446" spans="1:110" ht="12.95" customHeight="1">
      <c r="D446" s="1691" t="s">
        <v>2402</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8"/>
      <c r="AG446" s="1705">
        <v>4359</v>
      </c>
      <c r="AH446" s="1705"/>
      <c r="AI446" s="1705"/>
      <c r="AJ446" s="17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8"/>
      <c r="AG447" s="1705">
        <v>0</v>
      </c>
      <c r="AH447" s="1705"/>
      <c r="AI447" s="1705"/>
      <c r="AJ447" s="17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1" t="s">
        <v>1309</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8"/>
      <c r="AG448" s="1705">
        <v>22366</v>
      </c>
      <c r="AH448" s="1705"/>
      <c r="AI448" s="1705"/>
      <c r="AJ448" s="17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1" t="s">
        <v>1060</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8"/>
      <c r="AG449" s="1705">
        <v>5150</v>
      </c>
      <c r="AH449" s="1705"/>
      <c r="AI449" s="1705"/>
      <c r="AJ449" s="17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1" t="s">
        <v>1061</v>
      </c>
      <c r="E450" s="1822"/>
      <c r="F450" s="1822"/>
      <c r="G450" s="1822"/>
      <c r="H450" s="1822"/>
      <c r="I450" s="1822"/>
      <c r="J450" s="1822"/>
      <c r="K450" s="1822"/>
      <c r="L450" s="1822"/>
      <c r="M450" s="1822"/>
      <c r="N450" s="1822"/>
      <c r="O450" s="1822"/>
      <c r="P450" s="1822"/>
      <c r="Q450" s="1822"/>
      <c r="R450" s="1822"/>
      <c r="S450" s="1822"/>
      <c r="T450" s="1822"/>
      <c r="U450" s="1822"/>
      <c r="V450" s="1822"/>
      <c r="W450" s="1822"/>
      <c r="X450" s="1822"/>
      <c r="Y450" s="1822"/>
      <c r="Z450" s="1822"/>
      <c r="AA450" s="1822"/>
      <c r="AB450" s="1822"/>
      <c r="AC450" s="1822"/>
      <c r="AD450" s="1822"/>
      <c r="AE450" s="1822"/>
      <c r="AF450" s="1823"/>
      <c r="AG450" s="1866">
        <f>AG442+AG446+AG448+AG449</f>
        <v>98054</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4" t="s">
        <v>1310</v>
      </c>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c r="AB451" s="1824"/>
      <c r="AC451" s="1824"/>
      <c r="AD451" s="1824"/>
      <c r="AE451" s="1824"/>
      <c r="AF451" s="1824"/>
      <c r="AG451" s="1824"/>
      <c r="AH451" s="1824"/>
      <c r="AI451" s="1824"/>
      <c r="AJ451" s="18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5"/>
      <c r="E452" s="1825"/>
      <c r="F452" s="1825"/>
      <c r="G452" s="1825"/>
      <c r="H452" s="1825"/>
      <c r="I452" s="1825"/>
      <c r="J452" s="1825"/>
      <c r="K452" s="1825"/>
      <c r="L452" s="1825"/>
      <c r="M452" s="1825"/>
      <c r="N452" s="1825"/>
      <c r="O452" s="1825"/>
      <c r="P452" s="1825"/>
      <c r="Q452" s="1825"/>
      <c r="R452" s="1825"/>
      <c r="S452" s="1825"/>
      <c r="T452" s="1825"/>
      <c r="U452" s="1825"/>
      <c r="V452" s="1825"/>
      <c r="W452" s="1825"/>
      <c r="X452" s="1825"/>
      <c r="Y452" s="1825"/>
      <c r="Z452" s="1825"/>
      <c r="AA452" s="1825"/>
      <c r="AB452" s="1825"/>
      <c r="AC452" s="1825"/>
      <c r="AD452" s="1825"/>
      <c r="AE452" s="1825"/>
      <c r="AF452" s="1825"/>
      <c r="AG452" s="1825"/>
      <c r="AH452" s="1825"/>
      <c r="AI452" s="1825"/>
      <c r="AJ452" s="18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5">
        <f>IF(AG437=0,"",'Sources and Uses Budget'!B105/Application!AG437)</f>
        <v>588205.89864864864</v>
      </c>
      <c r="AD454" s="1775"/>
      <c r="AE454" s="1775"/>
      <c r="AF454" s="177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5">
        <f>IF(AG437=0,"",'Sources and Uses Budget'!C105/Application!AG437)</f>
        <v>588205.89864864864</v>
      </c>
      <c r="AD455" s="1775"/>
      <c r="AE455" s="1775"/>
      <c r="AF455" s="177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5">
        <f>IF(AG437=0,"",('Sources and Uses Budget'!$S$107+'Sources and Uses Budget'!$T$107)/Application!AG437)</f>
        <v>487349.90540540538</v>
      </c>
      <c r="AD456" s="1775"/>
      <c r="AE456" s="1775"/>
      <c r="AF456" s="177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9" t="s">
        <v>2416</v>
      </c>
      <c r="E465" s="1777"/>
      <c r="F465" s="1777"/>
      <c r="G465" s="1777"/>
      <c r="H465" s="1777"/>
      <c r="I465" s="1777"/>
      <c r="J465" s="1777"/>
      <c r="K465" s="1777"/>
      <c r="L465" s="1777"/>
      <c r="M465" s="1777"/>
      <c r="N465" s="1777"/>
      <c r="O465" s="1777"/>
      <c r="P465" s="1777"/>
      <c r="Q465" s="1777"/>
      <c r="R465" s="1777"/>
      <c r="S465" s="1777"/>
      <c r="T465" s="1777"/>
      <c r="U465" s="1777"/>
      <c r="V465" s="1778"/>
      <c r="W465" s="1694">
        <v>146</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6" t="s">
        <v>701</v>
      </c>
      <c r="E466" s="1777"/>
      <c r="F466" s="1777"/>
      <c r="G466" s="1777"/>
      <c r="H466" s="1777"/>
      <c r="I466" s="1777"/>
      <c r="J466" s="1777"/>
      <c r="K466" s="1777"/>
      <c r="L466" s="1777"/>
      <c r="M466" s="1777"/>
      <c r="N466" s="1777"/>
      <c r="O466" s="1777"/>
      <c r="P466" s="1777"/>
      <c r="Q466" s="1777"/>
      <c r="R466" s="1777"/>
      <c r="S466" s="1777"/>
      <c r="T466" s="1777"/>
      <c r="U466" s="1777"/>
      <c r="V466" s="1778"/>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6" t="s">
        <v>702</v>
      </c>
      <c r="E467" s="1777"/>
      <c r="F467" s="1777"/>
      <c r="G467" s="1777"/>
      <c r="H467" s="1777"/>
      <c r="I467" s="1777"/>
      <c r="J467" s="1777"/>
      <c r="K467" s="1777"/>
      <c r="L467" s="1777"/>
      <c r="M467" s="1777"/>
      <c r="N467" s="1777"/>
      <c r="O467" s="1777"/>
      <c r="P467" s="1777"/>
      <c r="Q467" s="1777"/>
      <c r="R467" s="1777"/>
      <c r="S467" s="1777"/>
      <c r="T467" s="1777"/>
      <c r="U467" s="1777"/>
      <c r="V467" s="1778"/>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6" t="s">
        <v>703</v>
      </c>
      <c r="E468" s="1777"/>
      <c r="F468" s="1777"/>
      <c r="G468" s="1777"/>
      <c r="H468" s="1777"/>
      <c r="I468" s="1777"/>
      <c r="J468" s="1777"/>
      <c r="K468" s="1777"/>
      <c r="L468" s="1777"/>
      <c r="M468" s="1777"/>
      <c r="N468" s="1777"/>
      <c r="O468" s="1777"/>
      <c r="P468" s="1777"/>
      <c r="Q468" s="1777"/>
      <c r="R468" s="1777"/>
      <c r="S468" s="1777"/>
      <c r="T468" s="1777"/>
      <c r="U468" s="1777"/>
      <c r="V468" s="1778"/>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6" t="s">
        <v>892</v>
      </c>
      <c r="E469" s="1777"/>
      <c r="F469" s="1777"/>
      <c r="G469" s="1777"/>
      <c r="H469" s="1777"/>
      <c r="I469" s="1777"/>
      <c r="J469" s="1777"/>
      <c r="K469" s="1777"/>
      <c r="L469" s="1777"/>
      <c r="M469" s="1777"/>
      <c r="N469" s="1777"/>
      <c r="O469" s="1777"/>
      <c r="P469" s="1777"/>
      <c r="Q469" s="1777"/>
      <c r="R469" s="1777"/>
      <c r="S469" s="1777"/>
      <c r="T469" s="1777"/>
      <c r="U469" s="1777"/>
      <c r="V469" s="1778"/>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6" t="s">
        <v>704</v>
      </c>
      <c r="E470" s="1777"/>
      <c r="F470" s="1777"/>
      <c r="G470" s="1777"/>
      <c r="H470" s="1777"/>
      <c r="I470" s="1777"/>
      <c r="J470" s="1777"/>
      <c r="K470" s="1777"/>
      <c r="L470" s="1777"/>
      <c r="M470" s="1777"/>
      <c r="N470" s="1777"/>
      <c r="O470" s="1777"/>
      <c r="P470" s="1777"/>
      <c r="Q470" s="1777"/>
      <c r="R470" s="1777"/>
      <c r="S470" s="1777"/>
      <c r="T470" s="1777"/>
      <c r="U470" s="1777"/>
      <c r="V470" s="1778"/>
      <c r="W470" s="1694">
        <v>0</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6" t="s">
        <v>1034</v>
      </c>
      <c r="E471" s="1777"/>
      <c r="F471" s="1777"/>
      <c r="G471" s="1777"/>
      <c r="H471" s="1777"/>
      <c r="I471" s="1777"/>
      <c r="J471" s="1777"/>
      <c r="K471" s="1777"/>
      <c r="L471" s="1777"/>
      <c r="M471" s="1777"/>
      <c r="N471" s="1777"/>
      <c r="O471" s="1777"/>
      <c r="P471" s="1777"/>
      <c r="Q471" s="1777"/>
      <c r="R471" s="1777"/>
      <c r="S471" s="1777"/>
      <c r="T471" s="1777"/>
      <c r="U471" s="1777"/>
      <c r="V471" s="1778"/>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9" t="s">
        <v>2553</v>
      </c>
      <c r="E472" s="1870"/>
      <c r="F472" s="1870"/>
      <c r="G472" s="1870"/>
      <c r="H472" s="1870"/>
      <c r="I472" s="1870"/>
      <c r="J472" s="1870"/>
      <c r="K472" s="1870"/>
      <c r="L472" s="1870"/>
      <c r="M472" s="1870"/>
      <c r="N472" s="1870"/>
      <c r="O472" s="1870"/>
      <c r="P472" s="1870"/>
      <c r="Q472" s="1870"/>
      <c r="R472" s="1870"/>
      <c r="S472" s="1870"/>
      <c r="T472" s="1870"/>
      <c r="U472" s="1870"/>
      <c r="V472" s="1871"/>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9" t="s">
        <v>1765</v>
      </c>
      <c r="E473" s="1777"/>
      <c r="F473" s="1777"/>
      <c r="G473" s="1777"/>
      <c r="H473" s="1777"/>
      <c r="I473" s="1777"/>
      <c r="J473" s="1777"/>
      <c r="K473" s="1777"/>
      <c r="L473" s="1777"/>
      <c r="M473" s="1777"/>
      <c r="N473" s="1777"/>
      <c r="O473" s="1777"/>
      <c r="P473" s="1777"/>
      <c r="Q473" s="1777"/>
      <c r="R473" s="1777"/>
      <c r="S473" s="1777"/>
      <c r="T473" s="1777"/>
      <c r="U473" s="1777"/>
      <c r="V473" s="1778"/>
      <c r="W473" s="1694">
        <v>23</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2" t="s">
        <v>2788</v>
      </c>
      <c r="H474" s="1833"/>
      <c r="I474" s="1833"/>
      <c r="J474" s="1833"/>
      <c r="K474" s="1833"/>
      <c r="L474" s="1833"/>
      <c r="M474" s="1833"/>
      <c r="N474" s="1833"/>
      <c r="O474" s="1833"/>
      <c r="P474" s="1833"/>
      <c r="Q474" s="1833"/>
      <c r="R474" s="1833"/>
      <c r="S474" s="1833"/>
      <c r="T474" s="1833"/>
      <c r="U474" s="1833"/>
      <c r="V474" s="1834"/>
      <c r="W474" s="1694">
        <v>15</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818</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2" t="s">
        <v>394</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9" t="s">
        <v>2718</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9" t="s">
        <v>2719</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9" t="s">
        <v>2720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5" t="s">
        <v>398</v>
      </c>
      <c r="C489" s="1856"/>
      <c r="D489" s="1856"/>
      <c r="E489" s="1856"/>
      <c r="F489" s="1856"/>
      <c r="G489" s="1856"/>
      <c r="H489" s="1856"/>
      <c r="I489" s="1856"/>
      <c r="J489" s="1856"/>
      <c r="K489" s="1856"/>
      <c r="L489" s="1856"/>
      <c r="M489" s="1856"/>
      <c r="N489" s="1856"/>
      <c r="O489" s="1856"/>
      <c r="P489" s="1857"/>
      <c r="Q489" s="1861" t="s">
        <v>676</v>
      </c>
      <c r="R489" s="1862"/>
      <c r="S489" s="1827" t="s">
        <v>166</v>
      </c>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8"/>
      <c r="C490" s="1859"/>
      <c r="D490" s="1859"/>
      <c r="E490" s="1859"/>
      <c r="F490" s="1859"/>
      <c r="G490" s="1859"/>
      <c r="H490" s="1859"/>
      <c r="I490" s="1859"/>
      <c r="J490" s="1859"/>
      <c r="K490" s="1859"/>
      <c r="L490" s="1859"/>
      <c r="M490" s="1859"/>
      <c r="N490" s="1859"/>
      <c r="O490" s="1859"/>
      <c r="P490" s="1860"/>
      <c r="Q490" s="1863"/>
      <c r="R490" s="1864"/>
      <c r="S490" s="1830"/>
      <c r="T490" s="1804"/>
      <c r="U490" s="1804"/>
      <c r="V490" s="1804"/>
      <c r="W490" s="1804"/>
      <c r="X490" s="1804"/>
      <c r="Y490" s="1804"/>
      <c r="Z490" s="1804"/>
      <c r="AA490" s="1804"/>
      <c r="AB490" s="1804"/>
      <c r="AC490" s="1804"/>
      <c r="AD490" s="1804"/>
      <c r="AE490" s="1804"/>
      <c r="AF490" s="1804"/>
      <c r="AG490" s="1804"/>
      <c r="AH490" s="1804"/>
      <c r="AI490" s="1804"/>
      <c r="AJ490" s="1804"/>
      <c r="AK490" s="18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7" t="s">
        <v>676</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9" t="s">
        <v>2719</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9" t="s">
        <v>2721</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9">
        <v>14</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0">
        <v>14</v>
      </c>
      <c r="N495" s="1451"/>
      <c r="O495" s="1451"/>
      <c r="P495" s="1452"/>
      <c r="Q495" s="121" t="s">
        <v>1782</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2" t="s">
        <v>402</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2" t="s">
        <v>403</v>
      </c>
      <c r="AD500" s="1703"/>
      <c r="AE500" s="1703"/>
      <c r="AF500" s="1703"/>
      <c r="AG500" s="50" t="s">
        <v>404</v>
      </c>
      <c r="AH500" s="1703" t="s">
        <v>405</v>
      </c>
      <c r="AI500" s="1703"/>
      <c r="AJ500" s="1703"/>
      <c r="AK500" s="17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1" t="s">
        <v>406</v>
      </c>
      <c r="C501" s="1497"/>
      <c r="D501" s="1497"/>
      <c r="E501" s="1497"/>
      <c r="F501" s="1497"/>
      <c r="G501" s="1497"/>
      <c r="H501" s="1498"/>
      <c r="I501" s="42" t="s">
        <v>407</v>
      </c>
      <c r="J501" s="42"/>
      <c r="K501" s="42"/>
      <c r="L501" s="42"/>
      <c r="M501" s="42"/>
      <c r="N501" s="42"/>
      <c r="O501" s="42"/>
      <c r="P501" s="42"/>
      <c r="Q501" s="42"/>
      <c r="R501" s="42"/>
      <c r="S501" s="42"/>
      <c r="T501" s="42"/>
      <c r="U501" s="42"/>
      <c r="V501" s="42"/>
      <c r="W501" s="42"/>
      <c r="AC501" s="1630">
        <v>11</v>
      </c>
      <c r="AD501" s="1402"/>
      <c r="AE501" s="1402"/>
      <c r="AF501" s="1402"/>
      <c r="AG501" s="13" t="s">
        <v>404</v>
      </c>
      <c r="AH501" s="1434">
        <v>2018</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2"/>
      <c r="C502" s="1499"/>
      <c r="D502" s="1499"/>
      <c r="E502" s="1499"/>
      <c r="F502" s="1499"/>
      <c r="G502" s="1499"/>
      <c r="H502" s="1500"/>
      <c r="I502" s="48" t="s">
        <v>408</v>
      </c>
      <c r="J502" s="48"/>
      <c r="K502" s="48"/>
      <c r="L502" s="48"/>
      <c r="M502" s="48"/>
      <c r="N502" s="48"/>
      <c r="O502" s="48"/>
      <c r="P502" s="48"/>
      <c r="Q502" s="48"/>
      <c r="R502" s="48"/>
      <c r="S502" s="48"/>
      <c r="T502" s="48"/>
      <c r="U502" s="48"/>
      <c r="V502" s="48"/>
      <c r="W502" s="48"/>
      <c r="X502" s="48"/>
      <c r="Y502" s="48"/>
      <c r="Z502" s="48"/>
      <c r="AA502" s="48"/>
      <c r="AB502" s="48"/>
      <c r="AC502" s="1630">
        <v>10</v>
      </c>
      <c r="AD502" s="1402"/>
      <c r="AE502" s="1402"/>
      <c r="AF502" s="1402"/>
      <c r="AG502" s="38" t="s">
        <v>404</v>
      </c>
      <c r="AH502" s="1434">
        <v>2020</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1" t="s">
        <v>409</v>
      </c>
      <c r="C503" s="1497"/>
      <c r="D503" s="1497"/>
      <c r="E503" s="1497"/>
      <c r="F503" s="1497"/>
      <c r="G503" s="1497"/>
      <c r="H503" s="1498"/>
      <c r="I503" s="42" t="s">
        <v>410</v>
      </c>
      <c r="J503" s="42"/>
      <c r="K503" s="42"/>
      <c r="L503" s="42"/>
      <c r="M503" s="42"/>
      <c r="N503" s="42"/>
      <c r="O503" s="42"/>
      <c r="P503" s="42"/>
      <c r="Q503" s="42"/>
      <c r="R503" s="42"/>
      <c r="S503" s="42"/>
      <c r="T503" s="42"/>
      <c r="U503" s="42"/>
      <c r="V503" s="42"/>
      <c r="W503" s="42"/>
      <c r="AC503" s="1630" t="s">
        <v>599</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2"/>
      <c r="C504" s="1499"/>
      <c r="D504" s="1499"/>
      <c r="E504" s="1499"/>
      <c r="F504" s="1499"/>
      <c r="G504" s="1499"/>
      <c r="H504" s="1500"/>
      <c r="I504" t="s">
        <v>411</v>
      </c>
      <c r="AC504" s="1630" t="s">
        <v>599</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2"/>
      <c r="C505" s="1499"/>
      <c r="D505" s="1499"/>
      <c r="E505" s="1499"/>
      <c r="F505" s="1499"/>
      <c r="G505" s="1499"/>
      <c r="H505" s="1500"/>
      <c r="I505" t="s">
        <v>412</v>
      </c>
      <c r="AC505" s="1630">
        <v>6</v>
      </c>
      <c r="AD505" s="1402"/>
      <c r="AE505" s="1402"/>
      <c r="AF505" s="1402"/>
      <c r="AG505" s="13" t="s">
        <v>404</v>
      </c>
      <c r="AH505" s="1434">
        <v>2021</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2"/>
      <c r="C506" s="1499"/>
      <c r="D506" s="1499"/>
      <c r="E506" s="1499"/>
      <c r="F506" s="1499"/>
      <c r="G506" s="1499"/>
      <c r="H506" s="1500"/>
      <c r="I506" t="s">
        <v>413</v>
      </c>
      <c r="AC506" s="1630">
        <v>2</v>
      </c>
      <c r="AD506" s="1402"/>
      <c r="AE506" s="1402"/>
      <c r="AF506" s="1402"/>
      <c r="AG506" s="13" t="s">
        <v>404</v>
      </c>
      <c r="AH506" s="1434">
        <v>2022</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2"/>
      <c r="C507" s="1499"/>
      <c r="D507" s="1499"/>
      <c r="E507" s="1499"/>
      <c r="F507" s="1499"/>
      <c r="G507" s="1499"/>
      <c r="H507" s="1500"/>
      <c r="I507" s="3" t="s">
        <v>414</v>
      </c>
      <c r="AC507" s="1391">
        <v>2</v>
      </c>
      <c r="AD507" s="1392"/>
      <c r="AE507" s="1392"/>
      <c r="AF507" s="1392"/>
      <c r="AG507" s="13" t="s">
        <v>404</v>
      </c>
      <c r="AH507" s="1434">
        <v>2022</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2"/>
      <c r="C508" s="1499"/>
      <c r="D508" s="1499"/>
      <c r="E508" s="1499"/>
      <c r="F508" s="1499"/>
      <c r="G508" s="1499"/>
      <c r="H508" s="1500"/>
      <c r="I508" s="931" t="s">
        <v>170</v>
      </c>
      <c r="J508" s="48"/>
      <c r="K508" s="48"/>
      <c r="L508" s="1780" t="s">
        <v>2768</v>
      </c>
      <c r="M508" s="1781"/>
      <c r="N508" s="1781"/>
      <c r="O508" s="1781"/>
      <c r="P508" s="1781"/>
      <c r="Q508" s="1781"/>
      <c r="R508" s="1781"/>
      <c r="S508" s="1781"/>
      <c r="T508" s="1781"/>
      <c r="U508" s="1781"/>
      <c r="V508" s="1781"/>
      <c r="W508" s="1781"/>
      <c r="X508" s="1781"/>
      <c r="Y508" s="1781"/>
      <c r="Z508" s="1781"/>
      <c r="AA508" s="1781"/>
      <c r="AB508" s="1836"/>
      <c r="AC508" s="1630">
        <v>10</v>
      </c>
      <c r="AD508" s="1402"/>
      <c r="AE508" s="1402"/>
      <c r="AF508" s="1402"/>
      <c r="AG508" s="38" t="s">
        <v>404</v>
      </c>
      <c r="AH508" s="1434">
        <v>2021</v>
      </c>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40" t="s">
        <v>553</v>
      </c>
      <c r="AD509" s="1840"/>
      <c r="AE509" s="1840"/>
      <c r="AF509" s="1840"/>
      <c r="AG509" s="13"/>
      <c r="AH509" s="1303"/>
      <c r="AI509" s="1303"/>
      <c r="AJ509" s="1303"/>
      <c r="AK509" s="18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91">
        <v>1</v>
      </c>
      <c r="AD510" s="1392"/>
      <c r="AE510" s="1392"/>
      <c r="AF510" s="1393"/>
      <c r="AG510" s="13"/>
      <c r="AH510" s="1303"/>
      <c r="AI510" s="1303"/>
      <c r="AJ510" s="1303"/>
      <c r="AK510" s="18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42">
        <v>0.3</v>
      </c>
      <c r="AD512" s="1843"/>
      <c r="AE512" s="1843"/>
      <c r="AF512" s="1844"/>
      <c r="AG512" s="38"/>
      <c r="AH512" s="1845"/>
      <c r="AI512" s="1845"/>
      <c r="AJ512" s="1845"/>
      <c r="AK512" s="1846"/>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8" t="s">
        <v>403</v>
      </c>
      <c r="AD513" s="1720"/>
      <c r="AE513" s="1720"/>
      <c r="AF513" s="1720"/>
      <c r="AG513" s="38" t="s">
        <v>404</v>
      </c>
      <c r="AH513" s="1720" t="s">
        <v>405</v>
      </c>
      <c r="AI513" s="1720"/>
      <c r="AJ513" s="1720"/>
      <c r="AK513" s="1841"/>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1" t="s">
        <v>415</v>
      </c>
      <c r="C514" s="1497"/>
      <c r="D514" s="1497"/>
      <c r="E514" s="1497"/>
      <c r="F514" s="1497"/>
      <c r="G514" s="1497"/>
      <c r="H514" s="1498"/>
      <c r="I514" s="42" t="s">
        <v>416</v>
      </c>
      <c r="J514" s="42"/>
      <c r="K514" s="42"/>
      <c r="L514" s="42"/>
      <c r="M514" s="42"/>
      <c r="N514" s="42"/>
      <c r="O514" s="42"/>
      <c r="P514" s="42"/>
      <c r="Q514" s="42"/>
      <c r="R514" s="42"/>
      <c r="S514" s="42"/>
      <c r="T514" s="42"/>
      <c r="U514" s="42"/>
      <c r="V514" s="42"/>
      <c r="W514" s="42"/>
      <c r="AC514" s="1630">
        <v>3</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2"/>
      <c r="C515" s="1499"/>
      <c r="D515" s="1499"/>
      <c r="E515" s="1499"/>
      <c r="F515" s="1499"/>
      <c r="G515" s="1499"/>
      <c r="H515" s="1500"/>
      <c r="I515" t="s">
        <v>417</v>
      </c>
      <c r="AC515" s="1630">
        <v>3</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2"/>
      <c r="C516" s="1499"/>
      <c r="D516" s="1499"/>
      <c r="E516" s="1499"/>
      <c r="F516" s="1499"/>
      <c r="G516" s="1499"/>
      <c r="H516" s="1500"/>
      <c r="I516" s="48" t="s">
        <v>418</v>
      </c>
      <c r="J516" s="48"/>
      <c r="K516" s="48"/>
      <c r="L516" s="48"/>
      <c r="M516" s="48"/>
      <c r="N516" s="48"/>
      <c r="O516" s="48"/>
      <c r="P516" s="48"/>
      <c r="Q516" s="48"/>
      <c r="R516" s="48"/>
      <c r="S516" s="48"/>
      <c r="T516" s="48"/>
      <c r="U516" s="48"/>
      <c r="V516" s="48"/>
      <c r="W516" s="48"/>
      <c r="X516" s="48"/>
      <c r="Y516" s="48"/>
      <c r="Z516" s="48"/>
      <c r="AA516" s="48"/>
      <c r="AB516" s="48"/>
      <c r="AC516" s="1630">
        <v>1</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1" t="s">
        <v>419</v>
      </c>
      <c r="C517" s="1497"/>
      <c r="D517" s="1497"/>
      <c r="E517" s="1497"/>
      <c r="F517" s="1497"/>
      <c r="G517" s="1497"/>
      <c r="H517" s="1498"/>
      <c r="I517" s="42" t="s">
        <v>416</v>
      </c>
      <c r="J517" s="42"/>
      <c r="K517" s="42"/>
      <c r="L517" s="42"/>
      <c r="M517" s="42"/>
      <c r="N517" s="42"/>
      <c r="O517" s="42"/>
      <c r="P517" s="42"/>
      <c r="Q517" s="42"/>
      <c r="R517" s="42"/>
      <c r="S517" s="42"/>
      <c r="T517" s="42"/>
      <c r="U517" s="42"/>
      <c r="V517" s="42"/>
      <c r="W517" s="42"/>
      <c r="X517" s="42"/>
      <c r="Y517" s="42"/>
      <c r="Z517" s="42"/>
      <c r="AA517" s="42"/>
      <c r="AB517" s="42"/>
      <c r="AC517" s="1391">
        <v>3</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2"/>
      <c r="C518" s="1499"/>
      <c r="D518" s="1499"/>
      <c r="E518" s="1499"/>
      <c r="F518" s="1499"/>
      <c r="G518" s="1499"/>
      <c r="H518" s="1500"/>
      <c r="I518" t="s">
        <v>417</v>
      </c>
      <c r="AC518" s="1630">
        <v>3</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3"/>
      <c r="C519" s="1501"/>
      <c r="D519" s="1501"/>
      <c r="E519" s="1501"/>
      <c r="F519" s="1501"/>
      <c r="G519" s="1501"/>
      <c r="H519" s="1502"/>
      <c r="I519" s="48" t="s">
        <v>418</v>
      </c>
      <c r="J519" s="48"/>
      <c r="K519" s="48"/>
      <c r="L519" s="48"/>
      <c r="M519" s="48"/>
      <c r="N519" s="48"/>
      <c r="O519" s="48"/>
      <c r="P519" s="48"/>
      <c r="Q519" s="48"/>
      <c r="R519" s="48"/>
      <c r="S519" s="48"/>
      <c r="T519" s="48"/>
      <c r="U519" s="48"/>
      <c r="V519" s="48"/>
      <c r="W519" s="48"/>
      <c r="X519" s="48"/>
      <c r="Y519" s="48"/>
      <c r="Z519" s="48"/>
      <c r="AA519" s="48"/>
      <c r="AB519" s="48"/>
      <c r="AC519" s="1630">
        <v>12</v>
      </c>
      <c r="AD519" s="1402"/>
      <c r="AE519" s="1402"/>
      <c r="AF519" s="1402"/>
      <c r="AG519" s="38" t="s">
        <v>404</v>
      </c>
      <c r="AH519" s="1434">
        <v>2026</v>
      </c>
      <c r="AI519" s="1434"/>
      <c r="AJ519" s="1434"/>
      <c r="AK519" s="1435"/>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1" t="s">
        <v>420</v>
      </c>
      <c r="C520" s="1497"/>
      <c r="D520" s="1497"/>
      <c r="E520" s="1497"/>
      <c r="F520" s="1497"/>
      <c r="G520" s="1497"/>
      <c r="H520" s="1498"/>
      <c r="I520" s="41" t="s">
        <v>421</v>
      </c>
      <c r="J520" s="42"/>
      <c r="K520" s="42"/>
      <c r="L520" s="42"/>
      <c r="M520" s="42"/>
      <c r="N520" s="42"/>
      <c r="O520" s="1780" t="s">
        <v>2733</v>
      </c>
      <c r="P520" s="1781"/>
      <c r="Q520" s="1781"/>
      <c r="R520" s="1781"/>
      <c r="S520" s="1781"/>
      <c r="T520" s="1781"/>
      <c r="U520" s="1781"/>
      <c r="V520" s="1781"/>
      <c r="W520" s="1781"/>
      <c r="X520" s="1781"/>
      <c r="Y520" s="1781"/>
      <c r="Z520" s="1781"/>
      <c r="AA520" s="1781"/>
      <c r="AB520" s="58"/>
      <c r="AC520" s="1391">
        <v>6</v>
      </c>
      <c r="AD520" s="1392"/>
      <c r="AE520" s="1392"/>
      <c r="AF520" s="1392"/>
      <c r="AG520" s="129" t="s">
        <v>404</v>
      </c>
      <c r="AH520" s="1434">
        <v>2021</v>
      </c>
      <c r="AI520" s="1434"/>
      <c r="AJ520" s="1434"/>
      <c r="AK520" s="1435"/>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2"/>
      <c r="C521" s="1499"/>
      <c r="D521" s="1499"/>
      <c r="E521" s="1499"/>
      <c r="F521" s="1499"/>
      <c r="G521" s="1499"/>
      <c r="H521" s="1500"/>
      <c r="I521" s="114" t="s">
        <v>422</v>
      </c>
      <c r="AB521" s="65"/>
      <c r="AC521" s="1630">
        <v>2</v>
      </c>
      <c r="AD521" s="1402"/>
      <c r="AE521" s="1402"/>
      <c r="AF521" s="1402"/>
      <c r="AG521" s="13" t="s">
        <v>404</v>
      </c>
      <c r="AH521" s="1434">
        <v>2022</v>
      </c>
      <c r="AI521" s="1434"/>
      <c r="AJ521" s="1434"/>
      <c r="AK521" s="1435"/>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2"/>
      <c r="C522" s="1499"/>
      <c r="D522" s="1499"/>
      <c r="E522" s="1499"/>
      <c r="F522" s="1499"/>
      <c r="G522" s="1499"/>
      <c r="H522" s="1500"/>
      <c r="I522" s="47" t="s">
        <v>423</v>
      </c>
      <c r="J522" s="48"/>
      <c r="K522" s="48"/>
      <c r="L522" s="48"/>
      <c r="M522" s="48"/>
      <c r="N522" s="48"/>
      <c r="O522" s="48"/>
      <c r="P522" s="48"/>
      <c r="Q522" s="48"/>
      <c r="R522" s="48"/>
      <c r="S522" s="48"/>
      <c r="T522" s="48"/>
      <c r="U522" s="48"/>
      <c r="V522" s="48"/>
      <c r="W522" s="48"/>
      <c r="X522" s="48"/>
      <c r="Y522" s="48"/>
      <c r="Z522" s="48"/>
      <c r="AA522" s="48"/>
      <c r="AB522" s="49"/>
      <c r="AC522" s="1630"/>
      <c r="AD522" s="1402"/>
      <c r="AE522" s="1402"/>
      <c r="AF522" s="1402"/>
      <c r="AG522" s="38" t="s">
        <v>404</v>
      </c>
      <c r="AH522" s="1434"/>
      <c r="AI522" s="1434"/>
      <c r="AJ522" s="1434"/>
      <c r="AK522" s="1435"/>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2"/>
      <c r="C523" s="1499"/>
      <c r="D523" s="1499"/>
      <c r="E523" s="1499"/>
      <c r="F523" s="1499"/>
      <c r="G523" s="1499"/>
      <c r="H523" s="1500"/>
      <c r="I523" s="42" t="s">
        <v>424</v>
      </c>
      <c r="J523" s="42"/>
      <c r="K523" s="42"/>
      <c r="L523" s="42"/>
      <c r="M523" s="42"/>
      <c r="N523" s="42"/>
      <c r="O523" s="1780" t="s">
        <v>2732</v>
      </c>
      <c r="P523" s="1781"/>
      <c r="Q523" s="1781"/>
      <c r="R523" s="1781"/>
      <c r="S523" s="1781"/>
      <c r="T523" s="1781"/>
      <c r="U523" s="1781"/>
      <c r="V523" s="1781"/>
      <c r="W523" s="1781"/>
      <c r="X523" s="1781"/>
      <c r="Y523" s="1781"/>
      <c r="Z523" s="1781"/>
      <c r="AA523" s="1781"/>
      <c r="AC523" s="1630"/>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2"/>
      <c r="C524" s="1499"/>
      <c r="D524" s="1499"/>
      <c r="E524" s="1499"/>
      <c r="F524" s="1499"/>
      <c r="G524" s="1499"/>
      <c r="H524" s="1500"/>
      <c r="I524" t="s">
        <v>422</v>
      </c>
      <c r="AC524" s="1630">
        <v>10</v>
      </c>
      <c r="AD524" s="1402"/>
      <c r="AE524" s="1402"/>
      <c r="AF524" s="1402"/>
      <c r="AG524" s="13" t="s">
        <v>404</v>
      </c>
      <c r="AH524" s="1434">
        <v>2022</v>
      </c>
      <c r="AI524" s="1434"/>
      <c r="AJ524" s="1434"/>
      <c r="AK524" s="1435"/>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2"/>
      <c r="C525" s="1499"/>
      <c r="D525" s="1499"/>
      <c r="E525" s="1499"/>
      <c r="F525" s="1499"/>
      <c r="G525" s="1499"/>
      <c r="H525" s="1500"/>
      <c r="I525" s="48" t="s">
        <v>423</v>
      </c>
      <c r="J525" s="48"/>
      <c r="K525" s="48"/>
      <c r="L525" s="48"/>
      <c r="M525" s="48"/>
      <c r="N525" s="48"/>
      <c r="O525" s="48"/>
      <c r="P525" s="48"/>
      <c r="Q525" s="48"/>
      <c r="R525" s="48"/>
      <c r="S525" s="48"/>
      <c r="T525" s="48"/>
      <c r="U525" s="48"/>
      <c r="V525" s="48"/>
      <c r="W525" s="48"/>
      <c r="X525" s="48"/>
      <c r="Y525" s="48"/>
      <c r="Z525" s="48"/>
      <c r="AA525" s="48"/>
      <c r="AB525" s="48"/>
      <c r="AC525" s="1630">
        <v>4</v>
      </c>
      <c r="AD525" s="1402"/>
      <c r="AE525" s="1402"/>
      <c r="AF525" s="1402"/>
      <c r="AG525" s="38" t="s">
        <v>404</v>
      </c>
      <c r="AH525" s="1434">
        <v>2023</v>
      </c>
      <c r="AI525" s="1434"/>
      <c r="AJ525" s="1434"/>
      <c r="AK525" s="1435"/>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2"/>
      <c r="C526" s="1499"/>
      <c r="D526" s="1499"/>
      <c r="E526" s="1499"/>
      <c r="F526" s="1499"/>
      <c r="G526" s="1499"/>
      <c r="H526" s="1500"/>
      <c r="I526" s="42" t="s">
        <v>424</v>
      </c>
      <c r="J526" s="42"/>
      <c r="K526" s="42"/>
      <c r="L526" s="42"/>
      <c r="M526" s="42"/>
      <c r="N526" s="42"/>
      <c r="O526" s="1780" t="s">
        <v>2770</v>
      </c>
      <c r="P526" s="1781"/>
      <c r="Q526" s="1781"/>
      <c r="R526" s="1781"/>
      <c r="S526" s="1781"/>
      <c r="T526" s="1781"/>
      <c r="U526" s="1781"/>
      <c r="V526" s="1781"/>
      <c r="W526" s="1781"/>
      <c r="X526" s="1781"/>
      <c r="Y526" s="1781"/>
      <c r="Z526" s="1781"/>
      <c r="AA526" s="1781"/>
      <c r="AC526" s="1630"/>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2"/>
      <c r="C527" s="1499"/>
      <c r="D527" s="1499"/>
      <c r="E527" s="1499"/>
      <c r="F527" s="1499"/>
      <c r="G527" s="1499"/>
      <c r="H527" s="1500"/>
      <c r="I527" t="s">
        <v>422</v>
      </c>
      <c r="AC527" s="1630">
        <v>1</v>
      </c>
      <c r="AD527" s="1402"/>
      <c r="AE527" s="1402"/>
      <c r="AF527" s="1402"/>
      <c r="AG527" s="13" t="s">
        <v>404</v>
      </c>
      <c r="AH527" s="1434">
        <v>2024</v>
      </c>
      <c r="AI527" s="1434"/>
      <c r="AJ527" s="1434"/>
      <c r="AK527" s="1435"/>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2"/>
      <c r="C528" s="1499"/>
      <c r="D528" s="1499"/>
      <c r="E528" s="1499"/>
      <c r="F528" s="1499"/>
      <c r="G528" s="1499"/>
      <c r="H528" s="1500"/>
      <c r="I528" s="48" t="s">
        <v>423</v>
      </c>
      <c r="J528" s="48"/>
      <c r="K528" s="48"/>
      <c r="L528" s="48"/>
      <c r="M528" s="48"/>
      <c r="N528" s="48"/>
      <c r="O528" s="48"/>
      <c r="P528" s="48"/>
      <c r="Q528" s="48"/>
      <c r="R528" s="48"/>
      <c r="S528" s="48"/>
      <c r="T528" s="48"/>
      <c r="U528" s="48"/>
      <c r="V528" s="48"/>
      <c r="W528" s="48"/>
      <c r="X528" s="48"/>
      <c r="Y528" s="48"/>
      <c r="Z528" s="48"/>
      <c r="AA528" s="48"/>
      <c r="AB528" s="48"/>
      <c r="AC528" s="1630">
        <v>2</v>
      </c>
      <c r="AD528" s="1402"/>
      <c r="AE528" s="1402"/>
      <c r="AF528" s="1402"/>
      <c r="AG528" s="38" t="s">
        <v>404</v>
      </c>
      <c r="AH528" s="1434">
        <v>2024</v>
      </c>
      <c r="AI528" s="1434"/>
      <c r="AJ528" s="1434"/>
      <c r="AK528" s="1435"/>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2"/>
      <c r="C529" s="1499"/>
      <c r="D529" s="1499"/>
      <c r="E529" s="1499"/>
      <c r="F529" s="1499"/>
      <c r="G529" s="1499"/>
      <c r="H529" s="1500"/>
      <c r="I529" s="42" t="s">
        <v>424</v>
      </c>
      <c r="J529" s="42"/>
      <c r="K529" s="42"/>
      <c r="L529" s="42"/>
      <c r="M529" s="42"/>
      <c r="N529" s="42"/>
      <c r="O529" s="1780" t="s">
        <v>2769</v>
      </c>
      <c r="P529" s="1781"/>
      <c r="Q529" s="1781"/>
      <c r="R529" s="1781"/>
      <c r="S529" s="1781"/>
      <c r="T529" s="1781"/>
      <c r="U529" s="1781"/>
      <c r="V529" s="1781"/>
      <c r="W529" s="1781"/>
      <c r="X529" s="1781"/>
      <c r="Y529" s="1781"/>
      <c r="Z529" s="1781"/>
      <c r="AA529" s="1781"/>
      <c r="AC529" s="1630"/>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2"/>
      <c r="C530" s="1499"/>
      <c r="D530" s="1499"/>
      <c r="E530" s="1499"/>
      <c r="F530" s="1499"/>
      <c r="G530" s="1499"/>
      <c r="H530" s="1500"/>
      <c r="I530" t="s">
        <v>422</v>
      </c>
      <c r="AC530" s="1630">
        <v>4</v>
      </c>
      <c r="AD530" s="1402"/>
      <c r="AE530" s="1402"/>
      <c r="AF530" s="1402"/>
      <c r="AG530" s="13" t="s">
        <v>404</v>
      </c>
      <c r="AH530" s="1434">
        <v>2024</v>
      </c>
      <c r="AI530" s="1434"/>
      <c r="AJ530" s="1434"/>
      <c r="AK530" s="1435"/>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2"/>
      <c r="C531" s="1499"/>
      <c r="D531" s="1499"/>
      <c r="E531" s="1499"/>
      <c r="F531" s="1499"/>
      <c r="G531" s="1499"/>
      <c r="H531" s="1500"/>
      <c r="I531" s="48" t="s">
        <v>423</v>
      </c>
      <c r="J531" s="48"/>
      <c r="K531" s="48"/>
      <c r="L531" s="48"/>
      <c r="M531" s="48"/>
      <c r="N531" s="48"/>
      <c r="O531" s="48"/>
      <c r="P531" s="48"/>
      <c r="Q531" s="48"/>
      <c r="R531" s="48"/>
      <c r="S531" s="48"/>
      <c r="T531" s="48"/>
      <c r="U531" s="48"/>
      <c r="V531" s="48"/>
      <c r="W531" s="48"/>
      <c r="X531" s="48"/>
      <c r="Y531" s="48"/>
      <c r="Z531" s="48"/>
      <c r="AA531" s="48"/>
      <c r="AB531" s="48"/>
      <c r="AC531" s="1630">
        <v>8</v>
      </c>
      <c r="AD531" s="1402"/>
      <c r="AE531" s="1402"/>
      <c r="AF531" s="1402"/>
      <c r="AG531" s="38" t="s">
        <v>404</v>
      </c>
      <c r="AH531" s="1434">
        <v>2024</v>
      </c>
      <c r="AI531" s="1434"/>
      <c r="AJ531" s="1434"/>
      <c r="AK531" s="1435"/>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2"/>
      <c r="C532" s="1499"/>
      <c r="D532" s="1499"/>
      <c r="E532" s="1499"/>
      <c r="F532" s="1499"/>
      <c r="G532" s="1499"/>
      <c r="H532" s="1500"/>
      <c r="I532" s="42" t="s">
        <v>424</v>
      </c>
      <c r="J532" s="42"/>
      <c r="K532" s="42"/>
      <c r="L532" s="42"/>
      <c r="M532" s="42"/>
      <c r="N532" s="42"/>
      <c r="O532" s="1780"/>
      <c r="P532" s="1781"/>
      <c r="Q532" s="1781"/>
      <c r="R532" s="1781"/>
      <c r="S532" s="1781"/>
      <c r="T532" s="1781"/>
      <c r="U532" s="1781"/>
      <c r="V532" s="1781"/>
      <c r="W532" s="1781"/>
      <c r="X532" s="1781"/>
      <c r="Y532" s="1781"/>
      <c r="Z532" s="1781"/>
      <c r="AA532" s="1781"/>
      <c r="AC532" s="1630"/>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2"/>
      <c r="C533" s="1499"/>
      <c r="D533" s="1499"/>
      <c r="E533" s="1499"/>
      <c r="F533" s="1499"/>
      <c r="G533" s="1499"/>
      <c r="H533" s="1500"/>
      <c r="I533" t="s">
        <v>422</v>
      </c>
      <c r="AC533" s="1630"/>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2"/>
      <c r="C534" s="1499"/>
      <c r="D534" s="1499"/>
      <c r="E534" s="1499"/>
      <c r="F534" s="1499"/>
      <c r="G534" s="1499"/>
      <c r="H534" s="1500"/>
      <c r="I534" s="48" t="s">
        <v>423</v>
      </c>
      <c r="J534" s="48"/>
      <c r="K534" s="48"/>
      <c r="L534" s="48"/>
      <c r="M534" s="48"/>
      <c r="N534" s="48"/>
      <c r="O534" s="48"/>
      <c r="P534" s="48"/>
      <c r="Q534" s="48"/>
      <c r="R534" s="48"/>
      <c r="S534" s="48"/>
      <c r="T534" s="48"/>
      <c r="U534" s="48"/>
      <c r="V534" s="48"/>
      <c r="W534" s="48"/>
      <c r="X534" s="48"/>
      <c r="Y534" s="48"/>
      <c r="Z534" s="48"/>
      <c r="AA534" s="48"/>
      <c r="AB534" s="48"/>
      <c r="AC534" s="1630"/>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2"/>
      <c r="C535" s="1499"/>
      <c r="D535" s="1499"/>
      <c r="E535" s="1499"/>
      <c r="F535" s="1499"/>
      <c r="G535" s="1499"/>
      <c r="H535" s="1500"/>
      <c r="I535" s="42" t="s">
        <v>424</v>
      </c>
      <c r="J535" s="42"/>
      <c r="K535" s="42"/>
      <c r="L535" s="42"/>
      <c r="M535" s="42"/>
      <c r="N535" s="42"/>
      <c r="O535" s="1780"/>
      <c r="P535" s="1781"/>
      <c r="Q535" s="1781"/>
      <c r="R535" s="1781"/>
      <c r="S535" s="1781"/>
      <c r="T535" s="1781"/>
      <c r="U535" s="1781"/>
      <c r="V535" s="1781"/>
      <c r="W535" s="1781"/>
      <c r="X535" s="1781"/>
      <c r="Y535" s="1781"/>
      <c r="Z535" s="1781"/>
      <c r="AA535" s="1781"/>
      <c r="AC535" s="1630"/>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2"/>
      <c r="C536" s="1499"/>
      <c r="D536" s="1499"/>
      <c r="E536" s="1499"/>
      <c r="F536" s="1499"/>
      <c r="G536" s="1499"/>
      <c r="H536" s="1500"/>
      <c r="I536" t="s">
        <v>422</v>
      </c>
      <c r="AC536" s="1630"/>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2"/>
      <c r="C537" s="1499"/>
      <c r="D537" s="1499"/>
      <c r="E537" s="1499"/>
      <c r="F537" s="1499"/>
      <c r="G537" s="1499"/>
      <c r="H537" s="1500"/>
      <c r="I537" s="48" t="s">
        <v>423</v>
      </c>
      <c r="J537" s="48"/>
      <c r="K537" s="48"/>
      <c r="L537" s="48"/>
      <c r="M537" s="48"/>
      <c r="N537" s="48"/>
      <c r="O537" s="48"/>
      <c r="P537" s="48"/>
      <c r="Q537" s="48"/>
      <c r="R537" s="48"/>
      <c r="S537" s="48"/>
      <c r="T537" s="48"/>
      <c r="U537" s="48"/>
      <c r="V537" s="48"/>
      <c r="W537" s="48"/>
      <c r="X537" s="48"/>
      <c r="Y537" s="48"/>
      <c r="Z537" s="48"/>
      <c r="AA537" s="48"/>
      <c r="AB537" s="48"/>
      <c r="AC537" s="1630"/>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2"/>
      <c r="C538" s="1499"/>
      <c r="D538" s="1499"/>
      <c r="E538" s="1499"/>
      <c r="F538" s="1499"/>
      <c r="G538" s="1499"/>
      <c r="H538" s="1500"/>
      <c r="I538" s="42" t="s">
        <v>570</v>
      </c>
      <c r="J538" s="42"/>
      <c r="K538" s="42"/>
      <c r="L538" s="42"/>
      <c r="M538" s="42"/>
      <c r="N538" s="42"/>
      <c r="O538" s="42"/>
      <c r="P538" s="42"/>
      <c r="Q538" s="42"/>
      <c r="R538" s="42"/>
      <c r="S538" s="42"/>
      <c r="T538" s="42"/>
      <c r="U538" s="42"/>
      <c r="V538" s="42"/>
      <c r="W538" s="42"/>
      <c r="AC538" s="1630">
        <v>2</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2"/>
      <c r="C539" s="1499"/>
      <c r="D539" s="1499"/>
      <c r="E539" s="1499"/>
      <c r="F539" s="1499"/>
      <c r="G539" s="1499"/>
      <c r="H539" s="1500"/>
      <c r="I539" t="s">
        <v>571</v>
      </c>
      <c r="AC539" s="1630">
        <v>2</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2"/>
      <c r="C540" s="1499"/>
      <c r="D540" s="1499"/>
      <c r="E540" s="1499"/>
      <c r="F540" s="1499"/>
      <c r="G540" s="1499"/>
      <c r="H540" s="1500"/>
      <c r="I540" t="s">
        <v>572</v>
      </c>
      <c r="AC540" s="1630">
        <v>8</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2"/>
      <c r="C541" s="1499"/>
      <c r="D541" s="1499"/>
      <c r="E541" s="1499"/>
      <c r="F541" s="1499"/>
      <c r="G541" s="1499"/>
      <c r="H541" s="1500"/>
      <c r="I541" t="s">
        <v>573</v>
      </c>
      <c r="AC541" s="1630">
        <v>9</v>
      </c>
      <c r="AD541" s="1402"/>
      <c r="AE541" s="1402"/>
      <c r="AF541" s="1402"/>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3"/>
      <c r="C542" s="1501"/>
      <c r="D542" s="1501"/>
      <c r="E542" s="1501"/>
      <c r="F542" s="1501"/>
      <c r="G542" s="1501"/>
      <c r="H542" s="1502"/>
      <c r="I542" s="48" t="s">
        <v>459</v>
      </c>
      <c r="J542" s="48"/>
      <c r="K542" s="48"/>
      <c r="L542" s="48"/>
      <c r="M542" s="48"/>
      <c r="N542" s="48"/>
      <c r="O542" s="48"/>
      <c r="P542" s="48"/>
      <c r="Q542" s="48"/>
      <c r="R542" s="48"/>
      <c r="S542" s="48"/>
      <c r="T542" s="48"/>
      <c r="U542" s="48"/>
      <c r="V542" s="48"/>
      <c r="W542" s="48"/>
      <c r="X542" s="48"/>
      <c r="Y542" s="48"/>
      <c r="Z542" s="48"/>
      <c r="AA542" s="48"/>
      <c r="AB542" s="48"/>
      <c r="AC542" s="1630">
        <v>11</v>
      </c>
      <c r="AD542" s="1402"/>
      <c r="AE542" s="1402"/>
      <c r="AF542" s="1402"/>
      <c r="AG542" s="38" t="s">
        <v>404</v>
      </c>
      <c r="AH542" s="1434">
        <v>2026</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1" t="s">
        <v>2420</v>
      </c>
      <c r="C551" s="1497"/>
      <c r="D551" s="1497"/>
      <c r="E551" s="1497"/>
      <c r="F551" s="1497"/>
      <c r="G551" s="1497"/>
      <c r="H551" s="1497"/>
      <c r="I551" s="1497"/>
      <c r="J551" s="1497"/>
      <c r="K551" s="1497"/>
      <c r="L551" s="1498"/>
      <c r="M551" s="1631" t="s">
        <v>2421</v>
      </c>
      <c r="N551" s="1497"/>
      <c r="O551" s="1497"/>
      <c r="P551" s="1498"/>
      <c r="Q551" s="1631" t="s">
        <v>2447</v>
      </c>
      <c r="R551" s="1497"/>
      <c r="S551" s="1498"/>
      <c r="T551" s="1631" t="s">
        <v>2448</v>
      </c>
      <c r="U551" s="1497"/>
      <c r="V551" s="1498"/>
      <c r="W551" s="1631" t="s">
        <v>461</v>
      </c>
      <c r="X551" s="1497"/>
      <c r="Y551" s="1498"/>
      <c r="Z551" s="1631" t="s">
        <v>2041</v>
      </c>
      <c r="AA551" s="1497"/>
      <c r="AB551" s="1497"/>
      <c r="AC551" s="1497"/>
      <c r="AD551" s="1498"/>
      <c r="AE551" s="1631" t="s">
        <v>1863</v>
      </c>
      <c r="AF551" s="1497"/>
      <c r="AG551" s="1497"/>
      <c r="AH551" s="1498"/>
      <c r="AI551" s="1631" t="s">
        <v>1864</v>
      </c>
      <c r="AJ551" s="1497"/>
      <c r="AK551" s="1497"/>
      <c r="AL551" s="1498"/>
      <c r="AM551" s="1631" t="s">
        <v>462</v>
      </c>
      <c r="AN551" s="1497"/>
      <c r="AO551" s="1497"/>
      <c r="AP551" s="1497"/>
      <c r="AQ551" s="1497"/>
      <c r="AR551" s="1497"/>
      <c r="AS551" s="149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2"/>
      <c r="C552" s="1499"/>
      <c r="D552" s="1499"/>
      <c r="E552" s="1499"/>
      <c r="F552" s="1499"/>
      <c r="G552" s="1499"/>
      <c r="H552" s="1499"/>
      <c r="I552" s="1499"/>
      <c r="J552" s="1499"/>
      <c r="K552" s="1499"/>
      <c r="L552" s="1500"/>
      <c r="M552" s="1632"/>
      <c r="N552" s="1499"/>
      <c r="O552" s="1499"/>
      <c r="P552" s="1500"/>
      <c r="Q552" s="1632"/>
      <c r="R552" s="1499"/>
      <c r="S552" s="1500"/>
      <c r="T552" s="1632"/>
      <c r="U552" s="1499"/>
      <c r="V552" s="1500"/>
      <c r="W552" s="1632"/>
      <c r="X552" s="1499"/>
      <c r="Y552" s="1500"/>
      <c r="Z552" s="1632"/>
      <c r="AA552" s="1499"/>
      <c r="AB552" s="1499"/>
      <c r="AC552" s="1499"/>
      <c r="AD552" s="1500"/>
      <c r="AE552" s="1632"/>
      <c r="AF552" s="1499"/>
      <c r="AG552" s="1499"/>
      <c r="AH552" s="1500"/>
      <c r="AI552" s="1632"/>
      <c r="AJ552" s="1499"/>
      <c r="AK552" s="1499"/>
      <c r="AL552" s="1500"/>
      <c r="AM552" s="1632"/>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3"/>
      <c r="C553" s="1501"/>
      <c r="D553" s="1501"/>
      <c r="E553" s="1501"/>
      <c r="F553" s="1501"/>
      <c r="G553" s="1501"/>
      <c r="H553" s="1501"/>
      <c r="I553" s="1501"/>
      <c r="J553" s="1501"/>
      <c r="K553" s="1501"/>
      <c r="L553" s="1502"/>
      <c r="M553" s="1633"/>
      <c r="N553" s="1501"/>
      <c r="O553" s="1501"/>
      <c r="P553" s="1502"/>
      <c r="Q553" s="1633"/>
      <c r="R553" s="1501"/>
      <c r="S553" s="1502"/>
      <c r="T553" s="1633"/>
      <c r="U553" s="1501"/>
      <c r="V553" s="1502"/>
      <c r="W553" s="1633"/>
      <c r="X553" s="1501"/>
      <c r="Y553" s="1502"/>
      <c r="Z553" s="1633"/>
      <c r="AA553" s="1501"/>
      <c r="AB553" s="1501"/>
      <c r="AC553" s="1501"/>
      <c r="AD553" s="1502"/>
      <c r="AE553" s="1633"/>
      <c r="AF553" s="1501"/>
      <c r="AG553" s="1501"/>
      <c r="AH553" s="1502"/>
      <c r="AI553" s="1633"/>
      <c r="AJ553" s="1501"/>
      <c r="AK553" s="1501"/>
      <c r="AL553" s="1502"/>
      <c r="AM553" s="1633"/>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4" t="s">
        <v>2734</v>
      </c>
      <c r="D554" s="1634"/>
      <c r="E554" s="1634"/>
      <c r="F554" s="1634"/>
      <c r="G554" s="1634"/>
      <c r="H554" s="1634"/>
      <c r="I554" s="1634"/>
      <c r="J554" s="1634"/>
      <c r="K554" s="1634"/>
      <c r="L554" s="1634"/>
      <c r="M554" s="1634" t="s">
        <v>2437</v>
      </c>
      <c r="N554" s="1634"/>
      <c r="O554" s="1634"/>
      <c r="P554" s="1634"/>
      <c r="Q554" s="1469">
        <v>36</v>
      </c>
      <c r="R554" s="1469"/>
      <c r="S554" s="1470"/>
      <c r="T554" s="1468">
        <v>36</v>
      </c>
      <c r="U554" s="1469"/>
      <c r="V554" s="1470"/>
      <c r="W554" s="1471">
        <v>7.0000000000000007E-2</v>
      </c>
      <c r="X554" s="1472"/>
      <c r="Y554" s="1473"/>
      <c r="Z554" s="1698" t="s">
        <v>2737</v>
      </c>
      <c r="AA554" s="1698"/>
      <c r="AB554" s="1698"/>
      <c r="AC554" s="1698"/>
      <c r="AD554" s="1698"/>
      <c r="AE554" s="1627">
        <v>1</v>
      </c>
      <c r="AF554" s="1628"/>
      <c r="AG554" s="1628"/>
      <c r="AH554" s="1629"/>
      <c r="AI554" s="1624"/>
      <c r="AJ554" s="1625"/>
      <c r="AK554" s="1625"/>
      <c r="AL554" s="1626"/>
      <c r="AM554" s="1688">
        <v>46000000</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2734</v>
      </c>
      <c r="D555" s="1697"/>
      <c r="E555" s="1697"/>
      <c r="F555" s="1697"/>
      <c r="G555" s="1697"/>
      <c r="H555" s="1697"/>
      <c r="I555" s="1697"/>
      <c r="J555" s="1697"/>
      <c r="K555" s="1697"/>
      <c r="L555" s="1697"/>
      <c r="M555" s="1634" t="s">
        <v>2436</v>
      </c>
      <c r="N555" s="1634"/>
      <c r="O555" s="1634"/>
      <c r="P555" s="1634"/>
      <c r="Q555" s="1468">
        <v>36</v>
      </c>
      <c r="R555" s="1469"/>
      <c r="S555" s="1470"/>
      <c r="T555" s="1468">
        <v>36</v>
      </c>
      <c r="U555" s="1469"/>
      <c r="V555" s="1470"/>
      <c r="W555" s="1471">
        <v>7.0000000000000007E-2</v>
      </c>
      <c r="X555" s="1472"/>
      <c r="Y555" s="1473"/>
      <c r="Z555" s="1698" t="s">
        <v>2737</v>
      </c>
      <c r="AA555" s="1698"/>
      <c r="AB555" s="1698"/>
      <c r="AC555" s="1698"/>
      <c r="AD555" s="1698"/>
      <c r="AE555" s="1627">
        <v>2</v>
      </c>
      <c r="AF555" s="1628"/>
      <c r="AG555" s="1628"/>
      <c r="AH555" s="1629"/>
      <c r="AI555" s="1624"/>
      <c r="AJ555" s="1625"/>
      <c r="AK555" s="1625"/>
      <c r="AL555" s="1626"/>
      <c r="AM555" s="1688">
        <v>31125356</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2775</v>
      </c>
      <c r="D556" s="1697"/>
      <c r="E556" s="1697"/>
      <c r="F556" s="1697"/>
      <c r="G556" s="1697"/>
      <c r="H556" s="1697"/>
      <c r="I556" s="1697"/>
      <c r="J556" s="1697"/>
      <c r="K556" s="1697"/>
      <c r="L556" s="1697"/>
      <c r="M556" s="1634" t="s">
        <v>2425</v>
      </c>
      <c r="N556" s="1634"/>
      <c r="O556" s="1634"/>
      <c r="P556" s="1634"/>
      <c r="Q556" s="1468"/>
      <c r="R556" s="1469"/>
      <c r="S556" s="1470"/>
      <c r="T556" s="1468"/>
      <c r="U556" s="1469"/>
      <c r="V556" s="1470"/>
      <c r="W556" s="1471"/>
      <c r="X556" s="1472"/>
      <c r="Y556" s="1473"/>
      <c r="Z556" s="1698" t="s">
        <v>599</v>
      </c>
      <c r="AA556" s="1698"/>
      <c r="AB556" s="1698"/>
      <c r="AC556" s="1698"/>
      <c r="AD556" s="1698"/>
      <c r="AE556" s="1627"/>
      <c r="AF556" s="1628"/>
      <c r="AG556" s="1628"/>
      <c r="AH556" s="1629"/>
      <c r="AI556" s="1624"/>
      <c r="AJ556" s="1625"/>
      <c r="AK556" s="1625"/>
      <c r="AL556" s="1626"/>
      <c r="AM556" s="1688">
        <v>1000000</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7" t="s">
        <v>2775</v>
      </c>
      <c r="D557" s="1697"/>
      <c r="E557" s="1697"/>
      <c r="F557" s="1697"/>
      <c r="G557" s="1697"/>
      <c r="H557" s="1697"/>
      <c r="I557" s="1697"/>
      <c r="J557" s="1697"/>
      <c r="K557" s="1697"/>
      <c r="L557" s="1697"/>
      <c r="M557" s="1634" t="s">
        <v>2424</v>
      </c>
      <c r="N557" s="1634"/>
      <c r="O557" s="1634"/>
      <c r="P557" s="1634"/>
      <c r="Q557" s="1468"/>
      <c r="R557" s="1469"/>
      <c r="S557" s="1470"/>
      <c r="T557" s="1468"/>
      <c r="U557" s="1469"/>
      <c r="V557" s="1470"/>
      <c r="W557" s="1471"/>
      <c r="X557" s="1472"/>
      <c r="Y557" s="1473"/>
      <c r="Z557" s="1698" t="s">
        <v>599</v>
      </c>
      <c r="AA557" s="1698"/>
      <c r="AB557" s="1698"/>
      <c r="AC557" s="1698"/>
      <c r="AD557" s="1698"/>
      <c r="AE557" s="1627"/>
      <c r="AF557" s="1628"/>
      <c r="AG557" s="1628"/>
      <c r="AH557" s="1629"/>
      <c r="AI557" s="1624"/>
      <c r="AJ557" s="1625"/>
      <c r="AK557" s="1625"/>
      <c r="AL557" s="1626"/>
      <c r="AM557" s="1688">
        <v>2500000</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97" t="s">
        <v>2736</v>
      </c>
      <c r="D558" s="1697"/>
      <c r="E558" s="1697"/>
      <c r="F558" s="1697"/>
      <c r="G558" s="1697"/>
      <c r="H558" s="1697"/>
      <c r="I558" s="1697"/>
      <c r="J558" s="1697"/>
      <c r="K558" s="1697"/>
      <c r="L558" s="1697"/>
      <c r="M558" s="1634" t="s">
        <v>2423</v>
      </c>
      <c r="N558" s="1634"/>
      <c r="O558" s="1634"/>
      <c r="P558" s="1634"/>
      <c r="Q558" s="1468"/>
      <c r="R558" s="1469"/>
      <c r="S558" s="1470"/>
      <c r="T558" s="1468"/>
      <c r="U558" s="1469"/>
      <c r="V558" s="1470"/>
      <c r="W558" s="1471"/>
      <c r="X558" s="1472"/>
      <c r="Y558" s="1473"/>
      <c r="Z558" s="1698" t="s">
        <v>599</v>
      </c>
      <c r="AA558" s="1698"/>
      <c r="AB558" s="1698"/>
      <c r="AC558" s="1698"/>
      <c r="AD558" s="1698"/>
      <c r="AE558" s="1627"/>
      <c r="AF558" s="1628"/>
      <c r="AG558" s="1628"/>
      <c r="AH558" s="1629"/>
      <c r="AI558" s="1624"/>
      <c r="AJ558" s="1625"/>
      <c r="AK558" s="1625"/>
      <c r="AL558" s="1626"/>
      <c r="AM558" s="1688">
        <v>2338184</v>
      </c>
      <c r="AN558" s="1689"/>
      <c r="AO558" s="1689"/>
      <c r="AP558" s="1689"/>
      <c r="AQ558" s="1689"/>
      <c r="AR558" s="1689"/>
      <c r="AS558" s="1690"/>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7" t="s">
        <v>2738</v>
      </c>
      <c r="D559" s="1697"/>
      <c r="E559" s="1697"/>
      <c r="F559" s="1697"/>
      <c r="G559" s="1697"/>
      <c r="H559" s="1697"/>
      <c r="I559" s="1697"/>
      <c r="J559" s="1697"/>
      <c r="K559" s="1697"/>
      <c r="L559" s="1697"/>
      <c r="M559" s="1634" t="s">
        <v>2428</v>
      </c>
      <c r="N559" s="1634"/>
      <c r="O559" s="1634"/>
      <c r="P559" s="1634"/>
      <c r="Q559" s="1468"/>
      <c r="R559" s="1469"/>
      <c r="S559" s="1470"/>
      <c r="T559" s="1468"/>
      <c r="U559" s="1469"/>
      <c r="V559" s="1470"/>
      <c r="W559" s="1471"/>
      <c r="X559" s="1472"/>
      <c r="Y559" s="1473"/>
      <c r="Z559" s="1698" t="s">
        <v>599</v>
      </c>
      <c r="AA559" s="1698"/>
      <c r="AB559" s="1698"/>
      <c r="AC559" s="1698"/>
      <c r="AD559" s="1698"/>
      <c r="AE559" s="1627"/>
      <c r="AF559" s="1628"/>
      <c r="AG559" s="1628"/>
      <c r="AH559" s="1629"/>
      <c r="AI559" s="1624"/>
      <c r="AJ559" s="1625"/>
      <c r="AK559" s="1625"/>
      <c r="AL559" s="1626"/>
      <c r="AM559" s="1688">
        <v>4090933</v>
      </c>
      <c r="AN559" s="1689"/>
      <c r="AO559" s="1689"/>
      <c r="AP559" s="1689"/>
      <c r="AQ559" s="1689"/>
      <c r="AR559" s="1689"/>
      <c r="AS559" s="169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7"/>
      <c r="D560" s="1697"/>
      <c r="E560" s="1697"/>
      <c r="F560" s="1697"/>
      <c r="G560" s="1697"/>
      <c r="H560" s="1697"/>
      <c r="I560" s="1697"/>
      <c r="J560" s="1697"/>
      <c r="K560" s="1697"/>
      <c r="L560" s="1697"/>
      <c r="M560" s="1634"/>
      <c r="N560" s="1634"/>
      <c r="O560" s="1634"/>
      <c r="P560" s="1634"/>
      <c r="Q560" s="1468"/>
      <c r="R560" s="1469"/>
      <c r="S560" s="1470"/>
      <c r="T560" s="1468"/>
      <c r="U560" s="1469"/>
      <c r="V560" s="1470"/>
      <c r="W560" s="1471"/>
      <c r="X560" s="1472"/>
      <c r="Y560" s="1473"/>
      <c r="Z560" s="1698"/>
      <c r="AA560" s="1698"/>
      <c r="AB560" s="1698"/>
      <c r="AC560" s="1698"/>
      <c r="AD560" s="1698"/>
      <c r="AE560" s="1627"/>
      <c r="AF560" s="1628"/>
      <c r="AG560" s="1628"/>
      <c r="AH560" s="1629"/>
      <c r="AI560" s="1624"/>
      <c r="AJ560" s="1625"/>
      <c r="AK560" s="1625"/>
      <c r="AL560" s="1626"/>
      <c r="AM560" s="1688"/>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7"/>
      <c r="D561" s="1697"/>
      <c r="E561" s="1697"/>
      <c r="F561" s="1697"/>
      <c r="G561" s="1697"/>
      <c r="H561" s="1697"/>
      <c r="I561" s="1697"/>
      <c r="J561" s="1697"/>
      <c r="K561" s="1697"/>
      <c r="L561" s="1697"/>
      <c r="M561" s="1634"/>
      <c r="N561" s="1634"/>
      <c r="O561" s="1634"/>
      <c r="P561" s="1634"/>
      <c r="Q561" s="1468"/>
      <c r="R561" s="1469"/>
      <c r="S561" s="1470"/>
      <c r="T561" s="1468"/>
      <c r="U561" s="1469"/>
      <c r="V561" s="1470"/>
      <c r="W561" s="1471"/>
      <c r="X561" s="1472"/>
      <c r="Y561" s="1473"/>
      <c r="Z561" s="1698"/>
      <c r="AA561" s="1698"/>
      <c r="AB561" s="1698"/>
      <c r="AC561" s="1698"/>
      <c r="AD561" s="1698"/>
      <c r="AE561" s="1627"/>
      <c r="AF561" s="1628"/>
      <c r="AG561" s="1628"/>
      <c r="AH561" s="1629"/>
      <c r="AI561" s="1624"/>
      <c r="AJ561" s="1625"/>
      <c r="AK561" s="1625"/>
      <c r="AL561" s="1626"/>
      <c r="AM561" s="1688"/>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7"/>
      <c r="D562" s="1697"/>
      <c r="E562" s="1697"/>
      <c r="F562" s="1697"/>
      <c r="G562" s="1697"/>
      <c r="H562" s="1697"/>
      <c r="I562" s="1697"/>
      <c r="J562" s="1697"/>
      <c r="K562" s="1697"/>
      <c r="L562" s="1697"/>
      <c r="M562" s="1634"/>
      <c r="N562" s="1634"/>
      <c r="O562" s="1634"/>
      <c r="P562" s="1634"/>
      <c r="Q562" s="1468"/>
      <c r="R562" s="1469"/>
      <c r="S562" s="1470"/>
      <c r="T562" s="1468"/>
      <c r="U562" s="1469"/>
      <c r="V562" s="1470"/>
      <c r="W562" s="1471"/>
      <c r="X562" s="1472"/>
      <c r="Y562" s="1473"/>
      <c r="Z562" s="1698"/>
      <c r="AA562" s="1698"/>
      <c r="AB562" s="1698"/>
      <c r="AC562" s="1698"/>
      <c r="AD562" s="1698"/>
      <c r="AE562" s="1627"/>
      <c r="AF562" s="1628"/>
      <c r="AG562" s="1628"/>
      <c r="AH562" s="1629"/>
      <c r="AI562" s="1624"/>
      <c r="AJ562" s="1625"/>
      <c r="AK562" s="1625"/>
      <c r="AL562" s="1626"/>
      <c r="AM562" s="1688"/>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97"/>
      <c r="D563" s="1697"/>
      <c r="E563" s="1697"/>
      <c r="F563" s="1697"/>
      <c r="G563" s="1697"/>
      <c r="H563" s="1697"/>
      <c r="I563" s="1697"/>
      <c r="J563" s="1697"/>
      <c r="K563" s="1697"/>
      <c r="L563" s="1697"/>
      <c r="M563" s="1634"/>
      <c r="N563" s="1634"/>
      <c r="O563" s="1634"/>
      <c r="P563" s="1634"/>
      <c r="Q563" s="1468"/>
      <c r="R563" s="1469"/>
      <c r="S563" s="1470"/>
      <c r="T563" s="1468"/>
      <c r="U563" s="1469"/>
      <c r="V563" s="1470"/>
      <c r="W563" s="1471"/>
      <c r="X563" s="1472"/>
      <c r="Y563" s="1473"/>
      <c r="Z563" s="1698"/>
      <c r="AA563" s="1698"/>
      <c r="AB563" s="1698"/>
      <c r="AC563" s="1698"/>
      <c r="AD563" s="1698"/>
      <c r="AE563" s="1627"/>
      <c r="AF563" s="1628"/>
      <c r="AG563" s="1628"/>
      <c r="AH563" s="1629"/>
      <c r="AI563" s="1624"/>
      <c r="AJ563" s="1625"/>
      <c r="AK563" s="1625"/>
      <c r="AL563" s="1626"/>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7"/>
      <c r="D564" s="1697"/>
      <c r="E564" s="1697"/>
      <c r="F564" s="1697"/>
      <c r="G564" s="1697"/>
      <c r="H564" s="1697"/>
      <c r="I564" s="1697"/>
      <c r="J564" s="1697"/>
      <c r="K564" s="1697"/>
      <c r="L564" s="1697"/>
      <c r="M564" s="1634"/>
      <c r="N564" s="1634"/>
      <c r="O564" s="1634"/>
      <c r="P564" s="1634"/>
      <c r="Q564" s="1468"/>
      <c r="R564" s="1469"/>
      <c r="S564" s="1470"/>
      <c r="T564" s="1468"/>
      <c r="U564" s="1469"/>
      <c r="V564" s="1470"/>
      <c r="W564" s="1471"/>
      <c r="X564" s="1472"/>
      <c r="Y564" s="1473"/>
      <c r="Z564" s="1698"/>
      <c r="AA564" s="1698"/>
      <c r="AB564" s="1698"/>
      <c r="AC564" s="1698"/>
      <c r="AD564" s="1698"/>
      <c r="AE564" s="1627"/>
      <c r="AF564" s="1628"/>
      <c r="AG564" s="1628"/>
      <c r="AH564" s="1629"/>
      <c r="AI564" s="1624"/>
      <c r="AJ564" s="1625"/>
      <c r="AK564" s="1625"/>
      <c r="AL564" s="1626"/>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7"/>
      <c r="D565" s="1697"/>
      <c r="E565" s="1697"/>
      <c r="F565" s="1697"/>
      <c r="G565" s="1697"/>
      <c r="H565" s="1697"/>
      <c r="I565" s="1697"/>
      <c r="J565" s="1697"/>
      <c r="K565" s="1697"/>
      <c r="L565" s="1697"/>
      <c r="M565" s="1634"/>
      <c r="N565" s="1634"/>
      <c r="O565" s="1634"/>
      <c r="P565" s="1634"/>
      <c r="Q565" s="1468"/>
      <c r="R565" s="1469"/>
      <c r="S565" s="1470"/>
      <c r="T565" s="1468"/>
      <c r="U565" s="1469"/>
      <c r="V565" s="1470"/>
      <c r="W565" s="1471"/>
      <c r="X565" s="1472"/>
      <c r="Y565" s="1473"/>
      <c r="Z565" s="1698"/>
      <c r="AA565" s="1698"/>
      <c r="AB565" s="1698"/>
      <c r="AC565" s="1698"/>
      <c r="AD565" s="1698"/>
      <c r="AE565" s="1627"/>
      <c r="AF565" s="1628"/>
      <c r="AG565" s="1628"/>
      <c r="AH565" s="1629"/>
      <c r="AI565" s="1624"/>
      <c r="AJ565" s="1625"/>
      <c r="AK565" s="1625"/>
      <c r="AL565" s="1626"/>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6"/>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87054473</v>
      </c>
      <c r="AN566" s="1365"/>
      <c r="AO566" s="1365"/>
      <c r="AP566" s="1365"/>
      <c r="AQ566" s="1365"/>
      <c r="AR566" s="1365"/>
      <c r="AS566" s="1366"/>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9" t="str">
        <f>C554</f>
        <v>California Bank &amp; Trust</v>
      </c>
      <c r="H568" s="1449"/>
      <c r="I568" s="1449"/>
      <c r="J568" s="1449"/>
      <c r="K568" s="1449"/>
      <c r="L568" s="1449"/>
      <c r="M568" s="1449"/>
      <c r="N568" s="1449"/>
      <c r="O568" s="1449"/>
      <c r="P568" s="1449"/>
      <c r="Q568" s="1449"/>
      <c r="R568" s="1449"/>
      <c r="S568" s="8"/>
      <c r="T568" s="55" t="s">
        <v>113</v>
      </c>
      <c r="U568" t="s">
        <v>471</v>
      </c>
      <c r="Z568" s="1449" t="str">
        <f>C555</f>
        <v>California Bank &amp; Trust</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2745</v>
      </c>
      <c r="H569" s="1404"/>
      <c r="I569" s="1404"/>
      <c r="J569" s="1404"/>
      <c r="K569" s="1404"/>
      <c r="L569" s="1404"/>
      <c r="M569" s="1404"/>
      <c r="N569" s="1404"/>
      <c r="O569" s="1404"/>
      <c r="P569" s="1404"/>
      <c r="Q569" s="1404"/>
      <c r="R569" s="1404"/>
      <c r="S569" s="8"/>
      <c r="T569" s="22"/>
      <c r="U569" t="s">
        <v>85</v>
      </c>
      <c r="Z569" s="1404" t="s">
        <v>2745</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4" t="s">
        <v>2746</v>
      </c>
      <c r="H570" s="1404"/>
      <c r="I570" s="1404"/>
      <c r="J570" s="1404"/>
      <c r="K570" s="1404"/>
      <c r="L570" s="1404"/>
      <c r="M570" s="1404"/>
      <c r="N570" s="1404"/>
      <c r="O570" s="1404"/>
      <c r="P570" s="1404"/>
      <c r="Q570" s="1404"/>
      <c r="R570" s="1404"/>
      <c r="T570" s="22"/>
      <c r="U570" t="s">
        <v>588</v>
      </c>
      <c r="Z570" s="1405" t="s">
        <v>2746</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2744</v>
      </c>
      <c r="H571" s="1404"/>
      <c r="I571" s="1404"/>
      <c r="J571" s="1404"/>
      <c r="K571" s="1404"/>
      <c r="L571" s="1404"/>
      <c r="M571" s="1404"/>
      <c r="N571" s="1404"/>
      <c r="O571" s="1404"/>
      <c r="P571" s="1404"/>
      <c r="Q571" s="1404"/>
      <c r="R571" s="1404"/>
      <c r="S571" s="8"/>
      <c r="T571" s="22"/>
      <c r="U571" t="s">
        <v>17</v>
      </c>
      <c r="Z571" s="1405" t="s">
        <v>2744</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4">
        <v>3104076183</v>
      </c>
      <c r="H572" s="1464"/>
      <c r="I572" s="1464"/>
      <c r="J572" s="1464"/>
      <c r="K572" s="1464"/>
      <c r="L572" s="1464"/>
      <c r="O572" s="33" t="s">
        <v>207</v>
      </c>
      <c r="P572" s="1487"/>
      <c r="Q572" s="1487"/>
      <c r="R572" s="1487"/>
      <c r="S572" s="10"/>
      <c r="T572" s="22"/>
      <c r="U572" t="s">
        <v>317</v>
      </c>
      <c r="Z572" s="1464">
        <v>3104076183</v>
      </c>
      <c r="AA572" s="1464"/>
      <c r="AB572" s="1464"/>
      <c r="AC572" s="1464"/>
      <c r="AD572" s="1464"/>
      <c r="AE572" s="1464"/>
      <c r="AH572" s="33" t="s">
        <v>207</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2742</v>
      </c>
      <c r="I573" s="1404"/>
      <c r="J573" s="1404"/>
      <c r="K573" s="1404"/>
      <c r="L573" s="1404"/>
      <c r="M573" s="1404"/>
      <c r="N573" s="1404"/>
      <c r="O573" s="1404"/>
      <c r="P573" s="1404"/>
      <c r="Q573" s="1404"/>
      <c r="R573" s="1404"/>
      <c r="S573" s="8"/>
      <c r="T573" s="22"/>
      <c r="U573" t="s">
        <v>18</v>
      </c>
      <c r="AA573" s="1404" t="s">
        <v>2743</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745" t="s">
        <v>599</v>
      </c>
      <c r="N574" s="1745"/>
      <c r="O574" s="1745"/>
      <c r="P574" s="1745"/>
      <c r="Q574" s="1745"/>
      <c r="R574" s="1745"/>
      <c r="S574" s="8"/>
      <c r="T574" s="22"/>
      <c r="U574" s="348" t="s">
        <v>1289</v>
      </c>
      <c r="AA574" s="8"/>
      <c r="AB574" s="8"/>
      <c r="AC574" s="8"/>
      <c r="AD574" s="8"/>
      <c r="AE574" s="8"/>
      <c r="AF574" s="1745" t="s">
        <v>599</v>
      </c>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9" t="str">
        <f>C556</f>
        <v>Pacific West Communities</v>
      </c>
      <c r="H577" s="1449"/>
      <c r="I577" s="1449"/>
      <c r="J577" s="1449"/>
      <c r="K577" s="1449"/>
      <c r="L577" s="1449"/>
      <c r="M577" s="1449"/>
      <c r="N577" s="1449"/>
      <c r="O577" s="1449"/>
      <c r="P577" s="1449"/>
      <c r="Q577" s="1449"/>
      <c r="R577" s="1449"/>
      <c r="T577" s="55" t="s">
        <v>589</v>
      </c>
      <c r="U577" t="s">
        <v>471</v>
      </c>
      <c r="Z577" s="1449" t="str">
        <f>C557</f>
        <v>Pacific West Communities</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2649</v>
      </c>
      <c r="H578" s="1404"/>
      <c r="I578" s="1404"/>
      <c r="J578" s="1404"/>
      <c r="K578" s="1404"/>
      <c r="L578" s="1404"/>
      <c r="M578" s="1404"/>
      <c r="N578" s="1404"/>
      <c r="O578" s="1404"/>
      <c r="P578" s="1404"/>
      <c r="Q578" s="1404"/>
      <c r="R578" s="1404"/>
      <c r="T578" s="22"/>
      <c r="U578" t="s">
        <v>85</v>
      </c>
      <c r="Z578" s="1404" t="s">
        <v>2649</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5" t="s">
        <v>2666</v>
      </c>
      <c r="H579" s="1405"/>
      <c r="I579" s="1405"/>
      <c r="J579" s="1405"/>
      <c r="K579" s="1405"/>
      <c r="L579" s="1405"/>
      <c r="M579" s="1405"/>
      <c r="N579" s="1405"/>
      <c r="O579" s="1405"/>
      <c r="P579" s="1405"/>
      <c r="Q579" s="1405"/>
      <c r="R579" s="1405"/>
      <c r="T579" s="22"/>
      <c r="U579" t="s">
        <v>588</v>
      </c>
      <c r="Z579" s="1405" t="s">
        <v>2666</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2639</v>
      </c>
      <c r="H580" s="1405"/>
      <c r="I580" s="1405"/>
      <c r="J580" s="1405"/>
      <c r="K580" s="1405"/>
      <c r="L580" s="1405"/>
      <c r="M580" s="1405"/>
      <c r="N580" s="1405"/>
      <c r="O580" s="1405"/>
      <c r="P580" s="1405"/>
      <c r="Q580" s="1405"/>
      <c r="R580" s="1405"/>
      <c r="T580" s="22"/>
      <c r="U580" t="s">
        <v>17</v>
      </c>
      <c r="Z580" s="1405" t="s">
        <v>2639</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4">
        <v>2084610022</v>
      </c>
      <c r="H581" s="1464"/>
      <c r="I581" s="1464"/>
      <c r="J581" s="1464"/>
      <c r="K581" s="1464"/>
      <c r="L581" s="1464"/>
      <c r="O581" s="33" t="s">
        <v>207</v>
      </c>
      <c r="P581" s="1487"/>
      <c r="Q581" s="1487"/>
      <c r="R581" s="1487"/>
      <c r="T581" s="22"/>
      <c r="U581" t="s">
        <v>317</v>
      </c>
      <c r="Z581" s="1464">
        <v>2084610022</v>
      </c>
      <c r="AA581" s="1464"/>
      <c r="AB581" s="1464"/>
      <c r="AC581" s="1464"/>
      <c r="AD581" s="1464"/>
      <c r="AE581" s="1464"/>
      <c r="AH581" s="33" t="s">
        <v>207</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2739</v>
      </c>
      <c r="I582" s="1404"/>
      <c r="J582" s="1404"/>
      <c r="K582" s="1404"/>
      <c r="L582" s="1404"/>
      <c r="M582" s="1404"/>
      <c r="N582" s="1404"/>
      <c r="O582" s="1404"/>
      <c r="P582" s="1404"/>
      <c r="Q582" s="1404"/>
      <c r="R582" s="1404"/>
      <c r="T582" s="22"/>
      <c r="U582" t="s">
        <v>18</v>
      </c>
      <c r="AA582" s="1404" t="s">
        <v>1849</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471</v>
      </c>
      <c r="G585" s="1449" t="str">
        <f>C558</f>
        <v>Locke Lofts Associates</v>
      </c>
      <c r="H585" s="1449"/>
      <c r="I585" s="1449"/>
      <c r="J585" s="1449"/>
      <c r="K585" s="1449"/>
      <c r="L585" s="1449"/>
      <c r="M585" s="1449"/>
      <c r="N585" s="1449"/>
      <c r="O585" s="1449"/>
      <c r="P585" s="1449"/>
      <c r="Q585" s="1449"/>
      <c r="R585" s="1449"/>
      <c r="T585" s="55" t="s">
        <v>592</v>
      </c>
      <c r="U585" t="s">
        <v>471</v>
      </c>
      <c r="Z585" s="1449" t="str">
        <f>C559</f>
        <v>Boston Financial</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2649</v>
      </c>
      <c r="H586" s="1404"/>
      <c r="I586" s="1404"/>
      <c r="J586" s="1404"/>
      <c r="K586" s="1404"/>
      <c r="L586" s="1404"/>
      <c r="M586" s="1404"/>
      <c r="N586" s="1404"/>
      <c r="O586" s="1404"/>
      <c r="P586" s="1404"/>
      <c r="Q586" s="1404"/>
      <c r="R586" s="1404"/>
      <c r="T586" s="22"/>
      <c r="U586" t="s">
        <v>85</v>
      </c>
      <c r="Z586" s="1404" t="s">
        <v>2747</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4" t="s">
        <v>2666</v>
      </c>
      <c r="H587" s="1404"/>
      <c r="I587" s="1404"/>
      <c r="J587" s="1404"/>
      <c r="K587" s="1404"/>
      <c r="L587" s="1404"/>
      <c r="M587" s="1404"/>
      <c r="N587" s="1404"/>
      <c r="O587" s="1404"/>
      <c r="P587" s="1404"/>
      <c r="Q587" s="1404"/>
      <c r="R587" s="1404"/>
      <c r="T587" s="22"/>
      <c r="U587" t="s">
        <v>588</v>
      </c>
      <c r="Z587" s="1405" t="s">
        <v>2696</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2639</v>
      </c>
      <c r="H588" s="1404"/>
      <c r="I588" s="1404"/>
      <c r="J588" s="1404"/>
      <c r="K588" s="1404"/>
      <c r="L588" s="1404"/>
      <c r="M588" s="1404"/>
      <c r="N588" s="1404"/>
      <c r="O588" s="1404"/>
      <c r="P588" s="1404"/>
      <c r="Q588" s="1404"/>
      <c r="R588" s="1404"/>
      <c r="T588" s="22"/>
      <c r="U588" t="s">
        <v>17</v>
      </c>
      <c r="Z588" s="1405" t="s">
        <v>2697</v>
      </c>
      <c r="AA588" s="1405"/>
      <c r="AB588" s="1405"/>
      <c r="AC588" s="1405"/>
      <c r="AD588" s="1405"/>
      <c r="AE588" s="1405"/>
      <c r="AF588" s="1405"/>
      <c r="AG588" s="1405"/>
      <c r="AH588" s="1405"/>
      <c r="AI588" s="1405"/>
      <c r="AJ588" s="1405"/>
      <c r="AK588" s="1405"/>
    </row>
    <row r="589" spans="1:110" ht="12.95" customHeight="1">
      <c r="A589" s="22"/>
      <c r="B589" t="s">
        <v>317</v>
      </c>
      <c r="G589" s="1464">
        <v>2084610022</v>
      </c>
      <c r="H589" s="1464"/>
      <c r="I589" s="1464"/>
      <c r="J589" s="1464"/>
      <c r="K589" s="1464"/>
      <c r="L589" s="1464"/>
      <c r="O589" s="33" t="s">
        <v>207</v>
      </c>
      <c r="P589" s="1487"/>
      <c r="Q589" s="1487"/>
      <c r="R589" s="1487"/>
      <c r="T589" s="22"/>
      <c r="U589" t="s">
        <v>317</v>
      </c>
      <c r="Z589" s="1464">
        <v>8007827890</v>
      </c>
      <c r="AA589" s="1464"/>
      <c r="AB589" s="1464"/>
      <c r="AC589" s="1464"/>
      <c r="AD589" s="1464"/>
      <c r="AE589" s="1464"/>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2740</v>
      </c>
      <c r="I590" s="1404"/>
      <c r="J590" s="1404"/>
      <c r="K590" s="1404"/>
      <c r="L590" s="1404"/>
      <c r="M590" s="1404"/>
      <c r="N590" s="1404"/>
      <c r="O590" s="1404"/>
      <c r="P590" s="1404"/>
      <c r="Q590" s="1404"/>
      <c r="R590" s="1404"/>
      <c r="T590" s="22"/>
      <c r="U590" t="s">
        <v>18</v>
      </c>
      <c r="AA590" s="1404" t="s">
        <v>2741</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553</v>
      </c>
      <c r="O591" s="1403"/>
      <c r="T591" s="22"/>
      <c r="U591" t="s">
        <v>20</v>
      </c>
      <c r="AG591" s="1403" t="s">
        <v>553</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9">
        <f>C560</f>
        <v>0</v>
      </c>
      <c r="H593" s="1449"/>
      <c r="I593" s="1449"/>
      <c r="J593" s="1449"/>
      <c r="K593" s="1449"/>
      <c r="L593" s="1449"/>
      <c r="M593" s="1449"/>
      <c r="N593" s="1449"/>
      <c r="O593" s="1449"/>
      <c r="P593" s="1449"/>
      <c r="Q593" s="1449"/>
      <c r="R593" s="1449"/>
      <c r="T593" s="55" t="s">
        <v>464</v>
      </c>
      <c r="U593" t="s">
        <v>471</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4"/>
      <c r="H595" s="1404"/>
      <c r="I595" s="1404"/>
      <c r="J595" s="1404"/>
      <c r="K595" s="1404"/>
      <c r="L595" s="1404"/>
      <c r="M595" s="1404"/>
      <c r="N595" s="1404"/>
      <c r="O595" s="1404"/>
      <c r="P595" s="1404"/>
      <c r="Q595" s="1404"/>
      <c r="R595" s="1404"/>
      <c r="S595"/>
      <c r="T595" s="22"/>
      <c r="U595" t="s">
        <v>588</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482</v>
      </c>
      <c r="BF596" s="122"/>
      <c r="BG596" s="1490"/>
      <c r="BH596" s="1492"/>
      <c r="BI596" s="121" t="s">
        <v>483</v>
      </c>
      <c r="BJ596" s="122"/>
      <c r="BK596" s="1490"/>
      <c r="BL596" s="1492"/>
      <c r="BM596" s="3"/>
      <c r="BN596" s="1422" t="s">
        <v>640</v>
      </c>
      <c r="BO596" s="1423"/>
      <c r="BP596" s="1423"/>
      <c r="BQ596" s="1423"/>
      <c r="BR596" s="1424"/>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468</v>
      </c>
      <c r="CI596" s="1505"/>
      <c r="CJ596" s="1505"/>
      <c r="CK596" s="1505"/>
      <c r="CL596" s="1505"/>
      <c r="CM596" s="1505" t="s">
        <v>30</v>
      </c>
      <c r="CN596" s="1505"/>
      <c r="CO596" s="1505"/>
      <c r="CP596" s="1505"/>
      <c r="CQ596" s="1505"/>
      <c r="CR596" s="89"/>
      <c r="CS596" s="1505" t="s">
        <v>640</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468</v>
      </c>
      <c r="DN596" s="1505"/>
      <c r="DO596" s="1505"/>
      <c r="DP596" s="1505"/>
      <c r="DQ596" s="1505"/>
      <c r="DR596" s="1505" t="s">
        <v>30</v>
      </c>
      <c r="DS596" s="1505"/>
      <c r="DT596" s="1505"/>
      <c r="DU596" s="1505"/>
      <c r="DV596" s="1505"/>
      <c r="DX596" s="1505" t="s">
        <v>640</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468</v>
      </c>
      <c r="ES596" s="1505"/>
      <c r="ET596" s="1505"/>
      <c r="EU596" s="1505"/>
      <c r="EV596" s="1505"/>
      <c r="EW596" s="1505" t="s">
        <v>30</v>
      </c>
      <c r="EX596" s="1505"/>
      <c r="EY596" s="1505"/>
      <c r="EZ596" s="1505"/>
      <c r="FA596" s="1505"/>
    </row>
    <row r="597" spans="1:157" s="4" customFormat="1" ht="12.95" customHeight="1">
      <c r="A597" s="22"/>
      <c r="B597" t="s">
        <v>317</v>
      </c>
      <c r="C597"/>
      <c r="D597"/>
      <c r="E597"/>
      <c r="F597"/>
      <c r="G597" s="1464"/>
      <c r="H597" s="1464"/>
      <c r="I597" s="1464"/>
      <c r="J597" s="1464"/>
      <c r="K597" s="1464"/>
      <c r="L597" s="1464"/>
      <c r="M597"/>
      <c r="N597"/>
      <c r="O597" s="33" t="s">
        <v>207</v>
      </c>
      <c r="P597" s="1487"/>
      <c r="Q597" s="1487"/>
      <c r="R597" s="1487"/>
      <c r="S597"/>
      <c r="T597" s="22"/>
      <c r="U597" t="s">
        <v>317</v>
      </c>
      <c r="V597"/>
      <c r="W597"/>
      <c r="X597"/>
      <c r="Y597"/>
      <c r="Z597" s="1464"/>
      <c r="AA597" s="1464"/>
      <c r="AB597" s="1464"/>
      <c r="AC597" s="1464"/>
      <c r="AD597" s="1464"/>
      <c r="AE597" s="1464"/>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0">
        <f t="shared" ref="BG597:BG631" si="2">IF(BE597=1,G718,0)</f>
        <v>0</v>
      </c>
      <c r="BH597" s="1492"/>
      <c r="BI597" s="1480">
        <f t="shared" ref="BI597:BI631" si="3">IF(AND(AC718&lt;=0.35,AC718&gt;0),1,0)</f>
        <v>1</v>
      </c>
      <c r="BJ597" s="1482"/>
      <c r="BK597" s="1490">
        <f t="shared" ref="BK597:BK631" si="4">IF(BI597=1,G718,0)</f>
        <v>50</v>
      </c>
      <c r="BL597" s="1492"/>
      <c r="BM597" s="3"/>
      <c r="BN597" s="1484">
        <f t="shared" ref="BN597:BN631" si="5">IF(B718="SRO/Studio",G718,0)</f>
        <v>50</v>
      </c>
      <c r="BO597" s="1485"/>
      <c r="BP597" s="1485"/>
      <c r="BQ597" s="1485"/>
      <c r="BR597" s="1486"/>
      <c r="BS597" s="1483">
        <f t="shared" ref="BS597:BS631" si="6">IF(B718="1 Bedroom",G718,0)</f>
        <v>0</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3">
        <f t="shared" ref="CS597:CS631" si="11">IF(AND(B718="SRO/Studio",AC718&lt;=0.3),G718,0)</f>
        <v>50</v>
      </c>
      <c r="CT597" s="1493"/>
      <c r="CU597" s="1493"/>
      <c r="CV597" s="1493"/>
      <c r="CW597" s="1493"/>
      <c r="CX597" s="1493">
        <f t="shared" ref="CX597:CX631" si="12">IF(AND(B718="1 Bedroom",AC718&lt;=0.3),G718,0)</f>
        <v>0</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0">
        <f t="shared" ref="DX597:DX631" si="17">IF(BN597&gt;0,O718,"")</f>
        <v>441</v>
      </c>
      <c r="DY597" s="1481"/>
      <c r="DZ597" s="1481"/>
      <c r="EA597" s="1481"/>
      <c r="EB597" s="1482"/>
      <c r="EC597" s="1480" t="str">
        <f t="shared" ref="EC597:EC631" si="18">IF(BS597&gt;0,O718,"")</f>
        <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0">
        <f t="shared" si="1"/>
        <v>0</v>
      </c>
      <c r="BF598" s="1482"/>
      <c r="BG598" s="1490">
        <f t="shared" si="2"/>
        <v>0</v>
      </c>
      <c r="BH598" s="1492"/>
      <c r="BI598" s="1480">
        <f t="shared" si="3"/>
        <v>1</v>
      </c>
      <c r="BJ598" s="1482"/>
      <c r="BK598" s="1490">
        <f t="shared" si="4"/>
        <v>35</v>
      </c>
      <c r="BL598" s="1492"/>
      <c r="BM598" s="3"/>
      <c r="BN598" s="1484">
        <f t="shared" si="5"/>
        <v>35</v>
      </c>
      <c r="BO598" s="1485"/>
      <c r="BP598" s="1485"/>
      <c r="BQ598" s="1485"/>
      <c r="BR598" s="1486"/>
      <c r="BS598" s="1483">
        <f t="shared" si="6"/>
        <v>0</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3">
        <f t="shared" si="11"/>
        <v>35</v>
      </c>
      <c r="CT598" s="1493"/>
      <c r="CU598" s="1493"/>
      <c r="CV598" s="1493"/>
      <c r="CW598" s="1493"/>
      <c r="CX598" s="1493">
        <f t="shared" si="12"/>
        <v>0</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0">
        <f t="shared" si="17"/>
        <v>662</v>
      </c>
      <c r="DY598" s="1481"/>
      <c r="DZ598" s="1481"/>
      <c r="EA598" s="1481"/>
      <c r="EB598" s="1482"/>
      <c r="EC598" s="1480" t="str">
        <f t="shared" si="18"/>
        <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403" t="s">
        <v>676</v>
      </c>
      <c r="O599" s="1403"/>
      <c r="T599" s="22"/>
      <c r="U599" t="s">
        <v>20</v>
      </c>
      <c r="AG599" s="1403" t="s">
        <v>676</v>
      </c>
      <c r="AH599" s="1403"/>
      <c r="BA599" s="4" t="s">
        <v>164</v>
      </c>
      <c r="BB599" s="3"/>
      <c r="BC599" s="3"/>
      <c r="BD599" s="3"/>
      <c r="BE599" s="1480">
        <f t="shared" si="1"/>
        <v>1</v>
      </c>
      <c r="BF599" s="1482"/>
      <c r="BG599" s="1490">
        <f t="shared" si="2"/>
        <v>34</v>
      </c>
      <c r="BH599" s="1492"/>
      <c r="BI599" s="1480">
        <f t="shared" si="3"/>
        <v>0</v>
      </c>
      <c r="BJ599" s="1482"/>
      <c r="BK599" s="1490">
        <f t="shared" si="4"/>
        <v>0</v>
      </c>
      <c r="BL599" s="1492"/>
      <c r="BM599" s="3"/>
      <c r="BN599" s="1484">
        <f t="shared" si="5"/>
        <v>34</v>
      </c>
      <c r="BO599" s="1485"/>
      <c r="BP599" s="1485"/>
      <c r="BQ599" s="1485"/>
      <c r="BR599" s="1486"/>
      <c r="BS599" s="1483">
        <f t="shared" si="6"/>
        <v>0</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3">
        <f t="shared" si="11"/>
        <v>0</v>
      </c>
      <c r="CT599" s="1493"/>
      <c r="CU599" s="1493"/>
      <c r="CV599" s="1493"/>
      <c r="CW599" s="1493"/>
      <c r="CX599" s="1493">
        <f t="shared" si="12"/>
        <v>0</v>
      </c>
      <c r="CY599" s="1493"/>
      <c r="CZ599" s="1493"/>
      <c r="DA599" s="1493"/>
      <c r="DB599" s="1493"/>
      <c r="DC599" s="1493">
        <f t="shared" si="13"/>
        <v>0</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0">
        <f t="shared" si="17"/>
        <v>883</v>
      </c>
      <c r="DY599" s="1481"/>
      <c r="DZ599" s="1481"/>
      <c r="EA599" s="1481"/>
      <c r="EB599" s="1482"/>
      <c r="EC599" s="1480" t="str">
        <f t="shared" si="18"/>
        <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0">
        <f t="shared" si="2"/>
        <v>0</v>
      </c>
      <c r="BH600" s="1492"/>
      <c r="BI600" s="1480">
        <f t="shared" si="3"/>
        <v>0</v>
      </c>
      <c r="BJ600" s="1482"/>
      <c r="BK600" s="1490">
        <f t="shared" si="4"/>
        <v>0</v>
      </c>
      <c r="BL600" s="1492"/>
      <c r="BM600" s="3"/>
      <c r="BN600" s="1484">
        <f t="shared" si="5"/>
        <v>0</v>
      </c>
      <c r="BO600" s="1485"/>
      <c r="BP600" s="1485"/>
      <c r="BQ600" s="1485"/>
      <c r="BR600" s="1486"/>
      <c r="BS600" s="1483">
        <f t="shared" si="6"/>
        <v>0</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3">
        <f t="shared" si="11"/>
        <v>0</v>
      </c>
      <c r="CT600" s="1493"/>
      <c r="CU600" s="1493"/>
      <c r="CV600" s="1493"/>
      <c r="CW600" s="1493"/>
      <c r="CX600" s="1493">
        <f t="shared" si="12"/>
        <v>0</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0" t="str">
        <f t="shared" si="17"/>
        <v/>
      </c>
      <c r="DY600" s="1481"/>
      <c r="DZ600" s="1481"/>
      <c r="EA600" s="1481"/>
      <c r="EB600" s="1482"/>
      <c r="EC600" s="1480" t="str">
        <f t="shared" si="18"/>
        <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469</v>
      </c>
      <c r="B601" t="s">
        <v>471</v>
      </c>
      <c r="G601" s="1449">
        <f>C562</f>
        <v>0</v>
      </c>
      <c r="H601" s="1449"/>
      <c r="I601" s="1449"/>
      <c r="J601" s="1449"/>
      <c r="K601" s="1449"/>
      <c r="L601" s="1449"/>
      <c r="M601" s="1449"/>
      <c r="N601" s="1449"/>
      <c r="O601" s="1449"/>
      <c r="P601" s="1449"/>
      <c r="Q601" s="1449"/>
      <c r="R601" s="1449"/>
      <c r="T601" s="55" t="s">
        <v>653</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80">
        <f t="shared" si="1"/>
        <v>0</v>
      </c>
      <c r="BF601" s="1482"/>
      <c r="BG601" s="1490">
        <f t="shared" si="2"/>
        <v>0</v>
      </c>
      <c r="BH601" s="1492"/>
      <c r="BI601" s="1480">
        <f t="shared" si="3"/>
        <v>1</v>
      </c>
      <c r="BJ601" s="1482"/>
      <c r="BK601" s="1490">
        <f t="shared" si="4"/>
        <v>5</v>
      </c>
      <c r="BL601" s="1492"/>
      <c r="BM601" s="3"/>
      <c r="BN601" s="1484">
        <f t="shared" si="5"/>
        <v>0</v>
      </c>
      <c r="BO601" s="1485"/>
      <c r="BP601" s="1485"/>
      <c r="BQ601" s="1485"/>
      <c r="BR601" s="1486"/>
      <c r="BS601" s="1483">
        <f t="shared" si="6"/>
        <v>5</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3">
        <f t="shared" si="11"/>
        <v>0</v>
      </c>
      <c r="CT601" s="1493"/>
      <c r="CU601" s="1493"/>
      <c r="CV601" s="1493"/>
      <c r="CW601" s="1493"/>
      <c r="CX601" s="1493">
        <f t="shared" si="12"/>
        <v>5</v>
      </c>
      <c r="CY601" s="1493"/>
      <c r="CZ601" s="1493"/>
      <c r="DA601" s="1493"/>
      <c r="DB601" s="1493"/>
      <c r="DC601" s="1493">
        <f t="shared" si="13"/>
        <v>0</v>
      </c>
      <c r="DD601" s="1493"/>
      <c r="DE601" s="1493"/>
      <c r="DF601" s="1493"/>
      <c r="DG601" s="1493"/>
      <c r="DH601" s="1493">
        <f t="shared" si="14"/>
        <v>0</v>
      </c>
      <c r="DI601" s="1493"/>
      <c r="DJ601" s="1493"/>
      <c r="DK601" s="1493"/>
      <c r="DL601" s="1493"/>
      <c r="DM601" s="1493">
        <f t="shared" si="15"/>
        <v>0</v>
      </c>
      <c r="DN601" s="1493"/>
      <c r="DO601" s="1493"/>
      <c r="DP601" s="1493"/>
      <c r="DQ601" s="1493"/>
      <c r="DR601" s="1493">
        <f t="shared" si="16"/>
        <v>0</v>
      </c>
      <c r="DS601" s="1493"/>
      <c r="DT601" s="1493"/>
      <c r="DU601" s="1493"/>
      <c r="DV601" s="1493"/>
      <c r="DX601" s="1480" t="str">
        <f t="shared" si="17"/>
        <v/>
      </c>
      <c r="DY601" s="1481"/>
      <c r="DZ601" s="1481"/>
      <c r="EA601" s="1481"/>
      <c r="EB601" s="1482"/>
      <c r="EC601" s="1480">
        <f t="shared" si="18"/>
        <v>473</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0">
        <f t="shared" si="1"/>
        <v>0</v>
      </c>
      <c r="BF602" s="1482"/>
      <c r="BG602" s="1490">
        <f t="shared" si="2"/>
        <v>0</v>
      </c>
      <c r="BH602" s="1492"/>
      <c r="BI602" s="1480">
        <f t="shared" si="3"/>
        <v>1</v>
      </c>
      <c r="BJ602" s="1482"/>
      <c r="BK602" s="1490">
        <f t="shared" si="4"/>
        <v>5</v>
      </c>
      <c r="BL602" s="1492"/>
      <c r="BM602" s="3"/>
      <c r="BN602" s="1484">
        <f t="shared" si="5"/>
        <v>0</v>
      </c>
      <c r="BO602" s="1485"/>
      <c r="BP602" s="1485"/>
      <c r="BQ602" s="1485"/>
      <c r="BR602" s="1486"/>
      <c r="BS602" s="1483">
        <f t="shared" si="6"/>
        <v>5</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3">
        <f t="shared" si="11"/>
        <v>0</v>
      </c>
      <c r="CT602" s="1493"/>
      <c r="CU602" s="1493"/>
      <c r="CV602" s="1493"/>
      <c r="CW602" s="1493"/>
      <c r="CX602" s="1493">
        <f t="shared" si="12"/>
        <v>5</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0" t="str">
        <f t="shared" si="17"/>
        <v/>
      </c>
      <c r="DY602" s="1481"/>
      <c r="DZ602" s="1481"/>
      <c r="EA602" s="1481"/>
      <c r="EB602" s="1482"/>
      <c r="EC602" s="1480">
        <f t="shared" si="18"/>
        <v>709</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588</v>
      </c>
      <c r="G603" s="1404"/>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80">
        <f t="shared" si="1"/>
        <v>1</v>
      </c>
      <c r="BF603" s="1482"/>
      <c r="BG603" s="1490">
        <f t="shared" si="2"/>
        <v>8</v>
      </c>
      <c r="BH603" s="1492"/>
      <c r="BI603" s="1480">
        <f t="shared" si="3"/>
        <v>0</v>
      </c>
      <c r="BJ603" s="1482"/>
      <c r="BK603" s="1490">
        <f t="shared" si="4"/>
        <v>0</v>
      </c>
      <c r="BL603" s="1492"/>
      <c r="BM603" s="3"/>
      <c r="BN603" s="1484">
        <f t="shared" si="5"/>
        <v>0</v>
      </c>
      <c r="BO603" s="1485"/>
      <c r="BP603" s="1485"/>
      <c r="BQ603" s="1485"/>
      <c r="BR603" s="1486"/>
      <c r="BS603" s="1483">
        <f t="shared" si="6"/>
        <v>8</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0" t="str">
        <f t="shared" si="17"/>
        <v/>
      </c>
      <c r="DY603" s="1481"/>
      <c r="DZ603" s="1481"/>
      <c r="EA603" s="1481"/>
      <c r="EB603" s="1482"/>
      <c r="EC603" s="1480">
        <f t="shared" si="18"/>
        <v>946</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0">
        <f t="shared" si="1"/>
        <v>0</v>
      </c>
      <c r="BF604" s="1482"/>
      <c r="BG604" s="1490">
        <f t="shared" si="2"/>
        <v>0</v>
      </c>
      <c r="BH604" s="1492"/>
      <c r="BI604" s="1480">
        <f t="shared" si="3"/>
        <v>0</v>
      </c>
      <c r="BJ604" s="1482"/>
      <c r="BK604" s="1490">
        <f t="shared" si="4"/>
        <v>0</v>
      </c>
      <c r="BL604" s="1492"/>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464"/>
      <c r="H605" s="1464"/>
      <c r="I605" s="1464"/>
      <c r="J605" s="1464"/>
      <c r="K605" s="1464"/>
      <c r="L605" s="1464"/>
      <c r="M605"/>
      <c r="N605"/>
      <c r="O605" s="33" t="s">
        <v>207</v>
      </c>
      <c r="P605" s="1487"/>
      <c r="Q605" s="1487"/>
      <c r="R605" s="1487"/>
      <c r="S605"/>
      <c r="T605" s="22"/>
      <c r="U605" t="s">
        <v>317</v>
      </c>
      <c r="V605"/>
      <c r="W605"/>
      <c r="X605"/>
      <c r="Y605"/>
      <c r="Z605" s="1464"/>
      <c r="AA605" s="1464"/>
      <c r="AB605" s="1464"/>
      <c r="AC605" s="1464"/>
      <c r="AD605" s="1464"/>
      <c r="AE605" s="1464"/>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480">
        <f t="shared" si="1"/>
        <v>0</v>
      </c>
      <c r="BF605" s="1482"/>
      <c r="BG605" s="1490">
        <f t="shared" si="2"/>
        <v>0</v>
      </c>
      <c r="BH605" s="1492"/>
      <c r="BI605" s="1480">
        <f t="shared" si="3"/>
        <v>1</v>
      </c>
      <c r="BJ605" s="1482"/>
      <c r="BK605" s="1490">
        <f t="shared" si="4"/>
        <v>3</v>
      </c>
      <c r="BL605" s="1492"/>
      <c r="BM605" s="3"/>
      <c r="BN605" s="1484">
        <f t="shared" si="5"/>
        <v>0</v>
      </c>
      <c r="BO605" s="1485"/>
      <c r="BP605" s="1485"/>
      <c r="BQ605" s="1485"/>
      <c r="BR605" s="1486"/>
      <c r="BS605" s="1483">
        <f t="shared" si="6"/>
        <v>0</v>
      </c>
      <c r="BT605" s="1483"/>
      <c r="BU605" s="1483"/>
      <c r="BV605" s="1483"/>
      <c r="BW605" s="1483"/>
      <c r="BX605" s="1483">
        <f t="shared" si="7"/>
        <v>3</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3">
        <f t="shared" si="11"/>
        <v>0</v>
      </c>
      <c r="CT605" s="1493"/>
      <c r="CU605" s="1493"/>
      <c r="CV605" s="1493"/>
      <c r="CW605" s="1493"/>
      <c r="CX605" s="1493">
        <f t="shared" si="12"/>
        <v>0</v>
      </c>
      <c r="CY605" s="1493"/>
      <c r="CZ605" s="1493"/>
      <c r="DA605" s="1493"/>
      <c r="DB605" s="1493"/>
      <c r="DC605" s="1493">
        <f t="shared" si="13"/>
        <v>3</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0" t="str">
        <f t="shared" si="17"/>
        <v/>
      </c>
      <c r="DY605" s="1481"/>
      <c r="DZ605" s="1481"/>
      <c r="EA605" s="1481"/>
      <c r="EB605" s="1482"/>
      <c r="EC605" s="1480" t="str">
        <f t="shared" si="18"/>
        <v/>
      </c>
      <c r="ED605" s="1481"/>
      <c r="EE605" s="1481"/>
      <c r="EF605" s="1481"/>
      <c r="EG605" s="1482"/>
      <c r="EH605" s="1480">
        <f t="shared" si="19"/>
        <v>567</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0">
        <f t="shared" si="1"/>
        <v>0</v>
      </c>
      <c r="BF606" s="1482"/>
      <c r="BG606" s="1490">
        <f t="shared" si="2"/>
        <v>0</v>
      </c>
      <c r="BH606" s="1492"/>
      <c r="BI606" s="1480">
        <f t="shared" si="3"/>
        <v>1</v>
      </c>
      <c r="BJ606" s="1482"/>
      <c r="BK606" s="1490">
        <f t="shared" si="4"/>
        <v>2</v>
      </c>
      <c r="BL606" s="1492"/>
      <c r="BM606" s="3"/>
      <c r="BN606" s="1484">
        <f t="shared" si="5"/>
        <v>0</v>
      </c>
      <c r="BO606" s="1485"/>
      <c r="BP606" s="1485"/>
      <c r="BQ606" s="1485"/>
      <c r="BR606" s="1486"/>
      <c r="BS606" s="1483">
        <f t="shared" si="6"/>
        <v>0</v>
      </c>
      <c r="BT606" s="1483"/>
      <c r="BU606" s="1483"/>
      <c r="BV606" s="1483"/>
      <c r="BW606" s="1483"/>
      <c r="BX606" s="1483">
        <f t="shared" si="7"/>
        <v>2</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3">
        <f t="shared" si="11"/>
        <v>0</v>
      </c>
      <c r="CT606" s="1493"/>
      <c r="CU606" s="1493"/>
      <c r="CV606" s="1493"/>
      <c r="CW606" s="1493"/>
      <c r="CX606" s="1493">
        <f t="shared" si="12"/>
        <v>0</v>
      </c>
      <c r="CY606" s="1493"/>
      <c r="CZ606" s="1493"/>
      <c r="DA606" s="1493"/>
      <c r="DB606" s="1493"/>
      <c r="DC606" s="1493">
        <f t="shared" si="13"/>
        <v>2</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0" t="str">
        <f t="shared" si="17"/>
        <v/>
      </c>
      <c r="DY606" s="1481"/>
      <c r="DZ606" s="1481"/>
      <c r="EA606" s="1481"/>
      <c r="EB606" s="1482"/>
      <c r="EC606" s="1480" t="str">
        <f t="shared" si="18"/>
        <v/>
      </c>
      <c r="ED606" s="1481"/>
      <c r="EE606" s="1481"/>
      <c r="EF606" s="1481"/>
      <c r="EG606" s="1482"/>
      <c r="EH606" s="1480">
        <f t="shared" si="19"/>
        <v>851</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403" t="s">
        <v>676</v>
      </c>
      <c r="O607" s="1403"/>
      <c r="P607"/>
      <c r="Q607"/>
      <c r="R607"/>
      <c r="S607"/>
      <c r="T607" s="22"/>
      <c r="U607" t="s">
        <v>20</v>
      </c>
      <c r="V607"/>
      <c r="W607"/>
      <c r="X607"/>
      <c r="Y607"/>
      <c r="Z607"/>
      <c r="AA607"/>
      <c r="AB607"/>
      <c r="AC607"/>
      <c r="AD607"/>
      <c r="AE607"/>
      <c r="AF607"/>
      <c r="AG607" s="1403" t="s">
        <v>676</v>
      </c>
      <c r="AH607" s="1403"/>
      <c r="AI607"/>
      <c r="AJ607"/>
      <c r="AK607"/>
      <c r="AL607"/>
      <c r="AM607"/>
      <c r="AN607"/>
      <c r="AO607"/>
      <c r="AP607"/>
      <c r="AQ607"/>
      <c r="AR607"/>
      <c r="AS607"/>
      <c r="AT607"/>
      <c r="AU607"/>
      <c r="AV607"/>
      <c r="AW607"/>
      <c r="AX607"/>
      <c r="AY607"/>
      <c r="AZ607" s="3"/>
      <c r="BA607" s="3"/>
      <c r="BB607" s="3"/>
      <c r="BC607" s="3"/>
      <c r="BD607" s="3"/>
      <c r="BE607" s="1480">
        <f t="shared" si="1"/>
        <v>1</v>
      </c>
      <c r="BF607" s="1482"/>
      <c r="BG607" s="1490">
        <f t="shared" si="2"/>
        <v>4</v>
      </c>
      <c r="BH607" s="1492"/>
      <c r="BI607" s="1480">
        <f t="shared" si="3"/>
        <v>0</v>
      </c>
      <c r="BJ607" s="1482"/>
      <c r="BK607" s="1490">
        <f t="shared" si="4"/>
        <v>0</v>
      </c>
      <c r="BL607" s="1492"/>
      <c r="BM607" s="3"/>
      <c r="BN607" s="1484">
        <f t="shared" si="5"/>
        <v>0</v>
      </c>
      <c r="BO607" s="1485"/>
      <c r="BP607" s="1485"/>
      <c r="BQ607" s="1485"/>
      <c r="BR607" s="1486"/>
      <c r="BS607" s="1483">
        <f t="shared" si="6"/>
        <v>0</v>
      </c>
      <c r="BT607" s="1483"/>
      <c r="BU607" s="1483"/>
      <c r="BV607" s="1483"/>
      <c r="BW607" s="1483"/>
      <c r="BX607" s="1483">
        <f t="shared" si="7"/>
        <v>4</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0" t="str">
        <f t="shared" si="17"/>
        <v/>
      </c>
      <c r="DY607" s="1481"/>
      <c r="DZ607" s="1481"/>
      <c r="EA607" s="1481"/>
      <c r="EB607" s="1482"/>
      <c r="EC607" s="1480" t="str">
        <f t="shared" si="18"/>
        <v/>
      </c>
      <c r="ED607" s="1481"/>
      <c r="EE607" s="1481"/>
      <c r="EF607" s="1481"/>
      <c r="EG607" s="1482"/>
      <c r="EH607" s="1480">
        <f t="shared" si="19"/>
        <v>1135</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0">
        <f t="shared" si="2"/>
        <v>0</v>
      </c>
      <c r="BH608" s="1492"/>
      <c r="BI608" s="1480">
        <f t="shared" si="3"/>
        <v>0</v>
      </c>
      <c r="BJ608" s="1482"/>
      <c r="BK608" s="1490">
        <f t="shared" si="4"/>
        <v>0</v>
      </c>
      <c r="BL608" s="1492"/>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471</v>
      </c>
      <c r="G609" s="1449">
        <f>C564</f>
        <v>0</v>
      </c>
      <c r="H609" s="1449"/>
      <c r="I609" s="1449"/>
      <c r="J609" s="1449"/>
      <c r="K609" s="1449"/>
      <c r="L609" s="1449"/>
      <c r="M609" s="1449"/>
      <c r="N609" s="1449"/>
      <c r="O609" s="1449"/>
      <c r="P609" s="1449"/>
      <c r="Q609" s="1449"/>
      <c r="R609" s="1449"/>
      <c r="T609" s="55" t="s">
        <v>364</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80">
        <f t="shared" si="1"/>
        <v>0</v>
      </c>
      <c r="BF609" s="1482"/>
      <c r="BG609" s="1490">
        <f t="shared" si="2"/>
        <v>0</v>
      </c>
      <c r="BH609" s="1492"/>
      <c r="BI609" s="1480">
        <f t="shared" si="3"/>
        <v>0</v>
      </c>
      <c r="BJ609" s="1482"/>
      <c r="BK609" s="1490">
        <f t="shared" si="4"/>
        <v>0</v>
      </c>
      <c r="BL609" s="1492"/>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0">
        <f t="shared" si="1"/>
        <v>0</v>
      </c>
      <c r="BF610" s="1482"/>
      <c r="BG610" s="1490">
        <f t="shared" si="2"/>
        <v>0</v>
      </c>
      <c r="BH610" s="1492"/>
      <c r="BI610" s="1480">
        <f t="shared" si="3"/>
        <v>0</v>
      </c>
      <c r="BJ610" s="1482"/>
      <c r="BK610" s="1490">
        <f t="shared" si="4"/>
        <v>0</v>
      </c>
      <c r="BL610" s="1492"/>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80">
        <f t="shared" si="1"/>
        <v>0</v>
      </c>
      <c r="BF611" s="1482"/>
      <c r="BG611" s="1490">
        <f t="shared" si="2"/>
        <v>0</v>
      </c>
      <c r="BH611" s="1492"/>
      <c r="BI611" s="1480">
        <f t="shared" si="3"/>
        <v>0</v>
      </c>
      <c r="BJ611" s="1482"/>
      <c r="BK611" s="1490">
        <f t="shared" si="4"/>
        <v>0</v>
      </c>
      <c r="BL611" s="1492"/>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0">
        <f t="shared" si="1"/>
        <v>0</v>
      </c>
      <c r="BF612" s="1482"/>
      <c r="BG612" s="1490">
        <f t="shared" si="2"/>
        <v>0</v>
      </c>
      <c r="BH612" s="1492"/>
      <c r="BI612" s="1480">
        <f t="shared" si="3"/>
        <v>0</v>
      </c>
      <c r="BJ612" s="1482"/>
      <c r="BK612" s="1490">
        <f t="shared" si="4"/>
        <v>0</v>
      </c>
      <c r="BL612" s="1492"/>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464"/>
      <c r="H613" s="1464"/>
      <c r="I613" s="1464"/>
      <c r="J613" s="1464"/>
      <c r="K613" s="1464"/>
      <c r="L613" s="1464"/>
      <c r="O613" s="33" t="s">
        <v>207</v>
      </c>
      <c r="P613" s="1487"/>
      <c r="Q613" s="1487"/>
      <c r="R613" s="1487"/>
      <c r="U613" t="s">
        <v>317</v>
      </c>
      <c r="Z613" s="1464"/>
      <c r="AA613" s="1464"/>
      <c r="AB613" s="1464"/>
      <c r="AC613" s="1464"/>
      <c r="AD613" s="1464"/>
      <c r="AE613" s="1464"/>
      <c r="AH613" s="33" t="s">
        <v>207</v>
      </c>
      <c r="AI613" s="1487"/>
      <c r="AJ613" s="1487"/>
      <c r="AK613" s="1487"/>
      <c r="AZ613" s="3"/>
      <c r="BA613" s="3"/>
      <c r="BB613" s="3"/>
      <c r="BC613" s="3"/>
      <c r="BD613" s="3"/>
      <c r="BE613" s="1480">
        <f t="shared" si="1"/>
        <v>0</v>
      </c>
      <c r="BF613" s="1482"/>
      <c r="BG613" s="1490">
        <f t="shared" si="2"/>
        <v>0</v>
      </c>
      <c r="BH613" s="1492"/>
      <c r="BI613" s="1480">
        <f t="shared" si="3"/>
        <v>0</v>
      </c>
      <c r="BJ613" s="1482"/>
      <c r="BK613" s="1490">
        <f t="shared" si="4"/>
        <v>0</v>
      </c>
      <c r="BL613" s="1492"/>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0">
        <f t="shared" si="1"/>
        <v>0</v>
      </c>
      <c r="BF614" s="1482"/>
      <c r="BG614" s="1490">
        <f t="shared" si="2"/>
        <v>0</v>
      </c>
      <c r="BH614" s="1492"/>
      <c r="BI614" s="1480">
        <f t="shared" si="3"/>
        <v>0</v>
      </c>
      <c r="BJ614" s="1482"/>
      <c r="BK614" s="1490">
        <f t="shared" si="4"/>
        <v>0</v>
      </c>
      <c r="BL614" s="1492"/>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403" t="s">
        <v>676</v>
      </c>
      <c r="O615" s="1403"/>
      <c r="U615" t="s">
        <v>20</v>
      </c>
      <c r="AG615" s="1403" t="s">
        <v>676</v>
      </c>
      <c r="AH615" s="1403"/>
      <c r="AU615" s="934"/>
      <c r="AV615" s="934"/>
      <c r="AW615" s="934"/>
      <c r="AX615" s="934"/>
      <c r="AY615" s="934"/>
      <c r="AZ615" s="3"/>
      <c r="BA615" s="3"/>
      <c r="BB615" s="3"/>
      <c r="BC615" s="3"/>
      <c r="BD615" s="3"/>
      <c r="BE615" s="1480">
        <f t="shared" si="1"/>
        <v>0</v>
      </c>
      <c r="BF615" s="1482"/>
      <c r="BG615" s="1490">
        <f t="shared" si="2"/>
        <v>0</v>
      </c>
      <c r="BH615" s="1492"/>
      <c r="BI615" s="1480">
        <f t="shared" si="3"/>
        <v>0</v>
      </c>
      <c r="BJ615" s="1482"/>
      <c r="BK615" s="1490">
        <f t="shared" si="4"/>
        <v>0</v>
      </c>
      <c r="BL615" s="1492"/>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0">
        <f t="shared" si="2"/>
        <v>0</v>
      </c>
      <c r="BH616" s="1492"/>
      <c r="BI616" s="1480">
        <f t="shared" si="3"/>
        <v>0</v>
      </c>
      <c r="BJ616" s="1482"/>
      <c r="BK616" s="1490">
        <f t="shared" si="4"/>
        <v>0</v>
      </c>
      <c r="BL616" s="1492"/>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490">
        <f t="shared" si="2"/>
        <v>0</v>
      </c>
      <c r="BH617" s="1492"/>
      <c r="BI617" s="1480">
        <f t="shared" si="3"/>
        <v>0</v>
      </c>
      <c r="BJ617" s="1482"/>
      <c r="BK617" s="1490">
        <f t="shared" si="4"/>
        <v>0</v>
      </c>
      <c r="BL617" s="1492"/>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490">
        <f t="shared" si="2"/>
        <v>0</v>
      </c>
      <c r="BH618" s="1492"/>
      <c r="BI618" s="1480">
        <f t="shared" si="3"/>
        <v>0</v>
      </c>
      <c r="BJ618" s="1482"/>
      <c r="BK618" s="1490">
        <f t="shared" si="4"/>
        <v>0</v>
      </c>
      <c r="BL618" s="1492"/>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0">
        <f t="shared" si="2"/>
        <v>0</v>
      </c>
      <c r="BH619" s="1492"/>
      <c r="BI619" s="1480">
        <f t="shared" si="3"/>
        <v>0</v>
      </c>
      <c r="BJ619" s="1482"/>
      <c r="BK619" s="1490">
        <f t="shared" si="4"/>
        <v>0</v>
      </c>
      <c r="BL619" s="1492"/>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0">
        <f t="shared" si="2"/>
        <v>0</v>
      </c>
      <c r="BH620" s="1492"/>
      <c r="BI620" s="1480">
        <f t="shared" si="3"/>
        <v>0</v>
      </c>
      <c r="BJ620" s="1482"/>
      <c r="BK620" s="1490">
        <f t="shared" si="4"/>
        <v>0</v>
      </c>
      <c r="BL620" s="1492"/>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0">
        <f t="shared" si="2"/>
        <v>0</v>
      </c>
      <c r="BH621" s="1492"/>
      <c r="BI621" s="1480">
        <f t="shared" si="3"/>
        <v>0</v>
      </c>
      <c r="BJ621" s="1482"/>
      <c r="BK621" s="1490">
        <f t="shared" si="4"/>
        <v>0</v>
      </c>
      <c r="BL621" s="1492"/>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2418</v>
      </c>
      <c r="AZ622" s="3"/>
      <c r="BA622" s="3"/>
      <c r="BB622" s="3"/>
      <c r="BC622" s="3"/>
      <c r="BD622" s="3"/>
      <c r="BE622" s="1480">
        <f t="shared" si="1"/>
        <v>0</v>
      </c>
      <c r="BF622" s="1482"/>
      <c r="BG622" s="1490">
        <f t="shared" si="2"/>
        <v>0</v>
      </c>
      <c r="BH622" s="1492"/>
      <c r="BI622" s="1480">
        <f t="shared" si="3"/>
        <v>0</v>
      </c>
      <c r="BJ622" s="1482"/>
      <c r="BK622" s="1490">
        <f t="shared" si="4"/>
        <v>0</v>
      </c>
      <c r="BL622" s="1492"/>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0">
        <f t="shared" si="2"/>
        <v>0</v>
      </c>
      <c r="BH623" s="1492"/>
      <c r="BI623" s="1480">
        <f t="shared" si="3"/>
        <v>0</v>
      </c>
      <c r="BJ623" s="1482"/>
      <c r="BK623" s="1490">
        <f t="shared" si="4"/>
        <v>0</v>
      </c>
      <c r="BL623" s="1492"/>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503" t="s">
        <v>2420</v>
      </c>
      <c r="C624" s="1503"/>
      <c r="D624" s="1503"/>
      <c r="E624" s="1503"/>
      <c r="F624" s="1503"/>
      <c r="G624" s="1503"/>
      <c r="H624" s="1503"/>
      <c r="I624" s="1503"/>
      <c r="J624" s="1503"/>
      <c r="K624" s="1503"/>
      <c r="L624" s="1503"/>
      <c r="M624" s="1462" t="s">
        <v>2421</v>
      </c>
      <c r="N624" s="1462"/>
      <c r="O624" s="1462"/>
      <c r="P624" s="1462"/>
      <c r="Q624" s="1462" t="s">
        <v>2042</v>
      </c>
      <c r="R624" s="1462"/>
      <c r="S624" s="1462"/>
      <c r="T624" s="1462" t="s">
        <v>2040</v>
      </c>
      <c r="U624" s="1462"/>
      <c r="V624" s="1462"/>
      <c r="W624" s="1466" t="s">
        <v>461</v>
      </c>
      <c r="X624" s="1466"/>
      <c r="Y624" s="1466"/>
      <c r="Z624" s="1497" t="s">
        <v>2450</v>
      </c>
      <c r="AA624" s="1497"/>
      <c r="AB624" s="1498"/>
      <c r="AC624" s="1708" t="s">
        <v>1863</v>
      </c>
      <c r="AD624" s="1709"/>
      <c r="AE624" s="1710"/>
      <c r="AF624" s="1631" t="s">
        <v>2229</v>
      </c>
      <c r="AG624" s="1497"/>
      <c r="AH624" s="1497"/>
      <c r="AI624" s="1497"/>
      <c r="AJ624" s="1498"/>
      <c r="AK624" s="1636" t="s">
        <v>2230</v>
      </c>
      <c r="AL624" s="1637"/>
      <c r="AM624" s="1637"/>
      <c r="AN624" s="1638"/>
      <c r="AO624" s="1462" t="s">
        <v>462</v>
      </c>
      <c r="AP624" s="1462"/>
      <c r="AQ624" s="1462"/>
      <c r="AR624" s="1462"/>
      <c r="AS624" s="1462"/>
      <c r="AU624" s="3"/>
      <c r="AZ624" s="3"/>
      <c r="BA624" s="3"/>
      <c r="BB624" s="3"/>
      <c r="BC624" s="3"/>
      <c r="BD624" s="3"/>
      <c r="BE624" s="1480">
        <f t="shared" si="1"/>
        <v>0</v>
      </c>
      <c r="BF624" s="1482"/>
      <c r="BG624" s="1490">
        <f t="shared" si="2"/>
        <v>0</v>
      </c>
      <c r="BH624" s="1492"/>
      <c r="BI624" s="1480">
        <f t="shared" si="3"/>
        <v>0</v>
      </c>
      <c r="BJ624" s="1482"/>
      <c r="BK624" s="1490">
        <f t="shared" si="4"/>
        <v>0</v>
      </c>
      <c r="BL624" s="1492"/>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503"/>
      <c r="C625" s="1503"/>
      <c r="D625" s="1503"/>
      <c r="E625" s="1503"/>
      <c r="F625" s="1503"/>
      <c r="G625" s="1503"/>
      <c r="H625" s="1503"/>
      <c r="I625" s="1503"/>
      <c r="J625" s="1503"/>
      <c r="K625" s="1503"/>
      <c r="L625" s="1503"/>
      <c r="M625" s="1462"/>
      <c r="N625" s="1462"/>
      <c r="O625" s="1462"/>
      <c r="P625" s="1462"/>
      <c r="Q625" s="1462"/>
      <c r="R625" s="1462"/>
      <c r="S625" s="1462"/>
      <c r="T625" s="1462"/>
      <c r="U625" s="1462"/>
      <c r="V625" s="1462"/>
      <c r="W625" s="1466"/>
      <c r="X625" s="1466"/>
      <c r="Y625" s="1466"/>
      <c r="Z625" s="1499"/>
      <c r="AA625" s="1499"/>
      <c r="AB625" s="1500"/>
      <c r="AC625" s="1711"/>
      <c r="AD625" s="1712"/>
      <c r="AE625" s="1713"/>
      <c r="AF625" s="1632"/>
      <c r="AG625" s="1499"/>
      <c r="AH625" s="1499"/>
      <c r="AI625" s="1499"/>
      <c r="AJ625" s="1500"/>
      <c r="AK625" s="1639"/>
      <c r="AL625" s="1640"/>
      <c r="AM625" s="1640"/>
      <c r="AN625" s="1641"/>
      <c r="AO625" s="1462"/>
      <c r="AP625" s="1462"/>
      <c r="AQ625" s="1462"/>
      <c r="AR625" s="1462"/>
      <c r="AS625" s="1462"/>
      <c r="AU625" s="3"/>
      <c r="AZ625" s="3"/>
      <c r="BA625" s="3"/>
      <c r="BB625" s="3"/>
      <c r="BC625" s="3"/>
      <c r="BD625" s="3"/>
      <c r="BE625" s="1480">
        <f t="shared" si="1"/>
        <v>0</v>
      </c>
      <c r="BF625" s="1482"/>
      <c r="BG625" s="1490">
        <f t="shared" si="2"/>
        <v>0</v>
      </c>
      <c r="BH625" s="1492"/>
      <c r="BI625" s="1480">
        <f t="shared" si="3"/>
        <v>0</v>
      </c>
      <c r="BJ625" s="1482"/>
      <c r="BK625" s="1490">
        <f t="shared" si="4"/>
        <v>0</v>
      </c>
      <c r="BL625" s="1492"/>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503"/>
      <c r="C626" s="1503"/>
      <c r="D626" s="1503"/>
      <c r="E626" s="1503"/>
      <c r="F626" s="1503"/>
      <c r="G626" s="1503"/>
      <c r="H626" s="1503"/>
      <c r="I626" s="1503"/>
      <c r="J626" s="1503"/>
      <c r="K626" s="1503"/>
      <c r="L626" s="1503"/>
      <c r="M626" s="1462"/>
      <c r="N626" s="1462"/>
      <c r="O626" s="1462"/>
      <c r="P626" s="1462"/>
      <c r="Q626" s="1462"/>
      <c r="R626" s="1462"/>
      <c r="S626" s="1462"/>
      <c r="T626" s="1462"/>
      <c r="U626" s="1462"/>
      <c r="V626" s="1462"/>
      <c r="W626" s="1466"/>
      <c r="X626" s="1466"/>
      <c r="Y626" s="1466"/>
      <c r="Z626" s="1501"/>
      <c r="AA626" s="1501"/>
      <c r="AB626" s="1502"/>
      <c r="AC626" s="1714"/>
      <c r="AD626" s="1715"/>
      <c r="AE626" s="1716"/>
      <c r="AF626" s="1633"/>
      <c r="AG626" s="1501"/>
      <c r="AH626" s="1501"/>
      <c r="AI626" s="1501"/>
      <c r="AJ626" s="1502"/>
      <c r="AK626" s="1642"/>
      <c r="AL626" s="1643"/>
      <c r="AM626" s="1643"/>
      <c r="AN626" s="1644"/>
      <c r="AO626" s="1462"/>
      <c r="AP626" s="1462"/>
      <c r="AQ626" s="1462"/>
      <c r="AR626" s="1462"/>
      <c r="AS626" s="1462"/>
      <c r="AT626" s="3"/>
      <c r="AU626" s="3"/>
      <c r="AZ626" s="3"/>
      <c r="BA626" s="3"/>
      <c r="BB626" s="3"/>
      <c r="BC626" s="3"/>
      <c r="BD626" s="3"/>
      <c r="BE626" s="1480">
        <f t="shared" si="1"/>
        <v>0</v>
      </c>
      <c r="BF626" s="1482"/>
      <c r="BG626" s="1490">
        <f t="shared" si="2"/>
        <v>0</v>
      </c>
      <c r="BH626" s="1492"/>
      <c r="BI626" s="1480">
        <f t="shared" si="3"/>
        <v>0</v>
      </c>
      <c r="BJ626" s="1482"/>
      <c r="BK626" s="1490">
        <f t="shared" si="4"/>
        <v>0</v>
      </c>
      <c r="BL626" s="1492"/>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707" t="s">
        <v>2734</v>
      </c>
      <c r="D627" s="1707"/>
      <c r="E627" s="1707"/>
      <c r="F627" s="1707"/>
      <c r="G627" s="1707"/>
      <c r="H627" s="1707"/>
      <c r="I627" s="1707"/>
      <c r="J627" s="1707"/>
      <c r="K627" s="1707"/>
      <c r="L627" s="1707"/>
      <c r="M627" s="1447" t="s">
        <v>2437</v>
      </c>
      <c r="N627" s="1447"/>
      <c r="O627" s="1447"/>
      <c r="P627" s="1447"/>
      <c r="Q627" s="1457">
        <f>15*12</f>
        <v>180</v>
      </c>
      <c r="R627" s="1457"/>
      <c r="S627" s="1458"/>
      <c r="T627" s="1456">
        <f>40*12</f>
        <v>480</v>
      </c>
      <c r="U627" s="1457"/>
      <c r="V627" s="1458"/>
      <c r="W627" s="1453">
        <v>7.0000000000000007E-2</v>
      </c>
      <c r="X627" s="1454"/>
      <c r="Y627" s="1455"/>
      <c r="Z627" s="1494" t="s">
        <v>1288</v>
      </c>
      <c r="AA627" s="1495"/>
      <c r="AB627" s="1496"/>
      <c r="AC627" s="1450">
        <v>1</v>
      </c>
      <c r="AD627" s="1451"/>
      <c r="AE627" s="1452"/>
      <c r="AF627" s="1379">
        <v>906048</v>
      </c>
      <c r="AG627" s="1380"/>
      <c r="AH627" s="1380"/>
      <c r="AI627" s="1380"/>
      <c r="AJ627" s="1381"/>
      <c r="AK627" s="1459"/>
      <c r="AL627" s="1460"/>
      <c r="AM627" s="1460"/>
      <c r="AN627" s="1461"/>
      <c r="AO627" s="1504">
        <v>12150000</v>
      </c>
      <c r="AP627" s="1504"/>
      <c r="AQ627" s="1504"/>
      <c r="AR627" s="1504"/>
      <c r="AS627" s="1504"/>
      <c r="AT627" s="3"/>
      <c r="AU627" s="3"/>
      <c r="AZ627" s="3"/>
      <c r="BA627" s="3"/>
      <c r="BB627" s="3"/>
      <c r="BC627" s="3"/>
      <c r="BD627" s="3"/>
      <c r="BE627" s="1480">
        <f t="shared" si="1"/>
        <v>0</v>
      </c>
      <c r="BF627" s="1482"/>
      <c r="BG627" s="1490">
        <f t="shared" si="2"/>
        <v>0</v>
      </c>
      <c r="BH627" s="1492"/>
      <c r="BI627" s="1480">
        <f t="shared" si="3"/>
        <v>0</v>
      </c>
      <c r="BJ627" s="1482"/>
      <c r="BK627" s="1490">
        <f t="shared" si="4"/>
        <v>0</v>
      </c>
      <c r="BL627" s="1492"/>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707" t="s">
        <v>2732</v>
      </c>
      <c r="D628" s="1707"/>
      <c r="E628" s="1707"/>
      <c r="F628" s="1707"/>
      <c r="G628" s="1707"/>
      <c r="H628" s="1707"/>
      <c r="I628" s="1707"/>
      <c r="J628" s="1707"/>
      <c r="K628" s="1707"/>
      <c r="L628" s="1707"/>
      <c r="M628" s="1447" t="s">
        <v>2433</v>
      </c>
      <c r="N628" s="1447"/>
      <c r="O628" s="1447"/>
      <c r="P628" s="1447"/>
      <c r="Q628" s="1456">
        <v>660</v>
      </c>
      <c r="R628" s="1457"/>
      <c r="S628" s="1458"/>
      <c r="T628" s="1456">
        <v>660</v>
      </c>
      <c r="U628" s="1457"/>
      <c r="V628" s="1458"/>
      <c r="W628" s="1453">
        <v>0.03</v>
      </c>
      <c r="X628" s="1454"/>
      <c r="Y628" s="1455"/>
      <c r="Z628" s="1494" t="s">
        <v>1288</v>
      </c>
      <c r="AA628" s="1495"/>
      <c r="AB628" s="1496"/>
      <c r="AC628" s="1450"/>
      <c r="AD628" s="1451"/>
      <c r="AE628" s="1452"/>
      <c r="AF628" s="1379"/>
      <c r="AG628" s="1380"/>
      <c r="AH628" s="1380"/>
      <c r="AI628" s="1380"/>
      <c r="AJ628" s="1381"/>
      <c r="AK628" s="1459"/>
      <c r="AL628" s="1460"/>
      <c r="AM628" s="1460"/>
      <c r="AN628" s="1461"/>
      <c r="AO628" s="1394">
        <v>12995146</v>
      </c>
      <c r="AP628" s="1395"/>
      <c r="AQ628" s="1395"/>
      <c r="AR628" s="1395"/>
      <c r="AS628" s="1396"/>
      <c r="AT628" s="1192" t="str">
        <f>IF(AND(NOT(C627=""),C628="",NOT(C629="")),"!","")</f>
        <v/>
      </c>
      <c r="AU628" s="3"/>
      <c r="AZ628" s="3"/>
      <c r="BA628" s="3"/>
      <c r="BB628" s="3"/>
      <c r="BC628" s="3"/>
      <c r="BD628" s="3"/>
      <c r="BE628" s="1480">
        <f t="shared" si="1"/>
        <v>0</v>
      </c>
      <c r="BF628" s="1482"/>
      <c r="BG628" s="1490">
        <f t="shared" si="2"/>
        <v>0</v>
      </c>
      <c r="BH628" s="1492"/>
      <c r="BI628" s="1480">
        <f t="shared" si="3"/>
        <v>0</v>
      </c>
      <c r="BJ628" s="1482"/>
      <c r="BK628" s="1490">
        <f t="shared" si="4"/>
        <v>0</v>
      </c>
      <c r="BL628" s="1492"/>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707" t="s">
        <v>2735</v>
      </c>
      <c r="D629" s="1707"/>
      <c r="E629" s="1707"/>
      <c r="F629" s="1707"/>
      <c r="G629" s="1707"/>
      <c r="H629" s="1707"/>
      <c r="I629" s="1707"/>
      <c r="J629" s="1707"/>
      <c r="K629" s="1707"/>
      <c r="L629" s="1707"/>
      <c r="M629" s="1447" t="s">
        <v>2433</v>
      </c>
      <c r="N629" s="1447"/>
      <c r="O629" s="1447"/>
      <c r="P629" s="1447"/>
      <c r="Q629" s="1456">
        <v>660</v>
      </c>
      <c r="R629" s="1457"/>
      <c r="S629" s="1458"/>
      <c r="T629" s="1456">
        <v>660</v>
      </c>
      <c r="U629" s="1457"/>
      <c r="V629" s="1458"/>
      <c r="W629" s="1453">
        <v>0.03</v>
      </c>
      <c r="X629" s="1454"/>
      <c r="Y629" s="1455"/>
      <c r="Z629" s="1494" t="s">
        <v>1288</v>
      </c>
      <c r="AA629" s="1495"/>
      <c r="AB629" s="1496"/>
      <c r="AC629" s="1450"/>
      <c r="AD629" s="1451"/>
      <c r="AE629" s="1452"/>
      <c r="AF629" s="1379">
        <v>84000</v>
      </c>
      <c r="AG629" s="1380"/>
      <c r="AH629" s="1380"/>
      <c r="AI629" s="1380"/>
      <c r="AJ629" s="1381"/>
      <c r="AK629" s="1459"/>
      <c r="AL629" s="1460"/>
      <c r="AM629" s="1460"/>
      <c r="AN629" s="1461"/>
      <c r="AO629" s="1394">
        <v>20000000</v>
      </c>
      <c r="AP629" s="1395"/>
      <c r="AQ629" s="1395"/>
      <c r="AR629" s="1395"/>
      <c r="AS629" s="1396"/>
      <c r="AT629" s="1192" t="str">
        <f t="shared" ref="AT629:AT638" si="23">IF(AND(NOT(C628=""),C629="",NOT(C630="")),"!","")</f>
        <v/>
      </c>
      <c r="AU629" s="3"/>
      <c r="AZ629" s="3"/>
      <c r="BA629" s="3"/>
      <c r="BB629" s="3"/>
      <c r="BC629" s="3"/>
      <c r="BD629" s="3"/>
      <c r="BE629" s="1480">
        <f t="shared" si="1"/>
        <v>0</v>
      </c>
      <c r="BF629" s="1482"/>
      <c r="BG629" s="1490">
        <f t="shared" si="2"/>
        <v>0</v>
      </c>
      <c r="BH629" s="1492"/>
      <c r="BI629" s="1480">
        <f t="shared" si="3"/>
        <v>0</v>
      </c>
      <c r="BJ629" s="1482"/>
      <c r="BK629" s="1490">
        <f t="shared" si="4"/>
        <v>0</v>
      </c>
      <c r="BL629" s="1492"/>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589</v>
      </c>
      <c r="C630" s="1707" t="s">
        <v>2775</v>
      </c>
      <c r="D630" s="1448"/>
      <c r="E630" s="1448"/>
      <c r="F630" s="1448"/>
      <c r="G630" s="1448"/>
      <c r="H630" s="1448"/>
      <c r="I630" s="1448"/>
      <c r="J630" s="1448"/>
      <c r="K630" s="1448"/>
      <c r="L630" s="1448"/>
      <c r="M630" s="1447" t="s">
        <v>2425</v>
      </c>
      <c r="N630" s="1447"/>
      <c r="O630" s="1447"/>
      <c r="P630" s="1447"/>
      <c r="Q630" s="1456"/>
      <c r="R630" s="1457"/>
      <c r="S630" s="1458"/>
      <c r="T630" s="1456"/>
      <c r="U630" s="1457"/>
      <c r="V630" s="1458"/>
      <c r="W630" s="1453"/>
      <c r="X630" s="1454"/>
      <c r="Y630" s="1455"/>
      <c r="Z630" s="1494" t="s">
        <v>1288</v>
      </c>
      <c r="AA630" s="1495"/>
      <c r="AB630" s="1496"/>
      <c r="AC630" s="1450"/>
      <c r="AD630" s="1451"/>
      <c r="AE630" s="1452"/>
      <c r="AF630" s="1379"/>
      <c r="AG630" s="1380"/>
      <c r="AH630" s="1380"/>
      <c r="AI630" s="1380"/>
      <c r="AJ630" s="1381"/>
      <c r="AK630" s="1459"/>
      <c r="AL630" s="1460"/>
      <c r="AM630" s="1460"/>
      <c r="AN630" s="1461"/>
      <c r="AO630" s="1394">
        <v>1000000</v>
      </c>
      <c r="AP630" s="1395"/>
      <c r="AQ630" s="1395"/>
      <c r="AR630" s="1395"/>
      <c r="AS630" s="1396"/>
      <c r="AT630" s="1192" t="str">
        <f t="shared" si="23"/>
        <v/>
      </c>
      <c r="AU630" s="3"/>
      <c r="AZ630" s="3"/>
      <c r="BA630" s="3"/>
      <c r="BB630" s="3"/>
      <c r="BC630" s="3"/>
      <c r="BD630" s="3"/>
      <c r="BE630" s="1480">
        <f t="shared" si="1"/>
        <v>0</v>
      </c>
      <c r="BF630" s="1482"/>
      <c r="BG630" s="1490">
        <f t="shared" si="2"/>
        <v>0</v>
      </c>
      <c r="BH630" s="1492"/>
      <c r="BI630" s="1480">
        <f t="shared" si="3"/>
        <v>0</v>
      </c>
      <c r="BJ630" s="1482"/>
      <c r="BK630" s="1490">
        <f t="shared" si="4"/>
        <v>0</v>
      </c>
      <c r="BL630" s="1492"/>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771</v>
      </c>
      <c r="C631" s="1707"/>
      <c r="D631" s="1448"/>
      <c r="E631" s="1448"/>
      <c r="F631" s="1448"/>
      <c r="G631" s="1448"/>
      <c r="H631" s="1448"/>
      <c r="I631" s="1448"/>
      <c r="J631" s="1448"/>
      <c r="K631" s="1448"/>
      <c r="L631" s="1448"/>
      <c r="M631" s="1447" t="s">
        <v>1288</v>
      </c>
      <c r="N631" s="1447"/>
      <c r="O631" s="1447"/>
      <c r="P631" s="1447"/>
      <c r="Q631" s="1456"/>
      <c r="R631" s="1457"/>
      <c r="S631" s="1458"/>
      <c r="T631" s="1456"/>
      <c r="U631" s="1457"/>
      <c r="V631" s="1458"/>
      <c r="W631" s="1453"/>
      <c r="X631" s="1454"/>
      <c r="Y631" s="1455"/>
      <c r="Z631" s="1494" t="s">
        <v>1288</v>
      </c>
      <c r="AA631" s="1495"/>
      <c r="AB631" s="1496"/>
      <c r="AC631" s="1450"/>
      <c r="AD631" s="1451"/>
      <c r="AE631" s="1452"/>
      <c r="AF631" s="1379"/>
      <c r="AG631" s="1380"/>
      <c r="AH631" s="1380"/>
      <c r="AI631" s="1380"/>
      <c r="AJ631" s="1381"/>
      <c r="AK631" s="1459"/>
      <c r="AL631" s="1460"/>
      <c r="AM631" s="1460"/>
      <c r="AN631" s="1461"/>
      <c r="AO631" s="1394"/>
      <c r="AP631" s="1395"/>
      <c r="AQ631" s="1395"/>
      <c r="AR631" s="1395"/>
      <c r="AS631" s="1396"/>
      <c r="AT631" s="1192" t="str">
        <f t="shared" si="23"/>
        <v/>
      </c>
      <c r="AU631" s="3"/>
      <c r="AZ631" s="3"/>
      <c r="BA631" s="3"/>
      <c r="BB631" s="3"/>
      <c r="BC631" s="3"/>
      <c r="BD631" s="3"/>
      <c r="BE631" s="1480">
        <f t="shared" si="1"/>
        <v>0</v>
      </c>
      <c r="BF631" s="1482"/>
      <c r="BG631" s="1490">
        <f t="shared" si="2"/>
        <v>0</v>
      </c>
      <c r="BH631" s="1492"/>
      <c r="BI631" s="1480">
        <f t="shared" si="3"/>
        <v>0</v>
      </c>
      <c r="BJ631" s="1482"/>
      <c r="BK631" s="1490">
        <f t="shared" si="4"/>
        <v>0</v>
      </c>
      <c r="BL631" s="1492"/>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592</v>
      </c>
      <c r="C632" s="1448"/>
      <c r="D632" s="1448"/>
      <c r="E632" s="1448"/>
      <c r="F632" s="1448"/>
      <c r="G632" s="1448"/>
      <c r="H632" s="1448"/>
      <c r="I632" s="1448"/>
      <c r="J632" s="1448"/>
      <c r="K632" s="1448"/>
      <c r="L632" s="1448"/>
      <c r="M632" s="1447" t="s">
        <v>1288</v>
      </c>
      <c r="N632" s="1447"/>
      <c r="O632" s="1447"/>
      <c r="P632" s="1447"/>
      <c r="Q632" s="1456"/>
      <c r="R632" s="1457"/>
      <c r="S632" s="1458"/>
      <c r="T632" s="1456"/>
      <c r="U632" s="1457"/>
      <c r="V632" s="1458"/>
      <c r="W632" s="1453"/>
      <c r="X632" s="1454"/>
      <c r="Y632" s="1455"/>
      <c r="Z632" s="1494" t="s">
        <v>1288</v>
      </c>
      <c r="AA632" s="1495"/>
      <c r="AB632" s="1496"/>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3"/>
        <v/>
      </c>
      <c r="AU632" s="3"/>
      <c r="AZ632" s="3"/>
      <c r="BA632" s="3"/>
      <c r="BB632" s="3"/>
      <c r="BC632" s="3"/>
      <c r="BD632" s="3"/>
      <c r="BE632" s="3"/>
      <c r="BF632" s="3"/>
      <c r="BG632" s="1480">
        <f>SUM(BG597:BH631)</f>
        <v>46</v>
      </c>
      <c r="BH632" s="1482"/>
      <c r="BI632" s="3"/>
      <c r="BJ632" s="3"/>
      <c r="BK632" s="1480">
        <f>SUM(BK597:BL631)</f>
        <v>100</v>
      </c>
      <c r="BL632" s="1482"/>
      <c r="BM632" s="3"/>
      <c r="BN632" s="1480">
        <f>SUM(BN597:BR631)</f>
        <v>119</v>
      </c>
      <c r="BO632" s="1481"/>
      <c r="BP632" s="1481"/>
      <c r="BQ632" s="1481"/>
      <c r="BR632" s="1482"/>
      <c r="BS632" s="1489">
        <f>SUM(BS597:BW631)</f>
        <v>18</v>
      </c>
      <c r="BT632" s="1489"/>
      <c r="BU632" s="1489"/>
      <c r="BV632" s="1489"/>
      <c r="BW632" s="1489"/>
      <c r="BX632" s="1489">
        <f>SUM(BX597:CB631)</f>
        <v>9</v>
      </c>
      <c r="BY632" s="1489"/>
      <c r="BZ632" s="1489"/>
      <c r="CA632" s="1489"/>
      <c r="CB632" s="1489"/>
      <c r="CC632" s="1489">
        <f>SUM(CC597:CG631)</f>
        <v>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85</v>
      </c>
      <c r="CT632" s="1489"/>
      <c r="CU632" s="1489"/>
      <c r="CV632" s="1489"/>
      <c r="CW632" s="1489"/>
      <c r="CX632" s="1489">
        <f>SUM(CX597:DB631)</f>
        <v>10</v>
      </c>
      <c r="CY632" s="1489"/>
      <c r="CZ632" s="1489"/>
      <c r="DA632" s="1489"/>
      <c r="DB632" s="1489"/>
      <c r="DC632" s="1489">
        <f>SUM(DC597:DG631)</f>
        <v>5</v>
      </c>
      <c r="DD632" s="1489"/>
      <c r="DE632" s="1489"/>
      <c r="DF632" s="1489"/>
      <c r="DG632" s="1489"/>
      <c r="DH632" s="1489">
        <f>SUM(DH597:DL631)</f>
        <v>0</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1986</v>
      </c>
      <c r="DY632" s="1489"/>
      <c r="DZ632" s="1489"/>
      <c r="EA632" s="1489"/>
      <c r="EB632" s="1489"/>
      <c r="EC632" s="1489">
        <f>SUM(EC597:EG631)</f>
        <v>2128</v>
      </c>
      <c r="ED632" s="1489"/>
      <c r="EE632" s="1489"/>
      <c r="EF632" s="1489"/>
      <c r="EG632" s="1489"/>
      <c r="EH632" s="1489">
        <f>SUM(EH597:EL631)</f>
        <v>2553</v>
      </c>
      <c r="EI632" s="1489"/>
      <c r="EJ632" s="1489"/>
      <c r="EK632" s="1489"/>
      <c r="EL632" s="1489"/>
      <c r="EM632" s="1489">
        <f>SUM(EM597:EQ631)</f>
        <v>0</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2.95" customHeight="1">
      <c r="B633" s="52" t="s">
        <v>463</v>
      </c>
      <c r="C633" s="1448"/>
      <c r="D633" s="1448"/>
      <c r="E633" s="1448"/>
      <c r="F633" s="1448"/>
      <c r="G633" s="1448"/>
      <c r="H633" s="1448"/>
      <c r="I633" s="1448"/>
      <c r="J633" s="1448"/>
      <c r="K633" s="1448"/>
      <c r="L633" s="1448"/>
      <c r="M633" s="1447" t="s">
        <v>1288</v>
      </c>
      <c r="N633" s="1447"/>
      <c r="O633" s="1447"/>
      <c r="P633" s="1447"/>
      <c r="Q633" s="1456"/>
      <c r="R633" s="1457"/>
      <c r="S633" s="1458"/>
      <c r="T633" s="1456"/>
      <c r="U633" s="1457"/>
      <c r="V633" s="1458"/>
      <c r="W633" s="1453"/>
      <c r="X633" s="1454"/>
      <c r="Y633" s="1455"/>
      <c r="Z633" s="1494" t="s">
        <v>1288</v>
      </c>
      <c r="AA633" s="1495"/>
      <c r="AB633" s="1496"/>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0">
        <f>BN632+BS632+BX632+CC632+CH632+CM632</f>
        <v>146</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464</v>
      </c>
      <c r="C634" s="1448"/>
      <c r="D634" s="1448"/>
      <c r="E634" s="1448"/>
      <c r="F634" s="1448"/>
      <c r="G634" s="1448"/>
      <c r="H634" s="1448"/>
      <c r="I634" s="1448"/>
      <c r="J634" s="1448"/>
      <c r="K634" s="1448"/>
      <c r="L634" s="1448"/>
      <c r="M634" s="1447" t="s">
        <v>1288</v>
      </c>
      <c r="N634" s="1447"/>
      <c r="O634" s="1447"/>
      <c r="P634" s="1447"/>
      <c r="Q634" s="1456"/>
      <c r="R634" s="1457"/>
      <c r="S634" s="1458"/>
      <c r="T634" s="1456"/>
      <c r="U634" s="1457"/>
      <c r="V634" s="1458"/>
      <c r="W634" s="1453"/>
      <c r="X634" s="1454"/>
      <c r="Y634" s="1455"/>
      <c r="Z634" s="1494" t="s">
        <v>1288</v>
      </c>
      <c r="AA634" s="1495"/>
      <c r="AB634" s="1496"/>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119</v>
      </c>
      <c r="BS634" s="3"/>
      <c r="BT634" s="3"/>
      <c r="BU634" s="3"/>
      <c r="BV634" s="3"/>
      <c r="BW634" s="895">
        <f>BS632*1</f>
        <v>18</v>
      </c>
      <c r="BX634" s="3"/>
      <c r="BY634" s="3"/>
      <c r="BZ634" s="3"/>
      <c r="CA634" s="3"/>
      <c r="CB634" s="895">
        <f>BX632*2</f>
        <v>18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155</v>
      </c>
      <c r="CT634" s="57" t="s">
        <v>2052</v>
      </c>
      <c r="CU634" s="3"/>
      <c r="CV634" s="3"/>
      <c r="CW634" s="3"/>
      <c r="CX634" s="3"/>
      <c r="CY634" s="3"/>
      <c r="CZ634" s="3"/>
      <c r="DA634" s="3"/>
      <c r="DB634" s="3"/>
      <c r="DC634" s="3"/>
      <c r="DD634" s="3"/>
      <c r="DE634" s="3"/>
      <c r="DF634" s="3"/>
    </row>
    <row r="635" spans="2:157" ht="12.95" customHeight="1">
      <c r="B635" s="52" t="s">
        <v>469</v>
      </c>
      <c r="C635" s="1448"/>
      <c r="D635" s="1448"/>
      <c r="E635" s="1448"/>
      <c r="F635" s="1448"/>
      <c r="G635" s="1448"/>
      <c r="H635" s="1448"/>
      <c r="I635" s="1448"/>
      <c r="J635" s="1448"/>
      <c r="K635" s="1448"/>
      <c r="L635" s="1448"/>
      <c r="M635" s="1447" t="s">
        <v>1288</v>
      </c>
      <c r="N635" s="1447"/>
      <c r="O635" s="1447"/>
      <c r="P635" s="1447"/>
      <c r="Q635" s="1456"/>
      <c r="R635" s="1457"/>
      <c r="S635" s="1458"/>
      <c r="T635" s="1456"/>
      <c r="U635" s="1457"/>
      <c r="V635" s="1458"/>
      <c r="W635" s="1453"/>
      <c r="X635" s="1454"/>
      <c r="Y635" s="1455"/>
      <c r="Z635" s="1494" t="s">
        <v>1288</v>
      </c>
      <c r="AA635" s="1495"/>
      <c r="AB635" s="1496"/>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f>DX597*(BN597/$BN$632)</f>
        <v>185.29411764705884</v>
      </c>
      <c r="DY635" s="1474"/>
      <c r="DZ635" s="1474"/>
      <c r="EA635" s="1474"/>
      <c r="EB635" s="1474"/>
      <c r="EC635" s="1474" t="e">
        <f t="shared" ref="EC635:EC657" si="24">EC597*(BS597/$BS$632)</f>
        <v>#VALUE!</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2.95" customHeight="1">
      <c r="B636" s="52" t="s">
        <v>653</v>
      </c>
      <c r="C636" s="1448"/>
      <c r="D636" s="1448"/>
      <c r="E636" s="1448"/>
      <c r="F636" s="1448"/>
      <c r="G636" s="1448"/>
      <c r="H636" s="1448"/>
      <c r="I636" s="1448"/>
      <c r="J636" s="1448"/>
      <c r="K636" s="1448"/>
      <c r="L636" s="1448"/>
      <c r="M636" s="1447" t="s">
        <v>1288</v>
      </c>
      <c r="N636" s="1447"/>
      <c r="O636" s="1447"/>
      <c r="P636" s="1447"/>
      <c r="Q636" s="1456"/>
      <c r="R636" s="1457"/>
      <c r="S636" s="1458"/>
      <c r="T636" s="1456"/>
      <c r="U636" s="1457"/>
      <c r="V636" s="1458"/>
      <c r="W636" s="1453"/>
      <c r="X636" s="1454"/>
      <c r="Y636" s="1455"/>
      <c r="Z636" s="1494" t="s">
        <v>1288</v>
      </c>
      <c r="AA636" s="1495"/>
      <c r="AB636" s="1496"/>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f t="shared" ref="DX636:DX657" si="29">DX598*(BN598/$BN$632)</f>
        <v>194.70588235294119</v>
      </c>
      <c r="DY636" s="1474"/>
      <c r="DZ636" s="1474"/>
      <c r="EA636" s="1474"/>
      <c r="EB636" s="1474"/>
      <c r="EC636" s="1474" t="e">
        <f t="shared" si="24"/>
        <v>#VALUE!</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2.95" customHeight="1">
      <c r="B637" s="52" t="s">
        <v>363</v>
      </c>
      <c r="C637" s="1448"/>
      <c r="D637" s="1448"/>
      <c r="E637" s="1448"/>
      <c r="F637" s="1448"/>
      <c r="G637" s="1448"/>
      <c r="H637" s="1448"/>
      <c r="I637" s="1448"/>
      <c r="J637" s="1448"/>
      <c r="K637" s="1448"/>
      <c r="L637" s="1448"/>
      <c r="M637" s="1447" t="s">
        <v>1288</v>
      </c>
      <c r="N637" s="1447"/>
      <c r="O637" s="1447"/>
      <c r="P637" s="1447"/>
      <c r="Q637" s="1456"/>
      <c r="R637" s="1457"/>
      <c r="S637" s="1458"/>
      <c r="T637" s="1456"/>
      <c r="U637" s="1457"/>
      <c r="V637" s="1458"/>
      <c r="W637" s="1453"/>
      <c r="X637" s="1454"/>
      <c r="Y637" s="1455"/>
      <c r="Z637" s="1494" t="s">
        <v>1288</v>
      </c>
      <c r="AA637" s="1495"/>
      <c r="AB637" s="1496"/>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2</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4">
        <f t="shared" si="29"/>
        <v>252.28571428571428</v>
      </c>
      <c r="DY637" s="1474"/>
      <c r="DZ637" s="1474"/>
      <c r="EA637" s="1474"/>
      <c r="EB637" s="1474"/>
      <c r="EC637" s="1474" t="e">
        <f t="shared" si="24"/>
        <v>#VALUE!</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2.95" customHeight="1">
      <c r="B638" s="52" t="s">
        <v>364</v>
      </c>
      <c r="C638" s="1448"/>
      <c r="D638" s="1448"/>
      <c r="E638" s="1448"/>
      <c r="F638" s="1448"/>
      <c r="G638" s="1448"/>
      <c r="H638" s="1448"/>
      <c r="I638" s="1448"/>
      <c r="J638" s="1448"/>
      <c r="K638" s="1448"/>
      <c r="L638" s="1448"/>
      <c r="M638" s="1447" t="s">
        <v>1288</v>
      </c>
      <c r="N638" s="1447"/>
      <c r="O638" s="1447"/>
      <c r="P638" s="1447"/>
      <c r="Q638" s="1456"/>
      <c r="R638" s="1457"/>
      <c r="S638" s="1458"/>
      <c r="T638" s="1456"/>
      <c r="U638" s="1457"/>
      <c r="V638" s="1458"/>
      <c r="W638" s="1453"/>
      <c r="X638" s="1454"/>
      <c r="Y638" s="1455"/>
      <c r="Z638" s="1494" t="s">
        <v>1288</v>
      </c>
      <c r="AA638" s="1495"/>
      <c r="AB638" s="1496"/>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t="e">
        <f t="shared" si="24"/>
        <v>#VALUE!</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2.9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46145146</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4" t="e">
        <f t="shared" si="29"/>
        <v>#VALUE!</v>
      </c>
      <c r="DY639" s="1474"/>
      <c r="DZ639" s="1474"/>
      <c r="EA639" s="1474"/>
      <c r="EB639" s="1474"/>
      <c r="EC639" s="1474">
        <f t="shared" si="24"/>
        <v>131.38888888888889</v>
      </c>
      <c r="ED639" s="1474"/>
      <c r="EE639" s="1474"/>
      <c r="EF639" s="1474"/>
      <c r="EG639" s="1474"/>
      <c r="EH639" s="1474" t="e">
        <f t="shared" si="25"/>
        <v>#VALUE!</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2.95"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v>40909327</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4" t="e">
        <f t="shared" si="29"/>
        <v>#VALUE!</v>
      </c>
      <c r="DY640" s="1474"/>
      <c r="DZ640" s="1474"/>
      <c r="EA640" s="1474"/>
      <c r="EB640" s="1474"/>
      <c r="EC640" s="1474">
        <f t="shared" si="24"/>
        <v>196.94444444444446</v>
      </c>
      <c r="ED640" s="1474"/>
      <c r="EE640" s="1474"/>
      <c r="EF640" s="1474"/>
      <c r="EG640" s="1474"/>
      <c r="EH640" s="1474" t="e">
        <f t="shared" si="25"/>
        <v>#VALUE!</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2.95" customHeight="1">
      <c r="B641" s="1761" t="s">
        <v>269</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2"/>
      <c r="AO641" s="1364">
        <f>AO639+AO640</f>
        <v>87054473</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0">
        <f>SUM(BN637:BR640)</f>
        <v>0</v>
      </c>
      <c r="BO641" s="1491"/>
      <c r="BP641" s="1491"/>
      <c r="BQ641" s="1491"/>
      <c r="BR641" s="1492"/>
      <c r="BS641" s="1477">
        <f>SUM(BS637:BW640)</f>
        <v>0</v>
      </c>
      <c r="BT641" s="1478"/>
      <c r="BU641" s="1478"/>
      <c r="BV641" s="1478"/>
      <c r="BW641" s="1479"/>
      <c r="BX641" s="1477">
        <f>SUM(BX637:CB640)</f>
        <v>2</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2</v>
      </c>
      <c r="CT641" s="57" t="s">
        <v>2049</v>
      </c>
      <c r="CU641" s="3"/>
      <c r="CV641" s="3"/>
      <c r="CW641" s="3"/>
      <c r="CX641" s="3"/>
      <c r="CY641" s="3"/>
      <c r="CZ641" s="3"/>
      <c r="DA641" s="3"/>
      <c r="DB641" s="3"/>
      <c r="DC641" s="3"/>
      <c r="DD641" s="3"/>
      <c r="DE641" s="3"/>
      <c r="DF641" s="3"/>
      <c r="DX641" s="1474" t="e">
        <f t="shared" si="29"/>
        <v>#VALUE!</v>
      </c>
      <c r="DY641" s="1474"/>
      <c r="DZ641" s="1474"/>
      <c r="EA641" s="1474"/>
      <c r="EB641" s="1474"/>
      <c r="EC641" s="1474">
        <f t="shared" si="24"/>
        <v>420.4444444444444</v>
      </c>
      <c r="ED641" s="1474"/>
      <c r="EE641" s="1474"/>
      <c r="EF641" s="1474"/>
      <c r="EG641" s="1474"/>
      <c r="EH641" s="1474" t="e">
        <f t="shared" si="25"/>
        <v>#VALUE!</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474" t="e">
        <f t="shared" si="29"/>
        <v>#VALUE!</v>
      </c>
      <c r="DY642" s="1474"/>
      <c r="DZ642" s="1474"/>
      <c r="EA642" s="1474"/>
      <c r="EB642" s="1474"/>
      <c r="EC642" s="1474" t="e">
        <f t="shared" si="24"/>
        <v>#VALUE!</v>
      </c>
      <c r="ED642" s="1474"/>
      <c r="EE642" s="1474"/>
      <c r="EF642" s="1474"/>
      <c r="EG642" s="1474"/>
      <c r="EH642" s="1474" t="e">
        <f t="shared" si="25"/>
        <v>#VALUE!</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2.95" customHeight="1">
      <c r="A643" s="55" t="s">
        <v>112</v>
      </c>
      <c r="B643" t="s">
        <v>471</v>
      </c>
      <c r="G643" s="1449" t="str">
        <f>C627</f>
        <v>California Bank &amp; Trust</v>
      </c>
      <c r="H643" s="1449"/>
      <c r="I643" s="1449"/>
      <c r="J643" s="1449"/>
      <c r="K643" s="1449"/>
      <c r="L643" s="1449"/>
      <c r="M643" s="1449"/>
      <c r="N643" s="1449"/>
      <c r="O643" s="1449"/>
      <c r="P643" s="1449"/>
      <c r="Q643" s="1449"/>
      <c r="R643" s="1449"/>
      <c r="S643" s="8"/>
      <c r="T643" s="55" t="s">
        <v>113</v>
      </c>
      <c r="U643" t="s">
        <v>471</v>
      </c>
      <c r="Z643" s="1449" t="str">
        <f>C628</f>
        <v>LAHD - AHMP</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f t="shared" si="25"/>
        <v>189</v>
      </c>
      <c r="EI643" s="1474"/>
      <c r="EJ643" s="1474"/>
      <c r="EK643" s="1474"/>
      <c r="EL643" s="1474"/>
      <c r="EM643" s="1474" t="e">
        <f t="shared" si="26"/>
        <v>#VALUE!</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2.95" customHeight="1">
      <c r="A644" s="22"/>
      <c r="B644" t="s">
        <v>85</v>
      </c>
      <c r="G644" s="1404" t="s">
        <v>2745</v>
      </c>
      <c r="H644" s="1404"/>
      <c r="I644" s="1404"/>
      <c r="J644" s="1404"/>
      <c r="K644" s="1404"/>
      <c r="L644" s="1404"/>
      <c r="M644" s="1404"/>
      <c r="N644" s="1404"/>
      <c r="O644" s="1404"/>
      <c r="P644" s="1404"/>
      <c r="Q644" s="1404"/>
      <c r="R644" s="1404"/>
      <c r="S644" s="8"/>
      <c r="T644" s="22"/>
      <c r="U644" t="s">
        <v>85</v>
      </c>
      <c r="Z644" s="1404" t="s">
        <v>2752</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f t="shared" si="25"/>
        <v>189.11111111111111</v>
      </c>
      <c r="EI644" s="1474"/>
      <c r="EJ644" s="1474"/>
      <c r="EK644" s="1474"/>
      <c r="EL644" s="1474"/>
      <c r="EM644" s="1474" t="e">
        <f t="shared" si="26"/>
        <v>#VALUE!</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2.95" customHeight="1">
      <c r="A645" s="22"/>
      <c r="B645" t="s">
        <v>588</v>
      </c>
      <c r="G645" s="1404" t="s">
        <v>2746</v>
      </c>
      <c r="H645" s="1404"/>
      <c r="I645" s="1404"/>
      <c r="J645" s="1404"/>
      <c r="K645" s="1404"/>
      <c r="L645" s="1404"/>
      <c r="M645" s="1404"/>
      <c r="N645" s="1404"/>
      <c r="O645" s="1404"/>
      <c r="P645" s="1404"/>
      <c r="Q645" s="1404"/>
      <c r="R645" s="1404"/>
      <c r="T645" s="22"/>
      <c r="U645" t="s">
        <v>588</v>
      </c>
      <c r="Z645" s="1405" t="s">
        <v>2726</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4" t="e">
        <f t="shared" si="29"/>
        <v>#VALUE!</v>
      </c>
      <c r="DY645" s="1474"/>
      <c r="DZ645" s="1474"/>
      <c r="EA645" s="1474"/>
      <c r="EB645" s="1474"/>
      <c r="EC645" s="1474" t="e">
        <f t="shared" si="24"/>
        <v>#VALUE!</v>
      </c>
      <c r="ED645" s="1474"/>
      <c r="EE645" s="1474"/>
      <c r="EF645" s="1474"/>
      <c r="EG645" s="1474"/>
      <c r="EH645" s="1474">
        <f t="shared" si="25"/>
        <v>504.4444444444444</v>
      </c>
      <c r="EI645" s="1474"/>
      <c r="EJ645" s="1474"/>
      <c r="EK645" s="1474"/>
      <c r="EL645" s="1474"/>
      <c r="EM645" s="1474" t="e">
        <f t="shared" si="26"/>
        <v>#VALUE!</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2.95" customHeight="1">
      <c r="A646" s="22"/>
      <c r="B646" t="s">
        <v>17</v>
      </c>
      <c r="G646" s="1404" t="s">
        <v>2744</v>
      </c>
      <c r="H646" s="1404"/>
      <c r="I646" s="1404"/>
      <c r="J646" s="1404"/>
      <c r="K646" s="1404"/>
      <c r="L646" s="1404"/>
      <c r="M646" s="1404"/>
      <c r="N646" s="1404"/>
      <c r="O646" s="1404"/>
      <c r="P646" s="1404"/>
      <c r="Q646" s="1404"/>
      <c r="R646" s="1404"/>
      <c r="S646" s="8"/>
      <c r="T646" s="22"/>
      <c r="U646" t="s">
        <v>17</v>
      </c>
      <c r="Z646" s="1405" t="s">
        <v>2685</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4" t="e">
        <f t="shared" si="29"/>
        <v>#VALUE!</v>
      </c>
      <c r="DY646" s="1474"/>
      <c r="DZ646" s="1474"/>
      <c r="EA646" s="1474"/>
      <c r="EB646" s="1474"/>
      <c r="EC646" s="1474" t="e">
        <f t="shared" si="24"/>
        <v>#VALUE!</v>
      </c>
      <c r="ED646" s="1474"/>
      <c r="EE646" s="1474"/>
      <c r="EF646" s="1474"/>
      <c r="EG646" s="1474"/>
      <c r="EH646" s="1474" t="e">
        <f t="shared" si="25"/>
        <v>#VALUE!</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2.95" customHeight="1">
      <c r="A647" s="22"/>
      <c r="B647" t="s">
        <v>317</v>
      </c>
      <c r="G647" s="1464">
        <v>3104076183</v>
      </c>
      <c r="H647" s="1464"/>
      <c r="I647" s="1464"/>
      <c r="J647" s="1464"/>
      <c r="K647" s="1464"/>
      <c r="L647" s="1464"/>
      <c r="O647" s="33" t="s">
        <v>207</v>
      </c>
      <c r="P647" s="1487"/>
      <c r="Q647" s="1487"/>
      <c r="R647" s="1487"/>
      <c r="S647" s="10"/>
      <c r="T647" s="22"/>
      <c r="U647" t="s">
        <v>317</v>
      </c>
      <c r="Z647" s="1464" t="s">
        <v>2686</v>
      </c>
      <c r="AA647" s="1464"/>
      <c r="AB647" s="1464"/>
      <c r="AC647" s="1464"/>
      <c r="AD647" s="1464"/>
      <c r="AE647" s="1464"/>
      <c r="AH647" s="33" t="s">
        <v>207</v>
      </c>
      <c r="AI647" s="1487"/>
      <c r="AJ647" s="1487"/>
      <c r="AK647" s="1487"/>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2.95" customHeight="1">
      <c r="A648" s="22"/>
      <c r="B648" t="s">
        <v>18</v>
      </c>
      <c r="H648" s="1404" t="s">
        <v>2742</v>
      </c>
      <c r="I648" s="1404"/>
      <c r="J648" s="1404"/>
      <c r="K648" s="1404"/>
      <c r="L648" s="1404"/>
      <c r="M648" s="1404"/>
      <c r="N648" s="1404"/>
      <c r="O648" s="1404"/>
      <c r="P648" s="1404"/>
      <c r="Q648" s="1404"/>
      <c r="R648" s="1404"/>
      <c r="S648" s="8"/>
      <c r="T648" s="22"/>
      <c r="U648" t="s">
        <v>18</v>
      </c>
      <c r="AA648" s="1404" t="s">
        <v>2748</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t="e">
        <f t="shared" si="26"/>
        <v>#VALUE!</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2.95" customHeight="1">
      <c r="A649" s="22"/>
      <c r="B649" t="s">
        <v>20</v>
      </c>
      <c r="N649" s="1403" t="s">
        <v>553</v>
      </c>
      <c r="O649" s="1403"/>
      <c r="T649" s="22"/>
      <c r="U649" t="s">
        <v>20</v>
      </c>
      <c r="AG649" s="1403" t="s">
        <v>553</v>
      </c>
      <c r="AH649" s="1403"/>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t="e">
        <f t="shared" si="26"/>
        <v>#VALUE!</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t="e">
        <f t="shared" si="26"/>
        <v>#VALUE!</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2.95" customHeight="1">
      <c r="A651" s="55" t="s">
        <v>119</v>
      </c>
      <c r="B651" t="s">
        <v>471</v>
      </c>
      <c r="G651" s="1449" t="str">
        <f>C629</f>
        <v>HCD - AHSC</v>
      </c>
      <c r="H651" s="1449"/>
      <c r="I651" s="1449"/>
      <c r="J651" s="1449"/>
      <c r="K651" s="1449"/>
      <c r="L651" s="1449"/>
      <c r="M651" s="1449"/>
      <c r="N651" s="1449"/>
      <c r="O651" s="1449"/>
      <c r="P651" s="1449"/>
      <c r="Q651" s="1449"/>
      <c r="R651" s="1449"/>
      <c r="T651" s="55" t="s">
        <v>589</v>
      </c>
      <c r="U651" t="s">
        <v>471</v>
      </c>
      <c r="Z651" s="1449" t="str">
        <f>C630</f>
        <v>Pacific West Communities</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2.95" customHeight="1">
      <c r="A652" s="22"/>
      <c r="B652" t="s">
        <v>85</v>
      </c>
      <c r="G652" s="1404" t="s">
        <v>2753</v>
      </c>
      <c r="H652" s="1404"/>
      <c r="I652" s="1404"/>
      <c r="J652" s="1404"/>
      <c r="K652" s="1404"/>
      <c r="L652" s="1404"/>
      <c r="M652" s="1404"/>
      <c r="N652" s="1404"/>
      <c r="O652" s="1404"/>
      <c r="P652" s="1404"/>
      <c r="Q652" s="1404"/>
      <c r="R652" s="1404"/>
      <c r="T652" s="22"/>
      <c r="U652" t="s">
        <v>85</v>
      </c>
      <c r="Z652" s="1404" t="s">
        <v>2649</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2.95" customHeight="1">
      <c r="A653" s="22"/>
      <c r="B653" t="s">
        <v>588</v>
      </c>
      <c r="G653" s="1405" t="s">
        <v>2754</v>
      </c>
      <c r="H653" s="1405"/>
      <c r="I653" s="1405"/>
      <c r="J653" s="1405"/>
      <c r="K653" s="1405"/>
      <c r="L653" s="1405"/>
      <c r="M653" s="1405"/>
      <c r="N653" s="1405"/>
      <c r="O653" s="1405"/>
      <c r="P653" s="1405"/>
      <c r="Q653" s="1405"/>
      <c r="R653" s="1405"/>
      <c r="T653" s="22"/>
      <c r="U653" t="s">
        <v>588</v>
      </c>
      <c r="Z653" s="1405" t="s">
        <v>2666</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2.95" customHeight="1">
      <c r="A654" s="22"/>
      <c r="B654" t="s">
        <v>17</v>
      </c>
      <c r="G654" s="1405" t="s">
        <v>2755</v>
      </c>
      <c r="H654" s="1405"/>
      <c r="I654" s="1405"/>
      <c r="J654" s="1405"/>
      <c r="K654" s="1405"/>
      <c r="L654" s="1405"/>
      <c r="M654" s="1405"/>
      <c r="N654" s="1405"/>
      <c r="O654" s="1405"/>
      <c r="P654" s="1405"/>
      <c r="Q654" s="1405"/>
      <c r="R654" s="1405"/>
      <c r="T654" s="22"/>
      <c r="U654" t="s">
        <v>17</v>
      </c>
      <c r="Z654" s="1405" t="s">
        <v>2639</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2.95" customHeight="1">
      <c r="A655" s="22"/>
      <c r="B655" t="s">
        <v>317</v>
      </c>
      <c r="G655" s="1464">
        <v>9168201488</v>
      </c>
      <c r="H655" s="1464"/>
      <c r="I655" s="1464"/>
      <c r="J655" s="1464"/>
      <c r="K655" s="1464"/>
      <c r="L655" s="1464"/>
      <c r="O655" s="33" t="s">
        <v>207</v>
      </c>
      <c r="P655" s="1487"/>
      <c r="Q655" s="1487"/>
      <c r="R655" s="1487"/>
      <c r="T655" s="22"/>
      <c r="U655" t="s">
        <v>317</v>
      </c>
      <c r="Z655" s="1464">
        <v>2084610022</v>
      </c>
      <c r="AA655" s="1464"/>
      <c r="AB655" s="1464"/>
      <c r="AC655" s="1464"/>
      <c r="AD655" s="1464"/>
      <c r="AE655" s="1464"/>
      <c r="AH655" s="33" t="s">
        <v>207</v>
      </c>
      <c r="AI655" s="1487"/>
      <c r="AJ655" s="1487"/>
      <c r="AK655" s="1487"/>
      <c r="AZ655" s="34"/>
      <c r="BA655" s="34"/>
      <c r="BB655" s="34"/>
      <c r="BC655" s="34"/>
      <c r="BD655" s="34"/>
      <c r="BE655" s="34"/>
      <c r="BF655" s="34"/>
      <c r="BG655" s="34"/>
      <c r="BH655" s="34"/>
      <c r="BI655" s="34"/>
      <c r="BJ655" s="34"/>
      <c r="BK655" s="34"/>
      <c r="BL655" s="34"/>
      <c r="BM655" s="34"/>
      <c r="BN655" s="1490">
        <f>SUM(BN645:BR654)</f>
        <v>0</v>
      </c>
      <c r="BO655" s="1491"/>
      <c r="BP655" s="1491"/>
      <c r="BQ655" s="1491"/>
      <c r="BR655" s="1492"/>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2.95" customHeight="1">
      <c r="A656" s="22"/>
      <c r="B656" t="s">
        <v>18</v>
      </c>
      <c r="H656" s="1404" t="s">
        <v>2749</v>
      </c>
      <c r="I656" s="1404"/>
      <c r="J656" s="1404"/>
      <c r="K656" s="1404"/>
      <c r="L656" s="1404"/>
      <c r="M656" s="1404"/>
      <c r="N656" s="1404"/>
      <c r="O656" s="1404"/>
      <c r="P656" s="1404"/>
      <c r="Q656" s="1404"/>
      <c r="R656" s="1404"/>
      <c r="T656" s="22"/>
      <c r="U656" t="s">
        <v>18</v>
      </c>
      <c r="AA656" s="1404" t="s">
        <v>2751</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2.95" customHeight="1">
      <c r="A657" s="22"/>
      <c r="B657" t="s">
        <v>20</v>
      </c>
      <c r="N657" s="1403" t="s">
        <v>553</v>
      </c>
      <c r="O657" s="1403"/>
      <c r="T657" s="22"/>
      <c r="U657" t="s">
        <v>20</v>
      </c>
      <c r="AG657" s="1403" t="s">
        <v>553</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2.95" customHeight="1">
      <c r="A659" s="55" t="s">
        <v>771</v>
      </c>
      <c r="B659" t="s">
        <v>471</v>
      </c>
      <c r="G659" s="1449">
        <f>C631</f>
        <v>0</v>
      </c>
      <c r="H659" s="1449"/>
      <c r="I659" s="1449"/>
      <c r="J659" s="1449"/>
      <c r="K659" s="1449"/>
      <c r="L659" s="1449"/>
      <c r="M659" s="1449"/>
      <c r="N659" s="1449"/>
      <c r="O659" s="1449"/>
      <c r="P659" s="1449"/>
      <c r="Q659" s="1449"/>
      <c r="R659" s="1449"/>
      <c r="T659" s="55" t="s">
        <v>592</v>
      </c>
      <c r="U659" t="s">
        <v>471</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2.95" customHeight="1">
      <c r="A660" s="22"/>
      <c r="B660" t="s">
        <v>85</v>
      </c>
      <c r="G660" s="1404"/>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7">
        <f>BN632+BN641+BN655</f>
        <v>119</v>
      </c>
      <c r="BO660" s="1478"/>
      <c r="BP660" s="1478"/>
      <c r="BQ660" s="1478"/>
      <c r="BR660" s="1479"/>
      <c r="BS660" s="1477">
        <f>BS632+BS641+BS655</f>
        <v>18</v>
      </c>
      <c r="BT660" s="1478"/>
      <c r="BU660" s="1478"/>
      <c r="BV660" s="1478"/>
      <c r="BW660" s="1479"/>
      <c r="BX660" s="1477">
        <f>BX632+BX641+BX655</f>
        <v>11</v>
      </c>
      <c r="BY660" s="1478"/>
      <c r="BZ660" s="1478"/>
      <c r="CA660" s="1478"/>
      <c r="CB660" s="1479"/>
      <c r="CC660" s="1477">
        <f>CC632+CC641+CC655</f>
        <v>0</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155</v>
      </c>
      <c r="CT660" s="57" t="s">
        <v>2053</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2.95" customHeight="1">
      <c r="A661" s="22"/>
      <c r="B661" t="s">
        <v>588</v>
      </c>
      <c r="G661" s="1404"/>
      <c r="H661" s="1404"/>
      <c r="I661" s="1404"/>
      <c r="J661" s="1404"/>
      <c r="K661" s="1404"/>
      <c r="L661" s="1404"/>
      <c r="M661" s="1404"/>
      <c r="N661" s="1404"/>
      <c r="O661" s="1404"/>
      <c r="P661" s="1404"/>
      <c r="Q661" s="1404"/>
      <c r="R661" s="1404"/>
      <c r="T661" s="22"/>
      <c r="U661" t="s">
        <v>588</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2.95" customHeight="1">
      <c r="A662" s="22"/>
      <c r="B662" t="s">
        <v>17</v>
      </c>
      <c r="G662" s="1404"/>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2.95" customHeight="1">
      <c r="A663" s="22"/>
      <c r="B663" t="s">
        <v>317</v>
      </c>
      <c r="G663" s="1464"/>
      <c r="H663" s="1464"/>
      <c r="I663" s="1464"/>
      <c r="J663" s="1464"/>
      <c r="K663" s="1464"/>
      <c r="L663" s="1464"/>
      <c r="O663" s="33" t="s">
        <v>207</v>
      </c>
      <c r="P663" s="1487"/>
      <c r="Q663" s="1487"/>
      <c r="R663" s="1487"/>
      <c r="T663" s="22"/>
      <c r="U663" t="s">
        <v>317</v>
      </c>
      <c r="Z663" s="1464"/>
      <c r="AA663" s="1464"/>
      <c r="AB663" s="1464"/>
      <c r="AC663" s="1464"/>
      <c r="AD663" s="1464"/>
      <c r="AE663" s="1464"/>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2.95" customHeight="1">
      <c r="A664" s="22"/>
      <c r="B664" t="s">
        <v>18</v>
      </c>
      <c r="H664" s="1404"/>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2.95" customHeight="1">
      <c r="A665" s="22"/>
      <c r="B665" t="s">
        <v>20</v>
      </c>
      <c r="N665" s="1403" t="s">
        <v>676</v>
      </c>
      <c r="O665" s="1403"/>
      <c r="T665" s="22"/>
      <c r="U665" t="s">
        <v>20</v>
      </c>
      <c r="AG665" s="1403" t="s">
        <v>676</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2.95" customHeight="1">
      <c r="A667" s="55" t="s">
        <v>463</v>
      </c>
      <c r="B667" t="s">
        <v>471</v>
      </c>
      <c r="G667" s="1449">
        <f>C633</f>
        <v>0</v>
      </c>
      <c r="H667" s="1449"/>
      <c r="I667" s="1449"/>
      <c r="J667" s="1449"/>
      <c r="K667" s="1449"/>
      <c r="L667" s="1449"/>
      <c r="M667" s="1449"/>
      <c r="N667" s="1449"/>
      <c r="O667" s="1449"/>
      <c r="P667" s="1449"/>
      <c r="Q667" s="1449"/>
      <c r="R667" s="1449"/>
      <c r="T667" s="55" t="s">
        <v>464</v>
      </c>
      <c r="U667" t="s">
        <v>471</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2206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2206</v>
      </c>
      <c r="BB668" s="3"/>
      <c r="BC668" s="3"/>
      <c r="BD668" s="3"/>
      <c r="BE668" s="3"/>
      <c r="BF668" s="218"/>
      <c r="BG668" s="315">
        <f t="shared" ref="BG668:BG700" si="49">G718</f>
        <v>50</v>
      </c>
      <c r="BH668" s="319">
        <f t="shared" ref="BH668:BH702" si="50">IF($BG$703=0,0,BG668/$BG$703)</f>
        <v>0.34246575342465752</v>
      </c>
      <c r="BI668" s="320">
        <f t="shared" ref="BI668:BI691" si="51">IF(BH668=0,"",BH668*AC718)</f>
        <v>6.8493150684931503E-2</v>
      </c>
      <c r="BJ668" s="3"/>
      <c r="BK668" s="3"/>
      <c r="BL668" s="3"/>
      <c r="BM668" s="3"/>
      <c r="BN668" s="3"/>
      <c r="BO668" s="3"/>
      <c r="BT668" s="315">
        <f t="shared" ref="BT668:BT700" si="52">G718</f>
        <v>50</v>
      </c>
      <c r="BU668" s="319">
        <f t="shared" ref="BU668:BU702" si="53">IF($BT$703=0,0,BT668/$BT$703)</f>
        <v>0.34246575342465752</v>
      </c>
      <c r="BV668" s="320">
        <f t="shared" ref="BV668:BV700" si="54">IF(BU668=0,"",BU668*AH718)</f>
        <v>6.8462102112544859E-2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2.95" customHeight="1">
      <c r="A669" s="22"/>
      <c r="B669" t="s">
        <v>588</v>
      </c>
      <c r="G669" s="1404"/>
      <c r="H669" s="1404"/>
      <c r="I669" s="1404"/>
      <c r="J669" s="1404"/>
      <c r="K669" s="1404"/>
      <c r="L669" s="1404"/>
      <c r="M669" s="1404"/>
      <c r="N669" s="1404"/>
      <c r="O669" s="1404"/>
      <c r="P669" s="1404"/>
      <c r="Q669" s="1404"/>
      <c r="R669" s="1404"/>
      <c r="T669" s="22"/>
      <c r="U669" t="s">
        <v>588</v>
      </c>
      <c r="Z669" s="1405"/>
      <c r="AA669" s="1405"/>
      <c r="AB669" s="1405"/>
      <c r="AC669" s="1405"/>
      <c r="AD669" s="1405"/>
      <c r="AE669" s="1405"/>
      <c r="AF669" s="1405"/>
      <c r="AG669" s="1405"/>
      <c r="AH669" s="1405"/>
      <c r="AI669" s="1405"/>
      <c r="AJ669" s="1405"/>
      <c r="AK669" s="1405"/>
      <c r="AZ669" s="3"/>
      <c r="BA669" s="118">
        <f t="shared" si="48"/>
        <v>2206</v>
      </c>
      <c r="BB669" s="3"/>
      <c r="BC669" s="3"/>
      <c r="BD669" s="3"/>
      <c r="BE669" s="3"/>
      <c r="BF669" s="218"/>
      <c r="BG669" s="316">
        <f t="shared" si="49"/>
        <v>35</v>
      </c>
      <c r="BH669" s="319">
        <f t="shared" si="50"/>
        <v>0.23972602739726026</v>
      </c>
      <c r="BI669" s="320">
        <f t="shared" si="51"/>
        <v>7.1917808219178078E-2</v>
      </c>
      <c r="BJ669" s="3"/>
      <c r="BK669" s="3"/>
      <c r="BL669" s="3"/>
      <c r="BM669" s="3"/>
      <c r="BN669" s="3"/>
      <c r="BO669" s="3"/>
      <c r="BT669" s="316">
        <f t="shared" si="52"/>
        <v>35</v>
      </c>
      <c r="BU669" s="319">
        <f t="shared" si="53"/>
        <v>0.23972602739726026</v>
      </c>
      <c r="BV669" s="320">
        <f t="shared" si="54"/>
        <v>7.1939542219848732E-2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t="str">
        <f t="shared" si="48"/>
        <v>N/A</v>
      </c>
      <c r="BB670" s="3"/>
      <c r="BC670" s="3"/>
      <c r="BD670" s="3"/>
      <c r="BE670" s="3"/>
      <c r="BF670" s="218"/>
      <c r="BG670" s="316">
        <f t="shared" si="49"/>
        <v>34</v>
      </c>
      <c r="BH670" s="319">
        <f t="shared" si="50"/>
        <v>0.23287671232876711</v>
      </c>
      <c r="BI670" s="320">
        <f t="shared" si="51"/>
        <v>9.3150684931506855E-2</v>
      </c>
      <c r="BJ670" s="3"/>
      <c r="BK670" s="3"/>
      <c r="BL670" s="3"/>
      <c r="BM670" s="3"/>
      <c r="BN670" s="3"/>
      <c r="BO670" s="3"/>
      <c r="BT670" s="316">
        <f t="shared" si="52"/>
        <v>34</v>
      </c>
      <c r="BU670" s="319">
        <f t="shared" si="53"/>
        <v>0.23287671232876711</v>
      </c>
      <c r="BV670" s="320">
        <f t="shared" si="54"/>
        <v>9.3214024019175598E-2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632.28571428571422</v>
      </c>
      <c r="DY670" s="1474"/>
      <c r="DZ670" s="1474"/>
      <c r="EA670" s="1474"/>
      <c r="EB670" s="1474"/>
      <c r="EC670" s="1474">
        <f>SUMIF(EC635:EG669,"&gt;0")</f>
        <v>748.77777777777783</v>
      </c>
      <c r="ED670" s="1474"/>
      <c r="EE670" s="1474"/>
      <c r="EF670" s="1474"/>
      <c r="EG670" s="1474"/>
      <c r="EH670" s="1474">
        <f>SUMIF(EH635:EL669,"&gt;0")</f>
        <v>882.55555555555543</v>
      </c>
      <c r="EI670" s="1474"/>
      <c r="EJ670" s="1474"/>
      <c r="EK670" s="1474"/>
      <c r="EL670" s="1474"/>
      <c r="EM670" s="1474">
        <f>SUMIF(EM635:EQ669,"&gt;0")</f>
        <v>0</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2.95" customHeight="1">
      <c r="A671" s="22"/>
      <c r="B671" t="s">
        <v>317</v>
      </c>
      <c r="G671" s="1464"/>
      <c r="H671" s="1464"/>
      <c r="I671" s="1464"/>
      <c r="J671" s="1464"/>
      <c r="K671" s="1464"/>
      <c r="L671" s="1464"/>
      <c r="O671" s="33" t="s">
        <v>207</v>
      </c>
      <c r="P671" s="1487"/>
      <c r="Q671" s="1487"/>
      <c r="R671" s="1487"/>
      <c r="T671" s="22"/>
      <c r="U671" t="s">
        <v>317</v>
      </c>
      <c r="Z671" s="1464"/>
      <c r="AA671" s="1464"/>
      <c r="AB671" s="1464"/>
      <c r="AC671" s="1464"/>
      <c r="AD671" s="1464"/>
      <c r="AE671" s="1464"/>
      <c r="AH671" s="33" t="s">
        <v>207</v>
      </c>
      <c r="AI671" s="1487"/>
      <c r="AJ671" s="1487"/>
      <c r="AK671" s="1487"/>
      <c r="AZ671" s="3"/>
      <c r="BA671" s="118">
        <f t="shared" si="48"/>
        <v>2364</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2364</v>
      </c>
      <c r="BB672" s="3"/>
      <c r="BC672" s="3"/>
      <c r="BD672" s="3"/>
      <c r="BE672" s="3"/>
      <c r="BF672" s="218"/>
      <c r="BG672" s="316">
        <f t="shared" si="49"/>
        <v>5</v>
      </c>
      <c r="BH672" s="319">
        <f t="shared" si="50"/>
        <v>3.4246575342465752E-2</v>
      </c>
      <c r="BI672" s="320">
        <f t="shared" si="51"/>
        <v>6.8493150684931503E-3</v>
      </c>
      <c r="BJ672" s="3"/>
      <c r="BK672" s="3"/>
      <c r="BL672" s="3"/>
      <c r="BM672" s="3"/>
      <c r="BN672" s="3"/>
      <c r="BO672" s="3"/>
      <c r="BT672" s="316">
        <f t="shared" si="52"/>
        <v>5</v>
      </c>
      <c r="BU672" s="319">
        <f t="shared" si="53"/>
        <v>3.4246575342465752E-2</v>
      </c>
      <c r="BV672" s="320">
        <f t="shared" si="54"/>
        <v>6.8522124098926822E-3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676</v>
      </c>
      <c r="O673" s="1403"/>
      <c r="T673" s="22"/>
      <c r="U673" t="s">
        <v>20</v>
      </c>
      <c r="AG673" s="1403" t="s">
        <v>676</v>
      </c>
      <c r="AH673" s="1403"/>
      <c r="AZ673" s="3"/>
      <c r="BA673" s="118">
        <f t="shared" si="48"/>
        <v>2364</v>
      </c>
      <c r="BB673" s="3"/>
      <c r="BC673" s="3"/>
      <c r="BD673" s="3"/>
      <c r="BE673" s="3"/>
      <c r="BF673" s="218"/>
      <c r="BG673" s="316">
        <f t="shared" si="49"/>
        <v>5</v>
      </c>
      <c r="BH673" s="319">
        <f t="shared" si="50"/>
        <v>3.4246575342465752E-2</v>
      </c>
      <c r="BI673" s="320">
        <f t="shared" si="51"/>
        <v>1.0273972602739725E-2</v>
      </c>
      <c r="BJ673" s="3"/>
      <c r="BK673" s="3"/>
      <c r="BL673" s="3"/>
      <c r="BM673" s="3"/>
      <c r="BN673" s="3"/>
      <c r="BO673" s="3"/>
      <c r="BT673" s="316">
        <f t="shared" si="52"/>
        <v>5</v>
      </c>
      <c r="BU673" s="319">
        <f t="shared" si="53"/>
        <v>3.4246575342465752E-2</v>
      </c>
      <c r="BV673" s="320">
        <f t="shared" si="54"/>
        <v>1.0271075261340194E-2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8</v>
      </c>
      <c r="BH674" s="319">
        <f t="shared" si="50"/>
        <v>5.4794520547945202E-2</v>
      </c>
      <c r="BI674" s="320">
        <f t="shared" si="51"/>
        <v>2.1917808219178082E-2</v>
      </c>
      <c r="BJ674" s="3"/>
      <c r="BK674" s="3"/>
      <c r="BL674" s="3"/>
      <c r="BM674" s="3"/>
      <c r="BN674" s="3"/>
      <c r="BO674" s="3"/>
      <c r="BT674" s="316">
        <f t="shared" si="52"/>
        <v>8</v>
      </c>
      <c r="BU674" s="319">
        <f t="shared" si="53"/>
        <v>5.4794520547945202E-2</v>
      </c>
      <c r="BV674" s="320">
        <f t="shared" si="54"/>
        <v>2.1927079711656583E-2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9">
        <f>C635</f>
        <v>0</v>
      </c>
      <c r="H675" s="1449"/>
      <c r="I675" s="1449"/>
      <c r="J675" s="1449"/>
      <c r="K675" s="1449"/>
      <c r="L675" s="1449"/>
      <c r="M675" s="1449"/>
      <c r="N675" s="1449"/>
      <c r="O675" s="1449"/>
      <c r="P675" s="1449"/>
      <c r="Q675" s="1449"/>
      <c r="R675" s="1449"/>
      <c r="T675" s="55" t="s">
        <v>653</v>
      </c>
      <c r="U675" t="s">
        <v>471</v>
      </c>
      <c r="Z675" s="1449">
        <f>C636</f>
        <v>0</v>
      </c>
      <c r="AA675" s="1449"/>
      <c r="AB675" s="1449"/>
      <c r="AC675" s="1449"/>
      <c r="AD675" s="1449"/>
      <c r="AE675" s="1449"/>
      <c r="AF675" s="1449"/>
      <c r="AG675" s="1449"/>
      <c r="AH675" s="1449"/>
      <c r="AI675" s="1449"/>
      <c r="AJ675" s="1449"/>
      <c r="AK675" s="1449"/>
      <c r="AZ675" s="3"/>
      <c r="BA675" s="118">
        <f t="shared" si="48"/>
        <v>2836</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2836</v>
      </c>
      <c r="BB676" s="3"/>
      <c r="BC676" s="3"/>
      <c r="BD676" s="3"/>
      <c r="BE676" s="3"/>
      <c r="BF676" s="218"/>
      <c r="BG676" s="316">
        <f t="shared" si="49"/>
        <v>3</v>
      </c>
      <c r="BH676" s="319">
        <f t="shared" si="50"/>
        <v>2.0547945205479451E-2</v>
      </c>
      <c r="BI676" s="320">
        <f t="shared" si="51"/>
        <v>4.10958904109589E-3</v>
      </c>
      <c r="BJ676" s="3"/>
      <c r="BK676" s="3"/>
      <c r="BL676" s="3"/>
      <c r="BM676" s="3"/>
      <c r="BN676" s="3"/>
      <c r="BO676" s="3"/>
      <c r="BT676" s="316">
        <f t="shared" si="52"/>
        <v>3</v>
      </c>
      <c r="BU676" s="319">
        <f t="shared" si="53"/>
        <v>2.0547945205479451E-2</v>
      </c>
      <c r="BV676" s="320">
        <f t="shared" si="54"/>
        <v>4.1081399617443051E-3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4"/>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f t="shared" si="48"/>
        <v>2836</v>
      </c>
      <c r="BB677" s="3"/>
      <c r="BC677" s="3"/>
      <c r="BD677" s="3"/>
      <c r="BE677" s="3"/>
      <c r="BF677" s="218"/>
      <c r="BG677" s="316">
        <f t="shared" si="49"/>
        <v>2</v>
      </c>
      <c r="BH677" s="319">
        <f t="shared" si="50"/>
        <v>1.3698630136986301E-2</v>
      </c>
      <c r="BI677" s="320">
        <f t="shared" si="51"/>
        <v>4.10958904109589E-3</v>
      </c>
      <c r="BJ677" s="3"/>
      <c r="BK677" s="3"/>
      <c r="BL677" s="3"/>
      <c r="BM677" s="3"/>
      <c r="BN677" s="3"/>
      <c r="BO677" s="3"/>
      <c r="BT677" s="316">
        <f t="shared" si="52"/>
        <v>2</v>
      </c>
      <c r="BU677" s="319">
        <f t="shared" si="53"/>
        <v>1.3698630136986301E-2</v>
      </c>
      <c r="BV677" s="320">
        <f t="shared" si="54"/>
        <v>4.1105550939969466E-3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8"/>
        <v>N/A</v>
      </c>
      <c r="BB678" s="3"/>
      <c r="BC678" s="3"/>
      <c r="BD678" s="3"/>
      <c r="BE678" s="3"/>
      <c r="BF678" s="218"/>
      <c r="BG678" s="316">
        <f t="shared" si="49"/>
        <v>4</v>
      </c>
      <c r="BH678" s="319">
        <f t="shared" si="50"/>
        <v>2.7397260273972601E-2</v>
      </c>
      <c r="BI678" s="320">
        <f t="shared" si="51"/>
        <v>1.0958904109589041E-2</v>
      </c>
      <c r="BJ678" s="3"/>
      <c r="BK678" s="3"/>
      <c r="BL678" s="3"/>
      <c r="BM678" s="3"/>
      <c r="BN678" s="3"/>
      <c r="BO678" s="3"/>
      <c r="BT678" s="316">
        <f t="shared" si="52"/>
        <v>4</v>
      </c>
      <c r="BU678" s="319">
        <f t="shared" si="53"/>
        <v>2.7397260273972601E-2</v>
      </c>
      <c r="BV678" s="320">
        <f t="shared" si="54"/>
        <v>1.0964700426995381E-2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87"/>
      <c r="Q679" s="1487"/>
      <c r="R679" s="1487"/>
      <c r="T679" s="22"/>
      <c r="U679" t="s">
        <v>317</v>
      </c>
      <c r="Z679" s="1464"/>
      <c r="AA679" s="1464"/>
      <c r="AB679" s="1464"/>
      <c r="AC679" s="1464"/>
      <c r="AD679" s="1464"/>
      <c r="AE679" s="1464"/>
      <c r="AH679" s="33" t="s">
        <v>207</v>
      </c>
      <c r="AI679" s="1487"/>
      <c r="AJ679" s="1487"/>
      <c r="AK679" s="14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676</v>
      </c>
      <c r="O681" s="1403"/>
      <c r="T681" s="22"/>
      <c r="U681" t="s">
        <v>20</v>
      </c>
      <c r="AG681" s="1403" t="s">
        <v>676</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49">
        <f>C637</f>
        <v>0</v>
      </c>
      <c r="H683" s="1449"/>
      <c r="I683" s="1449"/>
      <c r="J683" s="1449"/>
      <c r="K683" s="1449"/>
      <c r="L683" s="1449"/>
      <c r="M683" s="1449"/>
      <c r="N683" s="1449"/>
      <c r="O683" s="1449"/>
      <c r="P683" s="1449"/>
      <c r="Q683" s="1449"/>
      <c r="R683" s="1449"/>
      <c r="T683" s="55" t="s">
        <v>364</v>
      </c>
      <c r="U683" t="s">
        <v>471</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87"/>
      <c r="Q687" s="1487"/>
      <c r="R687" s="1487"/>
      <c r="U687" t="s">
        <v>317</v>
      </c>
      <c r="Z687" s="1464"/>
      <c r="AA687" s="1464"/>
      <c r="AB687" s="1464"/>
      <c r="AC687" s="1464"/>
      <c r="AD687" s="1464"/>
      <c r="AE687" s="1464"/>
      <c r="AH687" s="33" t="s">
        <v>207</v>
      </c>
      <c r="AI687" s="1487"/>
      <c r="AJ687" s="1487"/>
      <c r="AK687" s="14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676</v>
      </c>
      <c r="O689" s="1403"/>
      <c r="U689" t="s">
        <v>20</v>
      </c>
      <c r="AG689" s="1403" t="s">
        <v>676</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553</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676</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6">
        <v>45672</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3">
        <v>0.5464</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Los Angeles Housing Department</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676</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913</v>
      </c>
      <c r="BG703" s="321">
        <f>SUM(BG668:BG702)</f>
        <v>146</v>
      </c>
      <c r="BH703" s="322">
        <f>SUM(BH668:BH702)</f>
        <v>0.99999999999999989</v>
      </c>
      <c r="BI703" s="322">
        <f>SUM(BI668:BI702)</f>
        <v>0.29178082191780824</v>
      </c>
      <c r="BN703" s="3"/>
      <c r="BO703" s="3"/>
      <c r="BT703" s="893">
        <f>SUM(BT668:BT702)</f>
        <v>146</v>
      </c>
      <c r="BU703" s="322">
        <f>SUM(BU668:BU702)</f>
        <v>0.99999999999999989</v>
      </c>
      <c r="BV703" s="322">
        <f>SUM(BV668:BV702)</f>
        <v>0.29184943121719531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4" t="s">
        <v>1866</v>
      </c>
      <c r="L714" s="1765"/>
      <c r="M714" s="1765"/>
      <c r="N714" s="1766"/>
      <c r="O714" s="1370" t="s">
        <v>455</v>
      </c>
      <c r="P714" s="1371"/>
      <c r="Q714" s="1371"/>
      <c r="R714" s="1371"/>
      <c r="S714" s="1372"/>
      <c r="T714" s="1475" t="s">
        <v>2250</v>
      </c>
      <c r="U714" s="1371"/>
      <c r="V714" s="1371"/>
      <c r="W714" s="1372"/>
      <c r="X714" s="1475" t="s">
        <v>2252</v>
      </c>
      <c r="Y714" s="1371"/>
      <c r="Z714" s="1371"/>
      <c r="AA714" s="1371"/>
      <c r="AB714" s="1372"/>
      <c r="AC714" s="1475" t="s">
        <v>2251</v>
      </c>
      <c r="AD714" s="1371"/>
      <c r="AE714" s="1371"/>
      <c r="AF714" s="1371"/>
      <c r="AG714" s="1372"/>
      <c r="AH714" s="1475" t="s">
        <v>2253</v>
      </c>
      <c r="AI714" s="1371"/>
      <c r="AJ714" s="1372"/>
      <c r="AK714" s="1475" t="s">
        <v>2287</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7"/>
      <c r="L715" s="1768"/>
      <c r="M715" s="1768"/>
      <c r="N715" s="1769"/>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7"/>
      <c r="L716" s="1768"/>
      <c r="M716" s="1768"/>
      <c r="N716" s="1769"/>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7"/>
      <c r="L717" s="1768"/>
      <c r="M717" s="1768"/>
      <c r="N717" s="1769"/>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325</v>
      </c>
      <c r="C718" s="1392"/>
      <c r="D718" s="1392"/>
      <c r="E718" s="1392"/>
      <c r="F718" s="1393"/>
      <c r="G718" s="1355">
        <v>50</v>
      </c>
      <c r="H718" s="1356"/>
      <c r="I718" s="1356"/>
      <c r="J718" s="1357"/>
      <c r="K718" s="1358">
        <v>346</v>
      </c>
      <c r="L718" s="1359"/>
      <c r="M718" s="1359"/>
      <c r="N718" s="1360"/>
      <c r="O718" s="1367">
        <v>441</v>
      </c>
      <c r="P718" s="1368"/>
      <c r="Q718" s="1368"/>
      <c r="R718" s="1368"/>
      <c r="S718" s="1369"/>
      <c r="T718" s="1367">
        <v>0</v>
      </c>
      <c r="U718" s="1368"/>
      <c r="V718" s="1368"/>
      <c r="W718" s="1369"/>
      <c r="X718" s="1387">
        <f t="shared" ref="X718:X741" si="59">O718+T718</f>
        <v>441</v>
      </c>
      <c r="Y718" s="1388"/>
      <c r="Z718" s="1388"/>
      <c r="AA718" s="1388"/>
      <c r="AB718" s="1389"/>
      <c r="AC718" s="1406">
        <v>0.2</v>
      </c>
      <c r="AD718" s="1407"/>
      <c r="AE718" s="1407"/>
      <c r="AF718" s="1407"/>
      <c r="AG718" s="1408"/>
      <c r="AH718" s="1398">
        <f t="shared" ref="AH718:AH751" si="60">IF($AC718&gt;0,($X718/$BA667), "")</f>
        <v>0.19990933816863102</v>
      </c>
      <c r="AI718" s="1399"/>
      <c r="AJ718" s="1400"/>
      <c r="AK718" s="1391" t="s">
        <v>2416</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325</v>
      </c>
      <c r="C719" s="1392"/>
      <c r="D719" s="1392"/>
      <c r="E719" s="1392"/>
      <c r="F719" s="1393"/>
      <c r="G719" s="1355">
        <v>35</v>
      </c>
      <c r="H719" s="1356"/>
      <c r="I719" s="1356"/>
      <c r="J719" s="1357"/>
      <c r="K719" s="1358">
        <v>346</v>
      </c>
      <c r="L719" s="1359"/>
      <c r="M719" s="1359"/>
      <c r="N719" s="1360"/>
      <c r="O719" s="1367">
        <v>662</v>
      </c>
      <c r="P719" s="1368"/>
      <c r="Q719" s="1368"/>
      <c r="R719" s="1368"/>
      <c r="S719" s="1369"/>
      <c r="T719" s="1367">
        <v>0</v>
      </c>
      <c r="U719" s="1368"/>
      <c r="V719" s="1368"/>
      <c r="W719" s="1369"/>
      <c r="X719" s="1387">
        <f t="shared" si="59"/>
        <v>662</v>
      </c>
      <c r="Y719" s="1388"/>
      <c r="Z719" s="1388"/>
      <c r="AA719" s="1388"/>
      <c r="AB719" s="1389"/>
      <c r="AC719" s="1406">
        <v>0.3</v>
      </c>
      <c r="AD719" s="1407"/>
      <c r="AE719" s="1407"/>
      <c r="AF719" s="1407"/>
      <c r="AG719" s="1408"/>
      <c r="AH719" s="1398">
        <f t="shared" si="60"/>
        <v>0.30009066183136901</v>
      </c>
      <c r="AI719" s="1399"/>
      <c r="AJ719" s="1400"/>
      <c r="AK719" s="1391" t="s">
        <v>2416</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325</v>
      </c>
      <c r="C720" s="1392"/>
      <c r="D720" s="1392"/>
      <c r="E720" s="1392"/>
      <c r="F720" s="1393"/>
      <c r="G720" s="1355">
        <v>34</v>
      </c>
      <c r="H720" s="1356"/>
      <c r="I720" s="1356"/>
      <c r="J720" s="1357"/>
      <c r="K720" s="1358">
        <v>346</v>
      </c>
      <c r="L720" s="1359"/>
      <c r="M720" s="1359"/>
      <c r="N720" s="1360"/>
      <c r="O720" s="1367">
        <v>883</v>
      </c>
      <c r="P720" s="1368"/>
      <c r="Q720" s="1368"/>
      <c r="R720" s="1368"/>
      <c r="S720" s="1369"/>
      <c r="T720" s="1367">
        <v>0</v>
      </c>
      <c r="U720" s="1368"/>
      <c r="V720" s="1368"/>
      <c r="W720" s="1369"/>
      <c r="X720" s="1387">
        <f t="shared" si="59"/>
        <v>883</v>
      </c>
      <c r="Y720" s="1388"/>
      <c r="Z720" s="1388"/>
      <c r="AA720" s="1388"/>
      <c r="AB720" s="1389"/>
      <c r="AC720" s="1406">
        <v>0.4</v>
      </c>
      <c r="AD720" s="1407"/>
      <c r="AE720" s="1407"/>
      <c r="AF720" s="1407"/>
      <c r="AG720" s="1408"/>
      <c r="AH720" s="1398">
        <f t="shared" si="60"/>
        <v>0.40027198549410697</v>
      </c>
      <c r="AI720" s="1399"/>
      <c r="AJ720" s="1400"/>
      <c r="AK720" s="1391" t="s">
        <v>2416</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c r="C721" s="1392"/>
      <c r="D721" s="1392"/>
      <c r="E721" s="1392"/>
      <c r="F721" s="1393"/>
      <c r="G721" s="1355"/>
      <c r="H721" s="1356"/>
      <c r="I721" s="1356"/>
      <c r="J721" s="1357"/>
      <c r="K721" s="1358"/>
      <c r="L721" s="1359"/>
      <c r="M721" s="1359"/>
      <c r="N721" s="1360"/>
      <c r="O721" s="1367"/>
      <c r="P721" s="1368"/>
      <c r="Q721" s="1368"/>
      <c r="R721" s="1368"/>
      <c r="S721" s="1369"/>
      <c r="T721" s="1367"/>
      <c r="U721" s="1368"/>
      <c r="V721" s="1368"/>
      <c r="W721" s="1369"/>
      <c r="X721" s="1387">
        <f t="shared" si="59"/>
        <v>0</v>
      </c>
      <c r="Y721" s="1388"/>
      <c r="Z721" s="1388"/>
      <c r="AA721" s="1388"/>
      <c r="AB721" s="1389"/>
      <c r="AC721" s="1406"/>
      <c r="AD721" s="1407"/>
      <c r="AE721" s="1407"/>
      <c r="AF721" s="1407"/>
      <c r="AG721" s="1408"/>
      <c r="AH721" s="1398" t="str">
        <f t="shared" si="60"/>
        <v/>
      </c>
      <c r="AI721" s="1399"/>
      <c r="AJ721" s="1400"/>
      <c r="AK721" s="1391"/>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326</v>
      </c>
      <c r="C722" s="1392"/>
      <c r="D722" s="1392"/>
      <c r="E722" s="1392"/>
      <c r="F722" s="1393"/>
      <c r="G722" s="1355">
        <v>5</v>
      </c>
      <c r="H722" s="1356"/>
      <c r="I722" s="1356"/>
      <c r="J722" s="1357"/>
      <c r="K722" s="1358">
        <v>684</v>
      </c>
      <c r="L722" s="1359"/>
      <c r="M722" s="1359"/>
      <c r="N722" s="1360"/>
      <c r="O722" s="1367">
        <v>473</v>
      </c>
      <c r="P722" s="1368"/>
      <c r="Q722" s="1368"/>
      <c r="R722" s="1368"/>
      <c r="S722" s="1369"/>
      <c r="T722" s="1367">
        <v>0</v>
      </c>
      <c r="U722" s="1368"/>
      <c r="V722" s="1368"/>
      <c r="W722" s="1369"/>
      <c r="X722" s="1387">
        <f t="shared" si="59"/>
        <v>473</v>
      </c>
      <c r="Y722" s="1388"/>
      <c r="Z722" s="1388"/>
      <c r="AA722" s="1388"/>
      <c r="AB722" s="1389"/>
      <c r="AC722" s="1406">
        <v>0.2</v>
      </c>
      <c r="AD722" s="1407"/>
      <c r="AE722" s="1407"/>
      <c r="AF722" s="1407"/>
      <c r="AG722" s="1408"/>
      <c r="AH722" s="1398">
        <f t="shared" si="60"/>
        <v>0.20008460236886633</v>
      </c>
      <c r="AI722" s="1399"/>
      <c r="AJ722" s="1400"/>
      <c r="AK722" s="1391" t="s">
        <v>2416</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326</v>
      </c>
      <c r="C723" s="1392"/>
      <c r="D723" s="1392"/>
      <c r="E723" s="1392"/>
      <c r="F723" s="1393"/>
      <c r="G723" s="1355">
        <v>5</v>
      </c>
      <c r="H723" s="1356"/>
      <c r="I723" s="1356"/>
      <c r="J723" s="1357"/>
      <c r="K723" s="1358">
        <v>684</v>
      </c>
      <c r="L723" s="1359"/>
      <c r="M723" s="1359"/>
      <c r="N723" s="1360"/>
      <c r="O723" s="1367">
        <v>709</v>
      </c>
      <c r="P723" s="1368"/>
      <c r="Q723" s="1368"/>
      <c r="R723" s="1368"/>
      <c r="S723" s="1369"/>
      <c r="T723" s="1367">
        <v>0</v>
      </c>
      <c r="U723" s="1368"/>
      <c r="V723" s="1368"/>
      <c r="W723" s="1369"/>
      <c r="X723" s="1387">
        <f t="shared" si="59"/>
        <v>709</v>
      </c>
      <c r="Y723" s="1388"/>
      <c r="Z723" s="1388"/>
      <c r="AA723" s="1388"/>
      <c r="AB723" s="1389"/>
      <c r="AC723" s="1406">
        <v>0.3</v>
      </c>
      <c r="AD723" s="1407"/>
      <c r="AE723" s="1407"/>
      <c r="AF723" s="1407"/>
      <c r="AG723" s="1408"/>
      <c r="AH723" s="1398">
        <f t="shared" si="60"/>
        <v>0.29991539763113367</v>
      </c>
      <c r="AI723" s="1399"/>
      <c r="AJ723" s="1400"/>
      <c r="AK723" s="1391" t="s">
        <v>2416</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326</v>
      </c>
      <c r="C724" s="1392"/>
      <c r="D724" s="1392"/>
      <c r="E724" s="1392"/>
      <c r="F724" s="1393"/>
      <c r="G724" s="1355">
        <v>8</v>
      </c>
      <c r="H724" s="1356"/>
      <c r="I724" s="1356"/>
      <c r="J724" s="1357"/>
      <c r="K724" s="1358">
        <v>684</v>
      </c>
      <c r="L724" s="1359"/>
      <c r="M724" s="1359"/>
      <c r="N724" s="1360"/>
      <c r="O724" s="1367">
        <v>946</v>
      </c>
      <c r="P724" s="1368"/>
      <c r="Q724" s="1368"/>
      <c r="R724" s="1368"/>
      <c r="S724" s="1369"/>
      <c r="T724" s="1367">
        <v>0</v>
      </c>
      <c r="U724" s="1368"/>
      <c r="V724" s="1368"/>
      <c r="W724" s="1369"/>
      <c r="X724" s="1387">
        <f t="shared" si="59"/>
        <v>946</v>
      </c>
      <c r="Y724" s="1388"/>
      <c r="Z724" s="1388"/>
      <c r="AA724" s="1388"/>
      <c r="AB724" s="1389"/>
      <c r="AC724" s="1406">
        <v>0.4</v>
      </c>
      <c r="AD724" s="1407"/>
      <c r="AE724" s="1407"/>
      <c r="AF724" s="1407"/>
      <c r="AG724" s="1408"/>
      <c r="AH724" s="1398">
        <f t="shared" si="60"/>
        <v>0.40016920473773265</v>
      </c>
      <c r="AI724" s="1399"/>
      <c r="AJ724" s="1400"/>
      <c r="AK724" s="1391" t="s">
        <v>2416</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59"/>
        <v>0</v>
      </c>
      <c r="Y725" s="1388"/>
      <c r="Z725" s="1388"/>
      <c r="AA725" s="1388"/>
      <c r="AB725" s="1389"/>
      <c r="AC725" s="1406"/>
      <c r="AD725" s="1407"/>
      <c r="AE725" s="1407"/>
      <c r="AF725" s="1407"/>
      <c r="AG725" s="1408"/>
      <c r="AH725" s="1398" t="str">
        <f t="shared" si="60"/>
        <v/>
      </c>
      <c r="AI725" s="1399"/>
      <c r="AJ725" s="1400"/>
      <c r="AK725" s="1391"/>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t="s">
        <v>163</v>
      </c>
      <c r="C726" s="1392"/>
      <c r="D726" s="1392"/>
      <c r="E726" s="1392"/>
      <c r="F726" s="1393"/>
      <c r="G726" s="1355">
        <v>3</v>
      </c>
      <c r="H726" s="1356"/>
      <c r="I726" s="1356"/>
      <c r="J726" s="1357"/>
      <c r="K726" s="1358">
        <v>750</v>
      </c>
      <c r="L726" s="1359"/>
      <c r="M726" s="1359"/>
      <c r="N726" s="1360"/>
      <c r="O726" s="1367">
        <v>567</v>
      </c>
      <c r="P726" s="1368"/>
      <c r="Q726" s="1368"/>
      <c r="R726" s="1368"/>
      <c r="S726" s="1369"/>
      <c r="T726" s="1367">
        <v>0</v>
      </c>
      <c r="U726" s="1368"/>
      <c r="V726" s="1368"/>
      <c r="W726" s="1369"/>
      <c r="X726" s="1387">
        <f t="shared" si="59"/>
        <v>567</v>
      </c>
      <c r="Y726" s="1388"/>
      <c r="Z726" s="1388"/>
      <c r="AA726" s="1388"/>
      <c r="AB726" s="1389"/>
      <c r="AC726" s="1406">
        <v>0.2</v>
      </c>
      <c r="AD726" s="1407"/>
      <c r="AE726" s="1407"/>
      <c r="AF726" s="1407"/>
      <c r="AG726" s="1408"/>
      <c r="AH726" s="1398">
        <f t="shared" si="60"/>
        <v>0.19992947813822284</v>
      </c>
      <c r="AI726" s="1399"/>
      <c r="AJ726" s="1400"/>
      <c r="AK726" s="1391" t="s">
        <v>2416</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t="s">
        <v>163</v>
      </c>
      <c r="C727" s="1392"/>
      <c r="D727" s="1392"/>
      <c r="E727" s="1392"/>
      <c r="F727" s="1393"/>
      <c r="G727" s="1355">
        <v>2</v>
      </c>
      <c r="H727" s="1356"/>
      <c r="I727" s="1356"/>
      <c r="J727" s="1357"/>
      <c r="K727" s="1358">
        <v>750</v>
      </c>
      <c r="L727" s="1359"/>
      <c r="M727" s="1359"/>
      <c r="N727" s="1360"/>
      <c r="O727" s="1759">
        <v>851</v>
      </c>
      <c r="P727" s="1368"/>
      <c r="Q727" s="1368"/>
      <c r="R727" s="1368"/>
      <c r="S727" s="1369"/>
      <c r="T727" s="1367">
        <v>0</v>
      </c>
      <c r="U727" s="1368"/>
      <c r="V727" s="1368"/>
      <c r="W727" s="1369"/>
      <c r="X727" s="1387">
        <f t="shared" si="59"/>
        <v>851</v>
      </c>
      <c r="Y727" s="1388"/>
      <c r="Z727" s="1388"/>
      <c r="AA727" s="1388"/>
      <c r="AB727" s="1389"/>
      <c r="AC727" s="1406">
        <v>0.3</v>
      </c>
      <c r="AD727" s="1407"/>
      <c r="AE727" s="1407"/>
      <c r="AF727" s="1407"/>
      <c r="AG727" s="1408"/>
      <c r="AH727" s="1398">
        <f t="shared" si="60"/>
        <v>0.30007052186177713</v>
      </c>
      <c r="AI727" s="1399"/>
      <c r="AJ727" s="1400"/>
      <c r="AK727" s="1391" t="s">
        <v>2416</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t="s">
        <v>163</v>
      </c>
      <c r="C728" s="1392"/>
      <c r="D728" s="1392"/>
      <c r="E728" s="1392"/>
      <c r="F728" s="1393"/>
      <c r="G728" s="1355">
        <v>4</v>
      </c>
      <c r="H728" s="1356"/>
      <c r="I728" s="1356"/>
      <c r="J728" s="1357"/>
      <c r="K728" s="1358">
        <v>750</v>
      </c>
      <c r="L728" s="1359"/>
      <c r="M728" s="1359"/>
      <c r="N728" s="1360"/>
      <c r="O728" s="1367">
        <v>1135</v>
      </c>
      <c r="P728" s="1368"/>
      <c r="Q728" s="1368"/>
      <c r="R728" s="1368"/>
      <c r="S728" s="1369"/>
      <c r="T728" s="1367">
        <v>0</v>
      </c>
      <c r="U728" s="1368"/>
      <c r="V728" s="1368"/>
      <c r="W728" s="1369"/>
      <c r="X728" s="1387">
        <f t="shared" si="59"/>
        <v>1135</v>
      </c>
      <c r="Y728" s="1388"/>
      <c r="Z728" s="1388"/>
      <c r="AA728" s="1388"/>
      <c r="AB728" s="1389"/>
      <c r="AC728" s="1406">
        <v>0.4</v>
      </c>
      <c r="AD728" s="1407"/>
      <c r="AE728" s="1407"/>
      <c r="AF728" s="1407"/>
      <c r="AG728" s="1408"/>
      <c r="AH728" s="1398">
        <f t="shared" si="60"/>
        <v>0.40021156558533144</v>
      </c>
      <c r="AI728" s="1399"/>
      <c r="AJ728" s="1400"/>
      <c r="AK728" s="1391" t="s">
        <v>2416</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59"/>
        <v>0</v>
      </c>
      <c r="Y729" s="1388"/>
      <c r="Z729" s="1388"/>
      <c r="AA729" s="1388"/>
      <c r="AB729" s="1389"/>
      <c r="AC729" s="1406"/>
      <c r="AD729" s="1407"/>
      <c r="AE729" s="1407"/>
      <c r="AF729" s="1407"/>
      <c r="AG729" s="1408"/>
      <c r="AH729" s="1398" t="str">
        <f t="shared" si="60"/>
        <v/>
      </c>
      <c r="AI729" s="1399"/>
      <c r="AJ729" s="1400"/>
      <c r="AK729" s="1391"/>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0" t="s">
        <v>125</v>
      </c>
      <c r="C753" s="1651"/>
      <c r="D753" s="1651"/>
      <c r="E753" s="1651"/>
      <c r="F753" s="1652"/>
      <c r="G753" s="1647">
        <f>SUM(G718:G752)</f>
        <v>146</v>
      </c>
      <c r="H753" s="1648"/>
      <c r="I753" s="1648"/>
      <c r="J753" s="1649"/>
      <c r="K753" s="937" t="s">
        <v>124</v>
      </c>
      <c r="L753" s="5"/>
      <c r="M753" s="5"/>
      <c r="N753" s="46"/>
      <c r="O753" s="1387">
        <f>SUMPRODUCT(G718:G752,O718:O752)</f>
        <v>96663</v>
      </c>
      <c r="P753" s="1388"/>
      <c r="Q753" s="1388"/>
      <c r="R753" s="1388"/>
      <c r="S753" s="1389"/>
      <c r="T753"/>
      <c r="U753"/>
      <c r="V753"/>
      <c r="W753"/>
      <c r="X753" s="939" t="s">
        <v>914</v>
      </c>
      <c r="Y753" s="938"/>
      <c r="Z753" s="938"/>
      <c r="AA753" s="938"/>
      <c r="AB753" s="940"/>
      <c r="AC753" s="1653">
        <f>BI703</f>
        <v>0.29178082191780824</v>
      </c>
      <c r="AD753" s="1654"/>
      <c r="AE753" s="1654"/>
      <c r="AF753" s="1654"/>
      <c r="AG753" s="1655"/>
      <c r="AH753" s="1653">
        <f>IFERROR(BV703,"")</f>
        <v>0.29184943121719531</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2181</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89">
        <f>CS634</f>
        <v>155</v>
      </c>
      <c r="P756" s="1489"/>
      <c r="Q756" s="1489"/>
      <c r="R756" s="1489"/>
      <c r="S756" s="1004"/>
      <c r="T756" s="1004"/>
      <c r="U756" s="118" t="s">
        <v>2180</v>
      </c>
      <c r="V756" s="1067"/>
      <c r="W756" s="1067"/>
      <c r="X756" s="1067"/>
      <c r="Y756" s="1068"/>
      <c r="Z756" s="1068"/>
      <c r="AA756" s="1068"/>
      <c r="AB756" s="1068"/>
      <c r="AC756" s="1067"/>
      <c r="AD756" s="1067"/>
      <c r="AE756" s="1067"/>
      <c r="AF756" s="1067"/>
      <c r="AG756" s="1621">
        <v>155</v>
      </c>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4" t="s">
        <v>1866</v>
      </c>
      <c r="U769" s="1765"/>
      <c r="V769" s="1765"/>
      <c r="W769" s="1766"/>
      <c r="X769" s="1370" t="s">
        <v>455</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7"/>
      <c r="U770" s="1768"/>
      <c r="V770" s="1768"/>
      <c r="W770" s="1769"/>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7"/>
      <c r="U771" s="1768"/>
      <c r="V771" s="1768"/>
      <c r="W771" s="1769"/>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70"/>
      <c r="U772" s="1771"/>
      <c r="V772" s="1771"/>
      <c r="W772" s="1772"/>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2</v>
      </c>
      <c r="P773" s="1363"/>
      <c r="Q773" s="1363"/>
      <c r="R773" s="1363"/>
      <c r="S773" s="1363"/>
      <c r="T773" s="1358">
        <v>750</v>
      </c>
      <c r="U773" s="1359"/>
      <c r="V773" s="1359"/>
      <c r="W773" s="1360"/>
      <c r="X773" s="1367">
        <v>0</v>
      </c>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0" t="s">
        <v>125</v>
      </c>
      <c r="K777" s="1651"/>
      <c r="L777" s="1651"/>
      <c r="M777" s="1651"/>
      <c r="N777" s="1652"/>
      <c r="O777" s="1490">
        <f>SUM(O773:S776)</f>
        <v>2</v>
      </c>
      <c r="P777" s="1491"/>
      <c r="Q777" s="1491"/>
      <c r="R777" s="1491"/>
      <c r="S777" s="1492"/>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676</v>
      </c>
      <c r="K779" s="1402"/>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4" t="s">
        <v>1866</v>
      </c>
      <c r="U783" s="1765"/>
      <c r="V783" s="1765"/>
      <c r="W783" s="1766"/>
      <c r="X783" s="1370" t="s">
        <v>455</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7"/>
      <c r="U784" s="1768"/>
      <c r="V784" s="1768"/>
      <c r="W784" s="1769"/>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7"/>
      <c r="U785" s="1768"/>
      <c r="V785" s="1768"/>
      <c r="W785" s="1769"/>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70"/>
      <c r="U786" s="1771"/>
      <c r="V786" s="1771"/>
      <c r="W786" s="1772"/>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1" t="s">
        <v>477</v>
      </c>
      <c r="BO796" s="1672"/>
      <c r="BP796" s="3"/>
      <c r="BQ796" s="3"/>
      <c r="BR796" s="3"/>
      <c r="BS796" s="14" t="s">
        <v>641</v>
      </c>
      <c r="BT796" s="14"/>
      <c r="BU796" s="14"/>
      <c r="BV796" s="14"/>
      <c r="BW796" s="14"/>
      <c r="BX796" s="14"/>
      <c r="BY796" s="14"/>
      <c r="BZ796" s="14"/>
      <c r="CA796" s="14"/>
      <c r="CB796" s="1668" t="str">
        <f>T189</f>
        <v>Los Angeles</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0" t="s">
        <v>125</v>
      </c>
      <c r="K797" s="1651"/>
      <c r="L797" s="1651"/>
      <c r="M797" s="1651"/>
      <c r="N797" s="1652"/>
      <c r="O797" s="1488">
        <f>SUM(O787:S796)</f>
        <v>0</v>
      </c>
      <c r="P797" s="1488"/>
      <c r="Q797" s="1488"/>
      <c r="R797" s="1488"/>
      <c r="S797" s="1488"/>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96663</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1159956</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468</v>
      </c>
      <c r="BU805" s="14"/>
      <c r="BV805" s="14"/>
      <c r="BW805" s="71" t="s">
        <v>640</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100</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t="s">
        <v>2784</v>
      </c>
      <c r="AA808" s="1682"/>
      <c r="AB808" s="1682"/>
      <c r="AC808" s="1682"/>
      <c r="AD808" s="1682"/>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1992204</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12200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v>10000</v>
      </c>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4" t="s">
        <v>335</v>
      </c>
      <c r="Q816" s="1574"/>
      <c r="R816" s="1574"/>
      <c r="S816" s="1574"/>
      <c r="T816" s="1574"/>
      <c r="U816" s="1574"/>
      <c r="V816" s="1574"/>
      <c r="W816" s="1574"/>
      <c r="X816" s="1574"/>
      <c r="Y816" s="1575"/>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22200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64">
        <f>Z817+Y801+Z809</f>
        <v>3174360</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60"/>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770</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467</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6" t="s">
        <v>791</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4" t="s">
        <v>335</v>
      </c>
      <c r="G831" s="1574"/>
      <c r="H831" s="1574"/>
      <c r="I831" s="1574"/>
      <c r="J831" s="1574"/>
      <c r="K831" s="1574"/>
      <c r="L831" s="1574"/>
      <c r="M831" s="1397"/>
      <c r="N831" s="1397"/>
      <c r="O831" s="1397"/>
      <c r="P831" s="1397"/>
      <c r="Q831" s="1397"/>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0</v>
      </c>
      <c r="R832" s="1674"/>
      <c r="S832" s="1674"/>
      <c r="T832" s="1674"/>
      <c r="U832" s="1674">
        <f>SUM(U825:X831)</f>
        <v>0</v>
      </c>
      <c r="V832" s="1674"/>
      <c r="W832" s="1674"/>
      <c r="X832" s="1674"/>
      <c r="Y832" s="1674">
        <f>SUM(Y825:AB831)</f>
        <v>0</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5" t="s">
        <v>599</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4">
        <v>8300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4">
        <f>2000+8800</f>
        <v>10800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4">
        <v>28000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4">
        <f>210000+28000</f>
        <v>238000</v>
      </c>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4" t="s">
        <v>2756</v>
      </c>
      <c r="N846" s="1574"/>
      <c r="O846" s="1574"/>
      <c r="P846" s="1574"/>
      <c r="Q846" s="1574"/>
      <c r="R846" s="1574"/>
      <c r="S846" s="1574"/>
      <c r="T846" s="1574"/>
      <c r="U846" s="1574"/>
      <c r="V846" s="1575"/>
      <c r="W846" s="1504">
        <f>25999+20000</f>
        <v>45999</v>
      </c>
      <c r="X846" s="1504"/>
      <c r="Y846" s="1504"/>
      <c r="Z846" s="1504"/>
      <c r="AA846" s="1504"/>
      <c r="AB846" s="1504"/>
      <c r="AC846" s="150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331099</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4"/>
      <c r="BH848" s="1664"/>
      <c r="BI848" s="1664"/>
      <c r="BJ848" s="1664"/>
      <c r="BK848" s="1664"/>
      <c r="BL848" s="1664"/>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0" t="s">
        <v>346</v>
      </c>
      <c r="K849" s="1651"/>
      <c r="L849" s="1651"/>
      <c r="M849" s="1651"/>
      <c r="N849" s="1651"/>
      <c r="O849" s="1651"/>
      <c r="P849" s="1651"/>
      <c r="Q849" s="1651"/>
      <c r="R849" s="1651"/>
      <c r="S849" s="1651"/>
      <c r="T849" s="1651"/>
      <c r="U849" s="1651"/>
      <c r="V849" s="1652"/>
      <c r="W849" s="1394">
        <f>59000+72400</f>
        <v>131400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33">
        <v>0</v>
      </c>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v>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33">
        <v>202700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33">
        <v>99300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302000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36">
        <v>71040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4">
        <v>3</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36">
        <f>34900+34900</f>
        <v>69800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4">
        <v>2</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4" t="s">
        <v>2757</v>
      </c>
      <c r="N861" s="1574"/>
      <c r="O861" s="1574"/>
      <c r="P861" s="1574"/>
      <c r="Q861" s="1574"/>
      <c r="R861" s="1574"/>
      <c r="S861" s="1574"/>
      <c r="T861" s="1574"/>
      <c r="U861" s="1574"/>
      <c r="V861" s="1575"/>
      <c r="W861" s="1736">
        <f>74700+74700</f>
        <v>149400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290240</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f>66600+20000</f>
        <v>86600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04">
        <f>7400+2600</f>
        <v>10000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04">
        <v>154600</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04">
        <f>49600+27400</f>
        <v>77000</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04">
        <v>2000</v>
      </c>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04">
        <v>66200</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04">
        <v>3500</v>
      </c>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4" t="s">
        <v>2758</v>
      </c>
      <c r="N871" s="1574"/>
      <c r="O871" s="1574"/>
      <c r="P871" s="1574"/>
      <c r="Q871" s="1574"/>
      <c r="R871" s="1574"/>
      <c r="S871" s="1574"/>
      <c r="T871" s="1574"/>
      <c r="U871" s="1574"/>
      <c r="V871" s="1575"/>
      <c r="W871" s="1504">
        <v>99300</v>
      </c>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412600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544" t="s">
        <v>2759</v>
      </c>
      <c r="N874" s="1574"/>
      <c r="O874" s="1574"/>
      <c r="P874" s="1574"/>
      <c r="Q874" s="1574"/>
      <c r="R874" s="1574"/>
      <c r="S874" s="1574"/>
      <c r="T874" s="1574"/>
      <c r="U874" s="1574"/>
      <c r="V874" s="1575"/>
      <c r="W874" s="1394">
        <v>350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544" t="s">
        <v>2760</v>
      </c>
      <c r="N875" s="1574"/>
      <c r="O875" s="1574"/>
      <c r="P875" s="1574"/>
      <c r="Q875" s="1574"/>
      <c r="R875" s="1574"/>
      <c r="S875" s="1574"/>
      <c r="T875" s="1574"/>
      <c r="U875" s="1574"/>
      <c r="V875" s="1575"/>
      <c r="W875" s="1394">
        <v>800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4" t="s">
        <v>2761</v>
      </c>
      <c r="N876" s="1574"/>
      <c r="O876" s="1574"/>
      <c r="P876" s="1574"/>
      <c r="Q876" s="1574"/>
      <c r="R876" s="1574"/>
      <c r="S876" s="1574"/>
      <c r="T876" s="1574"/>
      <c r="U876" s="1574"/>
      <c r="V876" s="1575"/>
      <c r="W876" s="1394">
        <v>5000</v>
      </c>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4"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4"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6150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1560089</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4">
        <f>O797+O777+G753</f>
        <v>148</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50">
        <f>IF(ISERROR((ROUNDDOWN(AC883/AC884,0))),0,(ROUNDDOWN(AC883/AC884,0)))</f>
        <v>10541</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4">
        <v>661184</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396"/>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74000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20600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974</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4"/>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974</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0"/>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1" t="s">
        <v>800</v>
      </c>
      <c r="G914" s="1542"/>
      <c r="H914" s="1542"/>
      <c r="I914" s="1542"/>
      <c r="J914" s="1542"/>
      <c r="K914" s="1542"/>
      <c r="L914" s="1542"/>
      <c r="M914" s="1542"/>
      <c r="N914" s="1542"/>
      <c r="O914" s="1542"/>
      <c r="P914" s="1542"/>
      <c r="Q914" s="1542"/>
      <c r="R914" s="1542"/>
      <c r="S914" s="1542"/>
      <c r="T914" s="1543"/>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2" t="s">
        <v>826</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33" t="s">
        <v>553</v>
      </c>
      <c r="V917" s="1434"/>
      <c r="W917" s="1434"/>
      <c r="X917" s="1434"/>
      <c r="Y917" s="1434"/>
      <c r="Z917" s="1435"/>
      <c r="AA917" s="1436">
        <v>46000000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33" t="s">
        <v>553</v>
      </c>
      <c r="V918" s="1434"/>
      <c r="W918" s="1434"/>
      <c r="X918" s="1434"/>
      <c r="Y918" s="1434"/>
      <c r="Z918" s="1435"/>
      <c r="AA918" s="1436">
        <v>31125356</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33" t="s">
        <v>599</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8" t="s">
        <v>2555</v>
      </c>
      <c r="G925" s="1589"/>
      <c r="H925" s="1589"/>
      <c r="I925" s="1589"/>
      <c r="J925" s="1589"/>
      <c r="K925" s="1589"/>
      <c r="L925" s="1589"/>
      <c r="M925" s="1589"/>
      <c r="N925" s="1589"/>
      <c r="O925" s="1589"/>
      <c r="P925" s="1589"/>
      <c r="Q925" s="1589"/>
      <c r="R925" s="1589"/>
      <c r="S925" s="1589"/>
      <c r="T925" s="1590"/>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8" t="s">
        <v>686</v>
      </c>
      <c r="G926" s="1589"/>
      <c r="H926" s="1589"/>
      <c r="I926" s="1589"/>
      <c r="J926" s="1589"/>
      <c r="K926" s="1589"/>
      <c r="L926" s="1589"/>
      <c r="M926" s="1589"/>
      <c r="N926" s="1589"/>
      <c r="O926" s="1589"/>
      <c r="P926" s="1589"/>
      <c r="Q926" s="1589"/>
      <c r="R926" s="1589"/>
      <c r="S926" s="1589"/>
      <c r="T926" s="1590"/>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8" t="s">
        <v>2556</v>
      </c>
      <c r="G927" s="1589"/>
      <c r="H927" s="1589"/>
      <c r="I927" s="1589"/>
      <c r="J927" s="1589"/>
      <c r="K927" s="1589"/>
      <c r="L927" s="1589"/>
      <c r="M927" s="1589"/>
      <c r="N927" s="1589"/>
      <c r="O927" s="1589"/>
      <c r="P927" s="1589"/>
      <c r="Q927" s="1589"/>
      <c r="R927" s="1589"/>
      <c r="S927" s="1589"/>
      <c r="T927" s="1590"/>
      <c r="U927" s="1433" t="s">
        <v>599</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8" t="s">
        <v>2557</v>
      </c>
      <c r="G928" s="1589"/>
      <c r="H928" s="1589"/>
      <c r="I928" s="1589"/>
      <c r="J928" s="1589"/>
      <c r="K928" s="1589"/>
      <c r="L928" s="1589"/>
      <c r="M928" s="1589"/>
      <c r="N928" s="1589"/>
      <c r="O928" s="1589"/>
      <c r="P928" s="1589"/>
      <c r="Q928" s="1589"/>
      <c r="R928" s="1589"/>
      <c r="S928" s="1589"/>
      <c r="T928" s="1590"/>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8" t="s">
        <v>2558</v>
      </c>
      <c r="G929" s="1589"/>
      <c r="H929" s="1589"/>
      <c r="I929" s="1589"/>
      <c r="J929" s="1589"/>
      <c r="K929" s="1589"/>
      <c r="L929" s="1589"/>
      <c r="M929" s="1589"/>
      <c r="N929" s="1589"/>
      <c r="O929" s="1589"/>
      <c r="P929" s="1589"/>
      <c r="Q929" s="1589"/>
      <c r="R929" s="1589"/>
      <c r="S929" s="1589"/>
      <c r="T929" s="1590"/>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8" t="s">
        <v>2559</v>
      </c>
      <c r="G930" s="1589"/>
      <c r="H930" s="1589"/>
      <c r="I930" s="1589"/>
      <c r="J930" s="1589"/>
      <c r="K930" s="1589"/>
      <c r="L930" s="1589"/>
      <c r="M930" s="1589"/>
      <c r="N930" s="1589"/>
      <c r="O930" s="1589"/>
      <c r="P930" s="1589"/>
      <c r="Q930" s="1589"/>
      <c r="R930" s="1589"/>
      <c r="S930" s="1589"/>
      <c r="T930" s="1590"/>
      <c r="U930" s="1433" t="s">
        <v>599</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8" t="s">
        <v>2560</v>
      </c>
      <c r="G931" s="1589"/>
      <c r="H931" s="1589"/>
      <c r="I931" s="1589"/>
      <c r="J931" s="1589"/>
      <c r="K931" s="1589"/>
      <c r="L931" s="1589"/>
      <c r="M931" s="1589"/>
      <c r="N931" s="1589"/>
      <c r="O931" s="1589"/>
      <c r="P931" s="1589"/>
      <c r="Q931" s="1589"/>
      <c r="R931" s="1589"/>
      <c r="S931" s="1589"/>
      <c r="T931" s="1590"/>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33" t="s">
        <v>599</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33" t="s">
        <v>599</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5" t="s">
        <v>2564</v>
      </c>
      <c r="G935" s="1596"/>
      <c r="H935" s="1596"/>
      <c r="I935" s="1596"/>
      <c r="J935" s="1596"/>
      <c r="K935" s="1596"/>
      <c r="L935" s="1596"/>
      <c r="M935" s="1596"/>
      <c r="N935" s="1596"/>
      <c r="O935" s="1596"/>
      <c r="P935" s="1596"/>
      <c r="Q935" s="1596"/>
      <c r="R935" s="1596"/>
      <c r="S935" s="1596"/>
      <c r="T935" s="1597"/>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5" t="s">
        <v>2565</v>
      </c>
      <c r="G936" s="1596"/>
      <c r="H936" s="1596"/>
      <c r="I936" s="1596"/>
      <c r="J936" s="1596"/>
      <c r="K936" s="1596"/>
      <c r="L936" s="1596"/>
      <c r="M936" s="1596"/>
      <c r="N936" s="1596"/>
      <c r="O936" s="1596"/>
      <c r="P936" s="1596"/>
      <c r="Q936" s="1596"/>
      <c r="R936" s="1596"/>
      <c r="S936" s="1596"/>
      <c r="T936" s="1597"/>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8" t="s">
        <v>2561</v>
      </c>
      <c r="G937" s="1589"/>
      <c r="H937" s="1589"/>
      <c r="I937" s="1589"/>
      <c r="J937" s="1589"/>
      <c r="K937" s="1589"/>
      <c r="L937" s="1589"/>
      <c r="M937" s="1589"/>
      <c r="N937" s="1589"/>
      <c r="O937" s="1589"/>
      <c r="P937" s="1589"/>
      <c r="Q937" s="1589"/>
      <c r="R937" s="1589"/>
      <c r="S937" s="1589"/>
      <c r="T937" s="1590"/>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8" t="s">
        <v>2562</v>
      </c>
      <c r="G938" s="1589"/>
      <c r="H938" s="1589"/>
      <c r="I938" s="1589"/>
      <c r="J938" s="1589"/>
      <c r="K938" s="1589"/>
      <c r="L938" s="1589"/>
      <c r="M938" s="1589"/>
      <c r="N938" s="1589"/>
      <c r="O938" s="1589"/>
      <c r="P938" s="1589"/>
      <c r="Q938" s="1589"/>
      <c r="R938" s="1589"/>
      <c r="S938" s="1589"/>
      <c r="T938" s="1590"/>
      <c r="U938" s="1433"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8" t="s">
        <v>2563</v>
      </c>
      <c r="G939" s="1589"/>
      <c r="H939" s="1589"/>
      <c r="I939" s="1589"/>
      <c r="J939" s="1589"/>
      <c r="K939" s="1589"/>
      <c r="L939" s="1589"/>
      <c r="M939" s="1589"/>
      <c r="N939" s="1589"/>
      <c r="O939" s="1589"/>
      <c r="P939" s="1589"/>
      <c r="Q939" s="1589"/>
      <c r="R939" s="1589"/>
      <c r="S939" s="1589"/>
      <c r="T939" s="1590"/>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5" t="s">
        <v>2566</v>
      </c>
      <c r="G941" s="1596"/>
      <c r="H941" s="1596"/>
      <c r="I941" s="1596"/>
      <c r="J941" s="1596"/>
      <c r="K941" s="1596"/>
      <c r="L941" s="1596"/>
      <c r="M941" s="1596"/>
      <c r="N941" s="1596"/>
      <c r="O941" s="1596"/>
      <c r="P941" s="1596"/>
      <c r="Q941" s="1596"/>
      <c r="R941" s="1596"/>
      <c r="S941" s="1596"/>
      <c r="T941" s="1597"/>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5" t="s">
        <v>2567</v>
      </c>
      <c r="G943" s="1596"/>
      <c r="H943" s="1596"/>
      <c r="I943" s="1596"/>
      <c r="J943" s="1596"/>
      <c r="K943" s="1596"/>
      <c r="L943" s="1596"/>
      <c r="M943" s="1596"/>
      <c r="N943" s="1596"/>
      <c r="O943" s="1596"/>
      <c r="P943" s="1596"/>
      <c r="Q943" s="1596"/>
      <c r="R943" s="1596"/>
      <c r="S943" s="1596"/>
      <c r="T943" s="1597"/>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33" t="s">
        <v>676</v>
      </c>
      <c r="Q944" s="1434"/>
      <c r="R944" s="1434"/>
      <c r="S944" s="1434"/>
      <c r="T944" s="1435"/>
      <c r="U944" s="1433" t="s">
        <v>599</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8" t="s">
        <v>2554</v>
      </c>
      <c r="G945" s="1589"/>
      <c r="H945" s="1590"/>
      <c r="I945" s="1544" t="s">
        <v>335</v>
      </c>
      <c r="J945" s="1574"/>
      <c r="K945" s="1574"/>
      <c r="L945" s="1574"/>
      <c r="M945" s="1574"/>
      <c r="N945" s="1574"/>
      <c r="O945" s="1574"/>
      <c r="P945" s="1574"/>
      <c r="Q945" s="1574"/>
      <c r="R945" s="1574"/>
      <c r="S945" s="1574"/>
      <c r="T945" s="1575"/>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4" t="s">
        <v>2724</v>
      </c>
      <c r="J946" s="1574"/>
      <c r="K946" s="1574"/>
      <c r="L946" s="1574"/>
      <c r="M946" s="1574"/>
      <c r="N946" s="1574"/>
      <c r="O946" s="1574"/>
      <c r="P946" s="1574"/>
      <c r="Q946" s="1574"/>
      <c r="R946" s="1574"/>
      <c r="S946" s="1574"/>
      <c r="T946" s="1575"/>
      <c r="U946" s="1433" t="s">
        <v>553</v>
      </c>
      <c r="V946" s="1434"/>
      <c r="W946" s="1434"/>
      <c r="X946" s="1434"/>
      <c r="Y946" s="1434"/>
      <c r="Z946" s="1435"/>
      <c r="AA946" s="1436">
        <f>AO629</f>
        <v>20000000</v>
      </c>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4" t="s">
        <v>2725</v>
      </c>
      <c r="J947" s="1545"/>
      <c r="K947" s="1545"/>
      <c r="L947" s="1545"/>
      <c r="M947" s="1545"/>
      <c r="N947" s="1545"/>
      <c r="O947" s="1545"/>
      <c r="P947" s="1545"/>
      <c r="Q947" s="1545"/>
      <c r="R947" s="1545"/>
      <c r="S947" s="1545"/>
      <c r="T947" s="1546"/>
      <c r="U947" s="1433" t="s">
        <v>553</v>
      </c>
      <c r="V947" s="1434"/>
      <c r="W947" s="1434"/>
      <c r="X947" s="1434"/>
      <c r="Y947" s="1434"/>
      <c r="Z947" s="1435"/>
      <c r="AA947" s="1436">
        <f>AO628</f>
        <v>12995146</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70" t="s">
        <v>335</v>
      </c>
      <c r="J948" s="1545"/>
      <c r="K948" s="1545"/>
      <c r="L948" s="1545"/>
      <c r="M948" s="1545"/>
      <c r="N948" s="1545"/>
      <c r="O948" s="1545"/>
      <c r="P948" s="1545"/>
      <c r="Q948" s="1545"/>
      <c r="R948" s="1545"/>
      <c r="S948" s="1545"/>
      <c r="T948" s="1546"/>
      <c r="U948" s="1433" t="s">
        <v>599</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0" t="s">
        <v>335</v>
      </c>
      <c r="J949" s="1545"/>
      <c r="K949" s="1545"/>
      <c r="L949" s="1545"/>
      <c r="M949" s="1545"/>
      <c r="N949" s="1545"/>
      <c r="O949" s="1545"/>
      <c r="P949" s="1545"/>
      <c r="Q949" s="1545"/>
      <c r="R949" s="1545"/>
      <c r="S949" s="1545"/>
      <c r="T949" s="1546"/>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45330</v>
      </c>
      <c r="N954" s="1682"/>
      <c r="O954" s="1682"/>
      <c r="P954" s="1682"/>
      <c r="Q954" s="1682"/>
      <c r="R954" s="1682"/>
      <c r="S954" s="1726"/>
      <c r="U954" s="66" t="s">
        <v>11</v>
      </c>
      <c r="V954" s="5"/>
      <c r="W954" s="5"/>
      <c r="X954" s="5"/>
      <c r="Y954" s="5"/>
      <c r="Z954" s="5"/>
      <c r="AA954" s="5"/>
      <c r="AB954" s="5"/>
      <c r="AC954" s="5"/>
      <c r="AD954" s="46"/>
      <c r="AE954" s="1725"/>
      <c r="AF954" s="1682"/>
      <c r="AG954" s="1682"/>
      <c r="AH954" s="1682"/>
      <c r="AI954" s="1682"/>
      <c r="AJ954" s="1682"/>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0" t="s">
        <v>2722</v>
      </c>
      <c r="N955" s="1551"/>
      <c r="O955" s="1551"/>
      <c r="P955" s="1551"/>
      <c r="Q955" s="1551"/>
      <c r="R955" s="1551"/>
      <c r="S955" s="1552"/>
      <c r="U955" s="66" t="s">
        <v>12</v>
      </c>
      <c r="V955" s="5"/>
      <c r="W955" s="5"/>
      <c r="X955" s="5"/>
      <c r="Y955" s="5"/>
      <c r="Z955" s="5"/>
      <c r="AA955" s="5"/>
      <c r="AB955" s="5"/>
      <c r="AC955" s="5"/>
      <c r="AD955" s="46"/>
      <c r="AE955" s="1550"/>
      <c r="AF955" s="1551"/>
      <c r="AG955" s="1551"/>
      <c r="AH955" s="1551"/>
      <c r="AI955" s="1551"/>
      <c r="AJ955" s="1551"/>
      <c r="AK955" s="155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53" t="s">
        <v>2723</v>
      </c>
      <c r="K956" s="1554"/>
      <c r="L956" s="1554"/>
      <c r="M956" s="1554"/>
      <c r="N956" s="1554"/>
      <c r="O956" s="1554"/>
      <c r="P956" s="1554"/>
      <c r="Q956" s="1554"/>
      <c r="R956" s="1554"/>
      <c r="S956" s="1555"/>
      <c r="U956" s="66" t="s">
        <v>891</v>
      </c>
      <c r="V956" s="5"/>
      <c r="W956" s="5"/>
      <c r="AB956" s="1553" t="s">
        <v>308</v>
      </c>
      <c r="AC956" s="1554"/>
      <c r="AD956" s="1554"/>
      <c r="AE956" s="1554"/>
      <c r="AF956" s="1554"/>
      <c r="AG956" s="1554"/>
      <c r="AH956" s="1554"/>
      <c r="AI956" s="1554"/>
      <c r="AJ956" s="1554"/>
      <c r="AK956" s="15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f>100/146</f>
        <v>0.68493150684931503</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100</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v>1992204</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f>M959*M961</f>
        <v>39844080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428">
        <v>20</v>
      </c>
      <c r="N961" s="1429"/>
      <c r="O961" s="1429"/>
      <c r="P961" s="1429"/>
      <c r="Q961" s="1429"/>
      <c r="R961" s="1429"/>
      <c r="S961" s="1430"/>
      <c r="U961" s="121" t="s">
        <v>1773</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38"/>
      <c r="N966" s="1539"/>
      <c r="O966" s="1539"/>
      <c r="P966" s="1539"/>
      <c r="Q966" s="1539"/>
      <c r="R966" s="1539"/>
      <c r="S966" s="1540"/>
      <c r="T966" s="66" t="s">
        <v>798</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38"/>
      <c r="N967" s="1539"/>
      <c r="O967" s="1539"/>
      <c r="P967" s="1539"/>
      <c r="Q967" s="1539"/>
      <c r="R967" s="1539"/>
      <c r="S967" s="1540"/>
      <c r="T967" s="66" t="s">
        <v>797</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65" t="s">
        <v>599</v>
      </c>
      <c r="N968" s="1666"/>
      <c r="O968" s="1666"/>
      <c r="P968" s="1666"/>
      <c r="Q968" s="1666"/>
      <c r="R968" s="1666"/>
      <c r="S968" s="1667"/>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59" t="s">
        <v>308</v>
      </c>
      <c r="N971" s="1660"/>
      <c r="O971" s="1660"/>
      <c r="P971" s="1660"/>
      <c r="Q971" s="1660"/>
      <c r="R971" s="1660"/>
      <c r="S971" s="1661"/>
      <c r="T971" s="1571"/>
      <c r="U971" s="1572"/>
      <c r="V971" s="1572"/>
      <c r="W971" s="1572"/>
      <c r="X971" s="1572"/>
      <c r="Y971" s="1572"/>
      <c r="Z971" s="1573"/>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38"/>
      <c r="N972" s="1539"/>
      <c r="O972" s="1539"/>
      <c r="P972" s="1539"/>
      <c r="Q972" s="1539"/>
      <c r="R972" s="1539"/>
      <c r="S972" s="1540"/>
      <c r="T972" s="1571"/>
      <c r="U972" s="1572"/>
      <c r="V972" s="1572"/>
      <c r="W972" s="1572"/>
      <c r="X972" s="1572"/>
      <c r="Y972" s="1572"/>
      <c r="Z972" s="1573"/>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9" t="s">
        <v>676</v>
      </c>
      <c r="P973" s="1700"/>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8"/>
      <c r="N974" s="1539"/>
      <c r="O974" s="1539"/>
      <c r="P974" s="1539"/>
      <c r="Q974" s="1539"/>
      <c r="R974" s="1539"/>
      <c r="S974" s="1540"/>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556</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7" t="s">
        <v>645</v>
      </c>
      <c r="E984" s="1548"/>
      <c r="F984" s="1548"/>
      <c r="G984" s="1548"/>
      <c r="H984" s="1548"/>
      <c r="I984" s="1548"/>
      <c r="J984" s="1548"/>
      <c r="K984" s="1548"/>
      <c r="L984" s="1548"/>
      <c r="M984" s="1548"/>
      <c r="N984" s="1548"/>
      <c r="O984" s="1548"/>
      <c r="P984" s="1548"/>
      <c r="Q984" s="1549"/>
      <c r="R984" s="1547" t="s">
        <v>646</v>
      </c>
      <c r="S984" s="1548"/>
      <c r="T984" s="1548"/>
      <c r="U984" s="1548"/>
      <c r="V984" s="1548"/>
      <c r="W984" s="1548"/>
      <c r="X984" s="1548"/>
      <c r="Y984" s="1548"/>
      <c r="Z984" s="1548"/>
      <c r="AA984" s="1549"/>
      <c r="AB984" s="1547" t="s">
        <v>647</v>
      </c>
      <c r="AC984" s="1548"/>
      <c r="AD984" s="1548"/>
      <c r="AE984" s="1548"/>
      <c r="AF984" s="1548"/>
      <c r="AG984" s="1548"/>
      <c r="AH984" s="1548"/>
      <c r="AI984" s="1549"/>
      <c r="AJ984" s="1547" t="s">
        <v>648</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640</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437727</v>
      </c>
      <c r="S985" s="1594"/>
      <c r="T985" s="1594"/>
      <c r="U985" s="1594"/>
      <c r="V985" s="1594"/>
      <c r="W985" s="1594"/>
      <c r="X985" s="1594"/>
      <c r="Y985" s="1594"/>
      <c r="Z985" s="1594"/>
      <c r="AA985" s="1594"/>
      <c r="AB985" s="1425">
        <f>BN660</f>
        <v>119</v>
      </c>
      <c r="AC985" s="1426"/>
      <c r="AD985" s="1426"/>
      <c r="AE985" s="1426"/>
      <c r="AF985" s="1426"/>
      <c r="AG985" s="1426"/>
      <c r="AH985" s="1426"/>
      <c r="AI985" s="1427"/>
      <c r="AJ985" s="1512">
        <f>IF(ISERROR((R985*AB985)),0,(R985*AB985))</f>
        <v>52089513</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504695</v>
      </c>
      <c r="S986" s="1594"/>
      <c r="T986" s="1594"/>
      <c r="U986" s="1594"/>
      <c r="V986" s="1594"/>
      <c r="W986" s="1594"/>
      <c r="X986" s="1594"/>
      <c r="Y986" s="1594"/>
      <c r="Z986" s="1594"/>
      <c r="AA986" s="1594"/>
      <c r="AB986" s="1425">
        <f>BS660</f>
        <v>18</v>
      </c>
      <c r="AC986" s="1426"/>
      <c r="AD986" s="1426"/>
      <c r="AE986" s="1426"/>
      <c r="AF986" s="1426"/>
      <c r="AG986" s="1426"/>
      <c r="AH986" s="1426"/>
      <c r="AI986" s="1427"/>
      <c r="AJ986" s="1512">
        <f>IF(ISERROR((R986*AB986)),0,(R986*AB986))</f>
        <v>9084510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608800</v>
      </c>
      <c r="S987" s="1594"/>
      <c r="T987" s="1594"/>
      <c r="U987" s="1594"/>
      <c r="V987" s="1594"/>
      <c r="W987" s="1594"/>
      <c r="X987" s="1594"/>
      <c r="Y987" s="1594"/>
      <c r="Z987" s="1594"/>
      <c r="AA987" s="1594"/>
      <c r="AB987" s="1425">
        <f>BX660</f>
        <v>11</v>
      </c>
      <c r="AC987" s="1426"/>
      <c r="AD987" s="1426"/>
      <c r="AE987" s="1426"/>
      <c r="AF987" s="1426"/>
      <c r="AG987" s="1426"/>
      <c r="AH987" s="1426"/>
      <c r="AI987" s="1427"/>
      <c r="AJ987" s="1512">
        <f>IF(ISERROR((R987*AB987)),0,(R987*AB987))</f>
        <v>6696800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779264</v>
      </c>
      <c r="S988" s="1594"/>
      <c r="T988" s="1594"/>
      <c r="U988" s="1594"/>
      <c r="V988" s="1594"/>
      <c r="W988" s="1594"/>
      <c r="X988" s="1594"/>
      <c r="Y988" s="1594"/>
      <c r="Z988" s="1594"/>
      <c r="AA988" s="1594"/>
      <c r="AB988" s="1425">
        <f>CC660</f>
        <v>0</v>
      </c>
      <c r="AC988" s="1426"/>
      <c r="AD988" s="1426"/>
      <c r="AE988" s="1426"/>
      <c r="AF988" s="1426"/>
      <c r="AG988" s="1426"/>
      <c r="AH988" s="1426"/>
      <c r="AI988" s="1427"/>
      <c r="AJ988" s="1512">
        <f>IF(ISERROR((R988*AB988)),0,(R988*AB988))</f>
        <v>0</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468</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868149</v>
      </c>
      <c r="S989" s="1594"/>
      <c r="T989" s="1594"/>
      <c r="U989" s="1594"/>
      <c r="V989" s="1594"/>
      <c r="W989" s="1594"/>
      <c r="X989" s="1594"/>
      <c r="Y989" s="1594"/>
      <c r="Z989" s="1594"/>
      <c r="AA989" s="1594"/>
      <c r="AB989" s="1425">
        <f>CM660+CH660</f>
        <v>0</v>
      </c>
      <c r="AC989" s="1426"/>
      <c r="AD989" s="1426"/>
      <c r="AE989" s="1426"/>
      <c r="AF989" s="1426"/>
      <c r="AG989" s="1426"/>
      <c r="AH989" s="1426"/>
      <c r="AI989" s="1427"/>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5" t="s">
        <v>799</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148</v>
      </c>
      <c r="AC990" s="1426"/>
      <c r="AD990" s="1426"/>
      <c r="AE990" s="1426"/>
      <c r="AF990" s="1426"/>
      <c r="AG990" s="1426"/>
      <c r="AH990" s="1426"/>
      <c r="AI990" s="1427"/>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1" t="s">
        <v>520</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2">
        <f>SUM(AJ985:AQ989)</f>
        <v>67870823</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673</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8" t="s">
        <v>1324</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553</v>
      </c>
      <c r="AH993" s="1525"/>
      <c r="AI993" s="87"/>
      <c r="AJ993" s="1556">
        <f>ROUND(IF(AND(AG993="yes",D999&gt;0),AJ991*0.2,0),0)</f>
        <v>13574165</v>
      </c>
      <c r="AK993" s="1557"/>
      <c r="AL993" s="1557"/>
      <c r="AM993" s="1557"/>
      <c r="AN993" s="1557"/>
      <c r="AO993" s="1557"/>
      <c r="AP993" s="1557"/>
      <c r="AQ993" s="155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6" t="s">
        <v>2568</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59"/>
      <c r="AK994" s="1560"/>
      <c r="AL994" s="1560"/>
      <c r="AM994" s="1560"/>
      <c r="AN994" s="1560"/>
      <c r="AO994" s="1560"/>
      <c r="AP994" s="1560"/>
      <c r="AQ994" s="156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59"/>
      <c r="AK995" s="1560"/>
      <c r="AL995" s="1560"/>
      <c r="AM995" s="1560"/>
      <c r="AN995" s="1560"/>
      <c r="AO995" s="1560"/>
      <c r="AP995" s="1560"/>
      <c r="AQ995" s="156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59"/>
      <c r="AK996" s="1560"/>
      <c r="AL996" s="1560"/>
      <c r="AM996" s="1560"/>
      <c r="AN996" s="1560"/>
      <c r="AO996" s="1560"/>
      <c r="AP996" s="1560"/>
      <c r="AQ996" s="156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59"/>
      <c r="AK997" s="1560"/>
      <c r="AL997" s="1560"/>
      <c r="AM997" s="1560"/>
      <c r="AN997" s="1560"/>
      <c r="AO997" s="1560"/>
      <c r="AP997" s="1560"/>
      <c r="AQ997" s="156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9" t="s">
        <v>2569</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59"/>
      <c r="AK998" s="1560"/>
      <c r="AL998" s="1560"/>
      <c r="AM998" s="1560"/>
      <c r="AN998" s="1560"/>
      <c r="AO998" s="1560"/>
      <c r="AP998" s="1560"/>
      <c r="AQ998" s="156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8" t="s">
        <v>2762</v>
      </c>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2"/>
      <c r="AK999" s="1563"/>
      <c r="AL999" s="1563"/>
      <c r="AM999" s="1563"/>
      <c r="AN999" s="1563"/>
      <c r="AO999" s="1563"/>
      <c r="AP999" s="1563"/>
      <c r="AQ999" s="156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8" t="s">
        <v>1394</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676</v>
      </c>
      <c r="AH1000" s="1527"/>
      <c r="AI1000" s="87"/>
      <c r="AJ1000" s="1556">
        <f>ROUND(IF(AG1000="yes",AJ991*0.05,0),0)</f>
        <v>0</v>
      </c>
      <c r="AK1000" s="1557"/>
      <c r="AL1000" s="1557"/>
      <c r="AM1000" s="1557"/>
      <c r="AN1000" s="1557"/>
      <c r="AO1000" s="1557"/>
      <c r="AP1000" s="1557"/>
      <c r="AQ1000" s="155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6" t="s">
        <v>1392</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59"/>
      <c r="AK1001" s="1560"/>
      <c r="AL1001" s="1560"/>
      <c r="AM1001" s="1560"/>
      <c r="AN1001" s="1560"/>
      <c r="AO1001" s="1560"/>
      <c r="AP1001" s="1560"/>
      <c r="AQ1001" s="156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59"/>
      <c r="AK1002" s="1560"/>
      <c r="AL1002" s="1560"/>
      <c r="AM1002" s="1560"/>
      <c r="AN1002" s="1560"/>
      <c r="AO1002" s="1560"/>
      <c r="AP1002" s="1560"/>
      <c r="AQ1002" s="1561"/>
      <c r="AR1002" s="68"/>
      <c r="AS1002" s="68"/>
      <c r="AT1002" s="68"/>
      <c r="AU1002" s="68"/>
      <c r="AV1002" s="68"/>
      <c r="AW1002" s="68"/>
      <c r="AX1002" s="68"/>
      <c r="AY1002" s="949">
        <f>G753+O797</f>
        <v>146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59"/>
      <c r="AK1003" s="1560"/>
      <c r="AL1003" s="1560"/>
      <c r="AM1003" s="1560"/>
      <c r="AN1003" s="1560"/>
      <c r="AO1003" s="1560"/>
      <c r="AP1003" s="1560"/>
      <c r="AQ1003" s="156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59"/>
      <c r="AK1004" s="1560"/>
      <c r="AL1004" s="1560"/>
      <c r="AM1004" s="1560"/>
      <c r="AN1004" s="1560"/>
      <c r="AO1004" s="1560"/>
      <c r="AP1004" s="1560"/>
      <c r="AQ1004" s="1561"/>
      <c r="AR1004" s="68"/>
      <c r="AS1004" s="68"/>
      <c r="AT1004" s="68"/>
      <c r="AU1004" s="68"/>
      <c r="AV1004" s="68"/>
      <c r="AW1004" s="68"/>
      <c r="AX1004" s="68"/>
      <c r="AY1004" s="948">
        <f>ROUNDDOWN(X1047/I1047,2)</f>
        <v>0.31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2"/>
      <c r="AK1005" s="1563"/>
      <c r="AL1005" s="1563"/>
      <c r="AM1005" s="1563"/>
      <c r="AN1005" s="1563"/>
      <c r="AO1005" s="1563"/>
      <c r="AP1005" s="1563"/>
      <c r="AQ1005" s="1564"/>
      <c r="AR1005" s="68"/>
      <c r="AS1005" s="68"/>
      <c r="AT1005" s="68"/>
      <c r="AU1005" s="68"/>
      <c r="AV1005" s="68"/>
      <c r="AW1005" s="68"/>
      <c r="AX1005" s="68"/>
      <c r="AY1005" s="948">
        <f>ROUNDDOWN(X1051/I1051,2)</f>
        <v>0.68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8" t="s">
        <v>1871</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553</v>
      </c>
      <c r="AH1006" s="1527"/>
      <c r="AI1006" s="87"/>
      <c r="AJ1006" s="1556">
        <f>ROUND(IF(AG1006="yes",AJ991*0.1,0),0)</f>
        <v>6787082</v>
      </c>
      <c r="AK1006" s="1557"/>
      <c r="AL1006" s="1557"/>
      <c r="AM1006" s="1557"/>
      <c r="AN1006" s="1557"/>
      <c r="AO1006" s="1557"/>
      <c r="AP1006" s="1557"/>
      <c r="AQ1006" s="1558"/>
      <c r="AR1006" s="68"/>
      <c r="AS1006" s="68"/>
      <c r="AT1006" s="68"/>
      <c r="AU1006" s="68"/>
      <c r="AV1006" s="68"/>
      <c r="AW1006" s="68"/>
      <c r="AX1006" s="68"/>
      <c r="BB1006" s="34"/>
      <c r="BD1006" s="34"/>
      <c r="BE1006" s="34"/>
      <c r="BF1006" s="34"/>
    </row>
    <row r="1007" spans="1:157" ht="12.95" customHeight="1">
      <c r="A1007" s="14"/>
      <c r="B1007" s="73"/>
      <c r="C1007" s="74"/>
      <c r="D1007" s="1506" t="s">
        <v>1393</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9"/>
      <c r="AK1007" s="1560"/>
      <c r="AL1007" s="1560"/>
      <c r="AM1007" s="1560"/>
      <c r="AN1007" s="1560"/>
      <c r="AO1007" s="1560"/>
      <c r="AP1007" s="1560"/>
      <c r="AQ1007" s="1561"/>
      <c r="AR1007" s="68"/>
      <c r="AS1007" s="68"/>
      <c r="AT1007" s="68"/>
      <c r="AU1007" s="68"/>
      <c r="AV1007" s="68"/>
      <c r="AW1007" s="68"/>
      <c r="AX1007" s="68"/>
    </row>
    <row r="1008" spans="1:157" ht="12.95"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9"/>
      <c r="AK1008" s="1560"/>
      <c r="AL1008" s="1560"/>
      <c r="AM1008" s="1560"/>
      <c r="AN1008" s="1560"/>
      <c r="AO1008" s="1560"/>
      <c r="AP1008" s="1560"/>
      <c r="AQ1008" s="1561"/>
      <c r="AR1008" s="68"/>
      <c r="AS1008" s="68"/>
      <c r="AT1008" s="68"/>
      <c r="AU1008" s="68"/>
      <c r="AV1008" s="68"/>
      <c r="AW1008" s="68"/>
      <c r="AX1008" s="68"/>
    </row>
    <row r="1009" spans="1:51" ht="12.95"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62"/>
      <c r="AK1009" s="1563"/>
      <c r="AL1009" s="1563"/>
      <c r="AM1009" s="1563"/>
      <c r="AN1009" s="1563"/>
      <c r="AO1009" s="1563"/>
      <c r="AP1009" s="1563"/>
      <c r="AQ1009" s="1564"/>
      <c r="AR1009" s="68"/>
      <c r="AS1009" s="68"/>
      <c r="AT1009" s="68"/>
      <c r="AU1009" s="68"/>
      <c r="AV1009" s="68"/>
      <c r="AW1009" s="68"/>
      <c r="AX1009" s="68"/>
    </row>
    <row r="1010" spans="1:51" ht="12.95" customHeight="1">
      <c r="A1010" s="14"/>
      <c r="B1010" s="79"/>
      <c r="C1010" s="80" t="s">
        <v>213</v>
      </c>
      <c r="D1010" s="1518" t="s">
        <v>1395</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676</v>
      </c>
      <c r="AH1010" s="1527"/>
      <c r="AI1010" s="87"/>
      <c r="AJ1010" s="1556">
        <f>ROUND(IF(AG1010="yes",AJ991*0.02,0),0)</f>
        <v>0</v>
      </c>
      <c r="AK1010" s="1557"/>
      <c r="AL1010" s="1557"/>
      <c r="AM1010" s="1557"/>
      <c r="AN1010" s="1557"/>
      <c r="AO1010" s="1557"/>
      <c r="AP1010" s="1557"/>
      <c r="AQ1010" s="1558"/>
      <c r="AR1010" s="68"/>
      <c r="AS1010" s="68"/>
      <c r="AT1010" s="68"/>
      <c r="AU1010" s="68"/>
      <c r="AV1010" s="68"/>
      <c r="AW1010" s="68"/>
      <c r="AX1010" s="68"/>
      <c r="AY1010" s="215">
        <f>IF(SUM(AY1012:AY1020)&lt;=0.1,SUM(AY1012:AY1020),0.1)</f>
        <v>0</v>
      </c>
    </row>
    <row r="1011" spans="1:51" ht="14.25" customHeight="1">
      <c r="A1011" s="14"/>
      <c r="B1011" s="73"/>
      <c r="C1011" s="74"/>
      <c r="D1011" s="1531" t="s">
        <v>1396</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62"/>
      <c r="AK1011" s="1563"/>
      <c r="AL1011" s="1563"/>
      <c r="AM1011" s="1563"/>
      <c r="AN1011" s="1563"/>
      <c r="AO1011" s="1563"/>
      <c r="AP1011" s="1563"/>
      <c r="AQ1011" s="1564"/>
      <c r="AR1011" s="68"/>
      <c r="AS1011" s="68"/>
      <c r="AT1011" s="68"/>
      <c r="AU1011" s="68"/>
      <c r="AV1011" s="68"/>
      <c r="AW1011" s="68"/>
      <c r="AX1011" s="68"/>
    </row>
    <row r="1012" spans="1:51" ht="12.95" customHeight="1">
      <c r="A1012" s="14"/>
      <c r="B1012" s="79"/>
      <c r="C1012" s="80" t="s">
        <v>216</v>
      </c>
      <c r="D1012" s="1518" t="s">
        <v>1397</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553</v>
      </c>
      <c r="AH1012" s="1527"/>
      <c r="AI1012" s="79"/>
      <c r="AJ1012" s="1556">
        <f>ROUND(IF(AG1012="yes",AJ991*0.02,0),0)</f>
        <v>1357416</v>
      </c>
      <c r="AK1012" s="1557"/>
      <c r="AL1012" s="1557"/>
      <c r="AM1012" s="1557"/>
      <c r="AN1012" s="1557"/>
      <c r="AO1012" s="1557"/>
      <c r="AP1012" s="1557"/>
      <c r="AQ1012" s="1558"/>
      <c r="AR1012" s="68"/>
      <c r="AS1012" s="68"/>
      <c r="AT1012" s="68"/>
      <c r="AU1012" s="68"/>
      <c r="AV1012" s="68"/>
      <c r="AW1012" s="68"/>
      <c r="AX1012" s="68"/>
      <c r="AY1012" s="213">
        <f>IF(A1064="Yes",0.05,0)</f>
        <v>0</v>
      </c>
    </row>
    <row r="1013" spans="1:51" ht="12.95" customHeight="1">
      <c r="A1013" s="14"/>
      <c r="B1013" s="73"/>
      <c r="C1013" s="74"/>
      <c r="D1013" s="1506" t="s">
        <v>1398</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5" t="str">
        <f>IF(AND(AG1012="yes",AB212&lt;&gt;1),"The project may not be eligible for this boost","")</f>
        <v/>
      </c>
      <c r="AG1013" s="1416"/>
      <c r="AH1013" s="1416"/>
      <c r="AI1013" s="1417"/>
      <c r="AJ1013" s="1559"/>
      <c r="AK1013" s="1560"/>
      <c r="AL1013" s="1560"/>
      <c r="AM1013" s="1560"/>
      <c r="AN1013" s="1560"/>
      <c r="AO1013" s="1560"/>
      <c r="AP1013" s="1560"/>
      <c r="AQ1013" s="1561"/>
      <c r="AR1013" s="68"/>
      <c r="AS1013" s="68"/>
      <c r="AT1013" s="68"/>
      <c r="AU1013" s="68"/>
      <c r="AV1013" s="68"/>
      <c r="AW1013" s="68"/>
      <c r="AX1013" s="68"/>
      <c r="AY1013" s="213">
        <f>IF(A1070="Yes",0.02,0)</f>
        <v>0</v>
      </c>
    </row>
    <row r="1014" spans="1:51" ht="12.95"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8"/>
      <c r="AG1014" s="1419"/>
      <c r="AH1014" s="1419"/>
      <c r="AI1014" s="1420"/>
      <c r="AJ1014" s="1562"/>
      <c r="AK1014" s="1563"/>
      <c r="AL1014" s="1563"/>
      <c r="AM1014" s="1563"/>
      <c r="AN1014" s="1563"/>
      <c r="AO1014" s="1563"/>
      <c r="AP1014" s="1563"/>
      <c r="AQ1014" s="1564"/>
      <c r="AR1014" s="68"/>
      <c r="AS1014" s="68"/>
      <c r="AT1014" s="68"/>
      <c r="AU1014" s="68"/>
      <c r="AV1014" s="68"/>
      <c r="AW1014" s="68"/>
      <c r="AX1014" s="68"/>
      <c r="AY1014" s="213">
        <f>IF(A1076="Yes",0.04,0)</f>
        <v>0</v>
      </c>
    </row>
    <row r="1015" spans="1:51" ht="12.95" customHeight="1">
      <c r="A1015" s="14"/>
      <c r="B1015" s="79"/>
      <c r="C1015" s="80" t="s">
        <v>219</v>
      </c>
      <c r="D1015" s="1528" t="s">
        <v>1399</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676</v>
      </c>
      <c r="AH1015" s="1527"/>
      <c r="AI1015" s="87"/>
      <c r="AJ1015" s="1556">
        <f>IF(AG1015="yes",AJ991*AY1010,0)</f>
        <v>0</v>
      </c>
      <c r="AK1015" s="1557"/>
      <c r="AL1015" s="1557"/>
      <c r="AM1015" s="1557"/>
      <c r="AN1015" s="1557"/>
      <c r="AO1015" s="1557"/>
      <c r="AP1015" s="1557"/>
      <c r="AQ1015" s="1558"/>
      <c r="AR1015" s="68"/>
      <c r="AS1015" s="68"/>
      <c r="AT1015" s="68"/>
      <c r="AU1015" s="68"/>
      <c r="AV1015" s="68"/>
      <c r="AW1015" s="68"/>
      <c r="AX1015" s="68"/>
      <c r="AY1015" s="213">
        <f>IF(A1083="Yes",0.04,0)</f>
        <v>0</v>
      </c>
    </row>
    <row r="1016" spans="1:51" ht="12.95" customHeight="1">
      <c r="A1016" s="14"/>
      <c r="B1016" s="73"/>
      <c r="C1016" s="74"/>
      <c r="D1016" s="1506" t="s">
        <v>1400</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9" t="str">
        <f>IF(AND(AG1015="Yes",AY1010=0),AY1022,"")</f>
        <v/>
      </c>
      <c r="AG1016" s="1410"/>
      <c r="AH1016" s="1410"/>
      <c r="AI1016" s="1411"/>
      <c r="AJ1016" s="1559"/>
      <c r="AK1016" s="1560"/>
      <c r="AL1016" s="1560"/>
      <c r="AM1016" s="1560"/>
      <c r="AN1016" s="1560"/>
      <c r="AO1016" s="1560"/>
      <c r="AP1016" s="1560"/>
      <c r="AQ1016" s="1561"/>
      <c r="AR1016" s="68"/>
      <c r="AS1016" s="68"/>
      <c r="AT1016" s="68"/>
      <c r="AU1016" s="68"/>
      <c r="AV1016" s="68"/>
      <c r="AW1016" s="68"/>
      <c r="AX1016" s="68"/>
      <c r="AY1016" s="213">
        <f>IF(A1086="Yes",0.01,0)</f>
        <v>0</v>
      </c>
    </row>
    <row r="1017" spans="1:51" ht="12.95"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9"/>
      <c r="AG1017" s="1410"/>
      <c r="AH1017" s="1410"/>
      <c r="AI1017" s="1411"/>
      <c r="AJ1017" s="1559"/>
      <c r="AK1017" s="1560"/>
      <c r="AL1017" s="1560"/>
      <c r="AM1017" s="1560"/>
      <c r="AN1017" s="1560"/>
      <c r="AO1017" s="1560"/>
      <c r="AP1017" s="1560"/>
      <c r="AQ1017" s="1561"/>
      <c r="AR1017" s="68"/>
      <c r="AS1017" s="68"/>
      <c r="AT1017" s="68"/>
      <c r="AU1017" s="68"/>
      <c r="AV1017" s="68"/>
      <c r="AW1017" s="68"/>
      <c r="AX1017" s="68"/>
      <c r="AY1017" s="213">
        <f>IF(A1091="Yes",0.01,0)</f>
        <v>0</v>
      </c>
    </row>
    <row r="1018" spans="1:51" ht="12.95"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12"/>
      <c r="AG1018" s="1413"/>
      <c r="AH1018" s="1413"/>
      <c r="AI1018" s="1414"/>
      <c r="AJ1018" s="1562"/>
      <c r="AK1018" s="1563"/>
      <c r="AL1018" s="1563"/>
      <c r="AM1018" s="1563"/>
      <c r="AN1018" s="1563"/>
      <c r="AO1018" s="1563"/>
      <c r="AP1018" s="1563"/>
      <c r="AQ1018" s="1564"/>
      <c r="AR1018" s="68"/>
      <c r="AS1018" s="68"/>
      <c r="AT1018" s="68"/>
      <c r="AU1018" s="68"/>
      <c r="AV1018" s="68"/>
      <c r="AW1018" s="68"/>
      <c r="AX1018" s="68"/>
      <c r="AY1018" s="213">
        <f>IF(A1094="Yes",0.01,0)</f>
        <v>0</v>
      </c>
    </row>
    <row r="1019" spans="1:51" ht="12.95" customHeight="1">
      <c r="A1019" s="14"/>
      <c r="B1019" s="79"/>
      <c r="C1019" s="80" t="s">
        <v>224</v>
      </c>
      <c r="D1019" s="1606" t="s">
        <v>1401</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6" t="s">
        <v>676</v>
      </c>
      <c r="AH1019" s="1527"/>
      <c r="AI1019" s="87"/>
      <c r="AJ1019" s="1556">
        <f>ROUND(IF(AND(AG1019="Yes",J1023&lt;&gt;"N/A",AF1022&lt;&gt;""),MIN(AF1022,(0.15*AJ991)),0),0)</f>
        <v>0</v>
      </c>
      <c r="AK1019" s="1557"/>
      <c r="AL1019" s="1557"/>
      <c r="AM1019" s="1557"/>
      <c r="AN1019" s="1557"/>
      <c r="AO1019" s="1557"/>
      <c r="AP1019" s="1557"/>
      <c r="AQ1019" s="1558"/>
      <c r="AR1019" s="68"/>
      <c r="AS1019" s="68"/>
      <c r="AT1019" s="68"/>
      <c r="AU1019" s="68"/>
      <c r="AV1019" s="68"/>
      <c r="AW1019" s="68"/>
      <c r="AX1019" s="68"/>
      <c r="AY1019" s="213">
        <f>IF(A1098="Yes",0.02,0)</f>
        <v>0</v>
      </c>
    </row>
    <row r="1020" spans="1:51" ht="12.9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4" t="str">
        <f>IF(AG1019="yes","Please Select Type and Enter Amount:","")</f>
        <v/>
      </c>
      <c r="AG1020" s="1535"/>
      <c r="AH1020" s="1535"/>
      <c r="AI1020" s="1536"/>
      <c r="AJ1020" s="1559"/>
      <c r="AK1020" s="1560"/>
      <c r="AL1020" s="1560"/>
      <c r="AM1020" s="1560"/>
      <c r="AN1020" s="1560"/>
      <c r="AO1020" s="1560"/>
      <c r="AP1020" s="1560"/>
      <c r="AQ1020" s="1561"/>
      <c r="AR1020" s="68"/>
      <c r="AS1020" s="68"/>
      <c r="AT1020" s="68"/>
      <c r="AU1020" s="68"/>
      <c r="AV1020" s="68"/>
      <c r="AW1020" s="68"/>
      <c r="AX1020" s="68"/>
      <c r="AY1020" s="214">
        <f>IF(A1103="Yes",0.02,0)</f>
        <v>0</v>
      </c>
    </row>
    <row r="1021" spans="1:51" ht="12.95" customHeight="1">
      <c r="A1021" s="14"/>
      <c r="B1021" s="81"/>
      <c r="C1021" s="84"/>
      <c r="D1021" s="1506" t="s">
        <v>1402</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9"/>
      <c r="AK1021" s="1560"/>
      <c r="AL1021" s="1560"/>
      <c r="AM1021" s="1560"/>
      <c r="AN1021" s="1560"/>
      <c r="AO1021" s="1560"/>
      <c r="AP1021" s="1560"/>
      <c r="AQ1021" s="1561"/>
      <c r="AR1021" s="68"/>
      <c r="AS1021" s="68"/>
      <c r="AT1021" s="68"/>
      <c r="AU1021" s="68"/>
      <c r="AV1021" s="68"/>
      <c r="AW1021" s="68"/>
      <c r="AX1021" s="68"/>
      <c r="AY1021" s="68"/>
    </row>
    <row r="1022" spans="1:51" ht="12.95"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9"/>
      <c r="AK1022" s="1560"/>
      <c r="AL1022" s="1560"/>
      <c r="AM1022" s="1560"/>
      <c r="AN1022" s="1560"/>
      <c r="AO1022" s="1560"/>
      <c r="AP1022" s="1560"/>
      <c r="AQ1022" s="156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9" t="s">
        <v>599</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62"/>
      <c r="AK1023" s="1563"/>
      <c r="AL1023" s="1563"/>
      <c r="AM1023" s="1563"/>
      <c r="AN1023" s="1563"/>
      <c r="AO1023" s="1563"/>
      <c r="AP1023" s="1563"/>
      <c r="AQ1023" s="1564"/>
      <c r="AR1023" s="68"/>
      <c r="AS1023" s="68"/>
      <c r="AT1023" s="68"/>
      <c r="AU1023" s="68"/>
      <c r="AV1023" s="68"/>
      <c r="AW1023" s="68"/>
      <c r="AX1023" s="68"/>
      <c r="AY1023" s="68"/>
    </row>
    <row r="1024" spans="1:51" ht="12.95" customHeight="1">
      <c r="A1024" s="14"/>
      <c r="B1024" s="79"/>
      <c r="C1024" s="80" t="s">
        <v>230</v>
      </c>
      <c r="D1024" s="1518" t="s">
        <v>1403</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676</v>
      </c>
      <c r="AH1024" s="1527"/>
      <c r="AI1024" s="87"/>
      <c r="AJ1024" s="1556">
        <f>ROUND(IF(AG1024="Yes",AF1026,0),0)</f>
        <v>0</v>
      </c>
      <c r="AK1024" s="1557"/>
      <c r="AL1024" s="1557"/>
      <c r="AM1024" s="1557"/>
      <c r="AN1024" s="1557"/>
      <c r="AO1024" s="1557"/>
      <c r="AP1024" s="1557"/>
      <c r="AQ1024" s="1558"/>
      <c r="AR1024" s="68"/>
      <c r="AS1024" s="68"/>
      <c r="AT1024" s="68"/>
      <c r="AU1024" s="68"/>
      <c r="AV1024" s="68"/>
      <c r="AW1024" s="68"/>
      <c r="AX1024" s="68"/>
      <c r="AY1024" s="68"/>
    </row>
    <row r="1025" spans="1:51" ht="12.95" customHeight="1">
      <c r="A1025" s="14"/>
      <c r="B1025" s="73"/>
      <c r="C1025" s="74"/>
      <c r="D1025" s="1506" t="s">
        <v>1878</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12" t="str">
        <f>IF(AG1024="yes","Enter Amount:","")</f>
        <v/>
      </c>
      <c r="AG1025" s="1613"/>
      <c r="AH1025" s="1613"/>
      <c r="AI1025" s="1614"/>
      <c r="AJ1025" s="1559"/>
      <c r="AK1025" s="1560"/>
      <c r="AL1025" s="1560"/>
      <c r="AM1025" s="1560"/>
      <c r="AN1025" s="1560"/>
      <c r="AO1025" s="1560"/>
      <c r="AP1025" s="1560"/>
      <c r="AQ1025" s="1561"/>
      <c r="AR1025" s="68"/>
      <c r="AS1025" s="68"/>
      <c r="AT1025" s="68"/>
      <c r="AU1025" s="68"/>
      <c r="AV1025" s="68"/>
      <c r="AW1025" s="68"/>
      <c r="AX1025" s="68"/>
      <c r="AY1025" s="68"/>
    </row>
    <row r="1026" spans="1:51" ht="12.95"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c r="AG1026" s="1537"/>
      <c r="AH1026" s="1537"/>
      <c r="AI1026" s="1537"/>
      <c r="AJ1026" s="1559"/>
      <c r="AK1026" s="1560"/>
      <c r="AL1026" s="1560"/>
      <c r="AM1026" s="1560"/>
      <c r="AN1026" s="1560"/>
      <c r="AO1026" s="1560"/>
      <c r="AP1026" s="1560"/>
      <c r="AQ1026" s="1561"/>
      <c r="AR1026" s="68"/>
      <c r="AS1026" s="68"/>
      <c r="AT1026" s="68"/>
      <c r="AU1026" s="68"/>
      <c r="AV1026" s="68"/>
      <c r="AW1026" s="68"/>
      <c r="AX1026" s="68"/>
      <c r="AY1026" s="68"/>
    </row>
    <row r="1027" spans="1:51" ht="12.95"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62"/>
      <c r="AK1027" s="1563"/>
      <c r="AL1027" s="1563"/>
      <c r="AM1027" s="1563"/>
      <c r="AN1027" s="1563"/>
      <c r="AO1027" s="1563"/>
      <c r="AP1027" s="1563"/>
      <c r="AQ1027" s="1564"/>
      <c r="AR1027" s="68"/>
      <c r="AS1027" s="68"/>
      <c r="AT1027" s="68"/>
      <c r="AU1027" s="68"/>
      <c r="AV1027" s="68"/>
      <c r="AW1027" s="68"/>
      <c r="AX1027" s="68"/>
      <c r="AY1027" s="68"/>
    </row>
    <row r="1028" spans="1:51" ht="12.95" customHeight="1">
      <c r="A1028" s="14"/>
      <c r="B1028" s="79"/>
      <c r="C1028" s="80" t="s">
        <v>235</v>
      </c>
      <c r="D1028" s="1528" t="s">
        <v>1404</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553</v>
      </c>
      <c r="AH1028" s="1527"/>
      <c r="AI1028" s="87"/>
      <c r="AJ1028" s="1556">
        <f>ROUND(IF(AG1028="yes",(AJ991*0.1),0),0)</f>
        <v>6787082</v>
      </c>
      <c r="AK1028" s="1557"/>
      <c r="AL1028" s="1557"/>
      <c r="AM1028" s="1557"/>
      <c r="AN1028" s="1557"/>
      <c r="AO1028" s="1557"/>
      <c r="AP1028" s="1557"/>
      <c r="AQ1028" s="1558"/>
      <c r="AR1028" s="68"/>
      <c r="AS1028" s="68"/>
      <c r="AT1028" s="68"/>
      <c r="AU1028" s="68"/>
      <c r="AV1028" s="68"/>
      <c r="AW1028" s="68"/>
      <c r="AX1028" s="68"/>
      <c r="AY1028" s="68"/>
    </row>
    <row r="1029" spans="1:51" ht="12.95" customHeight="1">
      <c r="A1029" s="14"/>
      <c r="B1029" s="73"/>
      <c r="C1029" s="74"/>
      <c r="D1029" s="1506" t="s">
        <v>1405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9"/>
      <c r="AK1029" s="1560"/>
      <c r="AL1029" s="1560"/>
      <c r="AM1029" s="1560"/>
      <c r="AN1029" s="1560"/>
      <c r="AO1029" s="1560"/>
      <c r="AP1029" s="1560"/>
      <c r="AQ1029" s="1561"/>
      <c r="AR1029" s="68"/>
      <c r="AS1029" s="68"/>
      <c r="AT1029" s="68"/>
      <c r="AU1029" s="68"/>
      <c r="AV1029" s="68"/>
      <c r="AW1029" s="68"/>
      <c r="AX1029" s="68"/>
      <c r="AY1029" s="68"/>
    </row>
    <row r="1030" spans="1:51" ht="12.95"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62"/>
      <c r="AK1030" s="1563"/>
      <c r="AL1030" s="1563"/>
      <c r="AM1030" s="1563"/>
      <c r="AN1030" s="1563"/>
      <c r="AO1030" s="1563"/>
      <c r="AP1030" s="1563"/>
      <c r="AQ1030" s="1564"/>
      <c r="AR1030" s="68"/>
      <c r="AS1030" s="68"/>
      <c r="AT1030" s="68"/>
      <c r="AU1030" s="68"/>
      <c r="AV1030" s="68"/>
      <c r="AW1030" s="68"/>
      <c r="AX1030" s="68"/>
      <c r="AY1030" s="68"/>
    </row>
    <row r="1031" spans="1:51" ht="12.95" customHeight="1">
      <c r="A1031" s="14"/>
      <c r="B1031" s="73"/>
      <c r="C1031" s="367" t="s">
        <v>695</v>
      </c>
      <c r="D1031" s="1518" t="s">
        <v>1874</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676</v>
      </c>
      <c r="AH1031" s="1527"/>
      <c r="AI1031" s="87"/>
      <c r="AJ1031" s="1556">
        <f>ROUND(IF(AG1031="yes",(AJ991*0.15),0),0)</f>
        <v>0</v>
      </c>
      <c r="AK1031" s="1557"/>
      <c r="AL1031" s="1557"/>
      <c r="AM1031" s="1557"/>
      <c r="AN1031" s="1557"/>
      <c r="AO1031" s="1557"/>
      <c r="AP1031" s="1557"/>
      <c r="AQ1031" s="1558"/>
      <c r="AR1031" s="68"/>
      <c r="AS1031" s="68"/>
      <c r="AT1031" s="68"/>
      <c r="AU1031" s="68"/>
      <c r="AV1031" s="68"/>
      <c r="AW1031" s="68"/>
      <c r="AX1031" s="68"/>
      <c r="AY1031" s="68"/>
    </row>
    <row r="1032" spans="1:51" ht="12.95" customHeight="1">
      <c r="A1032" s="14"/>
      <c r="B1032" s="73"/>
      <c r="C1032" s="74"/>
      <c r="D1032" s="1565"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6"/>
      <c r="AF1032" s="950"/>
      <c r="AG1032" s="951"/>
      <c r="AH1032" s="951"/>
      <c r="AI1032" s="952"/>
      <c r="AJ1032" s="1559"/>
      <c r="AK1032" s="1560"/>
      <c r="AL1032" s="1560"/>
      <c r="AM1032" s="1560"/>
      <c r="AN1032" s="1560"/>
      <c r="AO1032" s="1560"/>
      <c r="AP1032" s="1560"/>
      <c r="AQ1032" s="1561"/>
      <c r="AR1032" s="68"/>
      <c r="AS1032" s="68"/>
      <c r="AT1032" s="68"/>
      <c r="AU1032" s="68"/>
      <c r="AV1032" s="68"/>
      <c r="AW1032" s="68"/>
      <c r="AX1032" s="68"/>
      <c r="AY1032" s="68"/>
    </row>
    <row r="1033" spans="1:51" ht="12.95" customHeight="1">
      <c r="A1033" s="14"/>
      <c r="B1033" s="73"/>
      <c r="C1033" s="74"/>
      <c r="D1033" s="156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6"/>
      <c r="AF1033" s="950"/>
      <c r="AG1033" s="951"/>
      <c r="AH1033" s="951"/>
      <c r="AI1033" s="952"/>
      <c r="AJ1033" s="1559"/>
      <c r="AK1033" s="1560"/>
      <c r="AL1033" s="1560"/>
      <c r="AM1033" s="1560"/>
      <c r="AN1033" s="1560"/>
      <c r="AO1033" s="1560"/>
      <c r="AP1033" s="1560"/>
      <c r="AQ1033" s="1561"/>
      <c r="AR1033" s="68"/>
      <c r="AS1033" s="68"/>
      <c r="AT1033" s="68"/>
      <c r="AU1033" s="68"/>
      <c r="AV1033" s="68"/>
      <c r="AW1033" s="68"/>
      <c r="AX1033" s="68"/>
      <c r="AY1033" s="68"/>
    </row>
    <row r="1034" spans="1:51" ht="12.95"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562"/>
      <c r="AK1034" s="1563"/>
      <c r="AL1034" s="1563"/>
      <c r="AM1034" s="1563"/>
      <c r="AN1034" s="1563"/>
      <c r="AO1034" s="1563"/>
      <c r="AP1034" s="1563"/>
      <c r="AQ1034" s="1564"/>
      <c r="AR1034" s="68"/>
      <c r="AS1034" s="68"/>
      <c r="AT1034" s="68"/>
      <c r="AU1034" s="68"/>
      <c r="AV1034" s="68"/>
      <c r="AW1034" s="68"/>
      <c r="AX1034" s="68"/>
      <c r="AY1034" s="68"/>
    </row>
    <row r="1035" spans="1:51" ht="12.95" customHeight="1">
      <c r="A1035" s="14"/>
      <c r="B1035" s="73"/>
      <c r="C1035" s="367" t="s">
        <v>695</v>
      </c>
      <c r="D1035" s="1528" t="s">
        <v>1876</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8" t="s">
        <v>553</v>
      </c>
      <c r="AH1035" s="1729"/>
      <c r="AI1035" s="83"/>
      <c r="AJ1035" s="1556">
        <f>ROUND(IF(AND(AG1035="yes",AJ1031=0),(AJ991*0.1),0),0)</f>
        <v>6787082</v>
      </c>
      <c r="AK1035" s="1557"/>
      <c r="AL1035" s="1557"/>
      <c r="AM1035" s="1557"/>
      <c r="AN1035" s="1557"/>
      <c r="AO1035" s="1557"/>
      <c r="AP1035" s="1557"/>
      <c r="AQ1035" s="1558"/>
      <c r="AR1035" s="68"/>
      <c r="AS1035" s="68"/>
      <c r="AT1035" s="68"/>
      <c r="AU1035" s="68"/>
      <c r="AV1035" s="68"/>
      <c r="AW1035" s="68"/>
      <c r="AX1035" s="68"/>
      <c r="AY1035" s="68"/>
    </row>
    <row r="1036" spans="1:51" ht="12.95" customHeight="1">
      <c r="A1036" s="14"/>
      <c r="B1036" s="73"/>
      <c r="C1036" s="74"/>
      <c r="D1036" s="1565"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6"/>
      <c r="AF1036" s="73"/>
      <c r="AG1036" s="14"/>
      <c r="AH1036" s="14"/>
      <c r="AI1036" s="83"/>
      <c r="AJ1036" s="1559"/>
      <c r="AK1036" s="1560"/>
      <c r="AL1036" s="1560"/>
      <c r="AM1036" s="1560"/>
      <c r="AN1036" s="1560"/>
      <c r="AO1036" s="1560"/>
      <c r="AP1036" s="1560"/>
      <c r="AQ1036" s="1561"/>
      <c r="AR1036" s="68"/>
      <c r="AS1036" s="68"/>
      <c r="AT1036" s="68"/>
      <c r="AU1036" s="68"/>
      <c r="AV1036" s="68"/>
      <c r="AW1036" s="68"/>
      <c r="AX1036" s="68"/>
      <c r="AY1036" s="68"/>
    </row>
    <row r="1037" spans="1:51" ht="12.95" customHeight="1">
      <c r="A1037" s="14"/>
      <c r="B1037" s="73"/>
      <c r="C1037" s="74"/>
      <c r="D1037" s="156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6"/>
      <c r="AF1037" s="73"/>
      <c r="AG1037" s="14"/>
      <c r="AH1037" s="14"/>
      <c r="AI1037" s="83"/>
      <c r="AJ1037" s="1559"/>
      <c r="AK1037" s="1560"/>
      <c r="AL1037" s="1560"/>
      <c r="AM1037" s="1560"/>
      <c r="AN1037" s="1560"/>
      <c r="AO1037" s="1560"/>
      <c r="AP1037" s="1560"/>
      <c r="AQ1037" s="1561"/>
      <c r="AR1037" s="68"/>
      <c r="AS1037" s="68"/>
      <c r="AT1037" s="68"/>
      <c r="AU1037" s="68"/>
      <c r="AV1037" s="68"/>
      <c r="AW1037" s="68"/>
      <c r="AX1037" s="68"/>
      <c r="AY1037" s="68"/>
    </row>
    <row r="1038" spans="1:51" ht="12.95" customHeight="1">
      <c r="A1038" s="14"/>
      <c r="B1038" s="73"/>
      <c r="C1038" s="74"/>
      <c r="D1038" s="156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6"/>
      <c r="AF1038" s="73"/>
      <c r="AG1038" s="14"/>
      <c r="AH1038" s="14"/>
      <c r="AI1038" s="83"/>
      <c r="AJ1038" s="1559"/>
      <c r="AK1038" s="1560"/>
      <c r="AL1038" s="1560"/>
      <c r="AM1038" s="1560"/>
      <c r="AN1038" s="1560"/>
      <c r="AO1038" s="1560"/>
      <c r="AP1038" s="1560"/>
      <c r="AQ1038" s="1561"/>
      <c r="AR1038" s="68"/>
      <c r="AS1038" s="68"/>
      <c r="AT1038" s="68"/>
      <c r="AU1038" s="68"/>
      <c r="AV1038" s="68"/>
      <c r="AW1038" s="68"/>
      <c r="AX1038" s="68"/>
      <c r="AY1038" s="68"/>
    </row>
    <row r="1039" spans="1:51" ht="12.95"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559"/>
      <c r="AK1039" s="1560"/>
      <c r="AL1039" s="1560"/>
      <c r="AM1039" s="1560"/>
      <c r="AN1039" s="1560"/>
      <c r="AO1039" s="1560"/>
      <c r="AP1039" s="1560"/>
      <c r="AQ1039" s="1561"/>
      <c r="AR1039" s="68"/>
      <c r="AS1039" s="68"/>
      <c r="AT1039" s="68"/>
      <c r="AU1039" s="68"/>
      <c r="AV1039" s="68"/>
      <c r="AW1039" s="68"/>
      <c r="AX1039" s="68"/>
      <c r="AY1039" s="68"/>
    </row>
    <row r="1040" spans="1:51" ht="12.95" customHeight="1">
      <c r="A1040" s="14"/>
      <c r="B1040" s="79"/>
      <c r="C1040" s="131" t="s">
        <v>1032</v>
      </c>
      <c r="D1040" s="1518" t="s">
        <v>1406</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676</v>
      </c>
      <c r="AH1040" s="1527"/>
      <c r="AI1040" s="87"/>
      <c r="AJ1040" s="1556">
        <f>ROUND(IF(AG1040="yes",(AJ991*0.1),0),0)</f>
        <v>0</v>
      </c>
      <c r="AK1040" s="1557"/>
      <c r="AL1040" s="1557"/>
      <c r="AM1040" s="1557"/>
      <c r="AN1040" s="1557"/>
      <c r="AO1040" s="1557"/>
      <c r="AP1040" s="1557"/>
      <c r="AQ1040" s="1558"/>
      <c r="AR1040" s="68"/>
      <c r="AS1040" s="68"/>
      <c r="AT1040" s="68"/>
      <c r="AU1040" s="68"/>
      <c r="AV1040" s="68"/>
      <c r="AW1040" s="68"/>
      <c r="AX1040" s="68"/>
      <c r="AY1040" s="68"/>
    </row>
    <row r="1041" spans="1:51" ht="12.95" customHeight="1">
      <c r="A1041" s="14"/>
      <c r="B1041" s="73"/>
      <c r="C1041" s="74"/>
      <c r="D1041" s="1506" t="s">
        <v>2502</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9"/>
      <c r="AK1041" s="1560"/>
      <c r="AL1041" s="1560"/>
      <c r="AM1041" s="1560"/>
      <c r="AN1041" s="1560"/>
      <c r="AO1041" s="1560"/>
      <c r="AP1041" s="1560"/>
      <c r="AQ1041" s="1561"/>
      <c r="AR1041" s="68"/>
      <c r="AS1041" s="68"/>
      <c r="AT1041" s="68"/>
      <c r="AU1041" s="68"/>
      <c r="AV1041" s="68"/>
      <c r="AW1041" s="68"/>
      <c r="AX1041" s="68"/>
      <c r="AY1041" s="68"/>
    </row>
    <row r="1042" spans="1:51" ht="12.95"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9"/>
      <c r="AK1042" s="1560"/>
      <c r="AL1042" s="1560"/>
      <c r="AM1042" s="1560"/>
      <c r="AN1042" s="1560"/>
      <c r="AO1042" s="1560"/>
      <c r="AP1042" s="1560"/>
      <c r="AQ1042" s="1561"/>
      <c r="AR1042" s="68"/>
      <c r="AS1042" s="68"/>
      <c r="AT1042" s="68"/>
      <c r="AU1042" s="68"/>
      <c r="AV1042" s="68"/>
      <c r="AW1042" s="68"/>
      <c r="AX1042" s="68"/>
      <c r="AY1042" s="68"/>
    </row>
    <row r="1043" spans="1:51" ht="12.9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62"/>
      <c r="AK1043" s="1563"/>
      <c r="AL1043" s="1563"/>
      <c r="AM1043" s="1563"/>
      <c r="AN1043" s="1563"/>
      <c r="AO1043" s="1563"/>
      <c r="AP1043" s="1563"/>
      <c r="AQ1043" s="1564"/>
      <c r="AR1043" s="68"/>
      <c r="AS1043" s="68"/>
      <c r="AT1043" s="68"/>
      <c r="AU1043" s="68"/>
      <c r="AV1043" s="68"/>
      <c r="AW1043" s="68"/>
      <c r="AX1043" s="68"/>
      <c r="AY1043" s="68"/>
    </row>
    <row r="1044" spans="1:51" ht="12.95" customHeight="1">
      <c r="A1044" s="14"/>
      <c r="B1044" s="79"/>
      <c r="C1044" s="131" t="s">
        <v>1872</v>
      </c>
      <c r="D1044" s="1528" t="s">
        <v>2054</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604" t="str">
        <f>IF(X1047&gt;0,"Yes","No")</f>
        <v>Yes</v>
      </c>
      <c r="AH1044" s="1605"/>
      <c r="AI1044" s="87"/>
      <c r="AJ1044" s="1556">
        <f>IF((X1047=0),0,AY1004*AJ991)</f>
        <v>21039955.129999999</v>
      </c>
      <c r="AK1044" s="1557"/>
      <c r="AL1044" s="1557"/>
      <c r="AM1044" s="1557"/>
      <c r="AN1044" s="1557"/>
      <c r="AO1044" s="1557"/>
      <c r="AP1044" s="1557"/>
      <c r="AQ1044" s="1558"/>
      <c r="AR1044" s="68"/>
      <c r="AS1044" s="68"/>
      <c r="AT1044" s="68"/>
      <c r="AU1044" s="68"/>
      <c r="AV1044" s="68"/>
      <c r="AW1044" s="68"/>
      <c r="AX1044" s="68"/>
      <c r="AY1044" s="68"/>
    </row>
    <row r="1045" spans="1:51" ht="12.95" customHeight="1">
      <c r="A1045" s="14"/>
      <c r="B1045" s="73"/>
      <c r="C1045" s="476"/>
      <c r="D1045" s="1506" t="s">
        <v>1408</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9"/>
      <c r="AK1045" s="1560"/>
      <c r="AL1045" s="1560"/>
      <c r="AM1045" s="1560"/>
      <c r="AN1045" s="1560"/>
      <c r="AO1045" s="1560"/>
      <c r="AP1045" s="1560"/>
      <c r="AQ1045" s="1561"/>
      <c r="AR1045" s="68"/>
      <c r="AS1045" s="68"/>
      <c r="AT1045" s="68"/>
      <c r="AU1045" s="13"/>
      <c r="AV1045" s="68"/>
      <c r="AW1045" s="68"/>
      <c r="AX1045" s="68"/>
      <c r="AY1045" s="68"/>
    </row>
    <row r="1046" spans="1:51" ht="12.95"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9"/>
      <c r="AK1046" s="1560"/>
      <c r="AL1046" s="1560"/>
      <c r="AM1046" s="1560"/>
      <c r="AN1046" s="1560"/>
      <c r="AO1046" s="1560"/>
      <c r="AP1046" s="1560"/>
      <c r="AQ1046" s="1561"/>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02">
        <f>AY1002</f>
        <v>146</v>
      </c>
      <c r="J1047" s="1603"/>
      <c r="K1047" s="7"/>
      <c r="L1047" s="133"/>
      <c r="M1047" s="133"/>
      <c r="N1047" s="133"/>
      <c r="O1047" s="133"/>
      <c r="P1047" s="133"/>
      <c r="Q1047" s="133"/>
      <c r="R1047" s="133"/>
      <c r="S1047" s="133"/>
      <c r="T1047" s="133"/>
      <c r="U1047" s="133"/>
      <c r="V1047" s="134" t="s">
        <v>990</v>
      </c>
      <c r="W1047" s="48"/>
      <c r="X1047" s="1600">
        <f>BG632</f>
        <v>46</v>
      </c>
      <c r="Y1047" s="1601"/>
      <c r="Z1047" s="48"/>
      <c r="AA1047" s="48"/>
      <c r="AB1047" s="48"/>
      <c r="AC1047" s="48"/>
      <c r="AD1047" s="48"/>
      <c r="AE1047" s="49"/>
      <c r="AF1047" s="959"/>
      <c r="AG1047" s="960"/>
      <c r="AH1047" s="960"/>
      <c r="AI1047" s="961"/>
      <c r="AJ1047" s="1562"/>
      <c r="AK1047" s="1563"/>
      <c r="AL1047" s="1563"/>
      <c r="AM1047" s="1563"/>
      <c r="AN1047" s="1563"/>
      <c r="AO1047" s="1563"/>
      <c r="AP1047" s="1563"/>
      <c r="AQ1047" s="1564"/>
      <c r="AR1047" s="68"/>
      <c r="AS1047" s="68"/>
      <c r="AT1047" s="68"/>
      <c r="AU1047" s="14"/>
      <c r="AV1047" s="68"/>
      <c r="AW1047" s="68"/>
      <c r="AX1047" s="68"/>
      <c r="AY1047" s="68"/>
    </row>
    <row r="1048" spans="1:51" ht="12.95" customHeight="1">
      <c r="A1048" s="14"/>
      <c r="B1048" s="79"/>
      <c r="C1048" s="131" t="s">
        <v>1873</v>
      </c>
      <c r="D1048" s="1518" t="s">
        <v>2533</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604" t="str">
        <f>IF(X1051&gt;0,"Yes","No")</f>
        <v>Yes</v>
      </c>
      <c r="AH1048" s="1605"/>
      <c r="AI1048" s="83"/>
      <c r="AJ1048" s="1556">
        <f>IF((X1051=0),0,(2*AY1005)*AJ991)</f>
        <v>92304319.280000001</v>
      </c>
      <c r="AK1048" s="1557"/>
      <c r="AL1048" s="1557"/>
      <c r="AM1048" s="1557"/>
      <c r="AN1048" s="1557"/>
      <c r="AO1048" s="1557"/>
      <c r="AP1048" s="1557"/>
      <c r="AQ1048" s="1558"/>
      <c r="AR1048" s="68"/>
      <c r="AS1048" s="68"/>
      <c r="AT1048" s="68"/>
      <c r="AU1048" s="14"/>
      <c r="AV1048" s="68"/>
      <c r="AW1048" s="68"/>
      <c r="AX1048" s="68"/>
      <c r="AY1048" s="68"/>
    </row>
    <row r="1049" spans="1:51" ht="12.95" customHeight="1">
      <c r="A1049" s="14"/>
      <c r="B1049" s="73"/>
      <c r="C1049" s="476"/>
      <c r="D1049" s="1506" t="s">
        <v>1407</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9"/>
      <c r="AK1049" s="1560"/>
      <c r="AL1049" s="1560"/>
      <c r="AM1049" s="1560"/>
      <c r="AN1049" s="1560"/>
      <c r="AO1049" s="1560"/>
      <c r="AP1049" s="1560"/>
      <c r="AQ1049" s="1561"/>
      <c r="AR1049" s="68"/>
      <c r="AS1049" s="68"/>
      <c r="AT1049" s="68"/>
      <c r="AU1049" s="68"/>
      <c r="AV1049" s="68"/>
      <c r="AW1049" s="68"/>
      <c r="AX1049" s="68"/>
      <c r="AY1049" s="68"/>
    </row>
    <row r="1050" spans="1:51" ht="12.95"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9"/>
      <c r="AK1050" s="1560"/>
      <c r="AL1050" s="1560"/>
      <c r="AM1050" s="1560"/>
      <c r="AN1050" s="1560"/>
      <c r="AO1050" s="1560"/>
      <c r="AP1050" s="1560"/>
      <c r="AQ1050" s="1561"/>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02">
        <f>AY1002</f>
        <v>146</v>
      </c>
      <c r="J1051" s="1603"/>
      <c r="K1051" s="14"/>
      <c r="L1051" s="133"/>
      <c r="M1051" s="133"/>
      <c r="N1051" s="133"/>
      <c r="O1051" s="133"/>
      <c r="P1051" s="133"/>
      <c r="Q1051" s="133"/>
      <c r="R1051" s="133"/>
      <c r="S1051" s="133"/>
      <c r="T1051" s="133"/>
      <c r="U1051" s="133"/>
      <c r="V1051" s="134" t="s">
        <v>991</v>
      </c>
      <c r="X1051" s="1600">
        <f>BK632</f>
        <v>100</v>
      </c>
      <c r="Y1051" s="1601"/>
      <c r="AF1051" s="959"/>
      <c r="AG1051" s="960"/>
      <c r="AH1051" s="960"/>
      <c r="AI1051" s="961"/>
      <c r="AJ1051" s="1562"/>
      <c r="AK1051" s="1563"/>
      <c r="AL1051" s="1563"/>
      <c r="AM1051" s="1563"/>
      <c r="AN1051" s="1563"/>
      <c r="AO1051" s="1563"/>
      <c r="AP1051" s="1563"/>
      <c r="AQ1051" s="1564"/>
      <c r="AR1051" s="68"/>
      <c r="AS1051" s="68"/>
      <c r="AT1051" s="68"/>
      <c r="AU1051" s="68"/>
      <c r="AV1051" s="68"/>
      <c r="AW1051" s="68"/>
      <c r="AX1051" s="68"/>
      <c r="AY1051" s="68"/>
    </row>
    <row r="1052" spans="1:51" ht="12.95" customHeight="1">
      <c r="A1052" s="14"/>
      <c r="B1052" s="102"/>
      <c r="C1052" s="103"/>
      <c r="D1052" s="1598" t="s">
        <v>521</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7">
        <f>SUM(AJ991:AQ1051)</f>
        <v>216507924.41</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599</v>
      </c>
      <c r="B1064" s="1403"/>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599</v>
      </c>
      <c r="B1070" s="1403"/>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599</v>
      </c>
      <c r="B1076" s="1403"/>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599</v>
      </c>
      <c r="B1083" s="1403"/>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599</v>
      </c>
      <c r="B1086" s="1403"/>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599</v>
      </c>
      <c r="B1091" s="1403"/>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599</v>
      </c>
      <c r="B1094" s="1403"/>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599</v>
      </c>
      <c r="B1098" s="1403"/>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10" fitToHeight="2"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workbookViewId="0">
      <pane xSplit="2" ySplit="3" topLeftCell="C4" activePane="bottomRight" state="frozen"/>
      <selection pane="topRight" activeCell="C1" sqref="C1"/>
      <selection pane="bottomLeft" activeCell="A4" sqref="A4"/>
      <selection pane="bottomRight" activeCell="C86" sqref="C86"/>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2)LAHD - AHMP</v>
      </c>
      <c r="H2" s="139" t="str">
        <f>Application!B629&amp;Application!C629</f>
        <v>3)HCD - AHSC</v>
      </c>
      <c r="I2" s="139" t="str">
        <f>Application!B630&amp;Application!C630</f>
        <v>4)Pacific West Communities</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10555000</v>
      </c>
      <c r="C4" s="147">
        <v>10555000</v>
      </c>
      <c r="D4" s="147"/>
      <c r="E4" s="147">
        <v>10555000</v>
      </c>
      <c r="F4" s="147"/>
      <c r="G4" s="147"/>
      <c r="H4" s="147"/>
      <c r="I4" s="147"/>
      <c r="J4" s="147"/>
      <c r="K4" s="147"/>
      <c r="L4" s="147"/>
      <c r="M4" s="147"/>
      <c r="N4" s="147"/>
      <c r="O4" s="147"/>
      <c r="P4" s="147"/>
      <c r="Q4" s="147"/>
      <c r="R4" s="550">
        <f>SUM(E4:Q4)</f>
        <v>10555000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10555000</v>
      </c>
      <c r="C8" s="146">
        <f t="shared" ref="C8:Q8" si="0">SUM(C4:C7)</f>
        <v>10555000</v>
      </c>
      <c r="D8" s="146">
        <f t="shared" si="0"/>
        <v>0</v>
      </c>
      <c r="E8" s="146">
        <f t="shared" si="0"/>
        <v>10555000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10555000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500000</v>
      </c>
      <c r="C10" s="147">
        <v>500000</v>
      </c>
      <c r="D10" s="147"/>
      <c r="E10" s="147"/>
      <c r="F10" s="147"/>
      <c r="G10" s="147"/>
      <c r="H10" s="147">
        <v>500000</v>
      </c>
      <c r="I10" s="147"/>
      <c r="J10" s="147"/>
      <c r="K10" s="147"/>
      <c r="L10" s="147"/>
      <c r="M10" s="147"/>
      <c r="N10" s="147"/>
      <c r="O10" s="147"/>
      <c r="P10" s="147"/>
      <c r="Q10" s="147"/>
      <c r="R10" s="550">
        <f>SUM(E10:Q10)</f>
        <v>500000</v>
      </c>
      <c r="S10" s="147">
        <f>C10</f>
        <v>500000</v>
      </c>
      <c r="T10" s="147"/>
      <c r="U10" s="143"/>
    </row>
    <row r="11" spans="1:21" s="144" customFormat="1">
      <c r="A11" s="149" t="s">
        <v>604</v>
      </c>
      <c r="B11" s="146">
        <f>SUM(C11:D11)</f>
        <v>500000</v>
      </c>
      <c r="C11" s="146">
        <f t="shared" ref="C11:Q11" si="1">SUM(C9:C10)</f>
        <v>500000</v>
      </c>
      <c r="D11" s="146">
        <f t="shared" si="1"/>
        <v>0</v>
      </c>
      <c r="E11" s="146">
        <f t="shared" si="1"/>
        <v>0</v>
      </c>
      <c r="F11" s="146">
        <f t="shared" si="1"/>
        <v>0</v>
      </c>
      <c r="G11" s="146">
        <f t="shared" si="1"/>
        <v>0</v>
      </c>
      <c r="H11" s="146">
        <f t="shared" si="1"/>
        <v>500000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500000</v>
      </c>
      <c r="S11" s="148"/>
      <c r="T11" s="150">
        <f>SUM(T9:T10)</f>
        <v>0</v>
      </c>
      <c r="U11" s="143"/>
    </row>
    <row r="12" spans="1:21" s="144" customFormat="1">
      <c r="A12" s="149" t="s">
        <v>84</v>
      </c>
      <c r="B12" s="146">
        <f t="shared" ref="B12:Q12" si="2">SUM(B8+B11)</f>
        <v>11055000</v>
      </c>
      <c r="C12" s="146">
        <f t="shared" si="2"/>
        <v>11055000</v>
      </c>
      <c r="D12" s="146">
        <f t="shared" si="2"/>
        <v>0</v>
      </c>
      <c r="E12" s="146">
        <f t="shared" si="2"/>
        <v>10555000</v>
      </c>
      <c r="F12" s="146">
        <f t="shared" si="2"/>
        <v>0</v>
      </c>
      <c r="G12" s="146">
        <f t="shared" si="2"/>
        <v>0</v>
      </c>
      <c r="H12" s="146">
        <f t="shared" si="2"/>
        <v>500000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11055000</v>
      </c>
      <c r="S12" s="148"/>
      <c r="T12" s="148"/>
      <c r="U12" s="143"/>
    </row>
    <row r="13" spans="1:21" s="144" customFormat="1">
      <c r="A13" s="309" t="s">
        <v>916</v>
      </c>
      <c r="B13" s="146">
        <f>SUM(C13+D13)</f>
        <v>1500000</v>
      </c>
      <c r="C13" s="147">
        <v>1500000</v>
      </c>
      <c r="D13" s="147"/>
      <c r="E13" s="147">
        <v>1500000</v>
      </c>
      <c r="F13" s="147"/>
      <c r="G13" s="147"/>
      <c r="H13" s="147"/>
      <c r="I13" s="147"/>
      <c r="J13" s="147"/>
      <c r="K13" s="147"/>
      <c r="L13" s="147"/>
      <c r="M13" s="147"/>
      <c r="N13" s="147"/>
      <c r="O13" s="147"/>
      <c r="P13" s="147"/>
      <c r="Q13" s="147"/>
      <c r="R13" s="550">
        <f>SUM(E13:Q13)</f>
        <v>1500000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f>C17</f>
        <v>0</v>
      </c>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f t="shared" ref="S18:S25" si="4">C18</f>
        <v>0</v>
      </c>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5"/>
        <v>0</v>
      </c>
      <c r="S23" s="147">
        <f t="shared" si="4"/>
        <v>0</v>
      </c>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5"/>
        <v>0</v>
      </c>
      <c r="S24" s="147">
        <f t="shared" si="4"/>
        <v>0</v>
      </c>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5"/>
        <v>0</v>
      </c>
      <c r="S25" s="147">
        <f t="shared" si="4"/>
        <v>0</v>
      </c>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76550</v>
      </c>
      <c r="C27" s="147">
        <v>76550</v>
      </c>
      <c r="D27" s="147"/>
      <c r="E27" s="147">
        <v>76550</v>
      </c>
      <c r="F27" s="147"/>
      <c r="G27" s="147"/>
      <c r="H27" s="147"/>
      <c r="I27" s="147"/>
      <c r="J27" s="147"/>
      <c r="K27" s="147"/>
      <c r="L27" s="147"/>
      <c r="M27" s="147"/>
      <c r="N27" s="147"/>
      <c r="O27" s="147"/>
      <c r="P27" s="147"/>
      <c r="Q27" s="147"/>
      <c r="R27" s="550">
        <f t="shared" si="5"/>
        <v>76550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3108000</v>
      </c>
      <c r="C29" s="147">
        <v>3108000</v>
      </c>
      <c r="D29" s="147"/>
      <c r="E29" s="147"/>
      <c r="F29" s="147"/>
      <c r="G29" s="147"/>
      <c r="H29" s="147">
        <v>3108000</v>
      </c>
      <c r="I29" s="147"/>
      <c r="J29" s="147"/>
      <c r="K29" s="147"/>
      <c r="L29" s="147"/>
      <c r="M29" s="147"/>
      <c r="N29" s="147"/>
      <c r="O29" s="147"/>
      <c r="P29" s="147"/>
      <c r="Q29" s="147"/>
      <c r="R29" s="550">
        <f t="shared" ref="R29:R37" si="8">SUM(E29:Q29)</f>
        <v>3108000</v>
      </c>
      <c r="S29" s="147">
        <f>C29</f>
        <v>3108000</v>
      </c>
      <c r="T29" s="147"/>
      <c r="U29" s="143"/>
    </row>
    <row r="30" spans="1:21" s="144" customFormat="1">
      <c r="A30" s="145" t="s">
        <v>607</v>
      </c>
      <c r="B30" s="146">
        <f t="shared" si="7"/>
        <v>41287428</v>
      </c>
      <c r="C30" s="147">
        <v>41287428</v>
      </c>
      <c r="D30" s="147"/>
      <c r="E30" s="147">
        <v>5930282</v>
      </c>
      <c r="F30" s="147">
        <v>5970000</v>
      </c>
      <c r="G30" s="147">
        <v>12995146</v>
      </c>
      <c r="H30" s="147">
        <v>16392000</v>
      </c>
      <c r="I30" s="147"/>
      <c r="J30" s="147"/>
      <c r="K30" s="147"/>
      <c r="L30" s="147"/>
      <c r="M30" s="147"/>
      <c r="N30" s="147"/>
      <c r="O30" s="147"/>
      <c r="P30" s="147"/>
      <c r="Q30" s="147"/>
      <c r="R30" s="550">
        <f t="shared" si="8"/>
        <v>41287428</v>
      </c>
      <c r="S30" s="147">
        <f t="shared" ref="S30:S37" si="9">C30</f>
        <v>41287428</v>
      </c>
      <c r="T30" s="147"/>
      <c r="U30" s="143"/>
    </row>
    <row r="31" spans="1:21" s="144" customFormat="1">
      <c r="A31" s="145" t="s">
        <v>608</v>
      </c>
      <c r="B31" s="146">
        <f t="shared" si="7"/>
        <v>2693726</v>
      </c>
      <c r="C31" s="147">
        <v>2693726</v>
      </c>
      <c r="D31" s="147"/>
      <c r="E31" s="147">
        <f>C31</f>
        <v>2693726</v>
      </c>
      <c r="F31" s="147"/>
      <c r="G31" s="147"/>
      <c r="H31" s="147"/>
      <c r="I31" s="147"/>
      <c r="J31" s="147"/>
      <c r="K31" s="147"/>
      <c r="L31" s="147"/>
      <c r="M31" s="147"/>
      <c r="N31" s="147"/>
      <c r="O31" s="147"/>
      <c r="P31" s="147"/>
      <c r="Q31" s="147"/>
      <c r="R31" s="550">
        <f t="shared" si="8"/>
        <v>2693726</v>
      </c>
      <c r="S31" s="147">
        <f t="shared" si="9"/>
        <v>2693726</v>
      </c>
      <c r="T31" s="147"/>
      <c r="U31" s="143"/>
    </row>
    <row r="32" spans="1:21" s="144" customFormat="1">
      <c r="A32" s="145" t="s">
        <v>137</v>
      </c>
      <c r="B32" s="146">
        <f t="shared" si="7"/>
        <v>951783</v>
      </c>
      <c r="C32" s="147">
        <v>951783</v>
      </c>
      <c r="D32" s="147"/>
      <c r="E32" s="147">
        <f>C32</f>
        <v>951783</v>
      </c>
      <c r="F32" s="147"/>
      <c r="G32" s="147"/>
      <c r="H32" s="147"/>
      <c r="I32" s="147"/>
      <c r="J32" s="147"/>
      <c r="K32" s="147"/>
      <c r="L32" s="147"/>
      <c r="M32" s="147"/>
      <c r="N32" s="147"/>
      <c r="O32" s="147"/>
      <c r="P32" s="147"/>
      <c r="Q32" s="147"/>
      <c r="R32" s="550">
        <f t="shared" si="8"/>
        <v>951783</v>
      </c>
      <c r="S32" s="147">
        <f t="shared" si="9"/>
        <v>951783</v>
      </c>
      <c r="T32" s="147"/>
      <c r="U32" s="143"/>
    </row>
    <row r="33" spans="1:21" s="144" customFormat="1">
      <c r="A33" s="145" t="s">
        <v>138</v>
      </c>
      <c r="B33" s="146">
        <f t="shared" si="7"/>
        <v>2855349</v>
      </c>
      <c r="C33" s="147">
        <v>2855349</v>
      </c>
      <c r="D33" s="147"/>
      <c r="E33" s="147">
        <f>C33</f>
        <v>2855349</v>
      </c>
      <c r="F33" s="147"/>
      <c r="G33" s="147"/>
      <c r="H33" s="147"/>
      <c r="I33" s="147"/>
      <c r="J33" s="147"/>
      <c r="K33" s="147"/>
      <c r="L33" s="147"/>
      <c r="M33" s="147"/>
      <c r="N33" s="147"/>
      <c r="O33" s="147"/>
      <c r="P33" s="147"/>
      <c r="Q33" s="147"/>
      <c r="R33" s="550">
        <f t="shared" si="8"/>
        <v>2855349</v>
      </c>
      <c r="S33" s="147">
        <f t="shared" si="9"/>
        <v>2855349</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7"/>
        <v>1130700</v>
      </c>
      <c r="C35" s="147">
        <v>1130700</v>
      </c>
      <c r="D35" s="147"/>
      <c r="E35" s="147">
        <v>1130700</v>
      </c>
      <c r="F35" s="147"/>
      <c r="G35" s="147"/>
      <c r="H35" s="147"/>
      <c r="I35" s="147"/>
      <c r="J35" s="147"/>
      <c r="K35" s="147"/>
      <c r="L35" s="147"/>
      <c r="M35" s="147"/>
      <c r="N35" s="147"/>
      <c r="O35" s="147"/>
      <c r="P35" s="147"/>
      <c r="Q35" s="147"/>
      <c r="R35" s="550">
        <f t="shared" si="8"/>
        <v>1130700</v>
      </c>
      <c r="S35" s="147">
        <f t="shared" si="9"/>
        <v>1130700</v>
      </c>
      <c r="T35" s="147"/>
      <c r="U35" s="143"/>
    </row>
    <row r="36" spans="1:21" s="144" customFormat="1">
      <c r="A36" s="304" t="s">
        <v>1751</v>
      </c>
      <c r="B36" s="146">
        <f t="shared" si="7"/>
        <v>0</v>
      </c>
      <c r="C36" s="147"/>
      <c r="D36" s="147"/>
      <c r="E36" s="147"/>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f t="shared" si="9"/>
        <v>0</v>
      </c>
      <c r="T37" s="147"/>
      <c r="U37" s="143"/>
    </row>
    <row r="38" spans="1:21" s="144" customFormat="1">
      <c r="A38" s="149" t="s">
        <v>143</v>
      </c>
      <c r="B38" s="146">
        <f t="shared" si="7"/>
        <v>52026986</v>
      </c>
      <c r="C38" s="146">
        <f>SUM(C29:C37)</f>
        <v>52026986</v>
      </c>
      <c r="D38" s="146">
        <f t="shared" ref="D38:Q38" si="10">SUM(D29:D37)</f>
        <v>0</v>
      </c>
      <c r="E38" s="146">
        <f t="shared" si="10"/>
        <v>13561840</v>
      </c>
      <c r="F38" s="146">
        <f t="shared" si="10"/>
        <v>5970000</v>
      </c>
      <c r="G38" s="146">
        <f t="shared" si="10"/>
        <v>12995146</v>
      </c>
      <c r="H38" s="146">
        <f t="shared" si="10"/>
        <v>19500000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52026986</v>
      </c>
      <c r="S38" s="150">
        <f>SUM(S29:S37)</f>
        <v>52026986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885000</v>
      </c>
      <c r="C40" s="147">
        <v>885000</v>
      </c>
      <c r="D40" s="147"/>
      <c r="E40" s="147">
        <v>885000</v>
      </c>
      <c r="F40" s="147"/>
      <c r="G40" s="147"/>
      <c r="H40" s="147"/>
      <c r="I40" s="147"/>
      <c r="J40" s="147"/>
      <c r="K40" s="147"/>
      <c r="L40" s="147"/>
      <c r="M40" s="147"/>
      <c r="N40" s="147"/>
      <c r="O40" s="147"/>
      <c r="P40" s="147"/>
      <c r="Q40" s="147"/>
      <c r="R40" s="550">
        <f>SUM(E40:Q40)</f>
        <v>885000</v>
      </c>
      <c r="S40" s="147">
        <f>C40</f>
        <v>885000</v>
      </c>
      <c r="T40" s="147"/>
      <c r="U40" s="143"/>
    </row>
    <row r="41" spans="1:21" s="144" customFormat="1">
      <c r="A41" s="145" t="s">
        <v>146</v>
      </c>
      <c r="B41" s="146">
        <f>SUM(C41+D41)</f>
        <v>200000</v>
      </c>
      <c r="C41" s="147">
        <v>200000</v>
      </c>
      <c r="D41" s="147"/>
      <c r="E41" s="147">
        <v>200000</v>
      </c>
      <c r="F41" s="147"/>
      <c r="G41" s="147"/>
      <c r="H41" s="147"/>
      <c r="I41" s="147"/>
      <c r="J41" s="147"/>
      <c r="K41" s="147"/>
      <c r="L41" s="147"/>
      <c r="M41" s="147"/>
      <c r="N41" s="147"/>
      <c r="O41" s="147"/>
      <c r="P41" s="147"/>
      <c r="Q41" s="147"/>
      <c r="R41" s="550">
        <f>SUM(E41:Q41)</f>
        <v>200000</v>
      </c>
      <c r="S41" s="147">
        <f>C41</f>
        <v>200000</v>
      </c>
      <c r="T41" s="147"/>
      <c r="U41" s="143"/>
    </row>
    <row r="42" spans="1:21" s="144" customFormat="1">
      <c r="A42" s="149" t="s">
        <v>147</v>
      </c>
      <c r="B42" s="146">
        <f>SUM(C42:D42)</f>
        <v>1085000</v>
      </c>
      <c r="C42" s="146">
        <f>SUM(C39:C41)</f>
        <v>1085000</v>
      </c>
      <c r="D42" s="146">
        <f>SUM(D39:D41)</f>
        <v>0</v>
      </c>
      <c r="E42" s="146">
        <f t="shared" ref="E42:T42" si="11">SUM(E40:E41)</f>
        <v>1085000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1085000</v>
      </c>
      <c r="S42" s="150">
        <f t="shared" si="11"/>
        <v>1085000</v>
      </c>
      <c r="T42" s="150">
        <f t="shared" si="11"/>
        <v>0</v>
      </c>
      <c r="U42" s="143"/>
    </row>
    <row r="43" spans="1:21" s="144" customFormat="1">
      <c r="A43" s="149" t="s">
        <v>148</v>
      </c>
      <c r="B43" s="146">
        <f>SUM(C43:D43)</f>
        <v>450000</v>
      </c>
      <c r="C43" s="147">
        <v>450000</v>
      </c>
      <c r="D43" s="147"/>
      <c r="E43" s="147">
        <v>450000</v>
      </c>
      <c r="F43" s="147"/>
      <c r="G43" s="147"/>
      <c r="H43" s="147"/>
      <c r="I43" s="147"/>
      <c r="J43" s="147"/>
      <c r="K43" s="147"/>
      <c r="L43" s="147"/>
      <c r="M43" s="147"/>
      <c r="N43" s="147"/>
      <c r="O43" s="147"/>
      <c r="P43" s="147"/>
      <c r="Q43" s="147"/>
      <c r="R43" s="550">
        <f>SUM(E43:Q43)</f>
        <v>450000</v>
      </c>
      <c r="S43" s="147">
        <f>C43</f>
        <v>450000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5720000</v>
      </c>
      <c r="C45" s="147">
        <f>3220000+2500000</f>
        <v>5720000</v>
      </c>
      <c r="D45" s="147"/>
      <c r="E45" s="147"/>
      <c r="F45" s="147">
        <f>C45</f>
        <v>5720000</v>
      </c>
      <c r="G45" s="147"/>
      <c r="H45" s="147"/>
      <c r="I45" s="147"/>
      <c r="J45" s="147"/>
      <c r="K45" s="147"/>
      <c r="L45" s="147"/>
      <c r="M45" s="147"/>
      <c r="N45" s="147"/>
      <c r="O45" s="147"/>
      <c r="P45" s="147"/>
      <c r="Q45" s="147"/>
      <c r="R45" s="550">
        <f t="shared" ref="R45:R53" si="13">SUM(E45:Q45)</f>
        <v>5720000</v>
      </c>
      <c r="S45" s="147">
        <f>C45</f>
        <v>5720000</v>
      </c>
      <c r="T45" s="147"/>
      <c r="U45" s="143"/>
    </row>
    <row r="46" spans="1:21" s="144" customFormat="1">
      <c r="A46" s="145" t="s">
        <v>151</v>
      </c>
      <c r="B46" s="146">
        <f t="shared" si="12"/>
        <v>460000</v>
      </c>
      <c r="C46" s="1014">
        <v>460000</v>
      </c>
      <c r="D46" s="147"/>
      <c r="E46" s="147"/>
      <c r="F46" s="147">
        <f>C46</f>
        <v>460000</v>
      </c>
      <c r="G46" s="147"/>
      <c r="H46" s="147"/>
      <c r="I46" s="147"/>
      <c r="J46" s="147"/>
      <c r="K46" s="147"/>
      <c r="L46" s="147"/>
      <c r="M46" s="147"/>
      <c r="N46" s="147"/>
      <c r="O46" s="147"/>
      <c r="P46" s="147"/>
      <c r="Q46" s="147"/>
      <c r="R46" s="550">
        <f t="shared" si="13"/>
        <v>460000</v>
      </c>
      <c r="S46" s="147">
        <f t="shared" ref="S46:S53" si="14">C46</f>
        <v>460000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f t="shared" si="14"/>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f t="shared" si="14"/>
        <v>0</v>
      </c>
      <c r="T48" s="147"/>
      <c r="U48" s="143"/>
    </row>
    <row r="49" spans="1:21" s="144" customFormat="1">
      <c r="A49" s="145" t="s">
        <v>57</v>
      </c>
      <c r="B49" s="146">
        <f t="shared" si="12"/>
        <v>120000</v>
      </c>
      <c r="C49" s="147">
        <v>120000</v>
      </c>
      <c r="D49" s="147"/>
      <c r="E49" s="147">
        <v>120000</v>
      </c>
      <c r="F49" s="147"/>
      <c r="G49" s="147"/>
      <c r="H49" s="147"/>
      <c r="I49" s="147"/>
      <c r="J49" s="147"/>
      <c r="K49" s="147"/>
      <c r="L49" s="147"/>
      <c r="M49" s="147"/>
      <c r="N49" s="147"/>
      <c r="O49" s="147"/>
      <c r="P49" s="147"/>
      <c r="Q49" s="147"/>
      <c r="R49" s="550">
        <f t="shared" si="13"/>
        <v>120000</v>
      </c>
      <c r="S49" s="147">
        <f t="shared" si="14"/>
        <v>120000</v>
      </c>
      <c r="T49" s="147"/>
      <c r="U49" s="143"/>
    </row>
    <row r="50" spans="1:21" s="144" customFormat="1">
      <c r="A50" s="145" t="s">
        <v>156</v>
      </c>
      <c r="B50" s="146">
        <f t="shared" si="12"/>
        <v>80000</v>
      </c>
      <c r="C50" s="147">
        <v>80000</v>
      </c>
      <c r="D50" s="147"/>
      <c r="E50" s="147">
        <v>80000</v>
      </c>
      <c r="F50" s="147"/>
      <c r="G50" s="147"/>
      <c r="H50" s="147"/>
      <c r="I50" s="147"/>
      <c r="J50" s="147"/>
      <c r="K50" s="147"/>
      <c r="L50" s="147"/>
      <c r="M50" s="147"/>
      <c r="N50" s="147"/>
      <c r="O50" s="147"/>
      <c r="P50" s="147"/>
      <c r="Q50" s="147"/>
      <c r="R50" s="550">
        <f t="shared" si="13"/>
        <v>80000</v>
      </c>
      <c r="S50" s="147">
        <f t="shared" si="14"/>
        <v>80000</v>
      </c>
      <c r="T50" s="147"/>
      <c r="U50" s="143"/>
    </row>
    <row r="51" spans="1:21" s="144" customFormat="1">
      <c r="A51" s="304" t="s">
        <v>154</v>
      </c>
      <c r="B51" s="146">
        <f t="shared" si="12"/>
        <v>20000</v>
      </c>
      <c r="C51" s="147">
        <v>20000</v>
      </c>
      <c r="D51" s="147"/>
      <c r="E51" s="147">
        <v>20000</v>
      </c>
      <c r="F51" s="147"/>
      <c r="G51" s="147"/>
      <c r="H51" s="147"/>
      <c r="I51" s="147"/>
      <c r="J51" s="147"/>
      <c r="K51" s="147"/>
      <c r="L51" s="147"/>
      <c r="M51" s="147"/>
      <c r="N51" s="147"/>
      <c r="O51" s="147"/>
      <c r="P51" s="147"/>
      <c r="Q51" s="147"/>
      <c r="R51" s="550">
        <f t="shared" si="13"/>
        <v>20000</v>
      </c>
      <c r="S51" s="147">
        <f t="shared" si="14"/>
        <v>20000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50">
        <f t="shared" si="13"/>
        <v>0</v>
      </c>
      <c r="S52" s="147">
        <f t="shared" si="14"/>
        <v>0</v>
      </c>
      <c r="T52" s="147"/>
      <c r="U52" s="143"/>
    </row>
    <row r="53" spans="1:21" s="144" customFormat="1">
      <c r="A53" s="1193" t="s">
        <v>2763</v>
      </c>
      <c r="B53" s="146">
        <f t="shared" si="12"/>
        <v>150000</v>
      </c>
      <c r="C53" s="147">
        <v>150000</v>
      </c>
      <c r="D53" s="147"/>
      <c r="E53" s="147">
        <v>150000</v>
      </c>
      <c r="F53" s="147"/>
      <c r="G53" s="147"/>
      <c r="H53" s="147"/>
      <c r="I53" s="147"/>
      <c r="J53" s="147"/>
      <c r="K53" s="147"/>
      <c r="L53" s="147"/>
      <c r="M53" s="147"/>
      <c r="N53" s="147"/>
      <c r="O53" s="147"/>
      <c r="P53" s="147"/>
      <c r="Q53" s="147"/>
      <c r="R53" s="550">
        <f t="shared" si="13"/>
        <v>150000</v>
      </c>
      <c r="S53" s="147">
        <f t="shared" si="14"/>
        <v>150000</v>
      </c>
      <c r="T53" s="147"/>
      <c r="U53" s="143"/>
    </row>
    <row r="54" spans="1:21" s="153" customFormat="1">
      <c r="A54" s="149" t="s">
        <v>157</v>
      </c>
      <c r="B54" s="150">
        <f>SUM(C54:D54)</f>
        <v>6550000</v>
      </c>
      <c r="C54" s="150">
        <f t="shared" ref="C54:T54" si="15">SUM(C45:C53)</f>
        <v>6550000</v>
      </c>
      <c r="D54" s="150">
        <f t="shared" si="15"/>
        <v>0</v>
      </c>
      <c r="E54" s="150">
        <f t="shared" si="15"/>
        <v>370000</v>
      </c>
      <c r="F54" s="150">
        <f t="shared" si="15"/>
        <v>6180000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6550000</v>
      </c>
      <c r="S54" s="150">
        <f t="shared" si="15"/>
        <v>6550000</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60750</v>
      </c>
      <c r="C56" s="147">
        <v>60750</v>
      </c>
      <c r="D56" s="147"/>
      <c r="E56" s="147">
        <v>60750</v>
      </c>
      <c r="F56" s="147"/>
      <c r="G56" s="147"/>
      <c r="H56" s="147"/>
      <c r="I56" s="147"/>
      <c r="J56" s="147"/>
      <c r="K56" s="147"/>
      <c r="L56" s="147"/>
      <c r="M56" s="147"/>
      <c r="N56" s="147"/>
      <c r="O56" s="147"/>
      <c r="P56" s="147"/>
      <c r="Q56" s="147"/>
      <c r="R56" s="550">
        <f t="shared" ref="R56:R61" si="17">SUM(E56:Q56)</f>
        <v>60750</v>
      </c>
      <c r="S56" s="148"/>
      <c r="T56" s="148"/>
      <c r="U56" s="143"/>
    </row>
    <row r="57" spans="1:21" s="204" customFormat="1">
      <c r="A57" s="198" t="s">
        <v>152</v>
      </c>
      <c r="B57" s="205">
        <f t="shared" si="16"/>
        <v>25000</v>
      </c>
      <c r="C57" s="202">
        <v>25000</v>
      </c>
      <c r="D57" s="202"/>
      <c r="E57" s="202">
        <v>25000</v>
      </c>
      <c r="F57" s="202"/>
      <c r="G57" s="202"/>
      <c r="H57" s="202"/>
      <c r="I57" s="202"/>
      <c r="J57" s="202"/>
      <c r="K57" s="202"/>
      <c r="L57" s="202"/>
      <c r="M57" s="202"/>
      <c r="N57" s="202"/>
      <c r="O57" s="202"/>
      <c r="P57" s="202"/>
      <c r="Q57" s="202"/>
      <c r="R57" s="550">
        <f t="shared" si="17"/>
        <v>25000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34</v>
      </c>
      <c r="B61" s="146">
        <f t="shared" si="16"/>
        <v>0</v>
      </c>
      <c r="C61" s="147"/>
      <c r="D61" s="147"/>
      <c r="E61" s="147"/>
      <c r="F61" s="147"/>
      <c r="G61" s="147"/>
      <c r="H61" s="147"/>
      <c r="I61" s="147"/>
      <c r="J61" s="147"/>
      <c r="K61" s="147"/>
      <c r="L61" s="147"/>
      <c r="M61" s="147"/>
      <c r="N61" s="147"/>
      <c r="O61" s="147"/>
      <c r="P61" s="147"/>
      <c r="Q61" s="147"/>
      <c r="R61" s="550">
        <f t="shared" si="17"/>
        <v>0</v>
      </c>
      <c r="S61" s="148"/>
      <c r="T61" s="148"/>
      <c r="U61" s="143"/>
    </row>
    <row r="62" spans="1:21" s="144" customFormat="1" ht="13.75" customHeight="1">
      <c r="A62" s="149" t="s">
        <v>302</v>
      </c>
      <c r="B62" s="146">
        <f>SUM(C62:D62)</f>
        <v>85750</v>
      </c>
      <c r="C62" s="146">
        <f t="shared" ref="C62:R62" si="18">SUM(C56:C61)</f>
        <v>85750</v>
      </c>
      <c r="D62" s="146">
        <f t="shared" si="18"/>
        <v>0</v>
      </c>
      <c r="E62" s="146">
        <f t="shared" si="18"/>
        <v>85750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85750</v>
      </c>
      <c r="S62" s="148"/>
      <c r="T62" s="148"/>
      <c r="U62" s="143"/>
    </row>
    <row r="63" spans="1:21" s="144" customFormat="1">
      <c r="A63" s="154" t="s">
        <v>303</v>
      </c>
      <c r="B63" s="146">
        <f t="shared" ref="B63:R63" si="19">SUM(B8+B11+B13+B14+B15+B26+B27+B38+B42+B43+B54+B62)</f>
        <v>72829286</v>
      </c>
      <c r="C63" s="146">
        <f t="shared" si="19"/>
        <v>72829286</v>
      </c>
      <c r="D63" s="146">
        <f t="shared" si="19"/>
        <v>0</v>
      </c>
      <c r="E63" s="146">
        <f t="shared" si="19"/>
        <v>27684140</v>
      </c>
      <c r="F63" s="146">
        <f t="shared" si="19"/>
        <v>12150000</v>
      </c>
      <c r="G63" s="146">
        <f t="shared" si="19"/>
        <v>12995146</v>
      </c>
      <c r="H63" s="146">
        <f t="shared" si="19"/>
        <v>20000000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72829286</v>
      </c>
      <c r="S63" s="146">
        <f>SUM(S10+S13+S14+S15+S26+S27+S38+S42+S43+S54)</f>
        <v>60611986</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v>70000</v>
      </c>
      <c r="F65" s="147"/>
      <c r="G65" s="147"/>
      <c r="H65" s="147"/>
      <c r="I65" s="147"/>
      <c r="J65" s="147"/>
      <c r="K65" s="147"/>
      <c r="L65" s="147"/>
      <c r="M65" s="147"/>
      <c r="N65" s="147"/>
      <c r="O65" s="147"/>
      <c r="P65" s="147"/>
      <c r="Q65" s="147"/>
      <c r="R65" s="550">
        <f>SUM(E65:Q65)</f>
        <v>70000</v>
      </c>
      <c r="S65" s="147">
        <f>C65</f>
        <v>70000</v>
      </c>
      <c r="T65" s="147"/>
      <c r="U65" s="143"/>
    </row>
    <row r="66" spans="1:21" s="144" customFormat="1" ht="24" customHeight="1">
      <c r="A66" s="304" t="s">
        <v>1752</v>
      </c>
      <c r="B66" s="146">
        <f>SUM(C66+D66)</f>
        <v>160000</v>
      </c>
      <c r="C66" s="147">
        <v>160000</v>
      </c>
      <c r="D66" s="147"/>
      <c r="E66" s="147">
        <v>160000</v>
      </c>
      <c r="F66" s="147"/>
      <c r="G66" s="147"/>
      <c r="H66" s="147"/>
      <c r="I66" s="147"/>
      <c r="J66" s="147"/>
      <c r="K66" s="147"/>
      <c r="L66" s="147"/>
      <c r="M66" s="147"/>
      <c r="N66" s="147"/>
      <c r="O66" s="147"/>
      <c r="P66" s="147"/>
      <c r="Q66" s="147"/>
      <c r="R66" s="550">
        <f>SUM(E66:Q66)</f>
        <v>160000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f t="shared" ref="S67:S69" si="20">C67</f>
        <v>0</v>
      </c>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f t="shared" si="20"/>
        <v>0</v>
      </c>
      <c r="T68" s="147"/>
      <c r="U68" s="143"/>
    </row>
    <row r="69" spans="1:21" s="144" customFormat="1">
      <c r="A69" s="1193"/>
      <c r="B69" s="146">
        <f>SUM(C69+D69)</f>
        <v>0</v>
      </c>
      <c r="C69" s="147"/>
      <c r="D69" s="147"/>
      <c r="E69" s="147"/>
      <c r="F69" s="147"/>
      <c r="G69" s="147"/>
      <c r="H69" s="147"/>
      <c r="I69" s="147"/>
      <c r="J69" s="147"/>
      <c r="K69" s="147"/>
      <c r="L69" s="147"/>
      <c r="M69" s="147"/>
      <c r="N69" s="147"/>
      <c r="O69" s="147"/>
      <c r="P69" s="147"/>
      <c r="Q69" s="147"/>
      <c r="R69" s="550">
        <f>SUM(E69:Q69)</f>
        <v>0</v>
      </c>
      <c r="S69" s="147">
        <f t="shared" si="20"/>
        <v>0</v>
      </c>
      <c r="T69" s="147"/>
      <c r="U69" s="143"/>
    </row>
    <row r="70" spans="1:21" s="144" customFormat="1">
      <c r="A70" s="149" t="s">
        <v>1756</v>
      </c>
      <c r="B70" s="146">
        <f>SUM(C70:D70)</f>
        <v>230000</v>
      </c>
      <c r="C70" s="146">
        <f>SUM(C65:C69)</f>
        <v>230000</v>
      </c>
      <c r="D70" s="146">
        <f>SUM(D65:D69)</f>
        <v>0</v>
      </c>
      <c r="E70" s="146">
        <f t="shared" ref="E70:T70" si="21">SUM(E65:E69)</f>
        <v>230000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230000</v>
      </c>
      <c r="S70" s="150">
        <f t="shared" si="21"/>
        <v>70000</v>
      </c>
      <c r="T70" s="150">
        <f t="shared" si="2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1247000</v>
      </c>
      <c r="C74" s="147">
        <v>1247000</v>
      </c>
      <c r="D74" s="147"/>
      <c r="E74" s="147">
        <v>1247000</v>
      </c>
      <c r="F74" s="147"/>
      <c r="G74" s="147"/>
      <c r="H74" s="147"/>
      <c r="I74" s="147"/>
      <c r="J74" s="147"/>
      <c r="K74" s="147"/>
      <c r="L74" s="147"/>
      <c r="M74" s="147"/>
      <c r="N74" s="147"/>
      <c r="O74" s="147"/>
      <c r="P74" s="147"/>
      <c r="Q74" s="147"/>
      <c r="R74" s="550">
        <f>SUM(E74:Q74)</f>
        <v>1247000</v>
      </c>
      <c r="S74" s="148"/>
      <c r="T74" s="148"/>
      <c r="U74" s="143"/>
    </row>
    <row r="75" spans="1:21" s="144" customFormat="1">
      <c r="A75" s="145" t="s">
        <v>613</v>
      </c>
      <c r="B75" s="146">
        <f>SUM(C75+D75)</f>
        <v>661184</v>
      </c>
      <c r="C75" s="147">
        <v>661184</v>
      </c>
      <c r="D75" s="147"/>
      <c r="E75" s="147">
        <v>661184</v>
      </c>
      <c r="F75" s="147"/>
      <c r="G75" s="147"/>
      <c r="H75" s="147"/>
      <c r="I75" s="147"/>
      <c r="J75" s="147"/>
      <c r="K75" s="147"/>
      <c r="L75" s="147"/>
      <c r="M75" s="147"/>
      <c r="N75" s="147"/>
      <c r="O75" s="147"/>
      <c r="P75" s="147"/>
      <c r="Q75" s="147"/>
      <c r="R75" s="550">
        <f>SUM(E75:Q75)</f>
        <v>661184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1908184</v>
      </c>
      <c r="C77" s="146">
        <f>SUM(C72:C76)</f>
        <v>1908184</v>
      </c>
      <c r="D77" s="146">
        <f>SUM(D72:D76)</f>
        <v>0</v>
      </c>
      <c r="E77" s="146">
        <f t="shared" ref="E77:Q77" si="22">SUM(E72:E76)</f>
        <v>1908184</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1908184</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5140000</v>
      </c>
      <c r="C79" s="147">
        <v>5140000</v>
      </c>
      <c r="D79" s="147"/>
      <c r="E79" s="147">
        <v>5140000</v>
      </c>
      <c r="F79" s="147"/>
      <c r="G79" s="147"/>
      <c r="H79" s="147"/>
      <c r="I79" s="147"/>
      <c r="J79" s="147"/>
      <c r="K79" s="147"/>
      <c r="L79" s="147"/>
      <c r="M79" s="147"/>
      <c r="N79" s="147"/>
      <c r="O79" s="147"/>
      <c r="P79" s="147"/>
      <c r="Q79" s="147"/>
      <c r="R79" s="550">
        <f>SUM(E79:Q79)</f>
        <v>5140000</v>
      </c>
      <c r="S79" s="147">
        <f>C79</f>
        <v>5140000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0">
        <f>SUM(E80:Q80)</f>
        <v>800000</v>
      </c>
      <c r="S80" s="147">
        <f>C80</f>
        <v>800000</v>
      </c>
      <c r="T80" s="147"/>
      <c r="U80" s="143"/>
    </row>
    <row r="81" spans="1:21" s="144" customFormat="1">
      <c r="A81" s="149" t="s">
        <v>1313</v>
      </c>
      <c r="B81" s="146">
        <f>SUM(C81:D81)</f>
        <v>5940000</v>
      </c>
      <c r="C81" s="543">
        <f>SUM(C79:C80)</f>
        <v>5940000</v>
      </c>
      <c r="D81" s="543">
        <f t="shared" ref="D81:T81" si="23">SUM(D79:D80)</f>
        <v>0</v>
      </c>
      <c r="E81" s="543">
        <f t="shared" si="23"/>
        <v>5940000</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5940000</v>
      </c>
      <c r="S81" s="543">
        <f t="shared" si="23"/>
        <v>5940000</v>
      </c>
      <c r="T81" s="543">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24">SUM(C83+D83)</f>
        <v>99366</v>
      </c>
      <c r="C83" s="147">
        <v>99366</v>
      </c>
      <c r="D83" s="147"/>
      <c r="E83" s="147">
        <v>99366</v>
      </c>
      <c r="F83" s="147"/>
      <c r="G83" s="147"/>
      <c r="H83" s="147"/>
      <c r="I83" s="147"/>
      <c r="J83" s="147"/>
      <c r="K83" s="147"/>
      <c r="L83" s="147"/>
      <c r="M83" s="147"/>
      <c r="N83" s="147"/>
      <c r="O83" s="147"/>
      <c r="P83" s="147"/>
      <c r="Q83" s="147"/>
      <c r="R83" s="550">
        <f t="shared" ref="R83:R95" si="25">SUM(E83:Q83)</f>
        <v>99366</v>
      </c>
      <c r="S83" s="148"/>
      <c r="T83" s="148"/>
      <c r="U83" s="143"/>
    </row>
    <row r="84" spans="1:21" s="144" customFormat="1">
      <c r="A84" s="145" t="s">
        <v>775</v>
      </c>
      <c r="B84" s="146">
        <f t="shared" si="24"/>
        <v>0</v>
      </c>
      <c r="C84" s="147"/>
      <c r="D84" s="147"/>
      <c r="E84" s="147"/>
      <c r="F84" s="147"/>
      <c r="G84" s="147"/>
      <c r="H84" s="147"/>
      <c r="I84" s="147"/>
      <c r="J84" s="147"/>
      <c r="K84" s="147"/>
      <c r="L84" s="147"/>
      <c r="M84" s="147"/>
      <c r="N84" s="147"/>
      <c r="O84" s="147"/>
      <c r="P84" s="147"/>
      <c r="Q84" s="147"/>
      <c r="R84" s="550">
        <f t="shared" si="25"/>
        <v>0</v>
      </c>
      <c r="S84" s="147">
        <f>C84</f>
        <v>0</v>
      </c>
      <c r="T84" s="147"/>
      <c r="U84" s="143"/>
    </row>
    <row r="85" spans="1:21" s="144" customFormat="1">
      <c r="A85" s="145" t="s">
        <v>776</v>
      </c>
      <c r="B85" s="146">
        <f t="shared" si="24"/>
        <v>1497800</v>
      </c>
      <c r="C85" s="147">
        <v>1497800</v>
      </c>
      <c r="D85" s="147"/>
      <c r="E85" s="147">
        <v>1497800</v>
      </c>
      <c r="F85" s="147"/>
      <c r="G85" s="147"/>
      <c r="H85" s="147"/>
      <c r="I85" s="147"/>
      <c r="J85" s="147"/>
      <c r="K85" s="147"/>
      <c r="L85" s="147"/>
      <c r="M85" s="147"/>
      <c r="N85" s="147"/>
      <c r="O85" s="147"/>
      <c r="P85" s="147"/>
      <c r="Q85" s="147"/>
      <c r="R85" s="550">
        <f t="shared" si="25"/>
        <v>1497800</v>
      </c>
      <c r="S85" s="147">
        <f t="shared" ref="S85:S87" si="26">C85</f>
        <v>1497800</v>
      </c>
      <c r="T85" s="147"/>
      <c r="U85" s="143"/>
    </row>
    <row r="86" spans="1:21" s="144" customFormat="1">
      <c r="A86" s="145" t="s">
        <v>777</v>
      </c>
      <c r="B86" s="146">
        <f t="shared" si="24"/>
        <v>0</v>
      </c>
      <c r="C86" s="147"/>
      <c r="D86" s="147"/>
      <c r="E86" s="147"/>
      <c r="F86" s="147"/>
      <c r="G86" s="147"/>
      <c r="H86" s="147"/>
      <c r="I86" s="147"/>
      <c r="J86" s="147"/>
      <c r="K86" s="147"/>
      <c r="L86" s="147"/>
      <c r="M86" s="147"/>
      <c r="N86" s="147"/>
      <c r="O86" s="147"/>
      <c r="P86" s="147"/>
      <c r="Q86" s="147"/>
      <c r="R86" s="550">
        <f t="shared" si="25"/>
        <v>0</v>
      </c>
      <c r="S86" s="147">
        <f t="shared" si="26"/>
        <v>0</v>
      </c>
      <c r="T86" s="147"/>
      <c r="U86" s="143"/>
    </row>
    <row r="87" spans="1:21" s="144" customFormat="1">
      <c r="A87" s="145" t="s">
        <v>778</v>
      </c>
      <c r="B87" s="146">
        <f t="shared" si="24"/>
        <v>0</v>
      </c>
      <c r="C87" s="147"/>
      <c r="D87" s="147"/>
      <c r="E87" s="147"/>
      <c r="F87" s="147"/>
      <c r="G87" s="147"/>
      <c r="H87" s="147"/>
      <c r="I87" s="147"/>
      <c r="J87" s="147"/>
      <c r="K87" s="147"/>
      <c r="L87" s="147"/>
      <c r="M87" s="147"/>
      <c r="N87" s="147"/>
      <c r="O87" s="147"/>
      <c r="P87" s="147"/>
      <c r="Q87" s="147"/>
      <c r="R87" s="550">
        <f t="shared" si="25"/>
        <v>0</v>
      </c>
      <c r="S87" s="147">
        <f t="shared" si="26"/>
        <v>0</v>
      </c>
      <c r="T87" s="147"/>
      <c r="U87" s="143"/>
    </row>
    <row r="88" spans="1:21" s="144" customFormat="1">
      <c r="A88" s="145" t="s">
        <v>779</v>
      </c>
      <c r="B88" s="146">
        <f t="shared" si="24"/>
        <v>111837</v>
      </c>
      <c r="C88" s="147">
        <v>111837</v>
      </c>
      <c r="D88" s="147"/>
      <c r="E88" s="147">
        <v>111837</v>
      </c>
      <c r="F88" s="147"/>
      <c r="G88" s="147"/>
      <c r="H88" s="147"/>
      <c r="I88" s="147"/>
      <c r="J88" s="147"/>
      <c r="K88" s="147"/>
      <c r="L88" s="147"/>
      <c r="M88" s="147"/>
      <c r="N88" s="147"/>
      <c r="O88" s="147"/>
      <c r="P88" s="147"/>
      <c r="Q88" s="147"/>
      <c r="R88" s="550">
        <f t="shared" si="25"/>
        <v>111837</v>
      </c>
      <c r="S88" s="148"/>
      <c r="T88" s="148"/>
      <c r="U88" s="143"/>
    </row>
    <row r="89" spans="1:21" s="144" customFormat="1">
      <c r="A89" s="145" t="s">
        <v>780</v>
      </c>
      <c r="B89" s="146">
        <f t="shared" si="24"/>
        <v>438000</v>
      </c>
      <c r="C89" s="147">
        <v>438000</v>
      </c>
      <c r="D89" s="147"/>
      <c r="E89" s="147">
        <v>438000</v>
      </c>
      <c r="F89" s="147"/>
      <c r="G89" s="147"/>
      <c r="H89" s="147"/>
      <c r="I89" s="147"/>
      <c r="J89" s="147"/>
      <c r="K89" s="147"/>
      <c r="L89" s="147"/>
      <c r="M89" s="147"/>
      <c r="N89" s="147"/>
      <c r="O89" s="147"/>
      <c r="P89" s="147"/>
      <c r="Q89" s="147"/>
      <c r="R89" s="550">
        <f t="shared" si="25"/>
        <v>438000</v>
      </c>
      <c r="S89" s="147">
        <f>C89</f>
        <v>438000</v>
      </c>
      <c r="T89" s="147"/>
      <c r="U89" s="143"/>
    </row>
    <row r="90" spans="1:21" s="144" customFormat="1">
      <c r="A90" s="145" t="s">
        <v>781</v>
      </c>
      <c r="B90" s="146">
        <f t="shared" si="24"/>
        <v>15000</v>
      </c>
      <c r="C90" s="147">
        <v>15000</v>
      </c>
      <c r="D90" s="147"/>
      <c r="E90" s="147">
        <v>15000</v>
      </c>
      <c r="F90" s="147"/>
      <c r="G90" s="147"/>
      <c r="H90" s="147"/>
      <c r="I90" s="147"/>
      <c r="J90" s="147"/>
      <c r="K90" s="147"/>
      <c r="L90" s="147"/>
      <c r="M90" s="147"/>
      <c r="N90" s="147"/>
      <c r="O90" s="147"/>
      <c r="P90" s="147"/>
      <c r="Q90" s="147"/>
      <c r="R90" s="550">
        <f t="shared" si="25"/>
        <v>15000</v>
      </c>
      <c r="S90" s="147">
        <f t="shared" ref="S90:S95" si="27">C90</f>
        <v>15000</v>
      </c>
      <c r="T90" s="147"/>
      <c r="U90" s="143"/>
    </row>
    <row r="91" spans="1:21" s="144" customFormat="1">
      <c r="A91" s="145" t="s">
        <v>373</v>
      </c>
      <c r="B91" s="146">
        <f t="shared" si="24"/>
        <v>0</v>
      </c>
      <c r="C91" s="147"/>
      <c r="D91" s="147"/>
      <c r="E91" s="147"/>
      <c r="F91" s="147"/>
      <c r="G91" s="147"/>
      <c r="H91" s="147"/>
      <c r="I91" s="147"/>
      <c r="J91" s="147"/>
      <c r="K91" s="147"/>
      <c r="L91" s="147"/>
      <c r="M91" s="147"/>
      <c r="N91" s="147"/>
      <c r="O91" s="147"/>
      <c r="P91" s="147"/>
      <c r="Q91" s="147"/>
      <c r="R91" s="550">
        <f t="shared" si="25"/>
        <v>0</v>
      </c>
      <c r="S91" s="147">
        <f t="shared" si="27"/>
        <v>0</v>
      </c>
      <c r="T91" s="147"/>
      <c r="U91" s="143"/>
    </row>
    <row r="92" spans="1:21" s="144" customFormat="1">
      <c r="A92" s="304" t="s">
        <v>1315</v>
      </c>
      <c r="B92" s="146">
        <f t="shared" si="24"/>
        <v>15000</v>
      </c>
      <c r="C92" s="147">
        <v>15000</v>
      </c>
      <c r="D92" s="147"/>
      <c r="E92" s="147">
        <v>15000</v>
      </c>
      <c r="F92" s="147"/>
      <c r="G92" s="147"/>
      <c r="H92" s="147"/>
      <c r="I92" s="147"/>
      <c r="J92" s="147"/>
      <c r="K92" s="147"/>
      <c r="L92" s="147"/>
      <c r="M92" s="147"/>
      <c r="N92" s="147"/>
      <c r="O92" s="147"/>
      <c r="P92" s="147"/>
      <c r="Q92" s="147"/>
      <c r="R92" s="550">
        <f t="shared" si="25"/>
        <v>15000</v>
      </c>
      <c r="S92" s="147">
        <f t="shared" si="27"/>
        <v>15000</v>
      </c>
      <c r="T92" s="147"/>
      <c r="U92" s="143"/>
    </row>
    <row r="93" spans="1:21" s="144" customFormat="1">
      <c r="A93" s="1193" t="s">
        <v>2764</v>
      </c>
      <c r="B93" s="146">
        <f t="shared" si="24"/>
        <v>40000</v>
      </c>
      <c r="C93" s="147">
        <v>40000</v>
      </c>
      <c r="D93" s="147"/>
      <c r="E93" s="147">
        <v>40000</v>
      </c>
      <c r="F93" s="147"/>
      <c r="G93" s="147"/>
      <c r="H93" s="147"/>
      <c r="I93" s="147"/>
      <c r="J93" s="147"/>
      <c r="K93" s="147"/>
      <c r="L93" s="147"/>
      <c r="M93" s="147"/>
      <c r="N93" s="147"/>
      <c r="O93" s="147"/>
      <c r="P93" s="147"/>
      <c r="Q93" s="147"/>
      <c r="R93" s="550">
        <f t="shared" si="25"/>
        <v>40000</v>
      </c>
      <c r="S93" s="147">
        <f t="shared" si="27"/>
        <v>40000</v>
      </c>
      <c r="T93" s="147"/>
      <c r="U93" s="143"/>
    </row>
    <row r="94" spans="1:21" s="144" customFormat="1">
      <c r="A94" s="1193" t="s">
        <v>2765</v>
      </c>
      <c r="B94" s="146">
        <f t="shared" si="24"/>
        <v>430000</v>
      </c>
      <c r="C94" s="147">
        <v>430000</v>
      </c>
      <c r="D94" s="147"/>
      <c r="E94" s="147">
        <v>430000</v>
      </c>
      <c r="F94" s="147"/>
      <c r="G94" s="147"/>
      <c r="H94" s="147"/>
      <c r="I94" s="147"/>
      <c r="J94" s="147"/>
      <c r="K94" s="147"/>
      <c r="L94" s="147"/>
      <c r="M94" s="147"/>
      <c r="N94" s="147"/>
      <c r="O94" s="147"/>
      <c r="P94" s="147"/>
      <c r="Q94" s="147"/>
      <c r="R94" s="550">
        <f t="shared" si="25"/>
        <v>430000</v>
      </c>
      <c r="S94" s="147"/>
      <c r="T94" s="147"/>
      <c r="U94" s="143"/>
    </row>
    <row r="95" spans="1:21" s="144" customFormat="1">
      <c r="A95" s="1193"/>
      <c r="B95" s="146">
        <f t="shared" si="24"/>
        <v>0</v>
      </c>
      <c r="C95" s="147"/>
      <c r="D95" s="147"/>
      <c r="E95" s="147"/>
      <c r="F95" s="147"/>
      <c r="G95" s="147"/>
      <c r="H95" s="147"/>
      <c r="I95" s="147"/>
      <c r="J95" s="147"/>
      <c r="K95" s="147"/>
      <c r="L95" s="147"/>
      <c r="M95" s="147"/>
      <c r="N95" s="147"/>
      <c r="O95" s="147"/>
      <c r="P95" s="147"/>
      <c r="Q95" s="147"/>
      <c r="R95" s="550">
        <f t="shared" si="25"/>
        <v>0</v>
      </c>
      <c r="S95" s="147">
        <f t="shared" si="27"/>
        <v>0</v>
      </c>
      <c r="T95" s="147"/>
      <c r="U95" s="143"/>
    </row>
    <row r="96" spans="1:21" s="144" customFormat="1">
      <c r="A96" s="149" t="s">
        <v>782</v>
      </c>
      <c r="B96" s="146">
        <f>SUM(C96:D96)</f>
        <v>2647003</v>
      </c>
      <c r="C96" s="146">
        <f t="shared" ref="C96:R96" si="28">SUM(C83:C95)</f>
        <v>2647003</v>
      </c>
      <c r="D96" s="146">
        <f t="shared" si="28"/>
        <v>0</v>
      </c>
      <c r="E96" s="146">
        <f t="shared" si="28"/>
        <v>2647003</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2647003</v>
      </c>
      <c r="S96" s="150">
        <f>SUM(S84:S87,S89:S95)</f>
        <v>2005800</v>
      </c>
      <c r="T96" s="146">
        <f>SUM(T84:T87,T89:T95)</f>
        <v>0</v>
      </c>
      <c r="U96" s="143"/>
    </row>
    <row r="97" spans="1:21" s="144" customFormat="1">
      <c r="A97" s="149" t="s">
        <v>783</v>
      </c>
      <c r="B97" s="146">
        <f>SUM(C97:D97)</f>
        <v>83554473</v>
      </c>
      <c r="C97" s="146">
        <f t="shared" ref="C97:R97" si="29">SUM(C63+C70+C77+C81+C96)</f>
        <v>83554473</v>
      </c>
      <c r="D97" s="146">
        <f t="shared" si="29"/>
        <v>0</v>
      </c>
      <c r="E97" s="146">
        <f t="shared" si="29"/>
        <v>38409327</v>
      </c>
      <c r="F97" s="146">
        <f t="shared" si="29"/>
        <v>12150000</v>
      </c>
      <c r="G97" s="146">
        <f t="shared" si="29"/>
        <v>12995146</v>
      </c>
      <c r="H97" s="146">
        <f t="shared" si="29"/>
        <v>20000000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83554473</v>
      </c>
      <c r="S97" s="146">
        <f>SUM(S63+S70+S81+S96)</f>
        <v>68627786</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3500000</v>
      </c>
      <c r="C99" s="1014">
        <v>3500000</v>
      </c>
      <c r="D99" s="1014"/>
      <c r="E99" s="1014">
        <v>2500000</v>
      </c>
      <c r="F99" s="147"/>
      <c r="G99" s="147"/>
      <c r="H99" s="147"/>
      <c r="I99" s="147">
        <v>1000000</v>
      </c>
      <c r="J99" s="147"/>
      <c r="K99" s="147"/>
      <c r="L99" s="147"/>
      <c r="M99" s="147"/>
      <c r="N99" s="147"/>
      <c r="O99" s="147"/>
      <c r="P99" s="147"/>
      <c r="Q99" s="147"/>
      <c r="R99" s="550">
        <f>SUM(E99:Q99)</f>
        <v>3500000</v>
      </c>
      <c r="S99" s="147">
        <f>C99</f>
        <v>3500000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f t="shared" ref="S100:S103" si="30">C100</f>
        <v>0</v>
      </c>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f t="shared" si="30"/>
        <v>0</v>
      </c>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f t="shared" si="30"/>
        <v>0</v>
      </c>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f t="shared" si="30"/>
        <v>0</v>
      </c>
      <c r="T103" s="147"/>
      <c r="U103" s="143"/>
    </row>
    <row r="104" spans="1:21" s="144" customFormat="1">
      <c r="A104" s="149" t="s">
        <v>787</v>
      </c>
      <c r="B104" s="146">
        <f>SUM(C104:D104)</f>
        <v>3500000</v>
      </c>
      <c r="C104" s="146">
        <f>SUM(C99:C103)</f>
        <v>3500000</v>
      </c>
      <c r="D104" s="146">
        <f t="shared" ref="D104:T104" si="31">SUM(D99:D103)</f>
        <v>0</v>
      </c>
      <c r="E104" s="146">
        <f t="shared" si="31"/>
        <v>2500000</v>
      </c>
      <c r="F104" s="146">
        <f t="shared" si="31"/>
        <v>0</v>
      </c>
      <c r="G104" s="146">
        <f t="shared" si="31"/>
        <v>0</v>
      </c>
      <c r="H104" s="146">
        <f t="shared" si="31"/>
        <v>0</v>
      </c>
      <c r="I104" s="146">
        <f t="shared" si="31"/>
        <v>1000000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3500000</v>
      </c>
      <c r="S104" s="150">
        <f t="shared" si="31"/>
        <v>3500000</v>
      </c>
      <c r="T104" s="150">
        <f t="shared" si="31"/>
        <v>0</v>
      </c>
      <c r="U104" s="143"/>
    </row>
    <row r="105" spans="1:21" s="144" customFormat="1">
      <c r="A105" s="149" t="s">
        <v>788</v>
      </c>
      <c r="B105" s="150">
        <f>SUM(C105:D105)</f>
        <v>87054473</v>
      </c>
      <c r="C105" s="150">
        <f t="shared" ref="C105:R105" si="32">SUM(C97+C104)</f>
        <v>87054473</v>
      </c>
      <c r="D105" s="150">
        <f t="shared" si="32"/>
        <v>0</v>
      </c>
      <c r="E105" s="150">
        <f t="shared" si="32"/>
        <v>40909327</v>
      </c>
      <c r="F105" s="150">
        <f t="shared" si="32"/>
        <v>12150000</v>
      </c>
      <c r="G105" s="150">
        <f t="shared" si="32"/>
        <v>12995146</v>
      </c>
      <c r="H105" s="150">
        <f t="shared" si="32"/>
        <v>20000000</v>
      </c>
      <c r="I105" s="150">
        <f t="shared" si="32"/>
        <v>1000000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0">
        <f t="shared" si="32"/>
        <v>87054473</v>
      </c>
      <c r="S105" s="150">
        <f>S97+S104</f>
        <v>72127786</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72127786</v>
      </c>
      <c r="T107" s="150">
        <f>T105+T106</f>
        <v>0</v>
      </c>
    </row>
    <row r="108" spans="1:21" s="201" customFormat="1">
      <c r="A108" s="162" t="s">
        <v>890</v>
      </c>
      <c r="B108" s="157"/>
      <c r="C108" s="157"/>
      <c r="D108" s="157"/>
      <c r="E108" s="323">
        <f>Application!AO640</f>
        <v>40909327</v>
      </c>
      <c r="F108" s="323">
        <f>Application!AO627</f>
        <v>12150000</v>
      </c>
      <c r="G108" s="323">
        <f>Application!AO628</f>
        <v>12995146</v>
      </c>
      <c r="H108" s="323">
        <f>Application!AO629</f>
        <v>20000000</v>
      </c>
      <c r="I108" s="323">
        <f>Application!AO630</f>
        <v>1000000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4"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80" t="s">
        <v>1012</v>
      </c>
      <c r="E122" s="1880"/>
      <c r="F122" s="1880"/>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82" t="s">
        <v>1329</v>
      </c>
      <c r="E123" s="1810"/>
      <c r="F123" s="1810"/>
      <c r="G123" s="1810"/>
      <c r="H123" s="1810"/>
      <c r="I123" s="1810"/>
      <c r="J123" s="1810"/>
      <c r="K123" s="1810"/>
      <c r="L123" s="1810"/>
      <c r="M123" s="1810"/>
      <c r="N123" s="1810"/>
      <c r="O123" s="1810"/>
      <c r="P123" s="1810"/>
      <c r="Q123" s="1810"/>
      <c r="R123" s="1810"/>
      <c r="S123" s="1810"/>
      <c r="T123" s="352"/>
      <c r="U123" s="354"/>
    </row>
    <row r="124" spans="1:21" ht="12.45">
      <c r="A124" s="117" t="s">
        <v>1014</v>
      </c>
      <c r="B124" s="361"/>
      <c r="C124" s="117"/>
      <c r="D124" s="1810"/>
      <c r="E124" s="1810"/>
      <c r="F124" s="1810"/>
      <c r="G124" s="1810"/>
      <c r="H124" s="1810"/>
      <c r="I124" s="1810"/>
      <c r="J124" s="1810"/>
      <c r="K124" s="1810"/>
      <c r="L124" s="1810"/>
      <c r="M124" s="1810"/>
      <c r="N124" s="1810"/>
      <c r="O124" s="1810"/>
      <c r="P124" s="1810"/>
      <c r="Q124" s="1810"/>
      <c r="R124" s="1810"/>
      <c r="S124" s="1810"/>
      <c r="T124" s="352"/>
      <c r="U124" s="354"/>
    </row>
    <row r="125" spans="1:21" ht="12.45">
      <c r="A125" s="117" t="s">
        <v>1015</v>
      </c>
      <c r="B125" s="361"/>
      <c r="C125" s="117"/>
      <c r="D125" s="1810"/>
      <c r="E125" s="1810"/>
      <c r="F125" s="1810"/>
      <c r="G125" s="1810"/>
      <c r="H125" s="1810"/>
      <c r="I125" s="1810"/>
      <c r="J125" s="1810"/>
      <c r="K125" s="1810"/>
      <c r="L125" s="1810"/>
      <c r="M125" s="1810"/>
      <c r="N125" s="1810"/>
      <c r="O125" s="1810"/>
      <c r="P125" s="1810"/>
      <c r="Q125" s="1810"/>
      <c r="R125" s="1810"/>
      <c r="S125" s="1810"/>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45">
      <c r="A129" s="117" t="s">
        <v>301</v>
      </c>
      <c r="B129" s="361"/>
      <c r="C129" s="117"/>
      <c r="D129" s="1879" t="s">
        <v>1019</v>
      </c>
      <c r="E129" s="1879"/>
      <c r="F129" s="1879"/>
      <c r="G129" s="1879"/>
      <c r="H129" s="1879"/>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05" customHeight="1">
      <c r="A132" s="364"/>
      <c r="B132" s="117"/>
      <c r="C132" s="117"/>
      <c r="D132" s="1883" t="s">
        <v>1022</v>
      </c>
      <c r="E132" s="1883"/>
      <c r="F132" s="1883"/>
      <c r="G132" s="1883"/>
      <c r="H132" s="1883"/>
      <c r="I132" s="117"/>
      <c r="J132" s="1883" t="s">
        <v>1023</v>
      </c>
      <c r="K132" s="1883"/>
      <c r="L132" s="1883"/>
      <c r="M132" s="1883"/>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95">
      <c r="A139" s="1881" t="s">
        <v>1026</v>
      </c>
      <c r="B139" s="1881"/>
      <c r="C139" s="1881"/>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I90" sqref="I90"/>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7" t="s">
        <v>1332</v>
      </c>
      <c r="B1" s="1888"/>
      <c r="C1" s="1888"/>
      <c r="D1" s="1888"/>
      <c r="E1" s="1888"/>
      <c r="F1" s="1888"/>
      <c r="G1" s="1888"/>
      <c r="H1" s="1888"/>
      <c r="I1" s="1888"/>
      <c r="J1" s="1889"/>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10555000</v>
      </c>
      <c r="C4" s="393">
        <f>B4</f>
        <v>10555000</v>
      </c>
      <c r="D4" s="393"/>
      <c r="E4" s="394"/>
      <c r="F4" s="394"/>
      <c r="G4" s="394"/>
      <c r="H4" s="394"/>
      <c r="I4" s="394"/>
      <c r="J4" s="394"/>
      <c r="K4" s="390"/>
    </row>
    <row r="5" spans="1:11" s="391" customFormat="1">
      <c r="A5" s="395" t="s">
        <v>28</v>
      </c>
      <c r="B5" s="392">
        <f>'Sources and Uses Budget'!C5</f>
        <v>0</v>
      </c>
      <c r="C5" s="393">
        <f t="shared" ref="C5:C7" si="0">B5</f>
        <v>0</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601</v>
      </c>
      <c r="B8" s="392">
        <f>'Sources and Uses Budget'!C8</f>
        <v>10555000</v>
      </c>
      <c r="C8" s="392">
        <f>SUM(C4:C7)</f>
        <v>10555000</v>
      </c>
      <c r="D8" s="392">
        <f>SUM(D4:D7)</f>
        <v>0</v>
      </c>
      <c r="E8" s="394"/>
      <c r="F8" s="394"/>
      <c r="G8" s="394"/>
      <c r="H8" s="394"/>
      <c r="I8" s="394"/>
      <c r="J8" s="394"/>
      <c r="K8" s="390"/>
    </row>
    <row r="9" spans="1:11" s="391" customFormat="1">
      <c r="A9" s="395" t="s">
        <v>602</v>
      </c>
      <c r="B9" s="392">
        <f>'Sources and Uses Budget'!C9</f>
        <v>0</v>
      </c>
      <c r="C9" s="393">
        <f>B9</f>
        <v>0</v>
      </c>
      <c r="D9" s="393"/>
      <c r="E9" s="394"/>
      <c r="F9" s="394"/>
      <c r="G9" s="394"/>
      <c r="H9" s="392">
        <f>'Sources and Uses Budget'!T9</f>
        <v>0</v>
      </c>
      <c r="I9" s="393"/>
      <c r="J9" s="393"/>
      <c r="K9" s="390"/>
    </row>
    <row r="10" spans="1:11" s="391" customFormat="1">
      <c r="A10" s="395" t="s">
        <v>603</v>
      </c>
      <c r="B10" s="392">
        <f>'Sources and Uses Budget'!C10</f>
        <v>500000</v>
      </c>
      <c r="C10" s="393">
        <f>B10</f>
        <v>500000</v>
      </c>
      <c r="D10" s="393"/>
      <c r="E10" s="392">
        <f>'Sources and Uses Budget'!S10</f>
        <v>500000</v>
      </c>
      <c r="F10" s="393">
        <f>E10</f>
        <v>500000</v>
      </c>
      <c r="G10" s="393"/>
      <c r="H10" s="392">
        <f>'Sources and Uses Budget'!T10</f>
        <v>0</v>
      </c>
      <c r="I10" s="393"/>
      <c r="J10" s="393"/>
      <c r="K10" s="390"/>
    </row>
    <row r="11" spans="1:11" s="391" customFormat="1">
      <c r="A11" s="396" t="s">
        <v>604</v>
      </c>
      <c r="B11" s="392">
        <f>'Sources and Uses Budget'!C11</f>
        <v>500000</v>
      </c>
      <c r="C11" s="392">
        <f>SUM(C9:C10)</f>
        <v>500000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11055000</v>
      </c>
      <c r="C12" s="392">
        <f>SUM(C8+C11)</f>
        <v>11055000</v>
      </c>
      <c r="D12" s="392">
        <f>SUM(D8+D11)</f>
        <v>0</v>
      </c>
      <c r="E12" s="394"/>
      <c r="F12" s="394"/>
      <c r="G12" s="394"/>
      <c r="H12" s="394"/>
      <c r="I12" s="394"/>
      <c r="J12" s="394"/>
      <c r="K12" s="390"/>
    </row>
    <row r="13" spans="1:11" s="391" customFormat="1">
      <c r="A13" s="397" t="s">
        <v>916</v>
      </c>
      <c r="B13" s="392">
        <f>'Sources and Uses Budget'!C13</f>
        <v>1500000</v>
      </c>
      <c r="C13" s="393">
        <f>B13</f>
        <v>1500000</v>
      </c>
      <c r="D13" s="393"/>
      <c r="E13" s="392">
        <f>'Sources and Uses Budget'!S13</f>
        <v>0</v>
      </c>
      <c r="F13" s="393">
        <f>E13</f>
        <v>0</v>
      </c>
      <c r="G13" s="393"/>
      <c r="H13" s="392">
        <f>'Sources and Uses Budget'!T13</f>
        <v>0</v>
      </c>
      <c r="I13" s="393"/>
      <c r="J13" s="393"/>
      <c r="K13" s="390"/>
    </row>
    <row r="14" spans="1:11" s="391" customFormat="1" ht="22.8">
      <c r="A14" s="395" t="s">
        <v>917</v>
      </c>
      <c r="B14" s="392">
        <f>'Sources and Uses Budget'!C14</f>
        <v>0</v>
      </c>
      <c r="C14" s="393">
        <f t="shared" ref="C14:C15" si="1">B14</f>
        <v>0</v>
      </c>
      <c r="D14" s="393"/>
      <c r="E14" s="392">
        <f>'Sources and Uses Budget'!S14</f>
        <v>0</v>
      </c>
      <c r="F14" s="393">
        <f>E14</f>
        <v>0</v>
      </c>
      <c r="G14" s="393"/>
      <c r="H14" s="392">
        <f>'Sources and Uses Budget'!T14</f>
        <v>0</v>
      </c>
      <c r="I14" s="393"/>
      <c r="J14" s="393"/>
      <c r="K14" s="390"/>
    </row>
    <row r="15" spans="1:11" s="391" customFormat="1">
      <c r="A15" s="395" t="s">
        <v>1264</v>
      </c>
      <c r="B15" s="392">
        <f>'Sources and Uses Budget'!C15</f>
        <v>0</v>
      </c>
      <c r="C15" s="393">
        <f t="shared" si="1"/>
        <v>0</v>
      </c>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f>B17</f>
        <v>0</v>
      </c>
      <c r="D17" s="393"/>
      <c r="E17" s="392">
        <f>'Sources and Uses Budget'!S17</f>
        <v>0</v>
      </c>
      <c r="F17" s="393">
        <f>E17</f>
        <v>0</v>
      </c>
      <c r="G17" s="393"/>
      <c r="H17" s="392">
        <f>'Sources and Uses Budget'!T17</f>
        <v>0</v>
      </c>
      <c r="I17" s="393"/>
      <c r="J17" s="393"/>
      <c r="K17" s="390"/>
    </row>
    <row r="18" spans="1:11" s="391" customFormat="1">
      <c r="A18" s="395" t="s">
        <v>607</v>
      </c>
      <c r="B18" s="392">
        <f>'Sources and Uses Budget'!C18</f>
        <v>0</v>
      </c>
      <c r="C18" s="393">
        <f t="shared" ref="C18:C25" si="2">B18</f>
        <v>0</v>
      </c>
      <c r="D18" s="393"/>
      <c r="E18" s="392">
        <f>'Sources and Uses Budget'!S18</f>
        <v>0</v>
      </c>
      <c r="F18" s="393">
        <f t="shared" ref="F18:F25" si="3">E18</f>
        <v>0</v>
      </c>
      <c r="G18" s="393"/>
      <c r="H18" s="392">
        <f>'Sources and Uses Budget'!T18</f>
        <v>0</v>
      </c>
      <c r="I18" s="393"/>
      <c r="J18" s="393"/>
      <c r="K18" s="390"/>
    </row>
    <row r="19" spans="1:11" s="391" customFormat="1">
      <c r="A19" s="395" t="s">
        <v>608</v>
      </c>
      <c r="B19" s="392">
        <f>'Sources and Uses Budget'!C19</f>
        <v>0</v>
      </c>
      <c r="C19" s="393">
        <f t="shared" si="2"/>
        <v>0</v>
      </c>
      <c r="D19" s="393"/>
      <c r="E19" s="392">
        <f>'Sources and Uses Budget'!S19</f>
        <v>0</v>
      </c>
      <c r="F19" s="393">
        <f t="shared" si="3"/>
        <v>0</v>
      </c>
      <c r="G19" s="393"/>
      <c r="H19" s="392">
        <f>'Sources and Uses Budget'!T19</f>
        <v>0</v>
      </c>
      <c r="I19" s="393"/>
      <c r="J19" s="393"/>
      <c r="K19" s="390"/>
    </row>
    <row r="20" spans="1:11" s="391" customFormat="1">
      <c r="A20" s="395" t="s">
        <v>137</v>
      </c>
      <c r="B20" s="392">
        <f>'Sources and Uses Budget'!C20</f>
        <v>0</v>
      </c>
      <c r="C20" s="393">
        <f t="shared" si="2"/>
        <v>0</v>
      </c>
      <c r="D20" s="393"/>
      <c r="E20" s="392">
        <f>'Sources and Uses Budget'!S20</f>
        <v>0</v>
      </c>
      <c r="F20" s="393">
        <f t="shared" si="3"/>
        <v>0</v>
      </c>
      <c r="G20" s="393"/>
      <c r="H20" s="392">
        <f>'Sources and Uses Budget'!T20</f>
        <v>0</v>
      </c>
      <c r="I20" s="393"/>
      <c r="J20" s="393"/>
      <c r="K20" s="390"/>
    </row>
    <row r="21" spans="1:11" s="391" customFormat="1">
      <c r="A21" s="395" t="s">
        <v>138</v>
      </c>
      <c r="B21" s="392">
        <f>'Sources and Uses Budget'!C21</f>
        <v>0</v>
      </c>
      <c r="C21" s="393">
        <f t="shared" si="2"/>
        <v>0</v>
      </c>
      <c r="D21" s="393"/>
      <c r="E21" s="392">
        <f>'Sources and Uses Budget'!S21</f>
        <v>0</v>
      </c>
      <c r="F21" s="393">
        <f t="shared" si="3"/>
        <v>0</v>
      </c>
      <c r="G21" s="393"/>
      <c r="H21" s="392">
        <f>'Sources and Uses Budget'!T21</f>
        <v>0</v>
      </c>
      <c r="I21" s="393"/>
      <c r="J21" s="393"/>
      <c r="K21" s="390"/>
    </row>
    <row r="22" spans="1:11" s="391" customFormat="1">
      <c r="A22" s="395" t="s">
        <v>139</v>
      </c>
      <c r="B22" s="392">
        <f>'Sources and Uses Budget'!C22</f>
        <v>0</v>
      </c>
      <c r="C22" s="393">
        <f t="shared" si="2"/>
        <v>0</v>
      </c>
      <c r="D22" s="393"/>
      <c r="E22" s="392">
        <f>'Sources and Uses Budget'!S22</f>
        <v>0</v>
      </c>
      <c r="F22" s="393">
        <f t="shared" si="3"/>
        <v>0</v>
      </c>
      <c r="G22" s="393"/>
      <c r="H22" s="392">
        <f>'Sources and Uses Budget'!T22</f>
        <v>0</v>
      </c>
      <c r="I22" s="393"/>
      <c r="J22" s="393"/>
      <c r="K22" s="390"/>
    </row>
    <row r="23" spans="1:11" s="391" customFormat="1">
      <c r="A23" s="395" t="s">
        <v>140</v>
      </c>
      <c r="B23" s="392">
        <f>'Sources and Uses Budget'!C23</f>
        <v>0</v>
      </c>
      <c r="C23" s="393">
        <f t="shared" si="2"/>
        <v>0</v>
      </c>
      <c r="D23" s="393"/>
      <c r="E23" s="392">
        <f>'Sources and Uses Budget'!S23</f>
        <v>0</v>
      </c>
      <c r="F23" s="393">
        <f t="shared" si="3"/>
        <v>0</v>
      </c>
      <c r="G23" s="393"/>
      <c r="H23" s="392">
        <f>'Sources and Uses Budget'!T23</f>
        <v>0</v>
      </c>
      <c r="I23" s="393"/>
      <c r="J23" s="393"/>
      <c r="K23" s="390"/>
    </row>
    <row r="24" spans="1:11" s="391" customFormat="1">
      <c r="A24" s="542" t="s">
        <v>1751</v>
      </c>
      <c r="B24" s="392">
        <f>'Sources and Uses Budget'!C24</f>
        <v>0</v>
      </c>
      <c r="C24" s="393">
        <f t="shared" si="2"/>
        <v>0</v>
      </c>
      <c r="D24" s="393"/>
      <c r="E24" s="392">
        <f>'Sources and Uses Budget'!S24</f>
        <v>0</v>
      </c>
      <c r="F24" s="393">
        <f t="shared" si="3"/>
        <v>0</v>
      </c>
      <c r="G24" s="393"/>
      <c r="H24" s="392">
        <f>'Sources and Uses Budget'!T24</f>
        <v>0</v>
      </c>
      <c r="I24" s="393"/>
      <c r="J24" s="393"/>
      <c r="K24" s="390"/>
    </row>
    <row r="25" spans="1:11" s="391" customFormat="1">
      <c r="A25" s="395" t="str">
        <f>'Sources and Uses Budget'!$A25</f>
        <v>Other: (Specify)</v>
      </c>
      <c r="B25" s="392">
        <f>'Sources and Uses Budget'!C25</f>
        <v>0</v>
      </c>
      <c r="C25" s="393">
        <f t="shared" si="2"/>
        <v>0</v>
      </c>
      <c r="D25" s="393"/>
      <c r="E25" s="392">
        <f>'Sources and Uses Budget'!S25</f>
        <v>0</v>
      </c>
      <c r="F25" s="393">
        <f t="shared" si="3"/>
        <v>0</v>
      </c>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76550</v>
      </c>
      <c r="C27" s="393">
        <f>B27</f>
        <v>76550</v>
      </c>
      <c r="D27" s="393"/>
      <c r="E27" s="392">
        <f>'Sources and Uses Budget'!S27</f>
        <v>0</v>
      </c>
      <c r="F27" s="393">
        <f>E27</f>
        <v>0</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3108000</v>
      </c>
      <c r="C29" s="393">
        <f>B29</f>
        <v>3108000</v>
      </c>
      <c r="D29" s="393"/>
      <c r="E29" s="392">
        <f>'Sources and Uses Budget'!S29</f>
        <v>3108000</v>
      </c>
      <c r="F29" s="393">
        <f>E29</f>
        <v>3108000</v>
      </c>
      <c r="G29" s="393"/>
      <c r="H29" s="392">
        <f>'Sources and Uses Budget'!T29</f>
        <v>0</v>
      </c>
      <c r="I29" s="393"/>
      <c r="J29" s="393"/>
      <c r="K29" s="390"/>
    </row>
    <row r="30" spans="1:11" s="391" customFormat="1">
      <c r="A30" s="145" t="s">
        <v>607</v>
      </c>
      <c r="B30" s="392">
        <f>'Sources and Uses Budget'!C30</f>
        <v>41287428</v>
      </c>
      <c r="C30" s="393">
        <f t="shared" ref="C30:C37" si="4">B30</f>
        <v>41287428</v>
      </c>
      <c r="D30" s="393"/>
      <c r="E30" s="392">
        <f>'Sources and Uses Budget'!S30</f>
        <v>41287428</v>
      </c>
      <c r="F30" s="393">
        <f t="shared" ref="F30:F37" si="5">E30</f>
        <v>41287428</v>
      </c>
      <c r="G30" s="393"/>
      <c r="H30" s="392">
        <f>'Sources and Uses Budget'!T30</f>
        <v>0</v>
      </c>
      <c r="I30" s="393"/>
      <c r="J30" s="393"/>
      <c r="K30" s="390"/>
    </row>
    <row r="31" spans="1:11" s="391" customFormat="1">
      <c r="A31" s="145" t="s">
        <v>608</v>
      </c>
      <c r="B31" s="392">
        <f>'Sources and Uses Budget'!C31</f>
        <v>2693726</v>
      </c>
      <c r="C31" s="393">
        <f t="shared" si="4"/>
        <v>2693726</v>
      </c>
      <c r="D31" s="393"/>
      <c r="E31" s="392">
        <f>'Sources and Uses Budget'!S31</f>
        <v>2693726</v>
      </c>
      <c r="F31" s="393">
        <f t="shared" si="5"/>
        <v>2693726</v>
      </c>
      <c r="G31" s="393"/>
      <c r="H31" s="392">
        <f>'Sources and Uses Budget'!T31</f>
        <v>0</v>
      </c>
      <c r="I31" s="393"/>
      <c r="J31" s="393"/>
      <c r="K31" s="390"/>
    </row>
    <row r="32" spans="1:11" s="391" customFormat="1">
      <c r="A32" s="145" t="s">
        <v>137</v>
      </c>
      <c r="B32" s="392">
        <f>'Sources and Uses Budget'!C32</f>
        <v>951783</v>
      </c>
      <c r="C32" s="393">
        <f t="shared" si="4"/>
        <v>951783</v>
      </c>
      <c r="D32" s="393"/>
      <c r="E32" s="392">
        <f>'Sources and Uses Budget'!S32</f>
        <v>951783</v>
      </c>
      <c r="F32" s="393">
        <f t="shared" si="5"/>
        <v>951783</v>
      </c>
      <c r="G32" s="393"/>
      <c r="H32" s="392">
        <f>'Sources and Uses Budget'!T32</f>
        <v>0</v>
      </c>
      <c r="I32" s="393"/>
      <c r="J32" s="393"/>
      <c r="K32" s="390"/>
    </row>
    <row r="33" spans="1:11" s="391" customFormat="1">
      <c r="A33" s="145" t="s">
        <v>138</v>
      </c>
      <c r="B33" s="392">
        <f>'Sources and Uses Budget'!C33</f>
        <v>2855349</v>
      </c>
      <c r="C33" s="393">
        <f t="shared" si="4"/>
        <v>2855349</v>
      </c>
      <c r="D33" s="393"/>
      <c r="E33" s="392">
        <f>'Sources and Uses Budget'!S33</f>
        <v>2855349</v>
      </c>
      <c r="F33" s="393">
        <f t="shared" si="5"/>
        <v>2855349</v>
      </c>
      <c r="G33" s="393"/>
      <c r="H33" s="392">
        <f>'Sources and Uses Budget'!T33</f>
        <v>0</v>
      </c>
      <c r="I33" s="393"/>
      <c r="J33" s="393"/>
      <c r="K33" s="390"/>
    </row>
    <row r="34" spans="1:11" s="391" customFormat="1">
      <c r="A34" s="145" t="s">
        <v>139</v>
      </c>
      <c r="B34" s="392">
        <f>'Sources and Uses Budget'!C34</f>
        <v>0</v>
      </c>
      <c r="C34" s="393">
        <f t="shared" si="4"/>
        <v>0</v>
      </c>
      <c r="D34" s="393"/>
      <c r="E34" s="392">
        <f>'Sources and Uses Budget'!S34</f>
        <v>0</v>
      </c>
      <c r="F34" s="393">
        <f t="shared" si="5"/>
        <v>0</v>
      </c>
      <c r="G34" s="393"/>
      <c r="H34" s="392">
        <f>'Sources and Uses Budget'!T34</f>
        <v>0</v>
      </c>
      <c r="I34" s="393"/>
      <c r="J34" s="393"/>
      <c r="K34" s="390"/>
    </row>
    <row r="35" spans="1:11" s="391" customFormat="1">
      <c r="A35" s="145" t="s">
        <v>140</v>
      </c>
      <c r="B35" s="392">
        <f>'Sources and Uses Budget'!C35</f>
        <v>1130700</v>
      </c>
      <c r="C35" s="393">
        <f t="shared" si="4"/>
        <v>1130700</v>
      </c>
      <c r="D35" s="393"/>
      <c r="E35" s="392">
        <f>'Sources and Uses Budget'!S35</f>
        <v>1130700</v>
      </c>
      <c r="F35" s="393">
        <f t="shared" si="5"/>
        <v>1130700</v>
      </c>
      <c r="G35" s="393"/>
      <c r="H35" s="392">
        <f>'Sources and Uses Budget'!T35</f>
        <v>0</v>
      </c>
      <c r="I35" s="393"/>
      <c r="J35" s="393"/>
      <c r="K35" s="390"/>
    </row>
    <row r="36" spans="1:11" s="391" customFormat="1">
      <c r="A36" s="542" t="s">
        <v>1751</v>
      </c>
      <c r="B36" s="392">
        <f>'Sources and Uses Budget'!C36</f>
        <v>0</v>
      </c>
      <c r="C36" s="393">
        <f t="shared" si="4"/>
        <v>0</v>
      </c>
      <c r="D36" s="393"/>
      <c r="E36" s="392">
        <f>'Sources and Uses Budget'!S36</f>
        <v>0</v>
      </c>
      <c r="F36" s="393">
        <f t="shared" si="5"/>
        <v>0</v>
      </c>
      <c r="G36" s="393"/>
      <c r="H36" s="392">
        <f>'Sources and Uses Budget'!T36</f>
        <v>0</v>
      </c>
      <c r="I36" s="393"/>
      <c r="J36" s="393"/>
      <c r="K36" s="390"/>
    </row>
    <row r="37" spans="1:11" s="391" customFormat="1">
      <c r="A37" s="395" t="str">
        <f>'Sources and Uses Budget'!$A37</f>
        <v>Other: (Specify)</v>
      </c>
      <c r="B37" s="392">
        <f>'Sources and Uses Budget'!C37</f>
        <v>0</v>
      </c>
      <c r="C37" s="393">
        <f t="shared" si="4"/>
        <v>0</v>
      </c>
      <c r="D37" s="393"/>
      <c r="E37" s="392">
        <f>'Sources and Uses Budget'!S37</f>
        <v>0</v>
      </c>
      <c r="F37" s="393">
        <f t="shared" si="5"/>
        <v>0</v>
      </c>
      <c r="G37" s="393"/>
      <c r="H37" s="392">
        <f>'Sources and Uses Budget'!T37</f>
        <v>0</v>
      </c>
      <c r="I37" s="393"/>
      <c r="J37" s="393"/>
      <c r="K37" s="390"/>
    </row>
    <row r="38" spans="1:11" s="391" customFormat="1">
      <c r="A38" s="396" t="s">
        <v>143</v>
      </c>
      <c r="B38" s="392">
        <f>'Sources and Uses Budget'!C38</f>
        <v>52026986</v>
      </c>
      <c r="C38" s="392">
        <f>SUM(C29:C37)</f>
        <v>52026986</v>
      </c>
      <c r="D38" s="392">
        <f>SUM(D29:D37)</f>
        <v>0</v>
      </c>
      <c r="E38" s="392">
        <f>'Sources and Uses Budget'!S38</f>
        <v>52026986</v>
      </c>
      <c r="F38" s="398">
        <f>SUM(F29:F37)</f>
        <v>52026986</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885000</v>
      </c>
      <c r="C40" s="393">
        <f>B40</f>
        <v>885000</v>
      </c>
      <c r="D40" s="393"/>
      <c r="E40" s="392">
        <f>'Sources and Uses Budget'!S40</f>
        <v>885000</v>
      </c>
      <c r="F40" s="393">
        <f>E40</f>
        <v>885000</v>
      </c>
      <c r="G40" s="393"/>
      <c r="H40" s="392">
        <f>'Sources and Uses Budget'!T40</f>
        <v>0</v>
      </c>
      <c r="I40" s="393"/>
      <c r="J40" s="393"/>
      <c r="K40" s="390"/>
    </row>
    <row r="41" spans="1:11" s="391" customFormat="1">
      <c r="A41" s="395" t="s">
        <v>146</v>
      </c>
      <c r="B41" s="392">
        <f>'Sources and Uses Budget'!C41</f>
        <v>200000</v>
      </c>
      <c r="C41" s="393">
        <f>B41</f>
        <v>200000</v>
      </c>
      <c r="D41" s="393"/>
      <c r="E41" s="392">
        <f>'Sources and Uses Budget'!S41</f>
        <v>200000</v>
      </c>
      <c r="F41" s="393">
        <f>E41</f>
        <v>200000</v>
      </c>
      <c r="G41" s="393"/>
      <c r="H41" s="392">
        <f>'Sources and Uses Budget'!T41</f>
        <v>0</v>
      </c>
      <c r="I41" s="393"/>
      <c r="J41" s="393"/>
      <c r="K41" s="390"/>
    </row>
    <row r="42" spans="1:11" s="391" customFormat="1">
      <c r="A42" s="396" t="s">
        <v>147</v>
      </c>
      <c r="B42" s="392">
        <f>'Sources and Uses Budget'!C42</f>
        <v>1085000</v>
      </c>
      <c r="C42" s="392">
        <f>SUM(C39:C41)</f>
        <v>1085000</v>
      </c>
      <c r="D42" s="392">
        <f>SUM(D39:D41)</f>
        <v>0</v>
      </c>
      <c r="E42" s="392">
        <f>'Sources and Uses Budget'!S42</f>
        <v>1085000</v>
      </c>
      <c r="F42" s="398">
        <f>SUM(F40:F41)</f>
        <v>1085000</v>
      </c>
      <c r="G42" s="398">
        <f>SUM(G40:G41)</f>
        <v>0</v>
      </c>
      <c r="H42" s="392">
        <f>'Sources and Uses Budget'!T42</f>
        <v>0</v>
      </c>
      <c r="I42" s="398">
        <f>SUM(I40:I41)</f>
        <v>0</v>
      </c>
      <c r="J42" s="398">
        <f>SUM(J40:J41)</f>
        <v>0</v>
      </c>
      <c r="K42" s="390"/>
    </row>
    <row r="43" spans="1:11" s="391" customFormat="1">
      <c r="A43" s="396" t="s">
        <v>148</v>
      </c>
      <c r="B43" s="392">
        <f>'Sources and Uses Budget'!C43</f>
        <v>450000</v>
      </c>
      <c r="C43" s="393">
        <f>B43</f>
        <v>450000</v>
      </c>
      <c r="D43" s="393"/>
      <c r="E43" s="392">
        <f>'Sources and Uses Budget'!S43</f>
        <v>450000</v>
      </c>
      <c r="F43" s="393">
        <f>E43</f>
        <v>450000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5720000</v>
      </c>
      <c r="C45" s="393">
        <f>B45</f>
        <v>5720000</v>
      </c>
      <c r="D45" s="393"/>
      <c r="E45" s="392">
        <f>'Sources and Uses Budget'!S45</f>
        <v>5720000</v>
      </c>
      <c r="F45" s="393">
        <f>E45</f>
        <v>5720000</v>
      </c>
      <c r="G45" s="393"/>
      <c r="H45" s="392">
        <f>'Sources and Uses Budget'!T45</f>
        <v>0</v>
      </c>
      <c r="I45" s="393"/>
      <c r="J45" s="393"/>
      <c r="K45" s="390"/>
    </row>
    <row r="46" spans="1:11" s="391" customFormat="1">
      <c r="A46" s="395" t="s">
        <v>151</v>
      </c>
      <c r="B46" s="392">
        <f>'Sources and Uses Budget'!C46</f>
        <v>460000</v>
      </c>
      <c r="C46" s="393">
        <f t="shared" ref="C46:C53" si="6">B46</f>
        <v>460000</v>
      </c>
      <c r="D46" s="393"/>
      <c r="E46" s="392">
        <f>'Sources and Uses Budget'!S46</f>
        <v>460000</v>
      </c>
      <c r="F46" s="393">
        <f t="shared" ref="F46:F53" si="7">E46</f>
        <v>460000</v>
      </c>
      <c r="G46" s="393"/>
      <c r="H46" s="392">
        <f>'Sources and Uses Budget'!T46</f>
        <v>0</v>
      </c>
      <c r="I46" s="393"/>
      <c r="J46" s="393"/>
      <c r="K46" s="390"/>
    </row>
    <row r="47" spans="1:11" s="391" customFormat="1" ht="12.05" customHeight="1">
      <c r="A47" s="395" t="s">
        <v>152</v>
      </c>
      <c r="B47" s="392">
        <f>'Sources and Uses Budget'!C47</f>
        <v>0</v>
      </c>
      <c r="C47" s="393">
        <f t="shared" si="6"/>
        <v>0</v>
      </c>
      <c r="D47" s="393"/>
      <c r="E47" s="392">
        <f>'Sources and Uses Budget'!S47</f>
        <v>0</v>
      </c>
      <c r="F47" s="393">
        <f t="shared" si="7"/>
        <v>0</v>
      </c>
      <c r="G47" s="393"/>
      <c r="H47" s="392">
        <f>'Sources and Uses Budget'!T47</f>
        <v>0</v>
      </c>
      <c r="I47" s="393"/>
      <c r="J47" s="393"/>
      <c r="K47" s="390"/>
    </row>
    <row r="48" spans="1:11" s="391" customFormat="1">
      <c r="A48" s="395" t="s">
        <v>153</v>
      </c>
      <c r="B48" s="392">
        <f>'Sources and Uses Budget'!C48</f>
        <v>0</v>
      </c>
      <c r="C48" s="393">
        <f t="shared" si="6"/>
        <v>0</v>
      </c>
      <c r="D48" s="393"/>
      <c r="E48" s="392">
        <f>'Sources and Uses Budget'!S48</f>
        <v>0</v>
      </c>
      <c r="F48" s="393">
        <f t="shared" si="7"/>
        <v>0</v>
      </c>
      <c r="G48" s="393"/>
      <c r="H48" s="392">
        <f>'Sources and Uses Budget'!T48</f>
        <v>0</v>
      </c>
      <c r="I48" s="393"/>
      <c r="J48" s="393"/>
      <c r="K48" s="390"/>
    </row>
    <row r="49" spans="1:11" s="391" customFormat="1">
      <c r="A49" s="304" t="s">
        <v>57</v>
      </c>
      <c r="B49" s="392">
        <f>'Sources and Uses Budget'!C49</f>
        <v>120000</v>
      </c>
      <c r="C49" s="393">
        <f t="shared" si="6"/>
        <v>120000</v>
      </c>
      <c r="D49" s="393"/>
      <c r="E49" s="392">
        <f>'Sources and Uses Budget'!S49</f>
        <v>120000</v>
      </c>
      <c r="F49" s="393">
        <f t="shared" si="7"/>
        <v>120000</v>
      </c>
      <c r="G49" s="393"/>
      <c r="H49" s="392">
        <f>'Sources and Uses Budget'!T49</f>
        <v>0</v>
      </c>
      <c r="I49" s="393"/>
      <c r="J49" s="393"/>
      <c r="K49" s="390"/>
    </row>
    <row r="50" spans="1:11" s="391" customFormat="1">
      <c r="A50" s="395" t="s">
        <v>156</v>
      </c>
      <c r="B50" s="392">
        <f>'Sources and Uses Budget'!C50</f>
        <v>80000</v>
      </c>
      <c r="C50" s="393">
        <f t="shared" si="6"/>
        <v>80000</v>
      </c>
      <c r="D50" s="393"/>
      <c r="E50" s="392">
        <f>'Sources and Uses Budget'!S50</f>
        <v>80000</v>
      </c>
      <c r="F50" s="393">
        <f t="shared" si="7"/>
        <v>80000</v>
      </c>
      <c r="G50" s="393"/>
      <c r="H50" s="392">
        <f>'Sources and Uses Budget'!T50</f>
        <v>0</v>
      </c>
      <c r="I50" s="393"/>
      <c r="J50" s="393"/>
      <c r="K50" s="390"/>
    </row>
    <row r="51" spans="1:11" s="391" customFormat="1">
      <c r="A51" s="395" t="s">
        <v>154</v>
      </c>
      <c r="B51" s="392">
        <f>'Sources and Uses Budget'!C51</f>
        <v>20000</v>
      </c>
      <c r="C51" s="393">
        <f t="shared" si="6"/>
        <v>20000</v>
      </c>
      <c r="D51" s="393"/>
      <c r="E51" s="392">
        <f>'Sources and Uses Budget'!S51</f>
        <v>20000</v>
      </c>
      <c r="F51" s="393">
        <f t="shared" si="7"/>
        <v>20000</v>
      </c>
      <c r="G51" s="393"/>
      <c r="H51" s="392">
        <f>'Sources and Uses Budget'!T51</f>
        <v>0</v>
      </c>
      <c r="I51" s="393"/>
      <c r="J51" s="393"/>
      <c r="K51" s="390"/>
    </row>
    <row r="52" spans="1:11" s="391" customFormat="1">
      <c r="A52" s="395" t="s">
        <v>155</v>
      </c>
      <c r="B52" s="392">
        <f>'Sources and Uses Budget'!C52</f>
        <v>0</v>
      </c>
      <c r="C52" s="393">
        <f t="shared" si="6"/>
        <v>0</v>
      </c>
      <c r="D52" s="393"/>
      <c r="E52" s="392">
        <f>'Sources and Uses Budget'!S52</f>
        <v>0</v>
      </c>
      <c r="F52" s="393">
        <f t="shared" si="7"/>
        <v>0</v>
      </c>
      <c r="G52" s="393"/>
      <c r="H52" s="392">
        <f>'Sources and Uses Budget'!T52</f>
        <v>0</v>
      </c>
      <c r="I52" s="393"/>
      <c r="J52" s="393"/>
      <c r="K52" s="390"/>
    </row>
    <row r="53" spans="1:11" s="391" customFormat="1">
      <c r="A53" s="395" t="str">
        <f>'Sources and Uses Budget'!$A53</f>
        <v>Other: Lender Costs (Legal, etc)</v>
      </c>
      <c r="B53" s="392">
        <f>'Sources and Uses Budget'!C53</f>
        <v>150000</v>
      </c>
      <c r="C53" s="393">
        <f t="shared" si="6"/>
        <v>150000</v>
      </c>
      <c r="D53" s="393"/>
      <c r="E53" s="392">
        <f>'Sources and Uses Budget'!S53</f>
        <v>150000</v>
      </c>
      <c r="F53" s="393">
        <f t="shared" si="7"/>
        <v>150000</v>
      </c>
      <c r="G53" s="393"/>
      <c r="H53" s="392">
        <f>'Sources and Uses Budget'!T53</f>
        <v>0</v>
      </c>
      <c r="I53" s="393"/>
      <c r="J53" s="393"/>
      <c r="K53" s="390"/>
    </row>
    <row r="54" spans="1:11" s="400" customFormat="1">
      <c r="A54" s="396" t="s">
        <v>157</v>
      </c>
      <c r="B54" s="392">
        <f>'Sources and Uses Budget'!C54</f>
        <v>6550000</v>
      </c>
      <c r="C54" s="398">
        <f>SUM(C45:C53)</f>
        <v>6550000</v>
      </c>
      <c r="D54" s="398">
        <f>SUM(D45:D53)</f>
        <v>0</v>
      </c>
      <c r="E54" s="392">
        <f>'Sources and Uses Budget'!S54</f>
        <v>6550000</v>
      </c>
      <c r="F54" s="398">
        <f>SUM(F45:F53)</f>
        <v>6550000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60750</v>
      </c>
      <c r="C56" s="393">
        <f>B56</f>
        <v>60750</v>
      </c>
      <c r="D56" s="393"/>
      <c r="E56" s="394"/>
      <c r="F56" s="394"/>
      <c r="G56" s="394"/>
      <c r="H56" s="394"/>
      <c r="I56" s="394"/>
      <c r="J56" s="394"/>
      <c r="K56" s="390"/>
    </row>
    <row r="57" spans="1:11" s="391" customFormat="1" ht="12.05" customHeight="1">
      <c r="A57" s="395" t="s">
        <v>152</v>
      </c>
      <c r="B57" s="392">
        <f>'Sources and Uses Budget'!C57</f>
        <v>25000</v>
      </c>
      <c r="C57" s="393">
        <f t="shared" ref="C57:C61" si="8">B57</f>
        <v>25000</v>
      </c>
      <c r="D57" s="393"/>
      <c r="E57" s="394"/>
      <c r="F57" s="394"/>
      <c r="G57" s="394"/>
      <c r="H57" s="394"/>
      <c r="I57" s="394"/>
      <c r="J57" s="394"/>
      <c r="K57" s="390"/>
    </row>
    <row r="58" spans="1:11" s="391" customFormat="1">
      <c r="A58" s="395" t="s">
        <v>156</v>
      </c>
      <c r="B58" s="392">
        <f>'Sources and Uses Budget'!C58</f>
        <v>0</v>
      </c>
      <c r="C58" s="393">
        <f t="shared" si="8"/>
        <v>0</v>
      </c>
      <c r="D58" s="393"/>
      <c r="E58" s="394"/>
      <c r="F58" s="394"/>
      <c r="G58" s="394"/>
      <c r="H58" s="394"/>
      <c r="I58" s="394"/>
      <c r="J58" s="394"/>
      <c r="K58" s="390"/>
    </row>
    <row r="59" spans="1:11" s="391" customFormat="1">
      <c r="A59" s="395" t="s">
        <v>154</v>
      </c>
      <c r="B59" s="392">
        <f>'Sources and Uses Budget'!C59</f>
        <v>0</v>
      </c>
      <c r="C59" s="393">
        <f t="shared" si="8"/>
        <v>0</v>
      </c>
      <c r="D59" s="393"/>
      <c r="E59" s="394"/>
      <c r="F59" s="394"/>
      <c r="G59" s="394"/>
      <c r="H59" s="394"/>
      <c r="I59" s="394"/>
      <c r="J59" s="394"/>
      <c r="K59" s="390"/>
    </row>
    <row r="60" spans="1:11" s="391" customFormat="1">
      <c r="A60" s="395" t="s">
        <v>155</v>
      </c>
      <c r="B60" s="392">
        <f>'Sources and Uses Budget'!C60</f>
        <v>0</v>
      </c>
      <c r="C60" s="393">
        <f t="shared" si="8"/>
        <v>0</v>
      </c>
      <c r="D60" s="393"/>
      <c r="E60" s="394"/>
      <c r="F60" s="394"/>
      <c r="G60" s="394"/>
      <c r="H60" s="394"/>
      <c r="I60" s="394"/>
      <c r="J60" s="394"/>
      <c r="K60" s="390"/>
    </row>
    <row r="61" spans="1:11" s="391" customFormat="1">
      <c r="A61" s="395" t="str">
        <f>'Sources and Uses Budget'!$A61</f>
        <v>Other: (Specify)</v>
      </c>
      <c r="B61" s="392">
        <f>'Sources and Uses Budget'!C61</f>
        <v>0</v>
      </c>
      <c r="C61" s="393">
        <f t="shared" si="8"/>
        <v>0</v>
      </c>
      <c r="D61" s="393"/>
      <c r="E61" s="394"/>
      <c r="F61" s="394"/>
      <c r="G61" s="394"/>
      <c r="H61" s="394"/>
      <c r="I61" s="394"/>
      <c r="J61" s="394"/>
      <c r="K61" s="390"/>
    </row>
    <row r="62" spans="1:11" s="391" customFormat="1" ht="13.75" customHeight="1">
      <c r="A62" s="396" t="s">
        <v>302</v>
      </c>
      <c r="B62" s="392">
        <f>'Sources and Uses Budget'!C62</f>
        <v>85750</v>
      </c>
      <c r="C62" s="392">
        <f>SUM(C56:C61)</f>
        <v>85750</v>
      </c>
      <c r="D62" s="392">
        <f>SUM(D56:D61)</f>
        <v>0</v>
      </c>
      <c r="E62" s="394"/>
      <c r="F62" s="394"/>
      <c r="G62" s="394"/>
      <c r="H62" s="394"/>
      <c r="I62" s="394"/>
      <c r="J62" s="394"/>
      <c r="K62" s="390"/>
    </row>
    <row r="63" spans="1:11" s="391" customFormat="1">
      <c r="A63" s="401" t="s">
        <v>303</v>
      </c>
      <c r="B63" s="392">
        <f>'Sources and Uses Budget'!C63</f>
        <v>72829286</v>
      </c>
      <c r="C63" s="392">
        <f>SUM(C8+C11+C13+C14+C15+C26+C27+C38+C42+C43+C54+C62)</f>
        <v>72829286</v>
      </c>
      <c r="D63" s="392">
        <f>SUM(D8+D11+D13+D14+D15+D26+D27+D38+D42+D43+D54+D62)</f>
        <v>0</v>
      </c>
      <c r="E63" s="392">
        <f>'Sources and Uses Budget'!S63</f>
        <v>60611986</v>
      </c>
      <c r="F63" s="392">
        <f>SUM(F10+F13+F14+F15+F26+F27+F38+F42+F43+F54)</f>
        <v>60611986</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70000</v>
      </c>
      <c r="C65" s="393">
        <f>B65</f>
        <v>70000</v>
      </c>
      <c r="D65" s="393"/>
      <c r="E65" s="392">
        <f>'Sources and Uses Budget'!S65</f>
        <v>70000</v>
      </c>
      <c r="F65" s="393">
        <f>E65</f>
        <v>70000</v>
      </c>
      <c r="G65" s="393"/>
      <c r="H65" s="392">
        <f>'Sources and Uses Budget'!T65</f>
        <v>0</v>
      </c>
      <c r="I65" s="393"/>
      <c r="J65" s="393"/>
      <c r="K65" s="390"/>
    </row>
    <row r="66" spans="1:11" s="391" customFormat="1" ht="22.8">
      <c r="A66" s="304" t="s">
        <v>1752</v>
      </c>
      <c r="B66" s="392">
        <f>'Sources and Uses Budget'!C66</f>
        <v>160000</v>
      </c>
      <c r="C66" s="393">
        <f t="shared" ref="C66:C69" si="9">B66</f>
        <v>160000</v>
      </c>
      <c r="D66" s="393"/>
      <c r="E66" s="392">
        <f>'Sources and Uses Budget'!S66</f>
        <v>0</v>
      </c>
      <c r="F66" s="393">
        <f t="shared" ref="F66:F69" si="10">E66</f>
        <v>0</v>
      </c>
      <c r="G66" s="393"/>
      <c r="H66" s="392">
        <f>'Sources and Uses Budget'!T66</f>
        <v>0</v>
      </c>
      <c r="I66" s="393"/>
      <c r="J66" s="393"/>
      <c r="K66" s="390"/>
    </row>
    <row r="67" spans="1:11" s="391" customFormat="1" ht="22.8">
      <c r="A67" s="304" t="s">
        <v>1753</v>
      </c>
      <c r="B67" s="392">
        <f>'Sources and Uses Budget'!C67</f>
        <v>0</v>
      </c>
      <c r="C67" s="393">
        <f t="shared" si="9"/>
        <v>0</v>
      </c>
      <c r="D67" s="393"/>
      <c r="E67" s="392">
        <f>'Sources and Uses Budget'!S67</f>
        <v>0</v>
      </c>
      <c r="F67" s="393">
        <f t="shared" si="10"/>
        <v>0</v>
      </c>
      <c r="G67" s="393"/>
      <c r="H67" s="392">
        <f>'Sources and Uses Budget'!T67</f>
        <v>0</v>
      </c>
      <c r="I67" s="393"/>
      <c r="J67" s="393"/>
      <c r="K67" s="390"/>
    </row>
    <row r="68" spans="1:11" s="391" customFormat="1">
      <c r="A68" s="304" t="s">
        <v>1759</v>
      </c>
      <c r="B68" s="392">
        <f>'Sources and Uses Budget'!C68</f>
        <v>0</v>
      </c>
      <c r="C68" s="393">
        <f t="shared" si="9"/>
        <v>0</v>
      </c>
      <c r="D68" s="393"/>
      <c r="E68" s="392">
        <f>'Sources and Uses Budget'!S68</f>
        <v>0</v>
      </c>
      <c r="F68" s="393">
        <f t="shared" si="10"/>
        <v>0</v>
      </c>
      <c r="G68" s="393"/>
      <c r="H68" s="392">
        <f>'Sources and Uses Budget'!T68</f>
        <v>0</v>
      </c>
      <c r="I68" s="393"/>
      <c r="J68" s="393"/>
      <c r="K68" s="390"/>
    </row>
    <row r="69" spans="1:11" s="391" customFormat="1">
      <c r="A69" s="395">
        <f>'Sources and Uses Budget'!$A69</f>
        <v>0</v>
      </c>
      <c r="B69" s="392">
        <f>'Sources and Uses Budget'!C69</f>
        <v>0</v>
      </c>
      <c r="C69" s="393">
        <f t="shared" si="9"/>
        <v>0</v>
      </c>
      <c r="D69" s="393"/>
      <c r="E69" s="392">
        <f>'Sources and Uses Budget'!S69</f>
        <v>0</v>
      </c>
      <c r="F69" s="393">
        <f t="shared" si="10"/>
        <v>0</v>
      </c>
      <c r="G69" s="393"/>
      <c r="H69" s="392">
        <f>'Sources and Uses Budget'!T69</f>
        <v>0</v>
      </c>
      <c r="I69" s="393"/>
      <c r="J69" s="393"/>
      <c r="K69" s="390"/>
    </row>
    <row r="70" spans="1:11" s="391" customFormat="1">
      <c r="A70" s="396" t="s">
        <v>609</v>
      </c>
      <c r="B70" s="392">
        <f>'Sources and Uses Budget'!C70</f>
        <v>230000</v>
      </c>
      <c r="C70" s="392">
        <f>SUM(C64:C69)</f>
        <v>230000</v>
      </c>
      <c r="D70" s="392">
        <f>SUM(D64:D69)</f>
        <v>0</v>
      </c>
      <c r="E70" s="392">
        <f>'Sources and Uses Budget'!S70</f>
        <v>70000</v>
      </c>
      <c r="F70" s="398">
        <f>SUM(F65:F69)</f>
        <v>70000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f>B72</f>
        <v>0</v>
      </c>
      <c r="D72" s="393"/>
      <c r="E72" s="394"/>
      <c r="F72" s="394"/>
      <c r="G72" s="394"/>
      <c r="H72" s="394"/>
      <c r="I72" s="394"/>
      <c r="J72" s="394"/>
      <c r="K72" s="390"/>
    </row>
    <row r="73" spans="1:11" s="391" customFormat="1">
      <c r="A73" s="395" t="s">
        <v>612</v>
      </c>
      <c r="B73" s="392">
        <f>'Sources and Uses Budget'!C73</f>
        <v>0</v>
      </c>
      <c r="C73" s="393">
        <f t="shared" ref="C73:C76" si="11">B73</f>
        <v>0</v>
      </c>
      <c r="D73" s="393"/>
      <c r="E73" s="394"/>
      <c r="F73" s="394"/>
      <c r="G73" s="394"/>
      <c r="H73" s="394"/>
      <c r="I73" s="394"/>
      <c r="J73" s="394"/>
      <c r="K73" s="390"/>
    </row>
    <row r="74" spans="1:11" s="391" customFormat="1">
      <c r="A74" s="397" t="s">
        <v>1005</v>
      </c>
      <c r="B74" s="392">
        <f>'Sources and Uses Budget'!C74</f>
        <v>1247000</v>
      </c>
      <c r="C74" s="393">
        <f t="shared" si="11"/>
        <v>1247000</v>
      </c>
      <c r="D74" s="393"/>
      <c r="E74" s="394"/>
      <c r="F74" s="394"/>
      <c r="G74" s="394"/>
      <c r="H74" s="394"/>
      <c r="I74" s="394"/>
      <c r="J74" s="394"/>
      <c r="K74" s="390"/>
    </row>
    <row r="75" spans="1:11" s="391" customFormat="1">
      <c r="A75" s="395" t="s">
        <v>613</v>
      </c>
      <c r="B75" s="392">
        <f>'Sources and Uses Budget'!C75</f>
        <v>661184</v>
      </c>
      <c r="C75" s="393">
        <f t="shared" si="11"/>
        <v>661184</v>
      </c>
      <c r="D75" s="393"/>
      <c r="E75" s="394"/>
      <c r="F75" s="394"/>
      <c r="G75" s="394"/>
      <c r="H75" s="394"/>
      <c r="I75" s="394"/>
      <c r="J75" s="394"/>
      <c r="K75" s="390"/>
    </row>
    <row r="76" spans="1:11" s="391" customFormat="1">
      <c r="A76" s="395" t="str">
        <f>'Sources and Uses Budget'!$A76</f>
        <v>Other: (Specify)</v>
      </c>
      <c r="B76" s="392">
        <f>'Sources and Uses Budget'!C76</f>
        <v>0</v>
      </c>
      <c r="C76" s="393">
        <f t="shared" si="11"/>
        <v>0</v>
      </c>
      <c r="D76" s="393"/>
      <c r="E76" s="394"/>
      <c r="F76" s="394"/>
      <c r="G76" s="394"/>
      <c r="H76" s="394"/>
      <c r="I76" s="394"/>
      <c r="J76" s="394"/>
      <c r="K76" s="390"/>
    </row>
    <row r="77" spans="1:11" s="391" customFormat="1">
      <c r="A77" s="396" t="s">
        <v>614</v>
      </c>
      <c r="B77" s="392">
        <f>'Sources and Uses Budget'!C77</f>
        <v>1908184</v>
      </c>
      <c r="C77" s="392">
        <f>SUM(C72:C76)</f>
        <v>1908184</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5140000</v>
      </c>
      <c r="C79" s="393">
        <f>B79</f>
        <v>5140000</v>
      </c>
      <c r="D79" s="393"/>
      <c r="E79" s="392">
        <f>'Sources and Uses Budget'!S79</f>
        <v>5140000</v>
      </c>
      <c r="F79" s="393">
        <f>E79</f>
        <v>5140000</v>
      </c>
      <c r="G79" s="393"/>
      <c r="H79" s="392">
        <f>'Sources and Uses Budget'!T79</f>
        <v>0</v>
      </c>
      <c r="I79" s="393"/>
      <c r="J79" s="393"/>
      <c r="K79" s="390"/>
    </row>
    <row r="80" spans="1:11" s="391" customFormat="1">
      <c r="A80" s="395" t="s">
        <v>58</v>
      </c>
      <c r="B80" s="392">
        <f>'Sources and Uses Budget'!C80</f>
        <v>800000</v>
      </c>
      <c r="C80" s="393">
        <f>B80</f>
        <v>800000</v>
      </c>
      <c r="D80" s="393"/>
      <c r="E80" s="392">
        <f>'Sources and Uses Budget'!S80</f>
        <v>800000</v>
      </c>
      <c r="F80" s="393">
        <f>E80</f>
        <v>800000</v>
      </c>
      <c r="G80" s="393"/>
      <c r="H80" s="392">
        <f>'Sources and Uses Budget'!T80</f>
        <v>0</v>
      </c>
      <c r="I80" s="393"/>
      <c r="J80" s="393"/>
      <c r="K80" s="390"/>
    </row>
    <row r="81" spans="1:11" s="391" customFormat="1">
      <c r="A81" s="396" t="s">
        <v>1313</v>
      </c>
      <c r="B81" s="392">
        <f>'Sources and Uses Budget'!C81</f>
        <v>5940000</v>
      </c>
      <c r="C81" s="392">
        <f>SUM(C79:C80)</f>
        <v>5940000</v>
      </c>
      <c r="D81" s="392">
        <f>SUM(D79:D80)</f>
        <v>0</v>
      </c>
      <c r="E81" s="392">
        <f>'Sources and Uses Budget'!S81</f>
        <v>5940000</v>
      </c>
      <c r="F81" s="392">
        <f>SUM(F79:F80)</f>
        <v>5940000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5" customHeight="1">
      <c r="A83" s="145" t="s">
        <v>2409</v>
      </c>
      <c r="B83" s="392">
        <f>'Sources and Uses Budget'!C83</f>
        <v>99366</v>
      </c>
      <c r="C83" s="393">
        <f>B83</f>
        <v>99366</v>
      </c>
      <c r="D83" s="393"/>
      <c r="E83" s="394"/>
      <c r="F83" s="394"/>
      <c r="G83" s="394"/>
      <c r="H83" s="394"/>
      <c r="I83" s="394"/>
      <c r="J83" s="394"/>
      <c r="K83" s="390"/>
    </row>
    <row r="84" spans="1:11" s="391" customFormat="1">
      <c r="A84" s="145" t="s">
        <v>775</v>
      </c>
      <c r="B84" s="392">
        <f>'Sources and Uses Budget'!C84</f>
        <v>0</v>
      </c>
      <c r="C84" s="393">
        <f t="shared" ref="C84:C95" si="12">B84</f>
        <v>0</v>
      </c>
      <c r="D84" s="393"/>
      <c r="E84" s="392">
        <f>'Sources and Uses Budget'!S84</f>
        <v>0</v>
      </c>
      <c r="F84" s="393">
        <f>E84</f>
        <v>0</v>
      </c>
      <c r="G84" s="393"/>
      <c r="H84" s="392">
        <f>'Sources and Uses Budget'!T84</f>
        <v>0</v>
      </c>
      <c r="I84" s="393"/>
      <c r="J84" s="393"/>
      <c r="K84" s="390"/>
    </row>
    <row r="85" spans="1:11" s="391" customFormat="1">
      <c r="A85" s="145" t="s">
        <v>776</v>
      </c>
      <c r="B85" s="392">
        <f>'Sources and Uses Budget'!C85</f>
        <v>1497800</v>
      </c>
      <c r="C85" s="393">
        <f t="shared" si="12"/>
        <v>1497800</v>
      </c>
      <c r="D85" s="393"/>
      <c r="E85" s="392">
        <f>'Sources and Uses Budget'!S85</f>
        <v>1497800</v>
      </c>
      <c r="F85" s="393">
        <f t="shared" ref="F85:F87" si="13">E85</f>
        <v>1497800</v>
      </c>
      <c r="G85" s="393"/>
      <c r="H85" s="392">
        <f>'Sources and Uses Budget'!T85</f>
        <v>0</v>
      </c>
      <c r="I85" s="393"/>
      <c r="J85" s="393"/>
      <c r="K85" s="390"/>
    </row>
    <row r="86" spans="1:11" s="391" customFormat="1">
      <c r="A86" s="145" t="s">
        <v>777</v>
      </c>
      <c r="B86" s="392">
        <f>'Sources and Uses Budget'!C86</f>
        <v>0</v>
      </c>
      <c r="C86" s="393">
        <f t="shared" si="12"/>
        <v>0</v>
      </c>
      <c r="D86" s="393"/>
      <c r="E86" s="392">
        <f>'Sources and Uses Budget'!S86</f>
        <v>0</v>
      </c>
      <c r="F86" s="393">
        <f t="shared" si="13"/>
        <v>0</v>
      </c>
      <c r="G86" s="393"/>
      <c r="H86" s="392">
        <f>'Sources and Uses Budget'!T86</f>
        <v>0</v>
      </c>
      <c r="I86" s="393"/>
      <c r="J86" s="393"/>
      <c r="K86" s="390"/>
    </row>
    <row r="87" spans="1:11" s="391" customFormat="1">
      <c r="A87" s="145" t="s">
        <v>778</v>
      </c>
      <c r="B87" s="392">
        <f>'Sources and Uses Budget'!C87</f>
        <v>0</v>
      </c>
      <c r="C87" s="393">
        <f t="shared" si="12"/>
        <v>0</v>
      </c>
      <c r="D87" s="393"/>
      <c r="E87" s="392">
        <f>'Sources and Uses Budget'!S87</f>
        <v>0</v>
      </c>
      <c r="F87" s="393">
        <f t="shared" si="13"/>
        <v>0</v>
      </c>
      <c r="G87" s="393"/>
      <c r="H87" s="392">
        <f>'Sources and Uses Budget'!T87</f>
        <v>0</v>
      </c>
      <c r="I87" s="393"/>
      <c r="J87" s="393"/>
      <c r="K87" s="390"/>
    </row>
    <row r="88" spans="1:11" s="391" customFormat="1">
      <c r="A88" s="145" t="s">
        <v>779</v>
      </c>
      <c r="B88" s="392">
        <f>'Sources and Uses Budget'!C88</f>
        <v>111837</v>
      </c>
      <c r="C88" s="393">
        <f t="shared" si="12"/>
        <v>111837</v>
      </c>
      <c r="D88" s="393"/>
      <c r="E88" s="394"/>
      <c r="F88" s="394"/>
      <c r="G88" s="394"/>
      <c r="H88" s="394"/>
      <c r="I88" s="394"/>
      <c r="J88" s="394"/>
      <c r="K88" s="390"/>
    </row>
    <row r="89" spans="1:11" s="391" customFormat="1">
      <c r="A89" s="145" t="s">
        <v>780</v>
      </c>
      <c r="B89" s="392">
        <f>'Sources and Uses Budget'!C89</f>
        <v>438000</v>
      </c>
      <c r="C89" s="393">
        <f t="shared" si="12"/>
        <v>438000</v>
      </c>
      <c r="D89" s="393"/>
      <c r="E89" s="392">
        <f>'Sources and Uses Budget'!S89</f>
        <v>438000</v>
      </c>
      <c r="F89" s="393">
        <f>E89</f>
        <v>438000</v>
      </c>
      <c r="G89" s="393"/>
      <c r="H89" s="392">
        <f>'Sources and Uses Budget'!T89</f>
        <v>0</v>
      </c>
      <c r="I89" s="393"/>
      <c r="J89" s="393"/>
      <c r="K89" s="390"/>
    </row>
    <row r="90" spans="1:11" s="391" customFormat="1">
      <c r="A90" s="145" t="s">
        <v>781</v>
      </c>
      <c r="B90" s="392">
        <f>'Sources and Uses Budget'!C90</f>
        <v>15000</v>
      </c>
      <c r="C90" s="393">
        <f t="shared" si="12"/>
        <v>15000</v>
      </c>
      <c r="D90" s="393"/>
      <c r="E90" s="392">
        <f>'Sources and Uses Budget'!S90</f>
        <v>15000</v>
      </c>
      <c r="F90" s="393">
        <f t="shared" ref="F90:F95" si="14">E90</f>
        <v>15000</v>
      </c>
      <c r="G90" s="393"/>
      <c r="H90" s="392">
        <f>'Sources and Uses Budget'!T90</f>
        <v>0</v>
      </c>
      <c r="I90" s="393"/>
      <c r="J90" s="393"/>
      <c r="K90" s="390"/>
    </row>
    <row r="91" spans="1:11" s="391" customFormat="1">
      <c r="A91" s="155" t="s">
        <v>373</v>
      </c>
      <c r="B91" s="392">
        <f>'Sources and Uses Budget'!C91</f>
        <v>0</v>
      </c>
      <c r="C91" s="393">
        <f t="shared" si="12"/>
        <v>0</v>
      </c>
      <c r="D91" s="393"/>
      <c r="E91" s="392">
        <f>'Sources and Uses Budget'!S91</f>
        <v>0</v>
      </c>
      <c r="F91" s="393">
        <f t="shared" si="14"/>
        <v>0</v>
      </c>
      <c r="G91" s="393"/>
      <c r="H91" s="392">
        <f>'Sources and Uses Budget'!T91</f>
        <v>0</v>
      </c>
      <c r="I91" s="393"/>
      <c r="J91" s="393"/>
      <c r="K91" s="390"/>
    </row>
    <row r="92" spans="1:11" s="391" customFormat="1">
      <c r="A92" s="542" t="s">
        <v>1315</v>
      </c>
      <c r="B92" s="392">
        <f>'Sources and Uses Budget'!C92</f>
        <v>15000</v>
      </c>
      <c r="C92" s="393">
        <f t="shared" si="12"/>
        <v>15000</v>
      </c>
      <c r="D92" s="393"/>
      <c r="E92" s="392">
        <f>'Sources and Uses Budget'!S92</f>
        <v>15000</v>
      </c>
      <c r="F92" s="393">
        <f t="shared" si="14"/>
        <v>15000</v>
      </c>
      <c r="G92" s="393"/>
      <c r="H92" s="392">
        <f>'Sources and Uses Budget'!T92</f>
        <v>0</v>
      </c>
      <c r="I92" s="393"/>
      <c r="J92" s="393"/>
      <c r="K92" s="390"/>
    </row>
    <row r="93" spans="1:11" s="391" customFormat="1">
      <c r="A93" s="395" t="str">
        <f>'Sources and Uses Budget'!$A93</f>
        <v>Cost Certification</v>
      </c>
      <c r="B93" s="392">
        <f>'Sources and Uses Budget'!C93</f>
        <v>40000</v>
      </c>
      <c r="C93" s="393">
        <f t="shared" si="12"/>
        <v>40000</v>
      </c>
      <c r="D93" s="393"/>
      <c r="E93" s="392">
        <f>'Sources and Uses Budget'!S93</f>
        <v>40000</v>
      </c>
      <c r="F93" s="393">
        <f t="shared" si="14"/>
        <v>40000</v>
      </c>
      <c r="G93" s="393"/>
      <c r="H93" s="392">
        <f>'Sources and Uses Budget'!T93</f>
        <v>0</v>
      </c>
      <c r="I93" s="393"/>
      <c r="J93" s="393"/>
      <c r="K93" s="390"/>
    </row>
    <row r="94" spans="1:11" s="391" customFormat="1">
      <c r="A94" s="395" t="str">
        <f>'Sources and Uses Budget'!$A94</f>
        <v>Post-Construction Interest</v>
      </c>
      <c r="B94" s="392">
        <f>'Sources and Uses Budget'!C94</f>
        <v>430000</v>
      </c>
      <c r="C94" s="393">
        <f t="shared" si="12"/>
        <v>430000</v>
      </c>
      <c r="D94" s="393"/>
      <c r="E94" s="392">
        <f>'Sources and Uses Budget'!S94</f>
        <v>0</v>
      </c>
      <c r="F94" s="393">
        <f t="shared" si="14"/>
        <v>0</v>
      </c>
      <c r="G94" s="393"/>
      <c r="H94" s="392">
        <f>'Sources and Uses Budget'!T94</f>
        <v>0</v>
      </c>
      <c r="I94" s="393"/>
      <c r="J94" s="393"/>
      <c r="K94" s="390"/>
    </row>
    <row r="95" spans="1:11" s="391" customFormat="1">
      <c r="A95" s="395">
        <f>'Sources and Uses Budget'!$A95</f>
        <v>0</v>
      </c>
      <c r="B95" s="392">
        <f>'Sources and Uses Budget'!C95</f>
        <v>0</v>
      </c>
      <c r="C95" s="393">
        <f t="shared" si="12"/>
        <v>0</v>
      </c>
      <c r="D95" s="393"/>
      <c r="E95" s="392">
        <f>'Sources and Uses Budget'!S95</f>
        <v>0</v>
      </c>
      <c r="F95" s="393">
        <f t="shared" si="14"/>
        <v>0</v>
      </c>
      <c r="G95" s="393"/>
      <c r="H95" s="392">
        <f>'Sources and Uses Budget'!T95</f>
        <v>0</v>
      </c>
      <c r="I95" s="393"/>
      <c r="J95" s="393"/>
      <c r="K95" s="390"/>
    </row>
    <row r="96" spans="1:11" s="391" customFormat="1">
      <c r="A96" s="396" t="s">
        <v>782</v>
      </c>
      <c r="B96" s="392">
        <f>'Sources and Uses Budget'!C96</f>
        <v>2647003</v>
      </c>
      <c r="C96" s="392">
        <f>SUM(C83:C95)</f>
        <v>2647003</v>
      </c>
      <c r="D96" s="392">
        <f>SUM(D83:D95)</f>
        <v>0</v>
      </c>
      <c r="E96" s="392">
        <f>'Sources and Uses Budget'!S96</f>
        <v>2005800</v>
      </c>
      <c r="F96" s="398">
        <f>SUM(F84:F87,F89:F95)</f>
        <v>2005800</v>
      </c>
      <c r="G96" s="398">
        <f>SUM(G84:G87,G89:G95)</f>
        <v>0</v>
      </c>
      <c r="H96" s="392">
        <f>'Sources and Uses Budget'!T96</f>
        <v>0</v>
      </c>
      <c r="I96" s="392">
        <f>SUM(I84:I87,I89:I95)</f>
        <v>0</v>
      </c>
      <c r="J96" s="392">
        <f>SUM(J84:J87,J89:J95)</f>
        <v>0</v>
      </c>
      <c r="K96" s="390"/>
    </row>
    <row r="97" spans="1:11" s="391" customFormat="1">
      <c r="A97" s="396" t="s">
        <v>1051</v>
      </c>
      <c r="B97" s="392">
        <f>'Sources and Uses Budget'!C97</f>
        <v>83554473</v>
      </c>
      <c r="C97" s="392">
        <f>SUM(C63+C70+C77+C81+C96)</f>
        <v>83554473</v>
      </c>
      <c r="D97" s="392">
        <f>SUM(D63+D70+D77+D81+D96)</f>
        <v>0</v>
      </c>
      <c r="E97" s="392">
        <f>'Sources and Uses Budget'!S97</f>
        <v>68627786</v>
      </c>
      <c r="F97" s="398">
        <f>SUM(+F63+F70+F81+F96)</f>
        <v>68627786</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3500000</v>
      </c>
      <c r="C99" s="393">
        <f>B99</f>
        <v>3500000</v>
      </c>
      <c r="D99" s="393"/>
      <c r="E99" s="392">
        <f>'Sources and Uses Budget'!S99</f>
        <v>3500000</v>
      </c>
      <c r="F99" s="393">
        <f>E99</f>
        <v>3500000</v>
      </c>
      <c r="G99" s="393"/>
      <c r="H99" s="392">
        <f>'Sources and Uses Budget'!T99</f>
        <v>0</v>
      </c>
      <c r="I99" s="393"/>
      <c r="J99" s="393"/>
      <c r="K99" s="390"/>
    </row>
    <row r="100" spans="1:11" s="391" customFormat="1">
      <c r="A100" s="304" t="s">
        <v>1757</v>
      </c>
      <c r="B100" s="392">
        <f>'Sources and Uses Budget'!C100</f>
        <v>0</v>
      </c>
      <c r="C100" s="393">
        <f t="shared" ref="C100:C103" si="15">B100</f>
        <v>0</v>
      </c>
      <c r="D100" s="393"/>
      <c r="E100" s="392">
        <f>'Sources and Uses Budget'!S100</f>
        <v>0</v>
      </c>
      <c r="F100" s="393">
        <f t="shared" ref="F100:F103" si="16">E100</f>
        <v>0</v>
      </c>
      <c r="G100" s="393"/>
      <c r="H100" s="392">
        <f>'Sources and Uses Budget'!T100</f>
        <v>0</v>
      </c>
      <c r="I100" s="393"/>
      <c r="J100" s="393"/>
      <c r="K100" s="390"/>
    </row>
    <row r="101" spans="1:11" s="391" customFormat="1">
      <c r="A101" s="145" t="s">
        <v>786</v>
      </c>
      <c r="B101" s="392">
        <f>'Sources and Uses Budget'!C101</f>
        <v>0</v>
      </c>
      <c r="C101" s="393">
        <f t="shared" si="15"/>
        <v>0</v>
      </c>
      <c r="D101" s="393"/>
      <c r="E101" s="392">
        <f>'Sources and Uses Budget'!S101</f>
        <v>0</v>
      </c>
      <c r="F101" s="393">
        <f t="shared" si="16"/>
        <v>0</v>
      </c>
      <c r="G101" s="393"/>
      <c r="H101" s="392">
        <f>'Sources and Uses Budget'!T101</f>
        <v>0</v>
      </c>
      <c r="I101" s="393"/>
      <c r="J101" s="393"/>
      <c r="K101" s="390"/>
    </row>
    <row r="102" spans="1:11" s="391" customFormat="1" ht="12.05" customHeight="1">
      <c r="A102" s="304" t="s">
        <v>1758</v>
      </c>
      <c r="B102" s="392">
        <f>'Sources and Uses Budget'!C102</f>
        <v>0</v>
      </c>
      <c r="C102" s="393">
        <f t="shared" si="15"/>
        <v>0</v>
      </c>
      <c r="D102" s="393"/>
      <c r="E102" s="392">
        <f>'Sources and Uses Budget'!S102</f>
        <v>0</v>
      </c>
      <c r="F102" s="393">
        <f t="shared" si="16"/>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15"/>
        <v>0</v>
      </c>
      <c r="D103" s="393"/>
      <c r="E103" s="392">
        <f>'Sources and Uses Budget'!S103</f>
        <v>0</v>
      </c>
      <c r="F103" s="393">
        <f t="shared" si="16"/>
        <v>0</v>
      </c>
      <c r="G103" s="393"/>
      <c r="H103" s="392">
        <f>'Sources and Uses Budget'!T103</f>
        <v>0</v>
      </c>
      <c r="I103" s="393"/>
      <c r="J103" s="393"/>
      <c r="K103" s="390"/>
    </row>
    <row r="104" spans="1:11" s="391" customFormat="1">
      <c r="A104" s="396" t="s">
        <v>787</v>
      </c>
      <c r="B104" s="392">
        <f>'Sources and Uses Budget'!C104</f>
        <v>3500000</v>
      </c>
      <c r="C104" s="392">
        <f>SUM(C99:C103)</f>
        <v>3500000</v>
      </c>
      <c r="D104" s="392">
        <f>SUM(D99:D103)</f>
        <v>0</v>
      </c>
      <c r="E104" s="392">
        <f>'Sources and Uses Budget'!S104</f>
        <v>3500000</v>
      </c>
      <c r="F104" s="398">
        <f>SUM(F99:F103)</f>
        <v>3500000</v>
      </c>
      <c r="G104" s="398">
        <f>SUM(G99:G103)</f>
        <v>0</v>
      </c>
      <c r="H104" s="392">
        <f>'Sources and Uses Budget'!T104</f>
        <v>0</v>
      </c>
      <c r="I104" s="398">
        <f>SUM(I99:I103)</f>
        <v>0</v>
      </c>
      <c r="J104" s="398">
        <f>SUM(J99:J103)</f>
        <v>0</v>
      </c>
      <c r="K104" s="390"/>
    </row>
    <row r="105" spans="1:11" s="391" customFormat="1">
      <c r="A105" s="396" t="s">
        <v>1052</v>
      </c>
      <c r="B105" s="392">
        <f>'Sources and Uses Budget'!C105</f>
        <v>87054473</v>
      </c>
      <c r="C105" s="398">
        <f>SUM(C97+C104)</f>
        <v>87054473</v>
      </c>
      <c r="D105" s="398">
        <f>SUM(D97+D104)</f>
        <v>0</v>
      </c>
      <c r="E105" s="392">
        <f>'Sources and Uses Budget'!S105</f>
        <v>72127786</v>
      </c>
      <c r="F105" s="398">
        <f>F97+F104</f>
        <v>72127786</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f>E106</f>
        <v>0</v>
      </c>
      <c r="G106" s="393"/>
      <c r="H106" s="392">
        <f>'Sources and Uses Budget'!T106</f>
        <v>0</v>
      </c>
      <c r="I106" s="393"/>
      <c r="J106" s="393"/>
      <c r="K106" s="390"/>
    </row>
    <row r="107" spans="1:11" s="391" customFormat="1">
      <c r="A107" s="404"/>
      <c r="B107" s="405"/>
      <c r="C107" s="403"/>
      <c r="D107" s="488" t="s">
        <v>376</v>
      </c>
      <c r="E107" s="392">
        <f>'Sources and Uses Budget'!S107</f>
        <v>72127786</v>
      </c>
      <c r="F107" s="398">
        <f>F105+F106</f>
        <v>72127786</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6"/>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workbookViewId="0">
      <selection activeCell="T215" sqref="T215:Y215"/>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8" customHeight="1">
      <c r="A1" s="1922" t="s">
        <v>1409</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1414</v>
      </c>
      <c r="AF7" s="1906"/>
      <c r="AG7" s="1906"/>
      <c r="AH7" s="1906"/>
      <c r="AI7" s="1906"/>
      <c r="AJ7" s="1906"/>
      <c r="AK7" s="1906"/>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6" t="s">
        <v>599</v>
      </c>
      <c r="C13" s="1896"/>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6" t="s">
        <v>599</v>
      </c>
      <c r="C16" s="1896"/>
      <c r="D16" s="581"/>
      <c r="E16" s="1907" t="s">
        <v>1416</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1417</v>
      </c>
    </row>
    <row r="18" spans="1:42" s="570" customFormat="1" ht="12.7"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6" t="s">
        <v>599</v>
      </c>
      <c r="C22" s="1896"/>
      <c r="D22" s="581"/>
      <c r="E22" s="1929" t="s">
        <v>1419</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1417</v>
      </c>
    </row>
    <row r="23" spans="1:42" s="570" customFormat="1" ht="12.7"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6" t="s">
        <v>599</v>
      </c>
      <c r="C25" s="1896"/>
      <c r="D25" s="581"/>
      <c r="E25" s="1897" t="s">
        <v>2346</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1417</v>
      </c>
    </row>
    <row r="26" spans="1:42" s="570" customFormat="1" ht="12.7"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1896" t="s">
        <v>599</v>
      </c>
      <c r="C30" s="1896"/>
      <c r="D30" s="581"/>
      <c r="E30" s="1929" t="s">
        <v>2318</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6" t="s">
        <v>599</v>
      </c>
      <c r="C33" s="1896"/>
      <c r="D33" s="581"/>
      <c r="E33" s="1897" t="s">
        <v>2319</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6" t="s">
        <v>599</v>
      </c>
      <c r="C39" s="1896"/>
      <c r="D39" s="1186"/>
      <c r="E39" s="1897" t="s">
        <v>2320</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6" t="s">
        <v>599</v>
      </c>
      <c r="C46" s="1896"/>
      <c r="D46" s="574"/>
      <c r="E46" s="1897" t="s">
        <v>2325</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6" t="s">
        <v>599</v>
      </c>
      <c r="C50" s="1896"/>
      <c r="D50" s="574"/>
      <c r="E50" s="1917" t="s">
        <v>2326</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6" t="s">
        <v>599</v>
      </c>
      <c r="C52" s="1896"/>
      <c r="D52" s="574"/>
      <c r="E52" s="1897" t="s">
        <v>2327</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6">
        <f>AO36</f>
        <v>0</v>
      </c>
      <c r="AL56" s="1927"/>
      <c r="AM56" s="1928"/>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1423</v>
      </c>
      <c r="AF59" s="1906"/>
      <c r="AG59" s="1906"/>
      <c r="AH59" s="1906"/>
      <c r="AI59" s="1906"/>
      <c r="AJ59" s="1906"/>
      <c r="AK59" s="1906"/>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6" t="s">
        <v>599</v>
      </c>
      <c r="C62" s="1896"/>
      <c r="D62" s="581" t="s">
        <v>1424</v>
      </c>
      <c r="E62" s="1907" t="s">
        <v>2328</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1425</v>
      </c>
    </row>
    <row r="66" spans="1:42" s="570" customFormat="1" ht="12.7"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6" t="s">
        <v>553</v>
      </c>
      <c r="C68" s="1896"/>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6" t="s">
        <v>553</v>
      </c>
      <c r="F69" s="1896"/>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4" t="s">
        <v>599</v>
      </c>
      <c r="F70" s="189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4" t="s">
        <v>599</v>
      </c>
      <c r="F71" s="189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6" t="s">
        <v>599</v>
      </c>
      <c r="F73" s="1896"/>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6" t="s">
        <v>599</v>
      </c>
      <c r="C75" s="1896"/>
      <c r="D75" s="581" t="s">
        <v>1429</v>
      </c>
      <c r="E75" s="1897" t="s">
        <v>1928</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6">
        <f>IF(AK56&gt;0,0,AO65)</f>
        <v>10</v>
      </c>
      <c r="AL78" s="1927"/>
      <c r="AM78" s="1928"/>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1414</v>
      </c>
      <c r="AF81" s="1906"/>
      <c r="AG81" s="1906"/>
      <c r="AH81" s="1906"/>
      <c r="AI81" s="1906"/>
      <c r="AJ81" s="1906"/>
      <c r="AK81" s="1906"/>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6" t="s">
        <v>553</v>
      </c>
      <c r="C84" s="1896"/>
      <c r="D84" s="581" t="s">
        <v>1424</v>
      </c>
      <c r="E84" s="1907" t="s">
        <v>1434</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90">
        <f>Application!AC753</f>
        <v>0.29178082191780824</v>
      </c>
      <c r="F87" s="1891"/>
      <c r="G87" s="1891"/>
      <c r="H87" s="1891"/>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2">
        <f>0.6-ROUNDUP(E87,2)</f>
        <v>0.3</v>
      </c>
      <c r="F88" s="1893"/>
      <c r="G88" s="1893"/>
      <c r="H88" s="1893"/>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20">
        <f>IF(E88*200&gt;20,20,E88*200)</f>
        <v>20</v>
      </c>
      <c r="F89" s="1921"/>
      <c r="G89" s="1921"/>
      <c r="H89" s="1921"/>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6" t="s">
        <v>599</v>
      </c>
      <c r="C92" s="1896"/>
      <c r="D92" s="581" t="s">
        <v>1426</v>
      </c>
      <c r="E92" s="1907" t="s">
        <v>1913</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90">
        <f>Application!AC753</f>
        <v>0.29178082191780824</v>
      </c>
      <c r="F97" s="1891"/>
      <c r="G97" s="1891"/>
      <c r="H97" s="1891"/>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90">
        <f ca="1">SUMIF(Application!AC718:AG752,0.2,Application!G718:J752)/Application!G753+SUMIF(Application!AC718:AG752,0.25,Application!G718:J752)/Application!G753+SUMIF(Application!AC718:AG752,0.3,Application!G718:J752)/Application!G753</f>
        <v>0.68493150684931503</v>
      </c>
      <c r="F98" s="1891"/>
      <c r="G98" s="1891"/>
      <c r="H98" s="1891"/>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0.31506849315068491</v>
      </c>
      <c r="F99" s="1891"/>
      <c r="G99" s="1891"/>
      <c r="H99" s="1891"/>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5">
        <f ca="1">IF(AND(E97&lt;=0.6,E98&gt;=0.1,OR(E99&gt;=0.1,E98&gt;=0.2)),20,0)</f>
        <v>20</v>
      </c>
      <c r="F100" s="1946"/>
      <c r="G100" s="1946"/>
      <c r="H100" s="1946"/>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6">
        <f>MAX(AP89,AP100)</f>
        <v>20</v>
      </c>
      <c r="AL103" s="1927"/>
      <c r="AM103" s="1928"/>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1423</v>
      </c>
      <c r="AF106" s="1906"/>
      <c r="AG106" s="1906"/>
      <c r="AH106" s="1906"/>
      <c r="AI106" s="1906"/>
      <c r="AJ106" s="1906"/>
      <c r="AK106" s="1906"/>
      <c r="AL106" s="574"/>
      <c r="AM106" s="574"/>
      <c r="AN106" s="569"/>
      <c r="AO106" s="570" t="str">
        <f>Application!B718</f>
        <v>SRO/Studio</v>
      </c>
      <c r="AQ106" s="570">
        <f>Application!O718</f>
        <v>441</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662</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883</v>
      </c>
    </row>
    <row r="109" spans="1:49" s="570" customFormat="1" ht="12.7" customHeight="1">
      <c r="A109" s="574"/>
      <c r="B109" s="1896" t="s">
        <v>553</v>
      </c>
      <c r="C109" s="1896"/>
      <c r="D109" s="581" t="s">
        <v>1424</v>
      </c>
      <c r="E109" s="1907" t="s">
        <v>2047</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f>Application!B721</f>
        <v>0</v>
      </c>
      <c r="AQ109" s="570">
        <f>Application!O721</f>
        <v>0</v>
      </c>
      <c r="AU109" s="570" t="s">
        <v>2029</v>
      </c>
      <c r="AV109" s="629" t="s">
        <v>2030</v>
      </c>
      <c r="AW109" s="570" t="s">
        <v>2031</v>
      </c>
    </row>
    <row r="110" spans="1:49" s="570" customFormat="1" ht="12.7"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473</v>
      </c>
      <c r="AU110" s="890" t="str">
        <f>E118</f>
        <v>Studio/SRO</v>
      </c>
      <c r="AV110" s="570">
        <f t="array" ref="AV110">SUM(IF(Application!B718:F752="SRO/Studio",Application!G718:J752))</f>
        <v>119</v>
      </c>
      <c r="AW110" s="1046">
        <f>AV110/AV116</f>
        <v>0.81506849315068497</v>
      </c>
    </row>
    <row r="111" spans="1:49" s="570" customFormat="1" ht="12.7"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1 Bedroom</v>
      </c>
      <c r="AQ111" s="570">
        <f>Application!O723</f>
        <v>709</v>
      </c>
      <c r="AU111" s="890" t="str">
        <f>J118</f>
        <v>1-bedroom</v>
      </c>
      <c r="AV111" s="570">
        <f t="array" ref="AV111">SUM(IF(Application!B718:F752="1 Bedroom",Application!G718:J752))</f>
        <v>18</v>
      </c>
      <c r="AW111" s="1046">
        <f>AV111/AV116</f>
        <v>0.12328767123287671</v>
      </c>
    </row>
    <row r="112" spans="1:49" s="570" customFormat="1" ht="12.7"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1 Bedroom</v>
      </c>
      <c r="AQ112" s="570">
        <f>Application!O724</f>
        <v>946</v>
      </c>
      <c r="AU112" s="890" t="str">
        <f>O118</f>
        <v>2-bedroom</v>
      </c>
      <c r="AV112" s="570">
        <f t="array" ref="AV112">SUM(IF(Application!B718:F752="2 Bedrooms",Application!G718:J752))</f>
        <v>9</v>
      </c>
      <c r="AW112" s="1046">
        <f>AV112/AV116</f>
        <v>6.1643835616438353E-2</v>
      </c>
    </row>
    <row r="113" spans="1:52" s="570" customFormat="1" ht="12.7"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2 Bedrooms</v>
      </c>
      <c r="AQ114" s="570">
        <f>Application!O726</f>
        <v>567</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2 Bedrooms</v>
      </c>
      <c r="AQ115" s="570">
        <f>Application!O727</f>
        <v>851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2 Bedrooms</v>
      </c>
      <c r="AQ116" s="570">
        <f>Application!O728</f>
        <v>1135</v>
      </c>
      <c r="AV116" s="570">
        <f>SUM(AV110:AV115)</f>
        <v>146</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1890" t="s">
        <v>1698</v>
      </c>
      <c r="F118" s="1891"/>
      <c r="G118" s="1891"/>
      <c r="H118" s="1891"/>
      <c r="I118" s="611"/>
      <c r="J118" s="1891" t="s">
        <v>1742</v>
      </c>
      <c r="K118" s="1891"/>
      <c r="L118" s="1891"/>
      <c r="M118" s="1891"/>
      <c r="N118" s="611"/>
      <c r="O118" s="1891" t="s">
        <v>1743</v>
      </c>
      <c r="P118" s="1891"/>
      <c r="Q118" s="1891"/>
      <c r="R118" s="1891"/>
      <c r="S118" s="611"/>
      <c r="T118" s="1891" t="s">
        <v>1443</v>
      </c>
      <c r="U118" s="1891"/>
      <c r="V118" s="1891"/>
      <c r="W118" s="1891"/>
      <c r="X118" s="611"/>
      <c r="Y118" s="1891" t="s">
        <v>1744</v>
      </c>
      <c r="Z118" s="1891"/>
      <c r="AA118" s="1891"/>
      <c r="AB118" s="1891"/>
      <c r="AC118" s="611"/>
      <c r="AD118" s="1891" t="s">
        <v>1745</v>
      </c>
      <c r="AE118" s="1891"/>
      <c r="AF118" s="1891"/>
      <c r="AG118" s="1891"/>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7">
        <v>2086</v>
      </c>
      <c r="F121" s="1948"/>
      <c r="G121" s="1948"/>
      <c r="H121" s="1948"/>
      <c r="I121" s="898"/>
      <c r="J121" s="1948">
        <v>2729</v>
      </c>
      <c r="K121" s="1948"/>
      <c r="L121" s="1948"/>
      <c r="M121" s="1948"/>
      <c r="N121" s="898"/>
      <c r="O121" s="1948">
        <v>3202</v>
      </c>
      <c r="P121" s="1948"/>
      <c r="Q121" s="1948"/>
      <c r="R121" s="1948"/>
      <c r="S121" s="898"/>
      <c r="T121" s="1948"/>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40">
        <f>Application!DX670</f>
        <v>632.28571428571422</v>
      </c>
      <c r="F124" s="1941"/>
      <c r="G124" s="1941"/>
      <c r="H124" s="1941"/>
      <c r="I124" s="898"/>
      <c r="J124" s="1941">
        <f>Application!EC670</f>
        <v>748.77777777777783</v>
      </c>
      <c r="K124" s="1941"/>
      <c r="L124" s="1941"/>
      <c r="M124" s="1941"/>
      <c r="N124" s="898"/>
      <c r="O124" s="1941">
        <f>Application!EH670</f>
        <v>882.55555555555543</v>
      </c>
      <c r="P124" s="1941"/>
      <c r="Q124" s="1941"/>
      <c r="R124" s="1941"/>
      <c r="S124" s="902"/>
      <c r="T124" s="1941">
        <f>Application!EM670</f>
        <v>0</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7">
        <f>(E121-E124)/E121</f>
        <v>0.69689083687166142</v>
      </c>
      <c r="F127" s="1893"/>
      <c r="G127" s="1893"/>
      <c r="H127" s="2138"/>
      <c r="I127" s="611"/>
      <c r="J127" s="2137">
        <f>(J121-J124)/J121</f>
        <v>0.7256219209315582</v>
      </c>
      <c r="K127" s="1893"/>
      <c r="L127" s="1893"/>
      <c r="M127" s="2138"/>
      <c r="N127" s="611"/>
      <c r="O127" s="2137">
        <f>(O121-O124)/O121</f>
        <v>0.72437365535429243</v>
      </c>
      <c r="P127" s="1893"/>
      <c r="Q127" s="1893"/>
      <c r="R127" s="2138"/>
      <c r="S127" s="611"/>
      <c r="T127" s="2137" t="e">
        <f>(T121-T124)/T121</f>
        <v>#DIV/0!</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2">
        <f>IF(((E127-0.1)*AW110)&gt;0,((E127-0.1)*AW110),0)</f>
        <v>0.48650691498443643</v>
      </c>
      <c r="F130" s="1943"/>
      <c r="G130" s="1943"/>
      <c r="H130" s="1944"/>
      <c r="I130" s="611"/>
      <c r="J130" s="1942">
        <f>IF(((J127-0.1)*AW111)&gt;0,((J127-0.1)*AW111),0)</f>
        <v>7.7131469703890732E-2</v>
      </c>
      <c r="K130" s="1943"/>
      <c r="L130" s="1943"/>
      <c r="M130" s="1944"/>
      <c r="N130" s="611"/>
      <c r="O130" s="1942">
        <f>IF(((O127-0.1)*AW112)&gt;0,((O127-0.1)*AW112),0)</f>
        <v>3.848878697389474E-2</v>
      </c>
      <c r="P130" s="1943"/>
      <c r="Q130" s="1943"/>
      <c r="R130" s="1944"/>
      <c r="S130" s="611"/>
      <c r="T130" s="1942" t="e">
        <f>IF(((T127-0.1)*AW113)&gt;0,((T127-0.1)*AW113),0)</f>
        <v>#DIV/0!</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7">
        <f>ROUNDDOWN(SUMIF(E130:AG130,"&gt;0"),2)</f>
        <v>0.6</v>
      </c>
      <c r="F132" s="1893"/>
      <c r="G132" s="1893"/>
      <c r="H132" s="2138"/>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6">
        <f>IF((E132*100)&gt;10,10,E132*100)</f>
        <v>10</v>
      </c>
      <c r="F133" s="1927"/>
      <c r="G133" s="1927"/>
      <c r="H133" s="192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6">
        <f>E133</f>
        <v>10</v>
      </c>
      <c r="AL137" s="1927"/>
      <c r="AM137" s="1928"/>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06" t="s">
        <v>1423</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1447</v>
      </c>
      <c r="AG142" s="1938"/>
      <c r="AH142" s="1938"/>
      <c r="AI142" s="1938"/>
      <c r="AJ142" s="1938"/>
      <c r="AK142" s="1938"/>
      <c r="AL142" s="1938"/>
      <c r="AM142" s="573"/>
      <c r="AN142" s="569"/>
    </row>
    <row r="143" spans="1:52" s="570" customFormat="1" ht="12.7"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9" t="s">
        <v>2654</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1964" t="s">
        <v>1450</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1965" t="s">
        <v>599</v>
      </c>
      <c r="AC149" s="196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1964" t="s">
        <v>1452</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7">
        <f>IF($AB$149="N/A",VLOOKUP($B$147,$AO$145:$AP$148,2,FALSE),VLOOKUP($B$152,$AO$150:$AP$152,2,FALSE))</f>
        <v>7</v>
      </c>
      <c r="AK155" s="1967"/>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1461</v>
      </c>
      <c r="AG157" s="1938"/>
      <c r="AH157" s="1938"/>
      <c r="AI157" s="1938"/>
      <c r="AJ157" s="1938"/>
      <c r="AK157" s="1938"/>
      <c r="AL157" s="1938"/>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4" t="s">
        <v>1459</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599</v>
      </c>
      <c r="AG161" s="1965"/>
      <c r="AH161" s="570"/>
      <c r="AI161" s="570"/>
      <c r="AJ161" s="570"/>
      <c r="AK161" s="570"/>
      <c r="AL161" s="570"/>
      <c r="AM161" s="637"/>
      <c r="AN161" s="631"/>
      <c r="AO161" s="510" t="s">
        <v>1459</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1964" t="s">
        <v>1452</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1939" t="s">
        <v>2689</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6">
        <f>IF($AF$161="N/A",VLOOKUP($C$159,$AO$159:$AP$162,2,FALSE),VLOOKUP($C$163,$AO$166:$AP$168,2,FALSE))</f>
        <v>3</v>
      </c>
      <c r="AK169" s="1966"/>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6">
        <f>$AJ$155+$AJ$169</f>
        <v>10</v>
      </c>
      <c r="AL172" s="1927"/>
      <c r="AM172" s="1928"/>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1423</v>
      </c>
      <c r="AF175" s="1906"/>
      <c r="AG175" s="1906"/>
      <c r="AH175" s="1906"/>
      <c r="AI175" s="1906"/>
      <c r="AJ175" s="1906"/>
      <c r="AK175" s="1906"/>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1962" t="s">
        <v>1065</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1472</v>
      </c>
      <c r="AG177" s="1938"/>
      <c r="AH177" s="1938"/>
      <c r="AI177" s="1938"/>
      <c r="AJ177" s="1938"/>
      <c r="AK177" s="1938"/>
      <c r="AL177" s="1938"/>
      <c r="AN177" s="631"/>
      <c r="AP177" s="584" t="s">
        <v>1065</v>
      </c>
      <c r="AQ177" s="584">
        <v>10</v>
      </c>
    </row>
    <row r="178" spans="1:45" s="584" customFormat="1" ht="12.7" customHeight="1">
      <c r="A178" s="570"/>
      <c r="B178" s="1963" t="s">
        <v>1914</v>
      </c>
      <c r="C178" s="1963"/>
      <c r="D178" s="1963"/>
      <c r="E178" s="1963"/>
      <c r="F178" s="1963"/>
      <c r="G178" s="1963"/>
      <c r="H178" s="1963"/>
      <c r="I178" s="1963"/>
      <c r="J178" s="1963"/>
      <c r="K178" s="1963"/>
      <c r="L178" s="1963"/>
      <c r="M178" s="1963"/>
      <c r="N178" s="1963"/>
      <c r="O178" s="1963"/>
      <c r="P178" s="1963"/>
      <c r="Q178" s="1963"/>
      <c r="R178" s="1963"/>
      <c r="S178" s="1963"/>
      <c r="T178" s="1939" t="s">
        <v>599</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1473</v>
      </c>
      <c r="AQ178" s="584">
        <v>10</v>
      </c>
      <c r="AS178" s="584" t="s">
        <v>599</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1">
        <f>IF(AK78&gt;0,VLOOKUP($B$177,AP174:AQ180,2,FALSE),0)</f>
        <v>10</v>
      </c>
      <c r="AL180" s="1972"/>
      <c r="AM180" s="1973"/>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1481</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2766</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20000000</v>
      </c>
      <c r="AE188" s="1951"/>
      <c r="AF188" s="1951"/>
      <c r="AG188" s="1951"/>
      <c r="AH188" s="1951"/>
      <c r="AI188" s="1951"/>
      <c r="AJ188" s="1951"/>
      <c r="AK188" s="644"/>
    </row>
    <row r="189" spans="1:45">
      <c r="A189" s="639"/>
      <c r="B189" s="1950" t="s">
        <v>2767</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12995146</v>
      </c>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1737</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17079852.775965244</v>
      </c>
      <c r="AE198" s="1978"/>
      <c r="AF198" s="1978"/>
      <c r="AG198" s="1978"/>
      <c r="AH198" s="1978"/>
      <c r="AI198" s="1978"/>
      <c r="AJ198" s="1978"/>
      <c r="AK198" s="644"/>
    </row>
    <row r="199" spans="1:37">
      <c r="A199" s="639"/>
      <c r="B199" s="2112" t="s">
        <v>1700</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3">
        <f>SUM(AD188:AJ198)-AD199</f>
        <v>50074998.775965244</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1717</v>
      </c>
      <c r="J211" s="1954"/>
      <c r="K211" s="1954"/>
      <c r="L211" s="570"/>
      <c r="M211" s="570"/>
      <c r="N211" s="570"/>
      <c r="O211" s="570"/>
      <c r="P211" s="570"/>
      <c r="Q211" s="570"/>
      <c r="R211" s="570"/>
      <c r="S211" s="570"/>
      <c r="T211" s="2140" t="s">
        <v>1711</v>
      </c>
      <c r="U211" s="2140"/>
      <c r="V211" s="2140"/>
      <c r="W211" s="2140"/>
      <c r="X211" s="2140"/>
      <c r="Y211" s="2140"/>
      <c r="Z211" s="883"/>
      <c r="AA211" s="523"/>
      <c r="AB211" s="1949" t="s">
        <v>1712</v>
      </c>
      <c r="AC211" s="1949"/>
      <c r="AD211" s="1949"/>
      <c r="AE211" s="1949"/>
      <c r="AF211" s="1949"/>
      <c r="AG211" s="1949"/>
      <c r="AH211" s="861"/>
      <c r="AI211" s="861"/>
      <c r="AJ211" s="861"/>
      <c r="AK211" s="644"/>
    </row>
    <row r="212" spans="1:37">
      <c r="A212" s="639"/>
      <c r="B212" s="1952" t="s">
        <v>1697</v>
      </c>
      <c r="C212" s="1952"/>
      <c r="D212" s="1952"/>
      <c r="E212" s="1952"/>
      <c r="F212" s="1952"/>
      <c r="G212" s="1952"/>
      <c r="I212" s="1953" t="s">
        <v>1718</v>
      </c>
      <c r="J212" s="1953"/>
      <c r="K212" s="1953"/>
      <c r="L212" s="1043"/>
      <c r="N212" s="1959" t="s">
        <v>1713</v>
      </c>
      <c r="O212" s="1959"/>
      <c r="P212" s="1959"/>
      <c r="Q212" s="1959"/>
      <c r="R212" s="1959"/>
      <c r="T212" s="1959" t="s">
        <v>1714</v>
      </c>
      <c r="U212" s="1959"/>
      <c r="V212" s="1959"/>
      <c r="W212" s="1959"/>
      <c r="X212" s="1959"/>
      <c r="Y212" s="1959"/>
      <c r="Z212" s="884"/>
      <c r="AA212" s="523"/>
      <c r="AB212" s="2115" t="s">
        <v>1715</v>
      </c>
      <c r="AC212" s="2115"/>
      <c r="AD212" s="2115"/>
      <c r="AE212" s="2115"/>
      <c r="AF212" s="2115"/>
      <c r="AG212" s="2115"/>
      <c r="AH212" s="861"/>
      <c r="AI212" s="861"/>
      <c r="AJ212" s="861"/>
      <c r="AK212" s="644"/>
    </row>
    <row r="213" spans="1:37">
      <c r="A213" s="639"/>
      <c r="B213" s="1956" t="s">
        <v>325</v>
      </c>
      <c r="C213" s="1956"/>
      <c r="D213" s="1956"/>
      <c r="E213" s="1956"/>
      <c r="F213" s="1956"/>
      <c r="G213" s="1956"/>
      <c r="H213" s="886"/>
      <c r="I213" s="1955">
        <v>85</v>
      </c>
      <c r="J213" s="1955"/>
      <c r="K213" s="1955"/>
      <c r="L213" s="1043"/>
      <c r="N213" s="1960">
        <v>662</v>
      </c>
      <c r="O213" s="1960"/>
      <c r="P213" s="1960"/>
      <c r="Q213" s="1960"/>
      <c r="R213" s="1960"/>
      <c r="T213" s="2113">
        <v>2132</v>
      </c>
      <c r="U213" s="2113"/>
      <c r="V213" s="2113"/>
      <c r="W213" s="2113"/>
      <c r="X213" s="2113"/>
      <c r="Y213" s="2113"/>
      <c r="Z213" s="885"/>
      <c r="AA213" s="885"/>
      <c r="AB213" s="1957">
        <f t="shared" ref="AB213:AB222" si="0">MAX(($T213-$N213)*$I213*12,0)</f>
        <v>1499400</v>
      </c>
      <c r="AC213" s="1957"/>
      <c r="AD213" s="1957"/>
      <c r="AE213" s="1957"/>
      <c r="AF213" s="1957"/>
      <c r="AG213" s="1957"/>
      <c r="AH213" s="861"/>
      <c r="AI213" s="861"/>
      <c r="AJ213" s="861"/>
      <c r="AK213" s="644"/>
    </row>
    <row r="214" spans="1:37">
      <c r="A214" s="639"/>
      <c r="B214" s="1956" t="s">
        <v>2785</v>
      </c>
      <c r="C214" s="1956"/>
      <c r="D214" s="1956"/>
      <c r="E214" s="1956"/>
      <c r="F214" s="1956"/>
      <c r="G214" s="1956"/>
      <c r="I214" s="1955">
        <v>10</v>
      </c>
      <c r="J214" s="1955"/>
      <c r="K214" s="1955"/>
      <c r="L214" s="1043"/>
      <c r="N214" s="1960">
        <v>709</v>
      </c>
      <c r="O214" s="1960"/>
      <c r="P214" s="1960"/>
      <c r="Q214" s="1960"/>
      <c r="R214" s="1960"/>
      <c r="T214" s="2113">
        <v>2407</v>
      </c>
      <c r="U214" s="2113"/>
      <c r="V214" s="2113"/>
      <c r="W214" s="2113"/>
      <c r="X214" s="2113"/>
      <c r="Y214" s="2113"/>
      <c r="Z214" s="885"/>
      <c r="AA214" s="885"/>
      <c r="AB214" s="1957">
        <f t="shared" si="0"/>
        <v>203760</v>
      </c>
      <c r="AC214" s="1957"/>
      <c r="AD214" s="1957"/>
      <c r="AE214" s="1957"/>
      <c r="AF214" s="1957"/>
      <c r="AG214" s="1957"/>
      <c r="AH214" s="861"/>
      <c r="AI214" s="861"/>
      <c r="AJ214" s="861"/>
      <c r="AK214" s="644"/>
    </row>
    <row r="215" spans="1:37">
      <c r="A215" s="639"/>
      <c r="B215" s="1956" t="s">
        <v>2786</v>
      </c>
      <c r="C215" s="1956"/>
      <c r="D215" s="1956"/>
      <c r="E215" s="1956"/>
      <c r="F215" s="1956"/>
      <c r="G215" s="1956"/>
      <c r="I215" s="1955">
        <v>5</v>
      </c>
      <c r="J215" s="1955"/>
      <c r="K215" s="1955"/>
      <c r="L215" s="1043"/>
      <c r="N215" s="1960">
        <v>851</v>
      </c>
      <c r="O215" s="1960"/>
      <c r="P215" s="1960"/>
      <c r="Q215" s="1960"/>
      <c r="R215" s="1960"/>
      <c r="T215" s="2113">
        <v>3052</v>
      </c>
      <c r="U215" s="2113"/>
      <c r="V215" s="2113"/>
      <c r="W215" s="2113"/>
      <c r="X215" s="2113"/>
      <c r="Y215" s="2113"/>
      <c r="Z215" s="885"/>
      <c r="AA215" s="885"/>
      <c r="AB215" s="1957">
        <f t="shared" si="0"/>
        <v>132060</v>
      </c>
      <c r="AC215" s="1957"/>
      <c r="AD215" s="1957"/>
      <c r="AE215" s="1957"/>
      <c r="AF215" s="1957"/>
      <c r="AG215" s="1957"/>
      <c r="AH215" s="861"/>
      <c r="AI215" s="861"/>
      <c r="AJ215" s="861"/>
      <c r="AK215" s="644"/>
    </row>
    <row r="216" spans="1:37">
      <c r="A216" s="639"/>
      <c r="B216" s="1956" t="s">
        <v>1288</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1288</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1288</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1288</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1288</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1288</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1288</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7">
        <f>SUM(AB213:AB222)</f>
        <v>1835220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1835220</v>
      </c>
      <c r="AC239" s="1957"/>
      <c r="AD239" s="1957"/>
      <c r="AE239" s="1957"/>
      <c r="AF239" s="1957"/>
      <c r="AG239" s="1957"/>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1743459</v>
      </c>
      <c r="AC241" s="1988"/>
      <c r="AD241" s="1988"/>
      <c r="AE241" s="1988"/>
      <c r="AF241" s="1988"/>
      <c r="AG241" s="1988"/>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1516051.3043478262</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17079852.775965244</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50074998.775965244</v>
      </c>
      <c r="AH257" s="1974"/>
      <c r="AI257" s="1974"/>
      <c r="AJ257" s="1974"/>
      <c r="AK257" s="1974"/>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87054473</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0.56999999999999995</v>
      </c>
      <c r="AH259" s="1975"/>
      <c r="AI259" s="1975"/>
      <c r="AJ259" s="1975"/>
      <c r="AK259" s="1975"/>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6">
        <f>IFERROR(IF(AG259=0,0,IF((AG259*100)&gt;8,8,(AG259*100))),0)</f>
        <v>8</v>
      </c>
      <c r="AL262" s="1976"/>
      <c r="AM262" s="1977"/>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8" t="s">
        <v>553</v>
      </c>
      <c r="D267" s="1968"/>
      <c r="E267" s="581"/>
      <c r="F267" s="2125" t="s">
        <v>2337</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1472</v>
      </c>
      <c r="AH267" s="1969"/>
      <c r="AI267" s="1969"/>
      <c r="AJ267" s="1969"/>
      <c r="AK267" s="584"/>
      <c r="AL267" s="584"/>
      <c r="AM267" s="584"/>
      <c r="AO267" s="584"/>
    </row>
    <row r="268" spans="1:52" ht="13.7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6">
        <f>IF($C$267="yes",10,0)</f>
        <v>10</v>
      </c>
      <c r="AL274" s="1976"/>
      <c r="AM274" s="1977"/>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64" t="s">
        <v>1491</v>
      </c>
      <c r="B281" s="1664"/>
      <c r="C281" s="1965" t="s">
        <v>599</v>
      </c>
      <c r="D281" s="1968"/>
      <c r="E281" s="581"/>
      <c r="F281" s="1996" t="s">
        <v>1492</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2330</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90" t="s">
        <v>2338</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90" t="s">
        <v>1493</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90" t="s">
        <v>1494</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64" t="s">
        <v>1495</v>
      </c>
      <c r="B291" s="1664"/>
      <c r="C291" s="1968" t="s">
        <v>553</v>
      </c>
      <c r="D291" s="196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3" t="s">
        <v>2332</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0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1498</v>
      </c>
      <c r="B299" s="1664"/>
      <c r="C299" s="1968" t="s">
        <v>599</v>
      </c>
      <c r="D299" s="1968"/>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90" t="s">
        <v>2339</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1288</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00" t="s">
        <v>1288</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06" t="s">
        <v>1288</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6" t="s">
        <v>1288</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64" t="s">
        <v>1501</v>
      </c>
      <c r="B322" s="1664"/>
      <c r="C322" s="1968" t="s">
        <v>599</v>
      </c>
      <c r="D322" s="1968"/>
      <c r="E322" s="581"/>
      <c r="F322" s="1897" t="s">
        <v>2340</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1">
        <f>IF(NOT(OR(Application!M355="Yes",Application!M356="Yes")),0,AP284)</f>
        <v>9</v>
      </c>
      <c r="AL327" s="1972"/>
      <c r="AM327" s="1973"/>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06" t="s">
        <v>1423</v>
      </c>
      <c r="AF330" s="1906"/>
      <c r="AG330" s="1906"/>
      <c r="AH330" s="1906"/>
      <c r="AI330" s="1906"/>
      <c r="AJ330" s="1906"/>
      <c r="AK330" s="1906"/>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10" t="s">
        <v>1563</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6"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2407</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10" t="s">
        <v>2571</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05"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 customHeight="1">
      <c r="A342" s="637"/>
      <c r="B342" s="645"/>
      <c r="C342" s="2010" t="s">
        <v>1564</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3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9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1565</v>
      </c>
    </row>
    <row r="347" spans="1:46" s="584" customFormat="1" ht="12.7"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1566</v>
      </c>
    </row>
    <row r="349" spans="1:46" s="584" customFormat="1" ht="12.7"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2068</v>
      </c>
    </row>
    <row r="351" spans="1:46" s="584" customFormat="1" ht="12.7" customHeight="1">
      <c r="A351" s="637"/>
      <c r="B351" s="645"/>
      <c r="C351" s="2032" t="s">
        <v>1567</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771</v>
      </c>
      <c r="AP352" s="730">
        <f>IF(C401="Yes",5,0)</f>
        <v>0</v>
      </c>
    </row>
    <row r="353" spans="1:81" s="584" customFormat="1" ht="12.7"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0</v>
      </c>
    </row>
    <row r="354" spans="1:81" s="584" customFormat="1" ht="11.9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6"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0</v>
      </c>
      <c r="AQ355" s="2033">
        <f>IF(AP355&gt;0,AP355,0)</f>
        <v>0</v>
      </c>
      <c r="AR355" s="2033"/>
    </row>
    <row r="356" spans="1:81" s="584" customFormat="1" ht="12.7"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 customHeight="1">
      <c r="A358" s="637"/>
      <c r="B358" s="645"/>
      <c r="C358" s="2010" t="s">
        <v>1568</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5</v>
      </c>
    </row>
    <row r="359" spans="1:81" s="584" customFormat="1" ht="12.7"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8.15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9">
        <f>Application!CS660-U363</f>
        <v>0</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0">
        <f>Application!AG756</f>
        <v>155</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33">
        <f>IF(AP364&gt;0,AP364,0)</f>
        <v>10</v>
      </c>
      <c r="AR364" s="2033"/>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2014" t="s">
        <v>1570</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1" t="s">
        <v>599</v>
      </c>
      <c r="D370" s="1968"/>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1572</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2014" t="s">
        <v>1573</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 customHeight="1">
      <c r="A378" s="570"/>
      <c r="B378" s="14"/>
      <c r="C378" s="2011" t="s">
        <v>599</v>
      </c>
      <c r="D378" s="1968"/>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1572</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2014" t="s">
        <v>1575</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1" t="s">
        <v>599</v>
      </c>
      <c r="D386" s="1968"/>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1577</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1" t="s">
        <v>599</v>
      </c>
      <c r="D388" s="1968"/>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1572</v>
      </c>
      <c r="AG388" s="2012"/>
      <c r="AH388" s="2012"/>
      <c r="AI388" s="2012"/>
      <c r="AJ388" s="2012"/>
      <c r="AK388" s="2012"/>
      <c r="AL388" s="2013"/>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2014" t="s">
        <v>1581</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1" t="s">
        <v>599</v>
      </c>
      <c r="D396" s="1968"/>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1572</v>
      </c>
      <c r="AG396" s="2012"/>
      <c r="AH396" s="2012"/>
      <c r="AI396" s="2012"/>
      <c r="AJ396" s="2012"/>
      <c r="AK396" s="2012"/>
      <c r="AL396" s="2013"/>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1" t="s">
        <v>599</v>
      </c>
      <c r="D398" s="1968"/>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1584</v>
      </c>
      <c r="AG398" s="2012"/>
      <c r="AH398" s="2012"/>
      <c r="AI398" s="2012"/>
      <c r="AJ398" s="2012"/>
      <c r="AK398" s="2012"/>
      <c r="AL398" s="2013"/>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1" t="s">
        <v>599</v>
      </c>
      <c r="D401" s="1968"/>
      <c r="E401" s="749" t="s">
        <v>1585</v>
      </c>
      <c r="F401" s="2014" t="s">
        <v>1586</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1572</v>
      </c>
      <c r="AG402" s="1938"/>
      <c r="AH402" s="1938"/>
      <c r="AI402" s="1938"/>
      <c r="AJ402" s="1938"/>
      <c r="AK402" s="1938"/>
      <c r="AL402" s="2016"/>
      <c r="AM402" s="604"/>
      <c r="AN402" s="631"/>
      <c r="BS402" s="604"/>
      <c r="BT402" s="604"/>
      <c r="BY402" s="604"/>
      <c r="BZ402" s="604"/>
      <c r="CA402" s="604"/>
      <c r="CB402" s="604"/>
      <c r="CC402" s="604"/>
    </row>
    <row r="403" spans="1:81" s="584" customFormat="1" ht="12.7"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2014" t="s">
        <v>1588</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 customHeight="1">
      <c r="A410" s="570"/>
      <c r="B410" s="14"/>
      <c r="C410" s="2011" t="s">
        <v>599</v>
      </c>
      <c r="D410" s="1968"/>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1572</v>
      </c>
      <c r="AG410" s="1938"/>
      <c r="AH410" s="1938"/>
      <c r="AI410" s="1938"/>
      <c r="AJ410" s="1938"/>
      <c r="AK410" s="1938"/>
      <c r="AL410" s="2016"/>
      <c r="AM410" s="604"/>
      <c r="AN410" s="631"/>
    </row>
    <row r="411" spans="1:81" s="584" customFormat="1" ht="12.7" customHeight="1">
      <c r="A411" s="570"/>
      <c r="B411" s="14"/>
      <c r="C411" s="773"/>
      <c r="AL411" s="766"/>
      <c r="AM411" s="604"/>
      <c r="AN411" s="631"/>
    </row>
    <row r="412" spans="1:81" s="584" customFormat="1" ht="12.7" customHeight="1">
      <c r="A412" s="570"/>
      <c r="B412" s="14"/>
      <c r="C412" s="2011" t="s">
        <v>599</v>
      </c>
      <c r="D412" s="1968"/>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1584</v>
      </c>
      <c r="AG412" s="1938"/>
      <c r="AH412" s="1938"/>
      <c r="AI412" s="1938"/>
      <c r="AJ412" s="1938"/>
      <c r="AK412" s="1938"/>
      <c r="AL412" s="2016"/>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2014" t="s">
        <v>1592</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6"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 customHeight="1">
      <c r="A419" s="570"/>
      <c r="B419" s="14"/>
      <c r="C419" s="2011" t="s">
        <v>553</v>
      </c>
      <c r="D419" s="1968"/>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1572</v>
      </c>
      <c r="AG419" s="1938"/>
      <c r="AH419" s="1938"/>
      <c r="AI419" s="1938"/>
      <c r="AJ419" s="1938"/>
      <c r="AK419" s="1938"/>
      <c r="AL419" s="2016"/>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2014" t="s">
        <v>1595</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 customHeight="1">
      <c r="A431" s="570"/>
      <c r="B431" s="14"/>
      <c r="C431" s="2011" t="s">
        <v>553</v>
      </c>
      <c r="D431" s="1968"/>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1572</v>
      </c>
      <c r="AG431" s="1938"/>
      <c r="AH431" s="1938"/>
      <c r="AI431" s="1938"/>
      <c r="AJ431" s="1938"/>
      <c r="AK431" s="1938"/>
      <c r="AL431" s="2016"/>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2014" t="s">
        <v>1598</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 customHeight="1">
      <c r="A438" s="570"/>
      <c r="B438" s="14"/>
      <c r="C438" s="2011" t="s">
        <v>599</v>
      </c>
      <c r="D438" s="1968"/>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1572</v>
      </c>
      <c r="AG438" s="1938"/>
      <c r="AH438" s="1938"/>
      <c r="AI438" s="1938"/>
      <c r="AJ438" s="1938"/>
      <c r="AK438" s="1938"/>
      <c r="AL438" s="2016"/>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7" t="s">
        <v>599</v>
      </c>
      <c r="D442" s="2018"/>
      <c r="E442" s="749" t="s">
        <v>1607</v>
      </c>
      <c r="F442" s="2014" t="s">
        <v>1608</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1572</v>
      </c>
      <c r="AG442" s="2035"/>
      <c r="AH442" s="2035"/>
      <c r="AI442" s="2035"/>
      <c r="AJ442" s="2035"/>
      <c r="AK442" s="2035"/>
      <c r="AL442" s="2036"/>
      <c r="AM442" s="604"/>
      <c r="AN442" s="787"/>
    </row>
    <row r="443" spans="1:40" s="584" customFormat="1" ht="12.7"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89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1" t="s">
        <v>599</v>
      </c>
      <c r="D446" s="1968"/>
      <c r="E446" s="749" t="s">
        <v>1613</v>
      </c>
      <c r="F446" s="2014" t="s">
        <v>1614</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1572</v>
      </c>
      <c r="AG446" s="2035"/>
      <c r="AH446" s="2035"/>
      <c r="AI446" s="2035"/>
      <c r="AJ446" s="2035"/>
      <c r="AK446" s="2035"/>
      <c r="AL446" s="2036"/>
      <c r="AM446" s="604"/>
      <c r="AN446" s="569"/>
    </row>
    <row r="447" spans="1:40" s="584" customFormat="1" ht="12.7"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2014" t="s">
        <v>1617</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 customHeight="1">
      <c r="A455" s="570"/>
      <c r="B455" s="14"/>
      <c r="C455" s="2011" t="s">
        <v>599</v>
      </c>
      <c r="D455" s="1968"/>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1572</v>
      </c>
      <c r="AG455" s="2012"/>
      <c r="AH455" s="2012"/>
      <c r="AI455" s="2012"/>
      <c r="AJ455" s="2012"/>
      <c r="AK455" s="2012"/>
      <c r="AL455" s="2013"/>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1">
        <f>IF(Application!D214="N/A",AS347,AS349)</f>
        <v>10</v>
      </c>
      <c r="AL458" s="1972"/>
      <c r="AM458" s="1973"/>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 hidden="1" customHeight="1">
      <c r="A461" s="573" t="s">
        <v>1620</v>
      </c>
      <c r="C461" s="573"/>
      <c r="E461" s="630"/>
      <c r="AE461" s="2012" t="s">
        <v>1621</v>
      </c>
      <c r="AF461" s="2012"/>
      <c r="AG461" s="2012"/>
      <c r="AH461" s="2012"/>
      <c r="AI461" s="2012"/>
      <c r="AJ461" s="2012"/>
      <c r="AK461" s="2012"/>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37" t="s">
        <v>599</v>
      </c>
      <c r="D467" s="2038"/>
      <c r="E467" s="795" t="s">
        <v>515</v>
      </c>
      <c r="F467" s="2039" t="s">
        <v>1627</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 hidden="1" customHeight="1">
      <c r="C471" s="2042" t="s">
        <v>553</v>
      </c>
      <c r="D471" s="2043"/>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 hidden="1" customHeight="1">
      <c r="A484" s="584"/>
      <c r="B484" s="584"/>
      <c r="C484" s="815"/>
      <c r="D484" s="2048"/>
      <c r="E484" s="204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7" t="s">
        <v>599</v>
      </c>
      <c r="D490" s="2038"/>
      <c r="E490" s="795" t="s">
        <v>515</v>
      </c>
      <c r="F490" s="2039" t="s">
        <v>1627</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7" t="s">
        <v>599</v>
      </c>
      <c r="D494" s="2038"/>
      <c r="E494" s="795" t="s">
        <v>765</v>
      </c>
      <c r="F494" s="2045" t="s">
        <v>1649</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599</v>
      </c>
      <c r="D499" s="2038"/>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2" t="s">
        <v>599</v>
      </c>
      <c r="D504" s="2063"/>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2" t="s">
        <v>599</v>
      </c>
      <c r="D508" s="2063"/>
      <c r="F508" s="829" t="s">
        <v>1657</v>
      </c>
      <c r="G508" s="2015" t="s">
        <v>1658</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50" t="s">
        <v>599</v>
      </c>
      <c r="D512" s="2051"/>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1670</v>
      </c>
      <c r="AF527" s="1906"/>
      <c r="AG527" s="1906"/>
      <c r="AH527" s="1906"/>
      <c r="AI527" s="1906"/>
      <c r="AJ527" s="1906"/>
      <c r="AK527" s="1906"/>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8" t="s">
        <v>553</v>
      </c>
      <c r="D530" s="1968"/>
      <c r="E530" s="585"/>
      <c r="F530" s="2054" t="s">
        <v>1671</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8" t="s">
        <v>599</v>
      </c>
      <c r="D533" s="1968"/>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90" t="s">
        <v>1673</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90" t="s">
        <v>1674</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67870823</v>
      </c>
      <c r="AQ539" s="2118"/>
      <c r="AR539" s="2118"/>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72127786</v>
      </c>
      <c r="AG540" s="1974"/>
      <c r="AH540" s="1974"/>
      <c r="AI540" s="1974"/>
      <c r="AJ540" s="1974"/>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157460308.40000001</v>
      </c>
      <c r="AG541" s="2123"/>
      <c r="AH541" s="2123"/>
      <c r="AI541" s="2123"/>
      <c r="AJ541" s="2123"/>
      <c r="AK541" s="629"/>
      <c r="AL541" s="629"/>
      <c r="AM541" s="629"/>
      <c r="AN541" s="631"/>
      <c r="AP541" s="2118">
        <f>Application!AJ1044</f>
        <v>21039955.129999999</v>
      </c>
      <c r="AQ541" s="2118"/>
      <c r="AR541" s="2118"/>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0.54</v>
      </c>
      <c r="AG542" s="2124"/>
      <c r="AH542" s="2124"/>
      <c r="AI542" s="2124"/>
      <c r="AJ542" s="2124"/>
      <c r="AK542" s="629"/>
      <c r="AL542" s="629"/>
      <c r="AM542" s="629"/>
      <c r="AN542" s="631"/>
      <c r="AP542" s="2121">
        <f>Application!AJ1048</f>
        <v>92304319.280000001</v>
      </c>
      <c r="AQ542" s="2121"/>
      <c r="AR542" s="2121"/>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v>
      </c>
      <c r="AQ543" s="2117"/>
      <c r="AR543" s="2117"/>
      <c r="AS543" s="584" t="s">
        <v>2534</v>
      </c>
    </row>
    <row r="544" spans="1:49" s="584" customFormat="1" ht="12.7" customHeight="1">
      <c r="A544" s="658"/>
      <c r="B544" s="2070" t="s">
        <v>2344</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103163650</v>
      </c>
      <c r="AQ545" s="2026"/>
      <c r="AR545" s="2026"/>
      <c r="AS545" s="584" t="s">
        <v>2536</v>
      </c>
    </row>
    <row r="546" spans="1:45" s="584" customFormat="1" ht="12.7"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216507924.41</v>
      </c>
      <c r="AQ546" s="2118"/>
      <c r="AR546" s="2118"/>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9">
        <f>IFERROR(IF(AND(C530="N/A",C533="N/A"),0,IF(AF542=0,0,IF((AF542*100)&gt;12,12,(AF542*100)))),0)</f>
        <v>12</v>
      </c>
      <c r="AL548" s="2079"/>
      <c r="AM548" s="2080"/>
      <c r="AN548" s="631"/>
      <c r="AP548" s="2134">
        <f>AP545+(AP539*AP543)</f>
        <v>157460308.40000001</v>
      </c>
      <c r="AQ548" s="2135"/>
      <c r="AR548" s="2136"/>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1423</v>
      </c>
      <c r="AF551" s="1906"/>
      <c r="AG551" s="1906"/>
      <c r="AH551" s="1906"/>
      <c r="AI551" s="1906"/>
      <c r="AJ551" s="1906"/>
      <c r="AK551" s="1906"/>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1" t="s">
        <v>2335</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1447</v>
      </c>
      <c r="AG567" s="1938"/>
      <c r="AH567" s="1938"/>
      <c r="AI567" s="1938"/>
      <c r="AJ567" s="1938"/>
      <c r="AK567" s="1938"/>
      <c r="AL567" s="1938"/>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1505</v>
      </c>
      <c r="AG574" s="1938"/>
      <c r="AH574" s="1938"/>
      <c r="AI574" s="1938"/>
      <c r="AJ574" s="1938"/>
      <c r="AK574" s="1938"/>
      <c r="AL574" s="1938"/>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1487</v>
      </c>
      <c r="AG580" s="1938"/>
      <c r="AH580" s="1938"/>
      <c r="AI580" s="1938"/>
      <c r="AJ580" s="1938"/>
      <c r="AK580" s="1938"/>
      <c r="AL580" s="1938"/>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1508</v>
      </c>
      <c r="AG586" s="1938"/>
      <c r="AH586" s="1938"/>
      <c r="AI586" s="1938"/>
      <c r="AJ586" s="1938"/>
      <c r="AK586" s="1938"/>
      <c r="AL586" s="1938"/>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22" t="s">
        <v>1288</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1461</v>
      </c>
      <c r="AG592" s="1938"/>
      <c r="AH592" s="1938"/>
      <c r="AI592" s="1938"/>
      <c r="AJ592" s="1938"/>
      <c r="AK592" s="1938"/>
      <c r="AL592" s="1938"/>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 customHeight="1">
      <c r="B595" s="570"/>
      <c r="C595" s="968"/>
      <c r="D595" s="570" t="s">
        <v>1509</v>
      </c>
      <c r="E595" s="971"/>
      <c r="F595" s="971"/>
      <c r="G595" s="971"/>
      <c r="H595" s="2020" t="s">
        <v>695</v>
      </c>
      <c r="I595" s="2020"/>
      <c r="J595" s="971"/>
      <c r="K595" s="971"/>
      <c r="L595" s="971"/>
      <c r="N595" s="22"/>
      <c r="O595" s="22"/>
      <c r="P595" s="22"/>
      <c r="Q595" s="1195" t="s">
        <v>2539</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 customHeight="1">
      <c r="B603" s="570"/>
      <c r="C603" s="968"/>
      <c r="D603" s="570"/>
      <c r="E603" s="570" t="s">
        <v>1509</v>
      </c>
      <c r="F603" s="971"/>
      <c r="G603" s="971"/>
      <c r="I603" s="2021" t="s">
        <v>599</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1965" t="s">
        <v>599</v>
      </c>
      <c r="C605" s="1965"/>
      <c r="D605" s="676"/>
      <c r="E605" s="1991" t="s">
        <v>1512</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1">
        <f>VLOOKUP($H$595,$AO$575:$AP$580,2,FALSE)+IF(R595=AO583,0,VLOOKUP($I$603,$AO$602:$AP$604,2,FALSE))</f>
        <v>7</v>
      </c>
      <c r="AK610" s="1973"/>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19" t="s">
        <v>1882</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1461</v>
      </c>
      <c r="AG614" s="1938"/>
      <c r="AH614" s="1938"/>
      <c r="AI614" s="1938"/>
      <c r="AJ614" s="1938"/>
      <c r="AK614" s="1938"/>
      <c r="AL614" s="1938"/>
      <c r="AM614" s="584"/>
      <c r="AN614" s="712"/>
    </row>
    <row r="615" spans="1:42" s="584" customFormat="1" ht="12.7"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5" t="s">
        <v>599</v>
      </c>
      <c r="Y623" s="1965"/>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1517</v>
      </c>
      <c r="AG625" s="1938"/>
      <c r="AH625" s="1938"/>
      <c r="AI625" s="1938"/>
      <c r="AJ625" s="1938"/>
      <c r="AK625" s="1938"/>
      <c r="AL625" s="1938"/>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2020" t="s">
        <v>599</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1">
        <f>VLOOKUP($H$627,$AO$594:$AP$596,2,FALSE)</f>
        <v>0</v>
      </c>
      <c r="AK629" s="1973"/>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91" t="s">
        <v>2414</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1461</v>
      </c>
      <c r="AG633" s="1938"/>
      <c r="AH633" s="1938"/>
      <c r="AI633" s="1938"/>
      <c r="AJ633" s="1938"/>
      <c r="AK633" s="1938"/>
      <c r="AL633" s="1938"/>
      <c r="AN633" s="631"/>
    </row>
    <row r="634" spans="1:42" s="584" customFormat="1" ht="12.7"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1517</v>
      </c>
      <c r="AG636" s="1938"/>
      <c r="AH636" s="1938"/>
      <c r="AI636" s="1938"/>
      <c r="AJ636" s="1938"/>
      <c r="AK636" s="1938"/>
      <c r="AL636" s="1938"/>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2020" t="s">
        <v>517</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1">
        <f>VLOOKUP(H639,AT594:AU596,2,FALSE)</f>
        <v>2</v>
      </c>
      <c r="AK641" s="1973"/>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91" t="s">
        <v>1527</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1487</v>
      </c>
      <c r="AG646" s="1938"/>
      <c r="AH646" s="1938"/>
      <c r="AI646" s="1938"/>
      <c r="AJ646" s="1938"/>
      <c r="AK646" s="1938"/>
      <c r="AL646" s="1938"/>
      <c r="AN646" s="631"/>
    </row>
    <row r="647" spans="1:42" s="584" customFormat="1" ht="12.7"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517</v>
      </c>
      <c r="E650" s="1991" t="s">
        <v>1528</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1508</v>
      </c>
      <c r="AG650" s="1938"/>
      <c r="AH650" s="1938"/>
      <c r="AI650" s="1938"/>
      <c r="AJ650" s="1938"/>
      <c r="AK650" s="1938"/>
      <c r="AL650" s="1938"/>
      <c r="AN650" s="631"/>
    </row>
    <row r="651" spans="1:42" s="584" customFormat="1" ht="12.7"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0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1" t="s">
        <v>1529</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1461</v>
      </c>
      <c r="AG654" s="1938"/>
      <c r="AH654" s="1938"/>
      <c r="AI654" s="1938"/>
      <c r="AJ654" s="1938"/>
      <c r="AK654" s="1938"/>
      <c r="AL654" s="1938"/>
      <c r="AN654" s="631"/>
    </row>
    <row r="655" spans="1:42" s="584" customFormat="1" ht="12.7"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599</v>
      </c>
      <c r="AP655" s="707">
        <v>0</v>
      </c>
    </row>
    <row r="656" spans="1:42" s="584" customFormat="1" ht="12.7"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 customHeight="1">
      <c r="A658" s="704"/>
      <c r="B658" s="570"/>
      <c r="C658" s="982"/>
      <c r="D658" s="697" t="s">
        <v>1506</v>
      </c>
      <c r="E658" s="1991" t="s">
        <v>1530</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1508</v>
      </c>
      <c r="AG658" s="1938"/>
      <c r="AH658" s="1938"/>
      <c r="AI658" s="1938"/>
      <c r="AJ658" s="1938"/>
      <c r="AK658" s="1938"/>
      <c r="AL658" s="1938"/>
      <c r="AN658" s="631"/>
    </row>
    <row r="659" spans="1:42" s="584" customFormat="1" ht="12.7"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91" t="s">
        <v>1531</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1461</v>
      </c>
      <c r="AG662" s="1938"/>
      <c r="AH662" s="1938"/>
      <c r="AI662" s="1938"/>
      <c r="AJ662" s="1938"/>
      <c r="AK662" s="1938"/>
      <c r="AL662" s="1938"/>
      <c r="AM662" s="630"/>
      <c r="AN662" s="631"/>
    </row>
    <row r="663" spans="1:42" s="584" customFormat="1" ht="12.7"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91" t="s">
        <v>1532</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1517</v>
      </c>
      <c r="AG666" s="1938"/>
      <c r="AH666" s="1938"/>
      <c r="AI666" s="1938"/>
      <c r="AJ666" s="1938"/>
      <c r="AK666" s="1938"/>
      <c r="AL666" s="1938"/>
      <c r="AM666" s="630"/>
      <c r="AN666" s="631"/>
    </row>
    <row r="667" spans="1:42" s="584" customFormat="1" ht="12.7"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 customHeight="1">
      <c r="A670" s="713"/>
      <c r="B670" s="570"/>
      <c r="C670" s="966"/>
      <c r="D670" s="697" t="s">
        <v>1520</v>
      </c>
      <c r="E670" s="1991" t="s">
        <v>1533</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1534</v>
      </c>
      <c r="AG670" s="1938"/>
      <c r="AH670" s="1938"/>
      <c r="AI670" s="1938"/>
      <c r="AJ670" s="1938"/>
      <c r="AK670" s="1938"/>
      <c r="AL670" s="1938"/>
      <c r="AM670" s="630"/>
      <c r="AN670" s="631"/>
      <c r="AO670" s="645" t="s">
        <v>695</v>
      </c>
      <c r="AP670" s="584">
        <v>3</v>
      </c>
    </row>
    <row r="671" spans="1:42" s="584" customFormat="1" ht="12.7"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2020" t="s">
        <v>517</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1">
        <f>VLOOKUP($H$674,$AO$622:$AP$629,2,FALSE)</f>
        <v>4</v>
      </c>
      <c r="AK676" s="1973"/>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146</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146</v>
      </c>
    </row>
    <row r="680" spans="1:51" s="584" customFormat="1" ht="12.7" customHeight="1">
      <c r="A680" s="713"/>
      <c r="B680" s="570"/>
      <c r="C680" s="983"/>
      <c r="D680" s="697" t="s">
        <v>695</v>
      </c>
      <c r="E680" s="2027" t="s">
        <v>2552</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1461</v>
      </c>
      <c r="AG680" s="1938"/>
      <c r="AH680" s="1938"/>
      <c r="AI680" s="1938"/>
      <c r="AJ680" s="1938"/>
      <c r="AK680" s="1938"/>
      <c r="AL680" s="1938"/>
      <c r="AN680" s="631"/>
      <c r="AW680" s="22" t="s">
        <v>2547</v>
      </c>
      <c r="AX680" s="584">
        <f>Application!CC632</f>
        <v>0</v>
      </c>
    </row>
    <row r="681" spans="1:51" s="584" customFormat="1" ht="12.7"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517</v>
      </c>
      <c r="E683" s="1991" t="s">
        <v>2451</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1461</v>
      </c>
      <c r="AG683" s="1938"/>
      <c r="AH683" s="1938"/>
      <c r="AI683" s="1938"/>
      <c r="AJ683" s="1938"/>
      <c r="AK683" s="1938"/>
      <c r="AL683" s="1938"/>
      <c r="AN683" s="631"/>
      <c r="AW683" s="22" t="s">
        <v>2550</v>
      </c>
      <c r="AX683" s="584">
        <f>AX680+AX681+AX682</f>
        <v>0</v>
      </c>
    </row>
    <row r="684" spans="1:51" s="584" customFormat="1" ht="12.7"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2551</v>
      </c>
      <c r="AX684" s="584">
        <f>IFERROR(AX683/AX679,0)</f>
        <v>0</v>
      </c>
      <c r="AY684" s="584">
        <f>IFERROR(AX683/(AX679-AX678),0)</f>
        <v>0</v>
      </c>
    </row>
    <row r="685" spans="1:51" s="584" customFormat="1" ht="12.7"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91" t="s">
        <v>2452</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1517</v>
      </c>
      <c r="AG688" s="1938"/>
      <c r="AH688" s="1938"/>
      <c r="AI688" s="1938"/>
      <c r="AJ688" s="1938"/>
      <c r="AK688" s="1938"/>
      <c r="AL688" s="1938"/>
      <c r="AN688" s="631"/>
      <c r="AO688" s="645" t="s">
        <v>517</v>
      </c>
      <c r="AP688" s="584">
        <v>1</v>
      </c>
    </row>
    <row r="689" spans="1:42" s="584" customFormat="1" ht="12.05"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05"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05"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91" t="s">
        <v>1881</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0</v>
      </c>
    </row>
    <row r="695" spans="1:42" s="604" customFormat="1" ht="12.7"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0</v>
      </c>
    </row>
    <row r="696" spans="1:42" s="604" customFormat="1" ht="12.7"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2020" t="s">
        <v>599</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1">
        <f>VLOOKUP($H$698,$AO$692:$AP$694,2,FALSE)</f>
        <v>0</v>
      </c>
      <c r="AK700" s="1973"/>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8" t="s">
        <v>1883</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1461</v>
      </c>
      <c r="AG704" s="1938"/>
      <c r="AH704" s="1938"/>
      <c r="AI704" s="1938"/>
      <c r="AJ704" s="1938"/>
      <c r="AK704" s="1938"/>
      <c r="AL704" s="1938"/>
      <c r="AM704" s="584"/>
      <c r="AN704" s="718"/>
      <c r="AP704" s="604" t="s">
        <v>1541</v>
      </c>
    </row>
    <row r="705" spans="1:52" s="604" customFormat="1" ht="11.9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1542</v>
      </c>
    </row>
    <row r="706" spans="1:52" s="604" customFormat="1" ht="14.1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1543</v>
      </c>
    </row>
    <row r="707" spans="1:52" s="604" customFormat="1" ht="14.1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5" customHeight="1">
      <c r="A708" s="584"/>
      <c r="B708" s="570"/>
      <c r="C708" s="966"/>
      <c r="D708" s="697" t="s">
        <v>517</v>
      </c>
      <c r="E708" s="2029" t="s">
        <v>1544</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1517</v>
      </c>
      <c r="AG708" s="1938"/>
      <c r="AH708" s="1938"/>
      <c r="AI708" s="1938"/>
      <c r="AJ708" s="1938"/>
      <c r="AK708" s="1938"/>
      <c r="AL708" s="1938"/>
      <c r="AM708" s="584"/>
      <c r="AN708" s="719"/>
    </row>
    <row r="709" spans="1:52" s="604" customFormat="1" ht="12.7"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4.1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695</v>
      </c>
      <c r="AQ710" s="584">
        <v>3</v>
      </c>
    </row>
    <row r="711" spans="1:52" s="604" customFormat="1" ht="14.1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5" customHeight="1">
      <c r="A712" s="584"/>
      <c r="B712" s="570"/>
      <c r="C712" s="968"/>
      <c r="D712" s="570" t="s">
        <v>1509</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1" t="s">
        <v>1884</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1461</v>
      </c>
      <c r="AG718" s="1938"/>
      <c r="AH718" s="1938"/>
      <c r="AI718" s="1938"/>
      <c r="AJ718" s="1938"/>
      <c r="AK718" s="1938"/>
      <c r="AL718" s="1938"/>
      <c r="AM718" s="584"/>
      <c r="AN718" s="718"/>
      <c r="AT718" s="14"/>
      <c r="AU718" s="14"/>
      <c r="AV718" s="14"/>
      <c r="AW718" s="14"/>
      <c r="AX718" s="14"/>
      <c r="AY718" s="14"/>
      <c r="AZ718" s="14"/>
    </row>
    <row r="719" spans="1:52" s="604" customFormat="1" ht="12.95">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517</v>
      </c>
      <c r="E721" s="1991" t="s">
        <v>1548</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1517</v>
      </c>
      <c r="AG721" s="1938"/>
      <c r="AH721" s="1938"/>
      <c r="AI721" s="1938"/>
      <c r="AJ721" s="1938"/>
      <c r="AK721" s="1938"/>
      <c r="AL721" s="1938"/>
      <c r="AM721" s="584"/>
      <c r="AN721" s="718"/>
      <c r="AT721" s="14"/>
      <c r="AU721" s="14"/>
      <c r="AV721" s="14"/>
      <c r="AW721" s="14"/>
      <c r="AX721" s="14"/>
      <c r="AY721" s="14"/>
      <c r="AZ721" s="14"/>
    </row>
    <row r="722" spans="1:81" s="604" customFormat="1" ht="12.95">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1" t="s">
        <v>1551</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1461</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1" t="s">
        <v>1552</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1517</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2020" t="s">
        <v>695</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1">
        <f>VLOOKUP($H$740,$AO$669:$AP$671,2,FALSE)</f>
        <v>3</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1" t="s">
        <v>1554</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1517</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1" t="s">
        <v>1555</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1534</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2020" t="s">
        <v>517</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1">
        <f>VLOOKUP($H$752,$AO$686:$AP$688,2,FALSE)</f>
        <v>1</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91" t="s">
        <v>1880</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1517</v>
      </c>
      <c r="AG758" s="1938"/>
      <c r="AH758" s="1938"/>
      <c r="AI758" s="1938"/>
      <c r="AJ758" s="1938"/>
      <c r="AK758" s="1938"/>
      <c r="AL758" s="1938"/>
      <c r="AM758" s="647"/>
      <c r="AN758" s="718"/>
      <c r="AO758" s="584" t="s">
        <v>599</v>
      </c>
      <c r="AP758" s="707">
        <v>0</v>
      </c>
    </row>
    <row r="759" spans="1:74" s="604" customFormat="1" ht="13.7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517</v>
      </c>
      <c r="E763" s="2030" t="s">
        <v>1885</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1461</v>
      </c>
      <c r="AG763" s="1938"/>
      <c r="AH763" s="1938"/>
      <c r="AI763" s="1938"/>
      <c r="AJ763" s="1938"/>
      <c r="AK763" s="1938"/>
      <c r="AL763" s="1938"/>
      <c r="AM763" s="647"/>
      <c r="AN763" s="631"/>
    </row>
    <row r="764" spans="1:74" s="584" customFormat="1" ht="12.7"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91" t="s">
        <v>2345</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1461</v>
      </c>
      <c r="AG774" s="1938"/>
      <c r="AH774" s="1938"/>
      <c r="AI774" s="1938"/>
      <c r="AJ774" s="1938"/>
      <c r="AK774" s="1938"/>
      <c r="AL774" s="1938"/>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20" t="s">
        <v>599</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1">
        <f>IF(($AJ$610+$AJ$629+$AJ$641+$AJ$676+$AJ$700+$AJ$714+$AJ$726+$AJ$742+$AJ$754+$AJ$770+AJ781)&gt;10,10,($AJ$610+$AJ$629+$AJ$641+$AJ$676+$AJ$700+$AJ$714+$AJ$726+$AJ$742+$AJ$754+$AJ$770+AJ781))</f>
        <v>10</v>
      </c>
      <c r="AL783" s="1972"/>
      <c r="AM783" s="1973"/>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1678</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1679</v>
      </c>
      <c r="U791" s="2085"/>
      <c r="V791" s="2085"/>
      <c r="W791" s="2085"/>
      <c r="X791" s="2085"/>
      <c r="Y791" s="2086"/>
      <c r="Z791" s="2084" t="s">
        <v>1680</v>
      </c>
      <c r="AA791" s="2085"/>
      <c r="AB791" s="2085"/>
      <c r="AC791" s="2085"/>
      <c r="AD791" s="2085"/>
      <c r="AE791" s="2086"/>
      <c r="AF791" s="2084" t="s">
        <v>1681</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765</v>
      </c>
      <c r="B793" s="2064" t="s">
        <v>1413</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1651</v>
      </c>
      <c r="B794" s="2064" t="s">
        <v>1422</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1660</v>
      </c>
      <c r="B795" s="2064" t="s">
        <v>1432</v>
      </c>
      <c r="C795" s="2064"/>
      <c r="D795" s="2064"/>
      <c r="E795" s="2064"/>
      <c r="F795" s="2064"/>
      <c r="G795" s="2064"/>
      <c r="H795" s="2064"/>
      <c r="I795" s="2064"/>
      <c r="J795" s="2064"/>
      <c r="K795" s="2064"/>
      <c r="L795" s="2064"/>
      <c r="M795" s="2064"/>
      <c r="N795" s="2064"/>
      <c r="O795" s="2064"/>
      <c r="P795" s="2064"/>
      <c r="Q795" s="2064"/>
      <c r="R795" s="2064"/>
      <c r="S795" s="2065"/>
      <c r="T795" s="2066">
        <f>AK103</f>
        <v>20</v>
      </c>
      <c r="U795" s="2067"/>
      <c r="V795" s="2067"/>
      <c r="W795" s="2067"/>
      <c r="X795" s="2067"/>
      <c r="Y795" s="2068"/>
      <c r="Z795" s="2069">
        <v>20</v>
      </c>
      <c r="AA795" s="2067"/>
      <c r="AB795" s="2067"/>
      <c r="AC795" s="2067"/>
      <c r="AD795" s="2067"/>
      <c r="AE795" s="2068"/>
      <c r="AF795" s="2033">
        <f>IF(T795&gt;Z795,Z795,T795)</f>
        <v>20</v>
      </c>
      <c r="AG795" s="2033"/>
      <c r="AH795" s="2033"/>
      <c r="AI795" s="2033"/>
      <c r="AJ795" s="2033"/>
      <c r="AK795" s="2033"/>
      <c r="AL795" s="852"/>
      <c r="AM795" s="630"/>
      <c r="AO795" s="850"/>
      <c r="AP795" s="850"/>
      <c r="AQ795" s="850"/>
    </row>
    <row r="796" spans="1:43">
      <c r="A796" s="853" t="s">
        <v>1682</v>
      </c>
      <c r="B796" s="2064" t="s">
        <v>1442</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1683</v>
      </c>
      <c r="B797" s="2064" t="s">
        <v>1684</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1685</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1686</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1470</v>
      </c>
      <c r="B800" s="2064" t="s">
        <v>1687</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1479</v>
      </c>
      <c r="B801" s="2064" t="s">
        <v>1480</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597</v>
      </c>
      <c r="B802" s="2064" t="s">
        <v>1688</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4" t="s">
        <v>1689</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4" t="s">
        <v>1490</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4" t="s">
        <v>855</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4" t="s">
        <v>1669</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4" t="s">
        <v>1691</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1692</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1693</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9" t="s">
        <v>1694</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workbookViewId="0">
      <selection activeCell="L99" sqref="L99"/>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5" t="s">
        <v>1695</v>
      </c>
      <c r="B1" s="2155"/>
      <c r="C1" s="2155"/>
      <c r="D1" s="2155"/>
      <c r="E1" s="2155"/>
      <c r="F1" s="2155"/>
      <c r="G1" s="2155"/>
      <c r="H1" s="2155"/>
      <c r="I1" s="2155"/>
      <c r="J1" s="2155"/>
    </row>
    <row r="2" spans="1:13" ht="15.05" customHeight="1" thickBot="1">
      <c r="A2" s="1081"/>
      <c r="B2" s="1081"/>
      <c r="I2" s="1082"/>
      <c r="K2" s="1083"/>
    </row>
    <row r="3" spans="1:13" s="1086" customFormat="1" ht="20.100000000000001" customHeight="1">
      <c r="A3" s="1140"/>
      <c r="B3" s="1141"/>
      <c r="C3" s="1142"/>
      <c r="D3" s="1147"/>
      <c r="E3" s="1142"/>
      <c r="F3" s="1143" t="s">
        <v>2298</v>
      </c>
      <c r="G3" s="1142"/>
      <c r="H3" s="1144">
        <f>E16</f>
        <v>40514610</v>
      </c>
      <c r="I3" s="1145"/>
    </row>
    <row r="4" spans="1:13" s="1086" customFormat="1" ht="20.100000000000001" customHeight="1">
      <c r="B4" s="1134"/>
      <c r="D4" s="1148"/>
      <c r="F4" s="1132" t="s">
        <v>2300</v>
      </c>
      <c r="G4" s="1131" t="s">
        <v>2299</v>
      </c>
      <c r="H4" s="1133">
        <f>I16</f>
        <v>42278464.052287579</v>
      </c>
      <c r="I4" s="1135"/>
      <c r="K4" s="1090"/>
    </row>
    <row r="5" spans="1:13" s="1086" customFormat="1" ht="20.100000000000001" customHeight="1" thickBot="1">
      <c r="B5" s="1136"/>
      <c r="C5" s="1137"/>
      <c r="D5" s="1149"/>
      <c r="E5" s="1138"/>
      <c r="F5" s="1149" t="s">
        <v>2240</v>
      </c>
      <c r="G5" s="1150"/>
      <c r="H5" s="1146">
        <f>H3/H4</f>
        <v>0.95828008202695947</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7" t="s">
        <v>2238</v>
      </c>
      <c r="C8" s="2158"/>
      <c r="D8" s="2158"/>
      <c r="E8" s="2159"/>
      <c r="G8" s="2160" t="s">
        <v>2239</v>
      </c>
      <c r="H8" s="2161"/>
      <c r="I8" s="2162"/>
      <c r="K8" s="1092"/>
    </row>
    <row r="9" spans="1:13" ht="15.05" customHeight="1">
      <c r="A9" s="1081"/>
      <c r="B9" s="2156" t="s">
        <v>2277</v>
      </c>
      <c r="C9" s="2156"/>
      <c r="D9" s="2156"/>
      <c r="E9" s="1094">
        <f>G31</f>
        <v>6817500.0000000009</v>
      </c>
      <c r="G9" s="2165" t="s">
        <v>2275</v>
      </c>
      <c r="H9" s="2165"/>
      <c r="I9" s="1095">
        <f>Application!AM554</f>
        <v>46000000</v>
      </c>
      <c r="K9" s="1096"/>
      <c r="M9" s="1097"/>
    </row>
    <row r="10" spans="1:13" ht="15.05" customHeight="1" thickBot="1">
      <c r="A10" s="1081"/>
      <c r="B10" s="2156" t="s">
        <v>2278</v>
      </c>
      <c r="C10" s="2156"/>
      <c r="D10" s="2156"/>
      <c r="E10" s="1095">
        <f>G40</f>
        <v>22371659.999999996</v>
      </c>
      <c r="G10" s="2165" t="s">
        <v>2241</v>
      </c>
      <c r="H10" s="2165"/>
      <c r="I10" s="1182">
        <f>'Basis &amp; Credits'!AB77</f>
        <v>11200000</v>
      </c>
      <c r="M10" s="1097"/>
    </row>
    <row r="11" spans="1:13" ht="15.05" customHeight="1">
      <c r="A11" s="1098"/>
      <c r="B11" s="2156" t="s">
        <v>2279</v>
      </c>
      <c r="C11" s="2156"/>
      <c r="D11" s="2156"/>
      <c r="E11" s="1095">
        <f>G49</f>
        <v>730000</v>
      </c>
      <c r="G11" s="2165" t="s">
        <v>2290</v>
      </c>
      <c r="H11" s="2165"/>
      <c r="I11" s="1181">
        <f>I9+I10</f>
        <v>57200000</v>
      </c>
      <c r="M11" s="1097"/>
    </row>
    <row r="12" spans="1:13" ht="15.05" customHeight="1">
      <c r="A12" s="1084"/>
      <c r="B12" s="2156" t="s">
        <v>2280</v>
      </c>
      <c r="C12" s="2156"/>
      <c r="D12" s="2156"/>
      <c r="E12" s="1095">
        <f>G58</f>
        <v>1460000</v>
      </c>
      <c r="G12" s="1183" t="s">
        <v>2315</v>
      </c>
      <c r="H12" s="1184"/>
      <c r="M12" s="1097"/>
    </row>
    <row r="13" spans="1:13" ht="15.05" customHeight="1">
      <c r="A13" s="1081"/>
      <c r="B13" s="2156" t="s">
        <v>2281</v>
      </c>
      <c r="C13" s="2156"/>
      <c r="D13" s="2156"/>
      <c r="E13" s="1100">
        <f>G83</f>
        <v>7771950.0000000009</v>
      </c>
      <c r="G13" s="2166" t="s">
        <v>139</v>
      </c>
      <c r="H13" s="2166"/>
      <c r="I13" s="1099">
        <f>15%*(Application!AJ993&gt;0)</f>
        <v>0.15</v>
      </c>
      <c r="M13" s="1097"/>
    </row>
    <row r="14" spans="1:13" ht="15.05" customHeight="1">
      <c r="A14" s="1081"/>
      <c r="B14" s="2156" t="s">
        <v>2282</v>
      </c>
      <c r="C14" s="2156"/>
      <c r="D14" s="2156"/>
      <c r="E14" s="1095">
        <f>IF(G96&gt;G106,G96,0)</f>
        <v>1363500.0000000002</v>
      </c>
      <c r="G14" s="1179" t="s">
        <v>2291</v>
      </c>
      <c r="H14" s="1179"/>
      <c r="I14" s="1099">
        <f>IF(Application!AJ1031&gt;0,10%,IF(Application!AJ1035&gt;0,5%,0))</f>
        <v>0.05</v>
      </c>
      <c r="M14" s="1097"/>
    </row>
    <row r="15" spans="1:13" ht="15.05" customHeight="1" thickBot="1">
      <c r="A15" s="1081"/>
      <c r="B15" s="2163" t="s">
        <v>2301</v>
      </c>
      <c r="C15" s="2163"/>
      <c r="D15" s="2163"/>
      <c r="E15" s="1151">
        <f>IF(E14&gt;0,0,G106)</f>
        <v>0</v>
      </c>
      <c r="G15" s="2169" t="s">
        <v>2292</v>
      </c>
      <c r="H15" s="2170"/>
      <c r="I15" s="1153">
        <f>G114</f>
        <v>6.0866013071895424E-2</v>
      </c>
      <c r="M15" s="1097"/>
    </row>
    <row r="16" spans="1:13" ht="15.05" customHeight="1">
      <c r="A16" s="1081"/>
      <c r="B16" s="2164" t="s">
        <v>2237</v>
      </c>
      <c r="C16" s="2164"/>
      <c r="D16" s="2164"/>
      <c r="E16" s="1152">
        <f>SUM(E9:E15)</f>
        <v>40514610</v>
      </c>
      <c r="G16" s="1180" t="s">
        <v>2276</v>
      </c>
      <c r="H16" s="1180"/>
      <c r="I16" s="1154">
        <f>I11-((I11*I13)+(I11*I14)+(I11*I15))</f>
        <v>42278464.052287579</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146</v>
      </c>
      <c r="O18" s="1124" t="s">
        <v>590</v>
      </c>
      <c r="P18" s="1079">
        <f>MATCH(Application!T189,Application!BV490:BV547,0)</f>
        <v>19</v>
      </c>
      <c r="S18" s="1101">
        <f>SUM(Cdlac[Population])</f>
        <v>146</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67" t="s">
        <v>2294</v>
      </c>
      <c r="D20" s="2167" t="s">
        <v>2295</v>
      </c>
      <c r="E20" s="2167" t="s">
        <v>2296</v>
      </c>
      <c r="F20" s="2167" t="s">
        <v>2297</v>
      </c>
      <c r="G20" s="2167" t="s">
        <v>2293</v>
      </c>
      <c r="H20" s="1108"/>
      <c r="I20" s="1107"/>
      <c r="L20" s="1079">
        <f>IFERROR(MIN(4,MATCH(Application!B718,UnitSizes,0)-1),"")</f>
        <v>0</v>
      </c>
      <c r="M20" s="1101">
        <f>Application!G718</f>
        <v>50</v>
      </c>
      <c r="N20" s="1109">
        <f>Application!AC718</f>
        <v>0.2</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50</v>
      </c>
      <c r="T20" s="1079" t="b">
        <f>AND('Subsidy Contract Calculation'!F4&gt;0,'Subsidy Contract Calculation'!C4="Federal",Cdlac[[#This Row],[Quantity]]&gt;0)</f>
        <v>1</v>
      </c>
    </row>
    <row r="21" spans="1:20" ht="15.05" customHeight="1">
      <c r="A21" s="1084"/>
      <c r="C21" s="2168"/>
      <c r="D21" s="2168"/>
      <c r="E21" s="2168"/>
      <c r="F21" s="2168"/>
      <c r="G21" s="2168"/>
      <c r="H21" s="1108"/>
      <c r="I21" s="1107"/>
      <c r="L21" s="1079">
        <f>IFERROR(MIN(4,MATCH(Application!B719,UnitSizes,0)-1),"")</f>
        <v>0</v>
      </c>
      <c r="M21" s="1101">
        <f>Application!G719</f>
        <v>35</v>
      </c>
      <c r="N21" s="1109">
        <f>Application!AC719</f>
        <v>0.3</v>
      </c>
      <c r="O21" s="1109">
        <f>IF(Cdlac[[#This Row],[Quantity]]&gt;0,IF(Cdlac[[#This Row],[Federal]],30%,IF($G$36,40%,Cdlac[[#This Row],[iAMI]])),"")</f>
        <v>0.3</v>
      </c>
      <c r="P21" s="1101" cm="1">
        <f t="array" ref="P21">IF(Cdlac[[#This Row],[Quantity]]&gt;0,INDEX(TcacRents,$P$18,Cdlac[[#This Row],[Bedrooms]]+1)*Cdlac[[#This Row],[AMI]],"")</f>
        <v>661.8</v>
      </c>
      <c r="Q21" s="1101" cm="1">
        <f t="array" ref="Q21">IF(Cdlac[[#This Row],[Quantity]]&gt;0,INDEX(HudFmrs,$P$18,Cdlac[[#This Row],[Bedrooms]]+1),"")</f>
        <v>1534</v>
      </c>
      <c r="R21" s="1101">
        <f>IF(Cdlac[[#This Row],[Quantity]]&gt;0,MAX(0,Cdlac[[#This Row],[Fair Market Rent]]-Cdlac[[#This Row],[Restricted Rent]]),"")</f>
        <v>872.2</v>
      </c>
      <c r="S21" s="1079">
        <f>IF(Cdlac[[#This Row],[Quantity]]&gt;0,AND(Application!AK719&lt;&gt;"N/A",Application!AK719&lt;&gt;"")*Cdlac[[#This Row],[Quantity]],"")</f>
        <v>35</v>
      </c>
      <c r="T21" s="1079" t="b">
        <f>AND('Subsidy Contract Calculation'!F5&gt;0,'Subsidy Contract Calculation'!C5="Federal",Cdlac[[#This Row],[Quantity]]&gt;0)</f>
        <v>1</v>
      </c>
    </row>
    <row r="22" spans="1:20" ht="15.05" customHeight="1">
      <c r="C22" s="1110">
        <v>0</v>
      </c>
      <c r="D22" s="1111">
        <v>0.9</v>
      </c>
      <c r="E22" s="1110">
        <f>SUMIFS(Cdlac[Quantity],Cdlac[Bedrooms],C22)</f>
        <v>119</v>
      </c>
      <c r="F22" s="1110">
        <f>E22</f>
        <v>119</v>
      </c>
      <c r="G22" s="1110">
        <f>D22*F22</f>
        <v>107.10000000000001</v>
      </c>
      <c r="L22" s="1079">
        <f>IFERROR(MIN(4,MATCH(Application!B720,UnitSizes,0)-1),"")</f>
        <v>0</v>
      </c>
      <c r="M22" s="1101">
        <f>Application!G720</f>
        <v>34</v>
      </c>
      <c r="N22" s="1109">
        <f>Application!AC720</f>
        <v>0.4</v>
      </c>
      <c r="O22" s="1109">
        <f>IF(Cdlac[[#This Row],[Quantity]]&gt;0,IF(Cdlac[[#This Row],[Federal]],30%,IF($G$36,40%,Cdlac[[#This Row],[iAMI]])),"")</f>
        <v>0.4</v>
      </c>
      <c r="P22" s="1101" cm="1">
        <f t="array" ref="P22">IF(Cdlac[[#This Row],[Quantity]]&gt;0,INDEX(TcacRents,$P$18,Cdlac[[#This Row],[Bedrooms]]+1)*Cdlac[[#This Row],[AMI]],"")</f>
        <v>882.40000000000009</v>
      </c>
      <c r="Q22" s="1101" cm="1">
        <f t="array" ref="Q22">IF(Cdlac[[#This Row],[Quantity]]&gt;0,INDEX(HudFmrs,$P$18,Cdlac[[#This Row],[Bedrooms]]+1),"")</f>
        <v>1534</v>
      </c>
      <c r="R22" s="1101">
        <f>IF(Cdlac[[#This Row],[Quantity]]&gt;0,MAX(0,Cdlac[[#This Row],[Fair Market Rent]]-Cdlac[[#This Row],[Restricted Rent]]),"")</f>
        <v>651.59999999999991</v>
      </c>
      <c r="S22" s="1079">
        <f>IF(Cdlac[[#This Row],[Quantity]]&gt;0,AND(Application!AK720&lt;&gt;"N/A",Application!AK720&lt;&gt;"")*Cdlac[[#This Row],[Quantity]],"")</f>
        <v>34</v>
      </c>
      <c r="T22" s="1079" t="b">
        <f>AND('Subsidy Contract Calculation'!F6&gt;0,'Subsidy Contract Calculation'!C6="Federal",Cdlac[[#This Row],[Quantity]]&gt;0)</f>
        <v>0</v>
      </c>
    </row>
    <row r="23" spans="1:20" ht="15.05" customHeight="1">
      <c r="C23" s="1110">
        <v>1</v>
      </c>
      <c r="D23" s="1111">
        <v>1</v>
      </c>
      <c r="E23" s="1110">
        <f>SUMIFS(Cdlac[Quantity],Cdlac[Bedrooms],C23)</f>
        <v>18</v>
      </c>
      <c r="F23" s="1110">
        <f>E23</f>
        <v>18</v>
      </c>
      <c r="G23" s="1110">
        <f>D23*F23</f>
        <v>18</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05" customHeight="1">
      <c r="A24" s="1112"/>
      <c r="C24" s="1113">
        <v>2</v>
      </c>
      <c r="D24" s="1111">
        <v>1.25</v>
      </c>
      <c r="E24" s="1110">
        <f>SUMIFS(Cdlac[Quantity],Cdlac[Bedrooms],C24)</f>
        <v>9</v>
      </c>
      <c r="F24" s="1113">
        <f>SUM(E24:E26)-SUM(F25:F26)</f>
        <v>9</v>
      </c>
      <c r="G24" s="1110">
        <f>D24*F24</f>
        <v>11.25</v>
      </c>
      <c r="H24" s="1112"/>
      <c r="I24" s="1112"/>
      <c r="L24" s="1079">
        <f>IFERROR(MIN(4,MATCH(Application!B722,UnitSizes,0)-1),"")</f>
        <v>1</v>
      </c>
      <c r="M24" s="1101">
        <f>Application!G722</f>
        <v>5</v>
      </c>
      <c r="N24" s="1109">
        <f>Application!AC722</f>
        <v>0.2</v>
      </c>
      <c r="O24" s="1109">
        <f>IF(Cdlac[[#This Row],[Quantity]]&gt;0,IF(Cdlac[[#This Row],[Federal]],30%,IF($G$36,40%,Cdlac[[#This Row],[iAMI]])),"")</f>
        <v>0.3</v>
      </c>
      <c r="P24" s="1101" cm="1">
        <f t="array" ref="P24">IF(Cdlac[[#This Row],[Quantity]]&gt;0,INDEX(TcacRents,$P$18,Cdlac[[#This Row],[Bedrooms]]+1)*Cdlac[[#This Row],[AMI]],"")</f>
        <v>709.19999999999993</v>
      </c>
      <c r="Q24" s="1101" cm="1">
        <f t="array" ref="Q24">IF(Cdlac[[#This Row],[Quantity]]&gt;0,INDEX(HudFmrs,$P$18,Cdlac[[#This Row],[Bedrooms]]+1),"")</f>
        <v>1747</v>
      </c>
      <c r="R24" s="1101">
        <f>IF(Cdlac[[#This Row],[Quantity]]&gt;0,MAX(0,Cdlac[[#This Row],[Fair Market Rent]]-Cdlac[[#This Row],[Restricted Rent]]),"")</f>
        <v>1037.8000000000002</v>
      </c>
      <c r="S24" s="1079">
        <f>IF(Cdlac[[#This Row],[Quantity]]&gt;0,AND(Application!AK722&lt;&gt;"N/A",Application!AK722&lt;&gt;"")*Cdlac[[#This Row],[Quantity]],"")</f>
        <v>5</v>
      </c>
      <c r="T24" s="1079" t="b">
        <f>AND('Subsidy Contract Calculation'!F8&gt;0,'Subsidy Contract Calculation'!C8="Federal",Cdlac[[#This Row],[Quantity]]&gt;0)</f>
        <v>1</v>
      </c>
    </row>
    <row r="25" spans="1:20" ht="15.0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5</v>
      </c>
      <c r="N25" s="1109">
        <f>Application!AC723</f>
        <v>0.3</v>
      </c>
      <c r="O25" s="1109">
        <f>IF(Cdlac[[#This Row],[Quantity]]&gt;0,IF(Cdlac[[#This Row],[Federal]],30%,IF($G$36,40%,Cdlac[[#This Row],[iAMI]])),"")</f>
        <v>0.3</v>
      </c>
      <c r="P25" s="1101" cm="1">
        <f t="array" ref="P25">IF(Cdlac[[#This Row],[Quantity]]&gt;0,INDEX(TcacRents,$P$18,Cdlac[[#This Row],[Bedrooms]]+1)*Cdlac[[#This Row],[AMI]],"")</f>
        <v>709.19999999999993</v>
      </c>
      <c r="Q25" s="1101" cm="1">
        <f t="array" ref="Q25">IF(Cdlac[[#This Row],[Quantity]]&gt;0,INDEX(HudFmrs,$P$18,Cdlac[[#This Row],[Bedrooms]]+1),"")</f>
        <v>1747</v>
      </c>
      <c r="R25" s="1101">
        <f>IF(Cdlac[[#This Row],[Quantity]]&gt;0,MAX(0,Cdlac[[#This Row],[Fair Market Rent]]-Cdlac[[#This Row],[Restricted Rent]]),"")</f>
        <v>1037.8000000000002</v>
      </c>
      <c r="S25" s="1079">
        <f>IF(Cdlac[[#This Row],[Quantity]]&gt;0,AND(Application!AK723&lt;&gt;"N/A",Application!AK723&lt;&gt;"")*Cdlac[[#This Row],[Quantity]],"")</f>
        <v>5</v>
      </c>
      <c r="T25" s="1079" t="b">
        <f>AND('Subsidy Contract Calculation'!F9&gt;0,'Subsidy Contract Calculation'!C9="Federal",Cdlac[[#This Row],[Quantity]]&gt;0)</f>
        <v>1</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8</v>
      </c>
      <c r="N26" s="1109">
        <f>Application!AC724</f>
        <v>0.4</v>
      </c>
      <c r="O26" s="1109">
        <f>IF(Cdlac[[#This Row],[Quantity]]&gt;0,IF(Cdlac[[#This Row],[Federal]],30%,IF($G$36,40%,Cdlac[[#This Row],[iAMI]])),"")</f>
        <v>0.4</v>
      </c>
      <c r="P26" s="1101" cm="1">
        <f t="array" ref="P26">IF(Cdlac[[#This Row],[Quantity]]&gt;0,INDEX(TcacRents,$P$18,Cdlac[[#This Row],[Bedrooms]]+1)*Cdlac[[#This Row],[AMI]],"")</f>
        <v>945.6</v>
      </c>
      <c r="Q26" s="1101" cm="1">
        <f t="array" ref="Q26">IF(Cdlac[[#This Row],[Quantity]]&gt;0,INDEX(HudFmrs,$P$18,Cdlac[[#This Row],[Bedrooms]]+1),"")</f>
        <v>1747</v>
      </c>
      <c r="R26" s="1101">
        <f>IF(Cdlac[[#This Row],[Quantity]]&gt;0,MAX(0,Cdlac[[#This Row],[Fair Market Rent]]-Cdlac[[#This Row],[Restricted Rent]]),"")</f>
        <v>801.4</v>
      </c>
      <c r="S26" s="1079">
        <f>IF(Cdlac[[#This Row],[Quantity]]&gt;0,AND(Application!AK724&lt;&gt;"N/A",Application!AK724&lt;&gt;"")*Cdlac[[#This Row],[Quantity]],"")</f>
        <v>8</v>
      </c>
      <c r="T26" s="1079" t="b">
        <f>AND('Subsidy Contract Calculation'!F10&gt;0,'Subsidy Contract Calculation'!C10="Federal",Cdlac[[#This Row],[Quantity]]&gt;0)</f>
        <v>0</v>
      </c>
    </row>
    <row r="27" spans="1:20" ht="15.05" customHeight="1">
      <c r="A27" s="1112"/>
      <c r="C27" s="2151" t="s">
        <v>1696</v>
      </c>
      <c r="D27" s="2152"/>
      <c r="E27" s="1129">
        <f>SUM(E22:E26)</f>
        <v>146</v>
      </c>
      <c r="F27" s="1129">
        <f>SUM(F22:F26)</f>
        <v>146</v>
      </c>
      <c r="G27" s="1130">
        <f>SUMPRODUCT(D22:D26,F22:F26)</f>
        <v>136.35000000000002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3</v>
      </c>
      <c r="N28" s="1109">
        <f>Application!AC726</f>
        <v>0.2</v>
      </c>
      <c r="O28" s="1109">
        <f>IF(Cdlac[[#This Row],[Quantity]]&gt;0,IF(Cdlac[[#This Row],[Federal]],30%,IF($G$36,40%,Cdlac[[#This Row],[iAMI]])),"")</f>
        <v>0.3</v>
      </c>
      <c r="P28" s="1101" cm="1">
        <f t="array" ref="P28">IF(Cdlac[[#This Row],[Quantity]]&gt;0,INDEX(TcacRents,$P$18,Cdlac[[#This Row],[Bedrooms]]+1)*Cdlac[[#This Row],[AMI]],"")</f>
        <v>850.8</v>
      </c>
      <c r="Q28" s="1101" cm="1">
        <f t="array" ref="Q28">IF(Cdlac[[#This Row],[Quantity]]&gt;0,INDEX(HudFmrs,$P$18,Cdlac[[#This Row],[Bedrooms]]+1),"")</f>
        <v>2222</v>
      </c>
      <c r="R28" s="1101">
        <f>IF(Cdlac[[#This Row],[Quantity]]&gt;0,MAX(0,Cdlac[[#This Row],[Fair Market Rent]]-Cdlac[[#This Row],[Restricted Rent]]),"")</f>
        <v>1371.2</v>
      </c>
      <c r="S28" s="1079">
        <f>IF(Cdlac[[#This Row],[Quantity]]&gt;0,AND(Application!AK726&lt;&gt;"N/A",Application!AK726&lt;&gt;"")*Cdlac[[#This Row],[Quantity]],"")</f>
        <v>3</v>
      </c>
      <c r="T28" s="1079" t="b">
        <f>AND('Subsidy Contract Calculation'!F12&gt;0,'Subsidy Contract Calculation'!C12="Federal",Cdlac[[#This Row],[Quantity]]&gt;0)</f>
        <v>1</v>
      </c>
    </row>
    <row r="29" spans="1:20" ht="15.05" customHeight="1">
      <c r="A29" s="1112"/>
      <c r="E29" s="1159" t="s">
        <v>2293</v>
      </c>
      <c r="G29" s="1156">
        <f>G27</f>
        <v>136.35000000000002</v>
      </c>
      <c r="H29" s="1112"/>
      <c r="I29" s="1112"/>
      <c r="L29" s="1079">
        <f>IFERROR(MIN(4,MATCH(Application!B727,UnitSizes,0)-1),"")</f>
        <v>2</v>
      </c>
      <c r="M29" s="1101">
        <f>Application!G727</f>
        <v>2</v>
      </c>
      <c r="N29" s="1109">
        <f>Application!AC727</f>
        <v>0.3</v>
      </c>
      <c r="O29" s="1109">
        <f>IF(Cdlac[[#This Row],[Quantity]]&gt;0,IF(Cdlac[[#This Row],[Federal]],30%,IF($G$36,40%,Cdlac[[#This Row],[iAMI]])),"")</f>
        <v>0.3</v>
      </c>
      <c r="P29" s="1101" cm="1">
        <f t="array" ref="P29">IF(Cdlac[[#This Row],[Quantity]]&gt;0,INDEX(TcacRents,$P$18,Cdlac[[#This Row],[Bedrooms]]+1)*Cdlac[[#This Row],[AMI]],"")</f>
        <v>850.8</v>
      </c>
      <c r="Q29" s="1101" cm="1">
        <f t="array" ref="Q29">IF(Cdlac[[#This Row],[Quantity]]&gt;0,INDEX(HudFmrs,$P$18,Cdlac[[#This Row],[Bedrooms]]+1),"")</f>
        <v>2222</v>
      </c>
      <c r="R29" s="1101">
        <f>IF(Cdlac[[#This Row],[Quantity]]&gt;0,MAX(0,Cdlac[[#This Row],[Fair Market Rent]]-Cdlac[[#This Row],[Restricted Rent]]),"")</f>
        <v>1371.2</v>
      </c>
      <c r="S29" s="1079">
        <f>IF(Cdlac[[#This Row],[Quantity]]&gt;0,AND(Application!AK727&lt;&gt;"N/A",Application!AK727&lt;&gt;"")*Cdlac[[#This Row],[Quantity]],"")</f>
        <v>2</v>
      </c>
      <c r="T29" s="1079" t="b">
        <f>AND('Subsidy Contract Calculation'!F13&gt;0,'Subsidy Contract Calculation'!C13="Federal",Cdlac[[#This Row],[Quantity]]&gt;0)</f>
        <v>1</v>
      </c>
    </row>
    <row r="30" spans="1:20" ht="15.05" customHeight="1">
      <c r="A30" s="1112"/>
      <c r="E30" s="1159" t="s">
        <v>2245</v>
      </c>
      <c r="F30" s="1155" t="s">
        <v>2302</v>
      </c>
      <c r="G30" s="1157">
        <v>50000</v>
      </c>
      <c r="H30" s="1112"/>
      <c r="I30" s="1112"/>
      <c r="L30" s="1079">
        <f>IFERROR(MIN(4,MATCH(Application!B728,UnitSizes,0)-1),"")</f>
        <v>2</v>
      </c>
      <c r="M30" s="1101">
        <f>Application!G728</f>
        <v>4</v>
      </c>
      <c r="N30" s="1109">
        <f>Application!AC728</f>
        <v>0.4</v>
      </c>
      <c r="O30" s="1109">
        <f>IF(Cdlac[[#This Row],[Quantity]]&gt;0,IF(Cdlac[[#This Row],[Federal]],30%,IF($G$36,40%,Cdlac[[#This Row],[iAMI]])),"")</f>
        <v>0.4</v>
      </c>
      <c r="P30" s="1101" cm="1">
        <f t="array" ref="P30">IF(Cdlac[[#This Row],[Quantity]]&gt;0,INDEX(TcacRents,$P$18,Cdlac[[#This Row],[Bedrooms]]+1)*Cdlac[[#This Row],[AMI]],"")</f>
        <v>1134.4000000000001</v>
      </c>
      <c r="Q30" s="1101" cm="1">
        <f t="array" ref="Q30">IF(Cdlac[[#This Row],[Quantity]]&gt;0,INDEX(HudFmrs,$P$18,Cdlac[[#This Row],[Bedrooms]]+1),"")</f>
        <v>2222</v>
      </c>
      <c r="R30" s="1101">
        <f>IF(Cdlac[[#This Row],[Quantity]]&gt;0,MAX(0,Cdlac[[#This Row],[Fair Market Rent]]-Cdlac[[#This Row],[Restricted Rent]]),"")</f>
        <v>1087.5999999999999</v>
      </c>
      <c r="S30" s="1079">
        <f>IF(Cdlac[[#This Row],[Quantity]]&gt;0,AND(Application!AK728&lt;&gt;"N/A",Application!AK728&lt;&gt;"")*Cdlac[[#This Row],[Quantity]],"")</f>
        <v>4</v>
      </c>
      <c r="T30" s="1079" t="b">
        <f>AND('Subsidy Contract Calculation'!F14&gt;0,'Subsidy Contract Calculation'!C14="Federal",Cdlac[[#This Row],[Quantity]]&gt;0)</f>
        <v>0</v>
      </c>
    </row>
    <row r="31" spans="1:20" ht="15.05" customHeight="1">
      <c r="A31" s="1112"/>
      <c r="E31" s="1160" t="s">
        <v>2286</v>
      </c>
      <c r="F31" s="1081"/>
      <c r="G31" s="1161">
        <f>G30*G29</f>
        <v>6817500.0000000009</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124286.99999999999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22371659.999999996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146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73</v>
      </c>
    </row>
    <row r="46" spans="2:20" ht="15.05" customHeight="1">
      <c r="E46" s="1159"/>
      <c r="G46" s="1167"/>
    </row>
    <row r="47" spans="2:20" ht="15.05" customHeight="1">
      <c r="E47" s="1159" t="s">
        <v>2255</v>
      </c>
      <c r="G47" s="1156">
        <f>MIN(G44:G45)</f>
        <v>73</v>
      </c>
    </row>
    <row r="48" spans="2:20" ht="15.05" customHeight="1">
      <c r="E48" s="1159" t="s">
        <v>2245</v>
      </c>
      <c r="F48" s="1155" t="s">
        <v>2302</v>
      </c>
      <c r="G48" s="1166">
        <v>10000</v>
      </c>
    </row>
    <row r="49" spans="2:14" ht="15.05" customHeight="1">
      <c r="E49" s="1160" t="s">
        <v>2285</v>
      </c>
      <c r="F49" s="1081"/>
      <c r="G49" s="1165">
        <f>G47*G48</f>
        <v>730000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100</v>
      </c>
    </row>
    <row r="54" spans="2:14" ht="15.05" customHeight="1">
      <c r="E54" s="1159" t="s">
        <v>2304</v>
      </c>
      <c r="G54" s="1117">
        <f>ROUNDDOWN(E27*50%,0)</f>
        <v>73</v>
      </c>
    </row>
    <row r="55" spans="2:14" ht="15.05" customHeight="1">
      <c r="E55" s="1159"/>
      <c r="G55" s="1117"/>
    </row>
    <row r="56" spans="2:14" ht="15.05" customHeight="1">
      <c r="E56" s="1159" t="s">
        <v>2255</v>
      </c>
      <c r="G56" s="1156">
        <f>MIN(G53:G54)</f>
        <v>73</v>
      </c>
    </row>
    <row r="57" spans="2:14" ht="15.05" customHeight="1">
      <c r="E57" s="1159" t="s">
        <v>2245</v>
      </c>
      <c r="F57" s="1155" t="s">
        <v>2302</v>
      </c>
      <c r="G57" s="1166">
        <v>20000</v>
      </c>
    </row>
    <row r="58" spans="2:14" ht="15.05" customHeight="1">
      <c r="E58" s="1160" t="s">
        <v>2284</v>
      </c>
      <c r="F58" s="1081"/>
      <c r="G58" s="1165">
        <f>G56*G57</f>
        <v>1460000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7</v>
      </c>
      <c r="L62" s="1169" t="str">
        <f>'Points System'!H627</f>
        <v>N/A</v>
      </c>
      <c r="M62" s="2153" t="s">
        <v>1514</v>
      </c>
      <c r="N62" s="2154"/>
    </row>
    <row r="63" spans="2:14" ht="15.05" customHeight="1">
      <c r="E63" s="1124" t="s">
        <v>2245</v>
      </c>
      <c r="F63" s="1155" t="s">
        <v>2302</v>
      </c>
      <c r="G63" s="1114">
        <v>4000</v>
      </c>
      <c r="L63" s="1170" t="str">
        <f>'Points System'!H639</f>
        <v>(ii)</v>
      </c>
      <c r="M63" s="2145" t="s">
        <v>2259</v>
      </c>
      <c r="N63" s="2146"/>
    </row>
    <row r="64" spans="2:14" ht="15.05" customHeight="1">
      <c r="E64" s="1124" t="s">
        <v>2306</v>
      </c>
      <c r="F64" s="1155" t="s">
        <v>2302</v>
      </c>
      <c r="G64" s="1168">
        <f>G27</f>
        <v>136.35000000000002</v>
      </c>
      <c r="L64" s="1170" t="str">
        <f>'Points System'!H674</f>
        <v>(ii)</v>
      </c>
      <c r="M64" s="2145" t="s">
        <v>2260</v>
      </c>
      <c r="N64" s="2146"/>
    </row>
    <row r="65" spans="2:14" ht="15.05" customHeight="1">
      <c r="E65" s="1160" t="s">
        <v>2264</v>
      </c>
      <c r="F65" s="1081"/>
      <c r="G65" s="1165">
        <f>G62*G63*G64</f>
        <v>3817800.0000000005</v>
      </c>
      <c r="L65" s="1170" t="str">
        <f>IF(OR('Points System'!H698="(ii)",'Points System'!H698="(i)"),"(i)","N/A")</f>
        <v>N/A</v>
      </c>
      <c r="M65" s="2145" t="s">
        <v>2261</v>
      </c>
      <c r="N65" s="2146"/>
    </row>
    <row r="66" spans="2:14" ht="15.05" customHeight="1">
      <c r="C66" s="1115"/>
      <c r="G66" s="1156"/>
      <c r="L66" s="1171" t="str">
        <f>'Points System'!H712</f>
        <v>N/A</v>
      </c>
      <c r="M66" s="2145" t="s">
        <v>1540</v>
      </c>
      <c r="N66" s="2146"/>
    </row>
    <row r="67" spans="2:14" ht="15.05" customHeight="1">
      <c r="E67" s="1124" t="s">
        <v>2307</v>
      </c>
      <c r="G67" s="1168">
        <f>COUNTIFS(L62:L69,"(i)")</f>
        <v>1</v>
      </c>
      <c r="L67" s="1170" t="str">
        <f>'Points System'!H724</f>
        <v>N/A</v>
      </c>
      <c r="M67" s="2145" t="s">
        <v>2262</v>
      </c>
      <c r="N67" s="2146"/>
    </row>
    <row r="68" spans="2:14" ht="15.05" customHeight="1">
      <c r="E68" s="1124" t="s">
        <v>2245</v>
      </c>
      <c r="F68" s="1155" t="s">
        <v>2302</v>
      </c>
      <c r="G68" s="1166">
        <v>4000</v>
      </c>
      <c r="L68" s="1170" t="str">
        <f>'Points System'!H740</f>
        <v>(i)</v>
      </c>
      <c r="M68" s="2145" t="s">
        <v>2263</v>
      </c>
      <c r="N68" s="2146"/>
    </row>
    <row r="69" spans="2:14" ht="15.05" customHeight="1" thickBot="1">
      <c r="E69" s="1160" t="s">
        <v>2265</v>
      </c>
      <c r="F69" s="1081"/>
      <c r="G69" s="1165">
        <f>G64*G67*G68</f>
        <v>545400.00000000012</v>
      </c>
      <c r="L69" s="1172" t="str">
        <f>'Points System'!H752</f>
        <v>(ii)</v>
      </c>
      <c r="M69" s="2147" t="s">
        <v>1543</v>
      </c>
      <c r="N69" s="2148"/>
    </row>
    <row r="70" spans="2:14" ht="15.05" customHeight="1"/>
    <row r="71" spans="2:14" ht="15.05" customHeight="1">
      <c r="C71" s="1118" t="s">
        <v>2267</v>
      </c>
    </row>
    <row r="72" spans="2:14" ht="15.05" customHeight="1">
      <c r="C72" s="1115" t="s">
        <v>2268</v>
      </c>
      <c r="G72" s="1078"/>
    </row>
    <row r="73" spans="2:14" ht="15.05" customHeight="1">
      <c r="C73" s="1115" t="s">
        <v>2269</v>
      </c>
      <c r="G73" s="1078" t="s">
        <v>553</v>
      </c>
    </row>
    <row r="74" spans="2:14" ht="15.05" customHeight="1">
      <c r="C74" s="1115" t="s">
        <v>2497</v>
      </c>
      <c r="G74" s="1078" t="s">
        <v>553</v>
      </c>
    </row>
    <row r="75" spans="2:14" ht="15.05" customHeight="1">
      <c r="C75" s="1115" t="s">
        <v>2498</v>
      </c>
      <c r="G75" s="1078" t="s">
        <v>553</v>
      </c>
    </row>
    <row r="76" spans="2:14" ht="15.05" customHeight="1"/>
    <row r="77" spans="2:14" ht="15.05" customHeight="1">
      <c r="B77" s="1116"/>
      <c r="C77" s="1115"/>
      <c r="E77" s="1124" t="s">
        <v>2309</v>
      </c>
      <c r="G77" s="1117" t="b">
        <f>COUNTIFS(G72:G75,"Yes")&gt;=1</f>
        <v>1</v>
      </c>
    </row>
    <row r="78" spans="2:14" ht="15.05" customHeight="1">
      <c r="E78" s="1115"/>
    </row>
    <row r="79" spans="2:14" ht="15.05" customHeight="1">
      <c r="E79" s="1124" t="s">
        <v>2306</v>
      </c>
      <c r="F79" s="1155" t="s">
        <v>2302</v>
      </c>
      <c r="G79" s="1156">
        <f>G27</f>
        <v>136.35000000000002</v>
      </c>
    </row>
    <row r="80" spans="2:14" ht="15.05" customHeight="1">
      <c r="E80" s="1124" t="s">
        <v>2245</v>
      </c>
      <c r="F80" s="1155" t="s">
        <v>2302</v>
      </c>
      <c r="G80" s="1166">
        <v>25000</v>
      </c>
    </row>
    <row r="81" spans="2:14" ht="15.05" customHeight="1">
      <c r="E81" s="1160" t="s">
        <v>2266</v>
      </c>
      <c r="F81" s="1081"/>
      <c r="G81" s="1165">
        <f>G77*G80*G64</f>
        <v>3408750.0000000005</v>
      </c>
    </row>
    <row r="82" spans="2:14" ht="15.05" customHeight="1">
      <c r="C82" s="1115"/>
      <c r="E82" s="1115"/>
    </row>
    <row r="83" spans="2:14" ht="15.05" customHeight="1">
      <c r="E83" s="1160" t="s">
        <v>2243</v>
      </c>
      <c r="G83" s="1165">
        <f>G81+G69+G65</f>
        <v>7771950.0000000009</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553</v>
      </c>
      <c r="L87" s="2149" t="s">
        <v>2272</v>
      </c>
      <c r="M87" s="2150"/>
      <c r="N87" s="1173">
        <v>30000</v>
      </c>
    </row>
    <row r="88" spans="2:14" ht="15.05" customHeight="1">
      <c r="C88" s="1115" t="s">
        <v>2289</v>
      </c>
      <c r="G88" s="1119" t="str">
        <f>IF(Application!D211="Large Family","Yes","No")</f>
        <v>No</v>
      </c>
      <c r="L88" s="2141" t="s">
        <v>2236</v>
      </c>
      <c r="M88" s="2142"/>
      <c r="N88" s="1174">
        <v>20000</v>
      </c>
    </row>
    <row r="89" spans="2:14" ht="15.05" customHeight="1" thickBot="1">
      <c r="C89" s="1115" t="s">
        <v>2270</v>
      </c>
      <c r="G89" s="1078" t="s">
        <v>553</v>
      </c>
      <c r="L89" s="2143" t="s">
        <v>2273</v>
      </c>
      <c r="M89" s="2144"/>
      <c r="N89" s="1175">
        <v>10000</v>
      </c>
    </row>
    <row r="90" spans="2:14" ht="15.05" customHeight="1">
      <c r="C90" s="1115" t="s">
        <v>2271</v>
      </c>
      <c r="G90" s="1079" t="str">
        <f>Application!T193</f>
        <v>Moderate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10000</v>
      </c>
    </row>
    <row r="95" spans="2:14" ht="15.05" customHeight="1">
      <c r="E95" s="1124" t="str">
        <f>E64</f>
        <v>Bedroom-Adjusted Low-Income Units</v>
      </c>
      <c r="F95" s="1155" t="s">
        <v>2302</v>
      </c>
      <c r="G95" s="1156">
        <f>G27</f>
        <v>136.35000000000002</v>
      </c>
    </row>
    <row r="96" spans="2:14" ht="15.05" customHeight="1">
      <c r="D96" s="1081"/>
      <c r="E96" s="1160" t="s">
        <v>2244</v>
      </c>
      <c r="F96" s="1081"/>
      <c r="G96" s="1165">
        <f>G95*G94*G92</f>
        <v>1363500.0000000002</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t="s">
        <v>676</v>
      </c>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136.35000000000002</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590</v>
      </c>
      <c r="G110" s="1079" t="str">
        <f>IF(Application!T189="","",Application!T189)</f>
        <v>Los Angeles</v>
      </c>
    </row>
    <row r="111" spans="2:9" ht="15.05" customHeight="1">
      <c r="E111" s="1124"/>
      <c r="G111" s="1116"/>
    </row>
    <row r="112" spans="2:9" ht="15.05" customHeight="1">
      <c r="E112" s="1124" t="str">
        <f>"2-Bedroom "&amp;G110&amp;" County Basis Limit"</f>
        <v>2-Bedroom Los Angeles County Basis Limit</v>
      </c>
      <c r="G112" s="1116">
        <f>Application!R987</f>
        <v>608800</v>
      </c>
    </row>
    <row r="113" spans="4:9" ht="15.05" customHeight="1">
      <c r="E113" s="1124" t="s">
        <v>2310</v>
      </c>
      <c r="G113" s="1116">
        <f>MEDIAN((Application!BR806:BR863))</f>
        <v>489600</v>
      </c>
    </row>
    <row r="114" spans="4:9" ht="15.05" customHeight="1">
      <c r="D114" s="1081"/>
      <c r="E114" s="1160" t="s">
        <v>2312</v>
      </c>
      <c r="F114" s="1176"/>
      <c r="G114" s="1177">
        <f>((G112-G113)/G113)*0.25</f>
        <v>6.0866013071895424E-2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2024-04-22T15:18:40Z</cp:lastPrinted>
  <dcterms:created xsi:type="dcterms:W3CDTF">2007-12-27T18:26:28Z</dcterms:created>
  <dcterms:modified xsi:type="dcterms:W3CDTF">2024-04-22T20:31:02Z</dcterms:modified>
</cp:coreProperties>
</file>