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T:\CLIENTS\C\COR100 Core Development, Inc\.COR100 Common File\Consulting\Apps\Eastmoor\Attachments\"/>
    </mc:Choice>
  </mc:AlternateContent>
  <xr:revisionPtr revIDLastSave="0" documentId="13_ncr:1_{10C39C4E-C030-44E6-BA71-4A93A82787EA}" xr6:coauthVersionLast="47" xr6:coauthVersionMax="47" xr10:uidLastSave="{00000000-0000-0000-0000-000000000000}"/>
  <bookViews>
    <workbookView xWindow="-120" yWindow="-120" windowWidth="29040" windowHeight="15525" activeTab="4" xr2:uid="{DEB9609C-FA9D-417E-9CE9-AAF6234E1BE9}"/>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35" i="4" l="1"/>
  <c r="AG448" i="3" l="1"/>
  <c r="AG393" i="3" l="1"/>
  <c r="W857" i="3"/>
  <c r="I86" i="4" l="1"/>
  <c r="C86" i="4"/>
  <c r="M960" i="3"/>
  <c r="AO631" i="3"/>
  <c r="C56" i="4"/>
  <c r="AM559" i="3"/>
  <c r="H66" i="4"/>
  <c r="I66" i="4" s="1"/>
  <c r="H4" i="4"/>
  <c r="W846" i="3" l="1"/>
  <c r="I91" i="4" l="1"/>
  <c r="I90" i="4"/>
  <c r="I89" i="4"/>
  <c r="I88" i="4"/>
  <c r="I85" i="4"/>
  <c r="I83" i="4"/>
  <c r="I76" i="4"/>
  <c r="I75" i="4"/>
  <c r="I72" i="4"/>
  <c r="H56" i="4"/>
  <c r="H51" i="4"/>
  <c r="H50" i="4"/>
  <c r="H43" i="4"/>
  <c r="H41" i="4"/>
  <c r="H40" i="4"/>
  <c r="H37" i="4"/>
  <c r="H35" i="4"/>
  <c r="H32" i="4"/>
  <c r="G29" i="4"/>
  <c r="F45" i="4"/>
  <c r="C46" i="4"/>
  <c r="C49" i="4" s="1"/>
  <c r="H49" i="4" s="1"/>
  <c r="C79" i="4"/>
  <c r="I79" i="4" s="1"/>
  <c r="C80" i="4"/>
  <c r="S80" i="4" s="1"/>
  <c r="I80" i="4" l="1"/>
  <c r="H46" i="4"/>
  <c r="C69" i="4"/>
  <c r="I69" i="4" s="1"/>
  <c r="C65" i="4"/>
  <c r="C61" i="4"/>
  <c r="H61" i="4" s="1"/>
  <c r="C30" i="4"/>
  <c r="E30" i="4" s="1"/>
  <c r="C13" i="4"/>
  <c r="S65" i="4" l="1"/>
  <c r="H65" i="4"/>
  <c r="F13" i="4"/>
  <c r="H13" i="4" s="1"/>
  <c r="AO630" i="3" l="1"/>
  <c r="AO629" i="3"/>
  <c r="AM557" i="3"/>
  <c r="AM556" i="3"/>
  <c r="AG443" i="3" l="1"/>
  <c r="F11" i="8" l="1"/>
  <c r="F9" i="8"/>
  <c r="F4" i="8"/>
  <c r="AD189" i="20"/>
  <c r="AD190" i="20"/>
  <c r="AD188" i="20"/>
  <c r="B189" i="20"/>
  <c r="S43" i="4" l="1"/>
  <c r="S41" i="4"/>
  <c r="S69" i="4"/>
  <c r="AA948" i="3"/>
  <c r="AA947" i="3"/>
  <c r="Q555" i="3"/>
  <c r="C629" i="3"/>
  <c r="C630" i="3"/>
  <c r="B190" i="20" s="1"/>
  <c r="C628" i="3"/>
  <c r="B188" i="20" s="1"/>
  <c r="I421" i="3"/>
  <c r="S99" i="4" l="1"/>
  <c r="S92" i="4"/>
  <c r="S91" i="4"/>
  <c r="S90" i="4"/>
  <c r="S89" i="4"/>
  <c r="S86" i="4"/>
  <c r="S85" i="4"/>
  <c r="S79" i="4"/>
  <c r="S53" i="4"/>
  <c r="S51" i="4"/>
  <c r="S50" i="4"/>
  <c r="S40" i="4"/>
  <c r="S37" i="4"/>
  <c r="S35" i="4"/>
  <c r="S32" i="4"/>
  <c r="S31" i="4"/>
  <c r="S30" i="4"/>
  <c r="S29" i="4"/>
  <c r="AF1026" i="3"/>
  <c r="AA91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I9" i="8"/>
  <c r="J9" i="8" s="1"/>
  <c r="J8" i="8"/>
  <c r="I8" i="8"/>
  <c r="J7" i="8"/>
  <c r="I7" i="8"/>
  <c r="I6" i="8"/>
  <c r="J6" i="8" s="1"/>
  <c r="J5" i="8"/>
  <c r="I5"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D94" i="11" s="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9"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D81"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9" i="4"/>
  <c r="R27" i="4"/>
  <c r="R25" i="4"/>
  <c r="R23" i="4"/>
  <c r="R26" i="4" s="1"/>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D16" i="11" s="1"/>
  <c r="C16" i="11"/>
  <c r="B18" i="11"/>
  <c r="D18" i="11" s="1"/>
  <c r="C18" i="11"/>
  <c r="B19" i="11"/>
  <c r="C19" i="11"/>
  <c r="B20" i="11"/>
  <c r="C20" i="11"/>
  <c r="B21" i="11"/>
  <c r="D21" i="11" s="1"/>
  <c r="C21" i="11"/>
  <c r="B22" i="11"/>
  <c r="D22" i="11" s="1"/>
  <c r="C22" i="11"/>
  <c r="B23" i="11"/>
  <c r="C23" i="11"/>
  <c r="B24" i="11"/>
  <c r="B28" i="11"/>
  <c r="C28" i="11"/>
  <c r="B30" i="11"/>
  <c r="C30" i="11"/>
  <c r="D33" i="11"/>
  <c r="B41" i="11"/>
  <c r="C41" i="11"/>
  <c r="C42" i="11"/>
  <c r="B42" i="11"/>
  <c r="B44" i="11"/>
  <c r="C44" i="11"/>
  <c r="B46" i="11"/>
  <c r="C46" i="11"/>
  <c r="B47" i="11"/>
  <c r="C47" i="11"/>
  <c r="B48" i="11"/>
  <c r="B49" i="11"/>
  <c r="B50" i="11"/>
  <c r="D50" i="11" s="1"/>
  <c r="B51" i="11"/>
  <c r="B52" i="11"/>
  <c r="B53" i="11"/>
  <c r="C48" i="11"/>
  <c r="C49" i="11"/>
  <c r="C50" i="11"/>
  <c r="C51" i="11"/>
  <c r="C52" i="11"/>
  <c r="D52" i="11" s="1"/>
  <c r="C53" i="11"/>
  <c r="B57" i="11"/>
  <c r="D57" i="11" s="1"/>
  <c r="C57" i="11"/>
  <c r="B58" i="11"/>
  <c r="C58" i="11"/>
  <c r="B59" i="11"/>
  <c r="C59" i="11"/>
  <c r="B60" i="11"/>
  <c r="C60" i="11"/>
  <c r="B61" i="11"/>
  <c r="C61" i="11"/>
  <c r="B62" i="11"/>
  <c r="C62" i="11"/>
  <c r="B66" i="11"/>
  <c r="C66" i="11"/>
  <c r="C71" i="11" s="1"/>
  <c r="B73" i="11"/>
  <c r="C73" i="11"/>
  <c r="B74" i="11"/>
  <c r="C74" i="11"/>
  <c r="B75" i="11"/>
  <c r="C75"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s="1"/>
  <c r="T70" i="4"/>
  <c r="H70" i="13" s="1"/>
  <c r="T96" i="4"/>
  <c r="H96" i="13" s="1"/>
  <c r="C11" i="4"/>
  <c r="B26" i="13"/>
  <c r="C38" i="4"/>
  <c r="B38" i="13" s="1"/>
  <c r="C54" i="4"/>
  <c r="B54" i="13" s="1"/>
  <c r="C62" i="4"/>
  <c r="B62" i="13" s="1"/>
  <c r="C96" i="4"/>
  <c r="B96" i="13" s="1"/>
  <c r="B104" i="13"/>
  <c r="D8" i="4"/>
  <c r="D11" i="4"/>
  <c r="D26" i="4"/>
  <c r="D38" i="4"/>
  <c r="D42" i="4"/>
  <c r="D54" i="4"/>
  <c r="D62" i="4"/>
  <c r="B62" i="4" s="1"/>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2" i="4" s="1"/>
  <c r="I11" i="4"/>
  <c r="J8" i="4"/>
  <c r="J11" i="4"/>
  <c r="J26" i="4"/>
  <c r="J38" i="4"/>
  <c r="J42" i="4"/>
  <c r="J54" i="4"/>
  <c r="J62" i="4"/>
  <c r="J70" i="4"/>
  <c r="J77" i="4"/>
  <c r="J96" i="4"/>
  <c r="K8" i="4"/>
  <c r="K11" i="4"/>
  <c r="L8" i="4"/>
  <c r="L12" i="4" s="1"/>
  <c r="L11" i="4"/>
  <c r="M8" i="4"/>
  <c r="M12" i="4" s="1"/>
  <c r="M11" i="4"/>
  <c r="N8" i="4"/>
  <c r="O8" i="4"/>
  <c r="Q8" i="4"/>
  <c r="Q11" i="4"/>
  <c r="B9" i="4"/>
  <c r="B10" i="4"/>
  <c r="E11" i="4"/>
  <c r="E12" i="4" s="1"/>
  <c r="F11" i="4"/>
  <c r="F26" i="4"/>
  <c r="F38" i="4"/>
  <c r="F42" i="4"/>
  <c r="F54"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G108" i="4"/>
  <c r="H108" i="4"/>
  <c r="I108" i="4"/>
  <c r="J108" i="4"/>
  <c r="J99" i="4" s="1"/>
  <c r="K108" i="4"/>
  <c r="K99" i="4" s="1"/>
  <c r="K104"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D54" i="11"/>
  <c r="J63" i="13"/>
  <c r="J97" i="13"/>
  <c r="J105" i="13"/>
  <c r="J107" i="13"/>
  <c r="G12" i="4"/>
  <c r="B11" i="4"/>
  <c r="B8" i="4"/>
  <c r="N187" i="27" s="1"/>
  <c r="D36" i="11"/>
  <c r="D61" i="11"/>
  <c r="D102" i="11"/>
  <c r="K12" i="4"/>
  <c r="D7" i="11"/>
  <c r="J12" i="4"/>
  <c r="D25" i="11"/>
  <c r="B11" i="13"/>
  <c r="D12" i="4"/>
  <c r="D23" i="11"/>
  <c r="D19" i="11"/>
  <c r="D35" i="11"/>
  <c r="D31" i="11"/>
  <c r="D32" i="11"/>
  <c r="N12" i="4"/>
  <c r="D38" i="11"/>
  <c r="D12" i="13"/>
  <c r="D58" i="11"/>
  <c r="D62" i="11"/>
  <c r="D24" i="11"/>
  <c r="D92" i="11"/>
  <c r="D75" i="11"/>
  <c r="D103" i="11"/>
  <c r="D88" i="11"/>
  <c r="B12" i="11"/>
  <c r="D86" i="11"/>
  <c r="F63" i="13"/>
  <c r="F97" i="13" s="1"/>
  <c r="AD199" i="20"/>
  <c r="B42" i="4"/>
  <c r="J63" i="4"/>
  <c r="J97" i="4" s="1"/>
  <c r="D41" i="11"/>
  <c r="D104" i="11"/>
  <c r="T63" i="4"/>
  <c r="H63" i="13" s="1"/>
  <c r="D11" i="11"/>
  <c r="D96" i="11"/>
  <c r="G4" i="8" l="1"/>
  <c r="J4" i="8"/>
  <c r="M63" i="4"/>
  <c r="M97" i="4" s="1"/>
  <c r="M105" i="4" s="1"/>
  <c r="I63" i="4"/>
  <c r="Q12" i="4"/>
  <c r="D59" i="11"/>
  <c r="D28" i="11"/>
  <c r="D20" i="11"/>
  <c r="D15" i="11"/>
  <c r="R8" i="4"/>
  <c r="R12" i="4" s="1"/>
  <c r="G97" i="13"/>
  <c r="G105" i="13" s="1"/>
  <c r="G107" i="13" s="1"/>
  <c r="B63" i="11"/>
  <c r="C9" i="11"/>
  <c r="D95" i="11"/>
  <c r="D87" i="11"/>
  <c r="D91" i="11"/>
  <c r="F105" i="13"/>
  <c r="F107" i="13" s="1"/>
  <c r="E99" i="4"/>
  <c r="E104" i="4" s="1"/>
  <c r="D14" i="11"/>
  <c r="C39" i="11"/>
  <c r="T97" i="4"/>
  <c r="H97" i="13" s="1"/>
  <c r="C105" i="11"/>
  <c r="D73" i="11"/>
  <c r="D44" i="11"/>
  <c r="D5" i="11"/>
  <c r="D8" i="11"/>
  <c r="C12" i="11"/>
  <c r="D12" i="11" s="1"/>
  <c r="K105" i="4"/>
  <c r="G58" i="7"/>
  <c r="K53" i="7"/>
  <c r="I58" i="7"/>
  <c r="R96" i="4"/>
  <c r="R77" i="4"/>
  <c r="I97" i="4"/>
  <c r="I105" i="4" s="1"/>
  <c r="R70" i="4"/>
  <c r="R62" i="4"/>
  <c r="D6" i="11"/>
  <c r="R54" i="4"/>
  <c r="C63" i="13"/>
  <c r="C97" i="13" s="1"/>
  <c r="C105" i="13" s="1"/>
  <c r="D63" i="13"/>
  <c r="D97" i="13" s="1"/>
  <c r="D105" i="13" s="1"/>
  <c r="B82" i="11"/>
  <c r="D82" i="11" s="1"/>
  <c r="D34" i="11"/>
  <c r="B97" i="11"/>
  <c r="D93" i="11"/>
  <c r="D85" i="11"/>
  <c r="D101" i="11"/>
  <c r="C63" i="11"/>
  <c r="D63" i="11" s="1"/>
  <c r="C55" i="11"/>
  <c r="R99" i="4"/>
  <c r="R104" i="4" s="1"/>
  <c r="Q63" i="4"/>
  <c r="Q97" i="4" s="1"/>
  <c r="Q105" i="4" s="1"/>
  <c r="P63" i="4"/>
  <c r="P97" i="4" s="1"/>
  <c r="P105" i="4" s="1"/>
  <c r="E38" i="4"/>
  <c r="E63" i="4" s="1"/>
  <c r="E97" i="4" s="1"/>
  <c r="D63" i="4"/>
  <c r="D97" i="4" s="1"/>
  <c r="D105" i="4" s="1"/>
  <c r="AB48" i="15"/>
  <c r="O63" i="4"/>
  <c r="O97" i="4" s="1"/>
  <c r="O105" i="4" s="1"/>
  <c r="J104" i="4"/>
  <c r="J105" i="4" s="1"/>
  <c r="L63" i="4"/>
  <c r="L97" i="4" s="1"/>
  <c r="L105" i="4" s="1"/>
  <c r="B81" i="4"/>
  <c r="T105" i="4"/>
  <c r="T107" i="4" s="1"/>
  <c r="H107" i="13" s="1"/>
  <c r="AD11" i="15" s="1"/>
  <c r="AD23" i="15" s="1"/>
  <c r="AD26" i="15" s="1"/>
  <c r="D74" i="11"/>
  <c r="D10" i="11"/>
  <c r="C27" i="11"/>
  <c r="D100" i="11"/>
  <c r="D51" i="11"/>
  <c r="B9" i="11"/>
  <c r="B13" i="11" s="1"/>
  <c r="C12" i="13"/>
  <c r="D49" i="11"/>
  <c r="D53" i="11"/>
  <c r="D60" i="11"/>
  <c r="H105" i="13"/>
  <c r="R42" i="4"/>
  <c r="F63" i="4"/>
  <c r="F97" i="4" s="1"/>
  <c r="F105" i="4" s="1"/>
  <c r="D47" i="11"/>
  <c r="C82" i="11"/>
  <c r="B96" i="4"/>
  <c r="N186" i="27"/>
  <c r="N193" i="27" s="1"/>
  <c r="D84" i="11"/>
  <c r="B71" i="11"/>
  <c r="D71" i="11" s="1"/>
  <c r="D48" i="11"/>
  <c r="D46" i="11"/>
  <c r="D105" i="11"/>
  <c r="B12" i="4"/>
  <c r="C12" i="4"/>
  <c r="B12" i="13" s="1"/>
  <c r="D80" i="11"/>
  <c r="C97" i="11"/>
  <c r="D97" i="11" s="1"/>
  <c r="D66" i="11"/>
  <c r="B43" i="11"/>
  <c r="C43" i="11"/>
  <c r="C64" i="11" s="1"/>
  <c r="D42" i="11"/>
  <c r="S63" i="4"/>
  <c r="B54" i="4"/>
  <c r="D90" i="11"/>
  <c r="B55" i="11"/>
  <c r="D55" i="11" s="1"/>
  <c r="D39" i="11"/>
  <c r="D30" i="11"/>
  <c r="B38"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C13" i="11" l="1"/>
  <c r="E105" i="4"/>
  <c r="D9" i="11"/>
  <c r="G31" i="4"/>
  <c r="R30" i="4"/>
  <c r="M53" i="7"/>
  <c r="K58" i="7"/>
  <c r="AD28" i="15"/>
  <c r="D43" i="11"/>
  <c r="D13" i="11"/>
  <c r="B64" i="11"/>
  <c r="D64" i="11" s="1"/>
  <c r="C77" i="4"/>
  <c r="C97" i="4" s="1"/>
  <c r="C105" i="4" s="1"/>
  <c r="AO640" i="3" s="1"/>
  <c r="C76" i="11"/>
  <c r="B75" i="4"/>
  <c r="B75" i="13"/>
  <c r="B76" i="11"/>
  <c r="B63" i="4"/>
  <c r="AJ610" i="20"/>
  <c r="AK783" i="20" s="1"/>
  <c r="T808" i="20" s="1"/>
  <c r="AF808" i="20" s="1"/>
  <c r="G62" i="21"/>
  <c r="AS349" i="20"/>
  <c r="E63" i="13"/>
  <c r="S97" i="4"/>
  <c r="DX635" i="3"/>
  <c r="AY1004" i="3"/>
  <c r="BH702" i="3"/>
  <c r="BH701" i="3"/>
  <c r="BI701" i="3" s="1"/>
  <c r="BU669" i="3"/>
  <c r="BV669" i="3" s="1"/>
  <c r="BU677" i="3"/>
  <c r="BU685" i="3"/>
  <c r="BU693" i="3"/>
  <c r="BU702" i="3"/>
  <c r="BV702" i="3" s="1"/>
  <c r="BU670" i="3"/>
  <c r="BV670" i="3" s="1"/>
  <c r="BU678" i="3"/>
  <c r="BV678" i="3" s="1"/>
  <c r="BU686" i="3"/>
  <c r="BV686" i="3" s="1"/>
  <c r="BU694" i="3"/>
  <c r="BU668" i="3"/>
  <c r="BU671" i="3"/>
  <c r="BU679" i="3"/>
  <c r="BU687" i="3"/>
  <c r="BU695" i="3"/>
  <c r="BV695" i="3" s="1"/>
  <c r="BU681" i="3"/>
  <c r="BV681" i="3" s="1"/>
  <c r="BU689" i="3"/>
  <c r="BV689" i="3" s="1"/>
  <c r="BU698" i="3"/>
  <c r="BV698" i="3" s="1"/>
  <c r="BU684" i="3"/>
  <c r="BU700" i="3"/>
  <c r="BU672" i="3"/>
  <c r="BU680" i="3"/>
  <c r="BV680" i="3" s="1"/>
  <c r="BU688" i="3"/>
  <c r="BV688" i="3" s="1"/>
  <c r="BU696" i="3"/>
  <c r="BV696" i="3" s="1"/>
  <c r="BU673" i="3"/>
  <c r="BV673" i="3" s="1"/>
  <c r="BU697" i="3"/>
  <c r="BV697" i="3" s="1"/>
  <c r="BU674" i="3"/>
  <c r="BU682" i="3"/>
  <c r="BU690" i="3"/>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I673" i="3" s="1"/>
  <c r="BH681" i="3"/>
  <c r="BI681" i="3" s="1"/>
  <c r="BH689" i="3"/>
  <c r="BH697" i="3"/>
  <c r="BI697" i="3" s="1"/>
  <c r="E22" i="7"/>
  <c r="BI702" i="3"/>
  <c r="BI679" i="3"/>
  <c r="BI671" i="3"/>
  <c r="BI692" i="3"/>
  <c r="AX683" i="20"/>
  <c r="AY684" i="20" s="1"/>
  <c r="BV694" i="3"/>
  <c r="BV700" i="3"/>
  <c r="BV693"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68" i="3"/>
  <c r="BV684" i="3"/>
  <c r="BV685" i="3"/>
  <c r="BV677" i="3"/>
  <c r="BV672"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4" i="3"/>
  <c r="BI689" i="3"/>
  <c r="EH637" i="3"/>
  <c r="DR657" i="3"/>
  <c r="EM632" i="3"/>
  <c r="EM635" i="3"/>
  <c r="EM643" i="3"/>
  <c r="E6" i="7"/>
  <c r="K15" i="7"/>
  <c r="I22" i="7"/>
  <c r="I35" i="7" s="1"/>
  <c r="E27" i="21"/>
  <c r="G22" i="21"/>
  <c r="G38" i="4" l="1"/>
  <c r="G63" i="4" s="1"/>
  <c r="G97" i="4" s="1"/>
  <c r="G105" i="4" s="1"/>
  <c r="H31" i="4"/>
  <c r="H38" i="4"/>
  <c r="H63" i="4" s="1"/>
  <c r="H97" i="4" s="1"/>
  <c r="H105" i="4" s="1"/>
  <c r="R31" i="4"/>
  <c r="R38" i="4" s="1"/>
  <c r="R63" i="4" s="1"/>
  <c r="R97" i="4" s="1"/>
  <c r="R105" i="4" s="1"/>
  <c r="O53" i="7"/>
  <c r="M58" i="7"/>
  <c r="B77" i="13"/>
  <c r="B77" i="4"/>
  <c r="D76" i="11"/>
  <c r="B77" i="11"/>
  <c r="B78" i="11" s="1"/>
  <c r="B98" i="11" s="1"/>
  <c r="B106" i="11" s="1"/>
  <c r="C77" i="11"/>
  <c r="B76" i="13"/>
  <c r="B76" i="4"/>
  <c r="B97" i="13"/>
  <c r="E97" i="13"/>
  <c r="S105" i="4"/>
  <c r="B97" i="4"/>
  <c r="B105" i="13"/>
  <c r="AG258" i="20"/>
  <c r="AC455" i="3"/>
  <c r="B105" i="4"/>
  <c r="AC454" i="3" s="1"/>
  <c r="F457" i="3" s="1"/>
  <c r="E108" i="4"/>
  <c r="AO641" i="3"/>
  <c r="O25" i="21"/>
  <c r="P25" i="21" s="1" a="1"/>
  <c r="P25" i="21" s="1"/>
  <c r="R25" i="21" s="1"/>
  <c r="O27" i="21"/>
  <c r="P27" i="21" s="1" a="1"/>
  <c r="P27" i="21" s="1"/>
  <c r="R27"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D77" i="11"/>
  <c r="C78" i="11"/>
  <c r="E105" i="13"/>
  <c r="S107" i="4"/>
  <c r="AE699" i="3" s="1"/>
  <c r="AB255" i="20"/>
  <c r="AG257" i="20" s="1"/>
  <c r="AG259" i="20" s="1"/>
  <c r="AK262" i="20" s="1"/>
  <c r="T801" i="20" s="1"/>
  <c r="AF801" i="20" s="1"/>
  <c r="N183" i="27"/>
  <c r="N194" i="27"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1006" i="3"/>
  <c r="AJ993" i="3"/>
  <c r="I13" i="21" s="1"/>
  <c r="AJ1035" i="3"/>
  <c r="I14" i="21" s="1"/>
  <c r="S53" i="7"/>
  <c r="Q58" i="7"/>
  <c r="N184" i="27"/>
  <c r="D78" i="11"/>
  <c r="C98" i="11"/>
  <c r="AC456" i="3"/>
  <c r="AF540" i="20"/>
  <c r="E107" i="1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AZ846" i="3"/>
  <c r="AZ843" i="3"/>
  <c r="AZ851" i="3" s="1"/>
  <c r="S58" i="7"/>
  <c r="U53" i="7"/>
  <c r="D98" i="11"/>
  <c r="C106" i="11"/>
  <c r="D106" i="11" s="1"/>
  <c r="T11" i="15"/>
  <c r="T23" i="15" s="1"/>
  <c r="T26" i="15" s="1"/>
  <c r="T28" i="15" s="1"/>
  <c r="Y11" i="15"/>
  <c r="Y23" i="15" s="1"/>
  <c r="Y26" i="15" s="1"/>
  <c r="Y28" i="15" s="1"/>
  <c r="AP543" i="20"/>
  <c r="K5" i="7"/>
  <c r="E47" i="7"/>
  <c r="E60" i="7"/>
  <c r="E62" i="7" s="1"/>
  <c r="E74"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U58" i="7"/>
  <c r="W53" i="7"/>
  <c r="Y64" i="15"/>
  <c r="Y68" i="15" s="1"/>
  <c r="Y38" i="15"/>
  <c r="Y40" i="15" s="1"/>
  <c r="T29" i="15"/>
  <c r="K11" i="7"/>
  <c r="K37" i="7" s="1"/>
  <c r="K45" i="7" s="1"/>
  <c r="O5" i="7"/>
  <c r="Q4" i="7"/>
  <c r="AD38" i="15"/>
  <c r="AD40" i="15" s="1"/>
  <c r="M7" i="7"/>
  <c r="M11" i="7" s="1"/>
  <c r="M37" i="7" s="1"/>
  <c r="O6" i="7"/>
  <c r="G62" i="7"/>
  <c r="G74" i="7" s="1"/>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2" i="7"/>
  <c r="I74" i="7" s="1"/>
  <c r="K47" i="7"/>
  <c r="K60" i="7"/>
  <c r="K48" i="7"/>
  <c r="U22" i="7"/>
  <c r="U35" i="7" s="1"/>
  <c r="W15" i="7"/>
  <c r="G83" i="21"/>
  <c r="E13" i="21" s="1"/>
  <c r="E16" i="21" s="1"/>
  <c r="H3" i="21" s="1"/>
  <c r="U9" i="7"/>
  <c r="W8" i="7"/>
  <c r="AA53" i="7" l="1"/>
  <c r="Y58" i="7"/>
  <c r="AB57" i="15"/>
  <c r="U4" i="7"/>
  <c r="S5" i="7"/>
  <c r="P204" i="3"/>
  <c r="M48" i="7"/>
  <c r="M47" i="7"/>
  <c r="M60" i="7"/>
  <c r="O45" i="7"/>
  <c r="O49" i="7"/>
  <c r="K62" i="7"/>
  <c r="K74" i="7" s="1"/>
  <c r="Q7" i="7"/>
  <c r="Q11" i="7" s="1"/>
  <c r="Q37" i="7" s="1"/>
  <c r="S6" i="7"/>
  <c r="I70" i="7"/>
  <c r="I72" i="7" s="1"/>
  <c r="W22" i="7"/>
  <c r="W35" i="7" s="1"/>
  <c r="Y15" i="7"/>
  <c r="W9" i="7"/>
  <c r="Y8" i="7"/>
  <c r="AC53" i="7" l="1"/>
  <c r="AA58" i="7"/>
  <c r="AB59" i="15"/>
  <c r="AB76" i="15" s="1"/>
  <c r="AB77" i="15" s="1"/>
  <c r="AB78" i="15" s="1"/>
  <c r="U5" i="7"/>
  <c r="W4" i="7"/>
  <c r="Q49" i="7"/>
  <c r="Q45" i="7"/>
  <c r="M62" i="7"/>
  <c r="M74" i="7" s="1"/>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O74" i="7" s="1"/>
  <c r="Q60" i="7"/>
  <c r="Q48" i="7"/>
  <c r="Q47" i="7"/>
  <c r="S49" i="7"/>
  <c r="S45" i="7"/>
  <c r="AC15" i="7"/>
  <c r="AA22" i="7"/>
  <c r="AA35" i="7" s="1"/>
  <c r="AC8" i="7"/>
  <c r="AA9" i="7"/>
  <c r="AG53" i="7" l="1"/>
  <c r="AG58" i="7" s="1"/>
  <c r="AE58" i="7"/>
  <c r="P205" i="3"/>
  <c r="AA4" i="7"/>
  <c r="Y5" i="7"/>
  <c r="Y6" i="7"/>
  <c r="W7" i="7"/>
  <c r="W11" i="7" s="1"/>
  <c r="W37" i="7" s="1"/>
  <c r="U45" i="7"/>
  <c r="U49" i="7"/>
  <c r="Q62" i="7"/>
  <c r="Q74" i="7" s="1"/>
  <c r="S48" i="7"/>
  <c r="S47" i="7"/>
  <c r="S60" i="7"/>
  <c r="O70" i="7"/>
  <c r="O72" i="7" s="1"/>
  <c r="AE15" i="7"/>
  <c r="AC22" i="7"/>
  <c r="AC35" i="7" s="1"/>
  <c r="AC9" i="7"/>
  <c r="AE8" i="7"/>
  <c r="AA5" i="7" l="1"/>
  <c r="AC4" i="7"/>
  <c r="S62" i="7"/>
  <c r="S74" i="7" s="1"/>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74" i="7" s="1"/>
  <c r="Y49" i="7"/>
  <c r="Y45" i="7"/>
  <c r="W60" i="7"/>
  <c r="W47" i="7"/>
  <c r="W48" i="7"/>
  <c r="AE5" i="7" l="1"/>
  <c r="AG4" i="7"/>
  <c r="AG5" i="7" s="1"/>
  <c r="AA45" i="7"/>
  <c r="AA49" i="7"/>
  <c r="U70" i="7"/>
  <c r="U72" i="7" s="1"/>
  <c r="W62" i="7"/>
  <c r="W74" i="7" s="1"/>
  <c r="Y47" i="7"/>
  <c r="Y48" i="7"/>
  <c r="Y60" i="7"/>
  <c r="Y62" i="7" s="1"/>
  <c r="AE6" i="7"/>
  <c r="AC7" i="7"/>
  <c r="AC11" i="7" s="1"/>
  <c r="AC37" i="7" s="1"/>
  <c r="Y74" i="7" l="1"/>
  <c r="Y66" i="7"/>
  <c r="Y67" i="7"/>
  <c r="W70" i="7"/>
  <c r="W72" i="7" s="1"/>
  <c r="AA60" i="7"/>
  <c r="AA62" i="7" s="1"/>
  <c r="AA47" i="7"/>
  <c r="AA48" i="7"/>
  <c r="AC45" i="7"/>
  <c r="AC49" i="7"/>
  <c r="AE7" i="7"/>
  <c r="AE11" i="7" s="1"/>
  <c r="AE37" i="7" s="1"/>
  <c r="AG6" i="7"/>
  <c r="AA74" i="7" l="1"/>
  <c r="AA67" i="7"/>
  <c r="AA66" i="7"/>
  <c r="Y70" i="7"/>
  <c r="Y72" i="7" s="1"/>
  <c r="AG7" i="7"/>
  <c r="AG11" i="7" s="1"/>
  <c r="AG37" i="7" s="1"/>
  <c r="AE49" i="7"/>
  <c r="AE45" i="7"/>
  <c r="AC60" i="7"/>
  <c r="AC62" i="7" s="1"/>
  <c r="AC48" i="7"/>
  <c r="AC47" i="7"/>
  <c r="AC74" i="7" l="1"/>
  <c r="AC67" i="7"/>
  <c r="AC66" i="7"/>
  <c r="AA70" i="7"/>
  <c r="AA72" i="7" s="1"/>
  <c r="AE47" i="7"/>
  <c r="AE60" i="7"/>
  <c r="AE48" i="7"/>
  <c r="AG49" i="7"/>
  <c r="AG45" i="7"/>
  <c r="AE74" i="7" l="1"/>
  <c r="AE67" i="7"/>
  <c r="AE66" i="7"/>
  <c r="AG48" i="7"/>
  <c r="AG60" i="7"/>
  <c r="AG47" i="7"/>
  <c r="AC70" i="7"/>
  <c r="AC72" i="7" s="1"/>
  <c r="AG67" i="7" l="1"/>
  <c r="AG66" i="7"/>
  <c r="AG74" i="7"/>
  <c r="AE70" i="7"/>
  <c r="AE72" i="7" s="1"/>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<sst xmlns="http://schemas.openxmlformats.org/spreadsheetml/2006/main" count="5322" uniqueCount="2801">
  <si>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</si>
  <si>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</si>
  <si>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</si>
  <si>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</si>
  <si>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</si>
  <si>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</si>
  <si>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</si>
  <si>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</si>
  <si>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</si>
  <si>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</si>
  <si>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</si>
  <si>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</si>
  <si>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</si>
  <si>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</si>
  <si>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</si>
  <si>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</si>
  <si>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</si>
  <si>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</si>
  <si>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</si>
  <si>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</si>
  <si>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</si>
  <si>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</si>
  <si>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</si>
  <si>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</si>
  <si>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</si>
  <si>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</si>
  <si>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</si>
  <si>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</si>
  <si>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</si>
  <si>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</si>
  <si>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</si>
  <si>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</si>
  <si>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</si>
  <si>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</si>
  <si>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</si>
  <si>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</si>
  <si>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</si>
  <si>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</si>
  <si>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</si>
  <si>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</si>
  <si>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</si>
  <si>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</si>
  <si>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</si>
  <si>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</si>
  <si>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</si>
  <si>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</si>
  <si>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</si>
  <si>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</si>
  <si>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</si>
  <si>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</si>
  <si>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</si>
  <si>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</si>
  <si>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</si>
  <si>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</si>
  <si>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</si>
  <si>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</si>
  <si>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</si>
  <si>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</si>
  <si>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</si>
  <si>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</si>
  <si>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</si>
  <si>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</si>
  <si>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</si>
  <si>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</si>
  <si>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</si>
  <si>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</si>
  <si>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</si>
  <si>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</si>
  <si>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</si>
  <si>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</si>
  <si>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</si>
  <si>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</si>
  <si>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</si>
  <si>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</si>
  <si>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</si>
  <si>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</si>
  <si>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</si>
  <si>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</si>
  <si>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</si>
  <si>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</si>
  <si>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</si>
  <si>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</si>
  <si>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</si>
  <si>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</si>
  <si>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</si>
  <si>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</si>
  <si>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</si>
  <si>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</si>
  <si>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</si>
  <si>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</si>
  <si>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</si>
  <si>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</si>
  <si>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</si>
  <si>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</si>
  <si>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</si>
  <si>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</si>
  <si>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</si>
  <si>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</si>
  <si>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</si>
  <si>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</si>
  <si>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</si>
  <si>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</si>
  <si>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</si>
  <si>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</si>
  <si>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</si>
  <si>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</si>
  <si>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</si>
  <si>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</si>
  <si>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</si>
  <si>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</si>
  <si>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</si>
  <si>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</si>
  <si>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</si>
  <si>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</si>
  <si>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</si>
  <si>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</si>
  <si>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</si>
  <si>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</si>
  <si>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</si>
  <si>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</si>
  <si>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</si>
  <si>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</si>
  <si>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</si>
  <si>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</si>
  <si>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</si>
  <si>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</si>
  <si>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</si>
  <si>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</si>
  <si>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</si>
  <si>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</si>
  <si>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</si>
  <si>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</si>
  <si>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</si>
  <si>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</si>
  <si>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</si>
  <si>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</si>
  <si>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</si>
  <si>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</si>
  <si>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</si>
  <si>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</si>
  <si>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</si>
  <si>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</si>
  <si>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</si>
  <si>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</si>
  <si>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</si>
  <si>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</si>
  <si>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</si>
  <si>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</si>
  <si>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</si>
  <si>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</si>
  <si>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</si>
  <si>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</si>
  <si>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</si>
  <si>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</si>
  <si>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</si>
  <si>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</si>
  <si>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</si>
  <si>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</si>
  <si>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</si>
  <si>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</si>
  <si>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</si>
  <si>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</si>
  <si>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</si>
  <si>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</si>
  <si>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</si>
  <si>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</si>
  <si>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</si>
  <si>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</si>
  <si>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</si>
  <si>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</si>
  <si>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</si>
  <si>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</si>
  <si>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</si>
  <si>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</si>
  <si>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</si>
  <si>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</si>
  <si>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</si>
  <si>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</si>
  <si>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</si>
  <si>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</si>
  <si>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</si>
  <si>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</si>
  <si>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</si>
  <si>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</si>
  <si>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</si>
  <si>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</si>
  <si>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</si>
  <si>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</si>
  <si>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</si>
  <si>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</si>
  <si>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</si>
  <si>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</si>
  <si>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</si>
  <si>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</si>
  <si>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</si>
  <si>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</si>
  <si>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</si>
  <si>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</si>
  <si>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</si>
  <si>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</si>
  <si>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</si>
  <si>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</si>
  <si>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</si>
  <si>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</si>
  <si>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</si>
  <si>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</si>
  <si>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</si>
  <si>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</si>
  <si>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</si>
  <si>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</si>
  <si>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</si>
  <si>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</si>
  <si>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</si>
  <si>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</si>
  <si>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</si>
  <si>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</si>
  <si>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</si>
  <si>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</si>
  <si>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</si>
  <si>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</si>
  <si>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</si>
  <si>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</si>
  <si>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</si>
  <si>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</si>
  <si>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</si>
  <si>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</si>
  <si>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</si>
  <si>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</si>
  <si>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</si>
  <si>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</si>
  <si>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</si>
  <si>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</si>
  <si>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</si>
  <si>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</si>
  <si>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</si>
  <si>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</si>
  <si>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</si>
  <si>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</si>
  <si>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</si>
  <si>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</si>
  <si>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</si>
  <si>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</si>
  <si>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</si>
  <si>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</si>
  <si>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</si>
  <si>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</si>
  <si>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</si>
  <si>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</si>
  <si>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</si>
  <si>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</si>
  <si>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</si>
  <si>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</si>
  <si>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</si>
  <si>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</si>
  <si>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</si>
  <si>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</si>
  <si>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</si>
  <si>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</si>
  <si>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</si>
  <si>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</si>
  <si>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</si>
  <si>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</si>
  <si>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</si>
  <si>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</si>
  <si>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</si>
  <si>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</si>
  <si>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</si>
  <si>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</si>
  <si>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</si>
  <si>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</si>
  <si>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</si>
  <si>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</si>
  <si>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</si>
  <si>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</si>
  <si>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</si>
  <si>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</si>
  <si>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</si>
  <si>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</si>
  <si>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</si>
  <si>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</si>
  <si>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</si>
  <si>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</si>
  <si>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</si>
  <si>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</si>
  <si>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</si>
  <si>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</si>
  <si>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</si>
  <si>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</si>
  <si>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</si>
  <si>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</si>
  <si>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</si>
  <si>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</si>
  <si>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</si>
  <si>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</si>
  <si>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</si>
  <si>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</si>
  <si>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</si>
  <si>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</si>
  <si>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</si>
  <si>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</si>
  <si>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</si>
  <si>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</si>
  <si>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</si>
  <si>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</si>
  <si>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</si>
  <si>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</si>
  <si>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</si>
  <si>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</si>
  <si>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</si>
  <si>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</si>
  <si>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</si>
  <si>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</si>
  <si>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</si>
  <si>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</si>
  <si>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</si>
  <si>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</si>
  <si>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</si>
  <si>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</si>
  <si>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</si>
  <si>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</si>
  <si>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</si>
  <si>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</si>
  <si>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</si>
  <si>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</si>
  <si>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</si>
  <si>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</si>
  <si>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</si>
  <si>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</si>
  <si>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</si>
  <si>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</si>
  <si>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</si>
  <si>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</si>
  <si>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</si>
  <si>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</si>
  <si>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</si>
  <si>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</si>
  <si>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</si>
  <si>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</si>
  <si>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</si>
  <si>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</si>
  <si>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</si>
  <si>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</si>
  <si>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</si>
  <si>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</si>
  <si>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</si>
  <si>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</si>
  <si>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</si>
  <si>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</si>
  <si>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</si>
  <si>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</si>
  <si>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</si>
  <si>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</si>
  <si>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</si>
  <si>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</si>
  <si>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</si>
  <si>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</si>
  <si>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</si>
  <si>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</si>
  <si>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</si>
  <si>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</si>
  <si>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</si>
  <si>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</si>
  <si>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</si>
  <si>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</si>
  <si>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</si>
  <si>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</si>
  <si>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</si>
  <si>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</si>
  <si>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</si>
  <si>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</si>
  <si>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</si>
  <si>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</si>
  <si>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</si>
  <si>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</si>
  <si>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</si>
  <si>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</si>
  <si>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</si>
  <si>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</si>
  <si>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</si>
  <si>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</si>
  <si>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</si>
  <si>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</si>
  <si>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</si>
  <si>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</si>
  <si>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</si>
  <si>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</si>
  <si>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</si>
  <si>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</si>
  <si>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</si>
  <si>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</si>
  <si>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</si>
  <si>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</si>
  <si>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</si>
  <si>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</si>
  <si>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</si>
  <si>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</si>
  <si>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</si>
  <si>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</si>
  <si>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</si>
  <si>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</si>
  <si>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</si>
  <si>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</si>
  <si>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</si>
  <si>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</si>
  <si>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</si>
  <si>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</si>
  <si>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</si>
  <si>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</si>
  <si>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</si>
  <si>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</si>
  <si>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</si>
  <si>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</si>
  <si>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</si>
  <si>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</si>
  <si>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</si>
  <si>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</si>
  <si>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</si>
  <si>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</si>
  <si>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</si>
  <si>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</si>
  <si>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</si>
  <si>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</si>
  <si>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</si>
  <si>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</si>
  <si>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</si>
  <si>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</si>
  <si>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</si>
  <si>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</si>
  <si>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</si>
  <si>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</si>
  <si>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</si>
  <si>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</si>
  <si>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</si>
  <si>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</si>
  <si>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</si>
  <si>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</si>
  <si>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</si>
  <si>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</si>
  <si>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</si>
  <si>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</si>
  <si>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</si>
  <si>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</si>
  <si>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</si>
  <si>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</si>
  <si>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</si>
  <si>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</si>
  <si>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</si>
  <si>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</si>
  <si>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</si>
  <si>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</si>
  <si>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</si>
  <si>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</si>
  <si>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</si>
  <si>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</si>
  <si>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</si>
  <si>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</si>
  <si>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</si>
  <si>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</si>
  <si>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</si>
  <si>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</si>
  <si>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</si>
  <si>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</si>
  <si>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</si>
  <si>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</si>
  <si>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</si>
  <si>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</si>
  <si>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</si>
  <si>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</si>
  <si>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</si>
  <si>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</si>
  <si>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</si>
  <si>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</si>
  <si>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</si>
  <si>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</si>
  <si>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</si>
  <si>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</si>
  <si>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</si>
  <si>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</si>
  <si>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</si>
  <si>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</si>
  <si>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</si>
  <si>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</si>
  <si>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</si>
  <si>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</si>
  <si>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</si>
  <si>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</si>
  <si>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</si>
  <si>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</si>
  <si>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</si>
  <si>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</si>
  <si>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</si>
  <si>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</si>
  <si>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</si>
  <si>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</si>
  <si>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</si>
  <si>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</si>
  <si>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</si>
  <si>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</si>
  <si>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</si>
  <si>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</si>
  <si>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</si>
  <si>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</si>
  <si>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</si>
  <si>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</si>
  <si>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</si>
  <si>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</si>
  <si>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</si>
  <si>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</si>
  <si>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</si>
  <si>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</si>
  <si>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</si>
  <si>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</si>
  <si>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</si>
  <si>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</si>
  <si>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</si>
  <si>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</si>
  <si>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</si>
  <si>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</si>
  <si>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</si>
  <si>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</si>
  <si>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</si>
  <si>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</si>
  <si>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</si>
  <si>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</si>
  <si>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</si>
  <si>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</si>
  <si>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</si>
  <si>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</si>
  <si>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</si>
  <si>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</si>
  <si>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</si>
  <si>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</si>
  <si>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</si>
  <si>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</si>
  <si>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</si>
  <si>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</si>
  <si>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</si>
  <si>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</si>
  <si>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</si>
  <si>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</si>
  <si>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</si>
  <si>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</si>
  <si>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</si>
  <si>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</si>
  <si>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</si>
  <si>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</si>
  <si>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</si>
  <si>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</si>
  <si>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</si>
  <si>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</si>
  <si>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</si>
  <si>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</si>
  <si>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</si>
  <si>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</si>
  <si>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</si>
  <si>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</si>
  <si>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</si>
  <si>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</si>
  <si>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</si>
  <si>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</si>
  <si>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</si>
  <si>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</si>
  <si>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</si>
  <si>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</si>
  <si>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</si>
  <si>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</si>
  <si>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</si>
  <si>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</si>
  <si>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</si>
  <si>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</si>
  <si>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</si>
  <si>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</si>
  <si>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</si>
  <si>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</si>
  <si>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</si>
  <si>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</si>
  <si>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</si>
  <si>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</si>
  <si>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</si>
  <si>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</si>
  <si>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</si>
  <si>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</si>
  <si>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</si>
  <si>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</si>
  <si>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</si>
  <si>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</si>
  <si>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</si>
  <si>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</si>
  <si>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</si>
  <si>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</si>
  <si>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</si>
  <si>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</si>
  <si>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</si>
  <si>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</si>
  <si>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</si>
  <si>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</si>
  <si>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</si>
  <si>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</si>
  <si>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</si>
  <si>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</si>
  <si>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</si>
  <si>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</si>
  <si>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</si>
  <si>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</si>
  <si>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</si>
  <si>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</si>
  <si>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</si>
  <si>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</si>
  <si>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</si>
  <si>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</si>
  <si>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</si>
  <si>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</si>
  <si>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</si>
  <si>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</si>
  <si>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</si>
  <si>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</si>
  <si>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</si>
  <si>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</si>
  <si>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</si>
  <si>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</si>
  <si>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</si>
  <si>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</si>
  <si>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</si>
  <si>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</si>
  <si>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</si>
  <si>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</si>
  <si>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</si>
  <si>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</si>
  <si>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</si>
  <si>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</si>
  <si>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</si>
  <si>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</si>
  <si>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</si>
  <si>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</si>
  <si>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</si>
  <si>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</si>
  <si>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</si>
  <si>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</si>
  <si>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</si>
  <si>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</si>
  <si>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</si>
  <si>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</si>
  <si>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</si>
  <si>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</si>
  <si>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</si>
  <si>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</si>
  <si>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</si>
  <si>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</si>
  <si>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</si>
  <si>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</si>
  <si>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</si>
  <si>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</si>
  <si>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</si>
  <si>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</si>
  <si>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</si>
  <si>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</si>
  <si>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</si>
  <si>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</si>
  <si>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</si>
  <si>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</si>
  <si>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</si>
  <si>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</si>
  <si>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</si>
  <si>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</si>
  <si>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</si>
  <si>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</si>
  <si>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</si>
  <si>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</si>
  <si>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</si>
  <si>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</si>
  <si>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</si>
  <si>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</si>
  <si>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</si>
  <si>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</si>
  <si>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</si>
  <si>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</si>
  <si>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</si>
  <si>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</si>
  <si>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</si>
  <si>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</si>
  <si>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</si>
  <si>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</si>
  <si>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</si>
  <si>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</si>
  <si>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</si>
  <si>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</si>
  <si>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</si>
  <si>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</si>
  <si>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</si>
  <si>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</si>
  <si>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</si>
  <si>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</si>
  <si>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</si>
  <si>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</si>
  <si>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</si>
  <si>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</si>
  <si>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</si>
  <si>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</si>
  <si>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</si>
  <si>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</si>
  <si>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</si>
  <si>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</si>
  <si>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</si>
  <si>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</si>
  <si>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</si>
  <si>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</si>
  <si>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</si>
  <si>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</si>
  <si>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</si>
  <si>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</si>
  <si>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</si>
  <si>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</si>
  <si>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</si>
  <si>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</si>
  <si>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</si>
  <si>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</si>
  <si>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</si>
  <si>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</si>
  <si>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</si>
  <si>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</si>
  <si>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</si>
  <si>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</si>
  <si>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</si>
  <si>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</si>
  <si>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</si>
  <si>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</si>
  <si>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</si>
  <si>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</si>
  <si>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</si>
  <si>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</si>
  <si>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</si>
  <si>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</si>
  <si>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</si>
  <si>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</si>
  <si>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</si>
  <si>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</si>
  <si>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</si>
  <si>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</si>
  <si>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</si>
  <si>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</si>
  <si>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</si>
  <si>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</si>
  <si>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</si>
  <si>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</si>
  <si>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</si>
  <si>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</si>
  <si>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</si>
  <si>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</si>
  <si>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</si>
  <si>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</si>
  <si>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</si>
  <si>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</si>
  <si>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</si>
  <si>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</si>
  <si>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</si>
  <si>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</si>
  <si>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</si>
  <si>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</si>
  <si>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</si>
  <si>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</si>
  <si>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</si>
  <si>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</si>
  <si>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</si>
  <si>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</si>
  <si>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</si>
  <si>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</si>
  <si>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</si>
  <si>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</si>
  <si>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</si>
  <si>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</si>
  <si>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</si>
  <si>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</si>
  <si>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</si>
  <si>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</si>
  <si>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</si>
  <si>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</si>
  <si>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</si>
  <si>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</si>
  <si>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</si>
  <si>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</si>
  <si>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</si>
  <si>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</si>
  <si>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</si>
  <si>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</si>
  <si>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</si>
  <si>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</si>
  <si>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</si>
  <si>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</si>
  <si>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</si>
  <si>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</si>
  <si>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</si>
  <si>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</si>
  <si>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</si>
  <si>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</si>
  <si>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</si>
  <si>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</si>
  <si>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</si>
  <si>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</si>
  <si>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</si>
  <si>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</si>
  <si>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</si>
  <si>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</si>
  <si>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</si>
  <si>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</si>
  <si>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</si>
  <si>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</si>
  <si>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</si>
  <si>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</si>
  <si>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</si>
  <si>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</si>
  <si>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</si>
  <si>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</si>
  <si>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</si>
  <si>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</si>
  <si>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</si>
  <si>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</si>
  <si>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</si>
  <si>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</si>
  <si>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</si>
  <si>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</si>
  <si>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</si>
  <si>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</si>
  <si>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</si>
  <si>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</si>
  <si>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</si>
  <si>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</si>
  <si>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</si>
  <si>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</si>
  <si>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</si>
  <si>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</si>
  <si>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</si>
  <si>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</si>
  <si>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</si>
  <si>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</si>
  <si>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</si>
  <si>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</si>
  <si>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</si>
  <si>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</si>
  <si>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</si>
  <si>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</si>
  <si>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</si>
  <si>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</si>
  <si>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</si>
  <si>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</si>
  <si>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</si>
  <si>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</si>
  <si>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</si>
  <si>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</si>
  <si>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</si>
  <si>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</si>
  <si>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</si>
  <si>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</si>
  <si>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</si>
  <si>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</si>
  <si>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</si>
  <si>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</si>
  <si>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</si>
  <si>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</si>
  <si>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</si>
  <si>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</si>
  <si>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</si>
  <si>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</si>
  <si>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</si>
  <si>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</si>
  <si>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</si>
  <si>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</si>
  <si>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</si>
  <si>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</si>
  <si>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</si>
  <si>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</si>
  <si>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</si>
  <si>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</si>
  <si>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</si>
  <si>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</si>
  <si>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</si>
  <si>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</si>
  <si>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</si>
  <si>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</si>
  <si>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</si>
  <si>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</si>
  <si>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</si>
  <si>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</si>
  <si>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</si>
  <si>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</si>
  <si>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</si>
  <si>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</si>
  <si>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</si>
  <si>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</si>
  <si>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</si>
  <si>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</si>
  <si>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</si>
  <si>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</si>
  <si>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</si>
  <si>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</si>
  <si>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</si>
  <si>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</si>
  <si>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</si>
  <si>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</si>
  <si>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</si>
  <si>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</si>
  <si>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</si>
  <si>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</si>
  <si>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</si>
  <si>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</si>
  <si>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</si>
  <si>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</si>
  <si>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</si>
  <si>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</si>
  <si>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</si>
  <si>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</si>
  <si>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</si>
  <si>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</si>
  <si>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</si>
  <si>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</si>
  <si>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</si>
  <si>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</si>
  <si>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</si>
  <si>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</si>
  <si>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</si>
  <si>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</si>
  <si>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</si>
  <si>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</si>
  <si>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</si>
  <si>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</si>
  <si>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</si>
  <si>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</si>
  <si>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</si>
  <si>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</si>
  <si>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</si>
  <si>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</si>
  <si>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</si>
  <si>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</si>
  <si>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</si>
  <si>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</si>
  <si>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</si>
  <si>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</si>
  <si>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</si>
  <si>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</si>
  <si>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</si>
  <si>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</si>
  <si>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</si>
  <si>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</si>
  <si>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</si>
  <si>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</si>
  <si>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</si>
  <si>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</si>
  <si>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</si>
  <si>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</si>
  <si>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</si>
  <si>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</si>
  <si>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</si>
  <si>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</si>
  <si>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</si>
  <si>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</si>
  <si>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</si>
  <si>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</si>
  <si>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</si>
  <si>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</si>
  <si>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</si>
  <si>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</si>
  <si>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</si>
  <si>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</si>
  <si>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</si>
  <si>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</si>
  <si>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</si>
  <si>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</si>
  <si>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</si>
  <si>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</si>
  <si>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</si>
  <si>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</si>
  <si>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</si>
  <si>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</si>
  <si>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</si>
  <si>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</si>
  <si>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</si>
  <si>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</si>
  <si>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</si>
  <si>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</si>
  <si>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</si>
  <si>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</si>
  <si>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</si>
  <si>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</si>
  <si>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</si>
  <si>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</si>
  <si>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</si>
  <si>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</si>
  <si>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</si>
  <si>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</si>
  <si>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</si>
  <si>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</si>
  <si>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</si>
  <si>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</si>
  <si>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</si>
  <si>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</si>
  <si>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</si>
  <si>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</si>
  <si>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</si>
  <si>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</si>
  <si>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</si>
  <si>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</si>
  <si>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</si>
  <si>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</si>
  <si>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</si>
  <si>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</si>
  <si>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</si>
  <si>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</si>
  <si>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</si>
  <si>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</si>
  <si>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</si>
  <si>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</si>
  <si>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</si>
  <si>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</si>
  <si>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</si>
  <si>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</si>
  <si>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</si>
  <si>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</si>
  <si>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</si>
  <si>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</si>
  <si>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</si>
  <si>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</si>
  <si>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</si>
  <si>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</si>
  <si>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</si>
  <si>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</si>
  <si>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</si>
  <si>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</si>
  <si>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</si>
  <si>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</si>
  <si>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</si>
  <si>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</si>
  <si>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</si>
  <si>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</si>
  <si>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</si>
  <si>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</si>
  <si>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</si>
  <si>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</si>
  <si>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</si>
  <si>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</si>
  <si>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</si>
  <si>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</si>
  <si>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</si>
  <si>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</si>
  <si>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</si>
  <si>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</si>
  <si>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</si>
  <si>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</si>
  <si>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</si>
  <si>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</si>
  <si>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</si>
  <si>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</si>
  <si>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</si>
  <si>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</si>
  <si>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</si>
  <si>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</si>
  <si>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</si>
  <si>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</si>
  <si>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</si>
  <si>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</si>
  <si>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</si>
  <si>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</si>
  <si>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</si>
  <si>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</si>
  <si>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</si>
  <si>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</si>
  <si>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</si>
  <si>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</si>
  <si>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</si>
  <si>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</si>
  <si>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</si>
  <si>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</si>
  <si>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</si>
  <si>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</si>
  <si>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</si>
  <si>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</si>
  <si>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</si>
  <si>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</si>
  <si>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</si>
  <si>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</si>
  <si>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</si>
  <si>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</si>
  <si>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</si>
  <si>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</si>
  <si>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</si>
  <si>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</si>
  <si>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</si>
  <si>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</si>
  <si>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</si>
  <si>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</si>
  <si>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</si>
  <si>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</si>
  <si>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</si>
  <si>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</si>
  <si>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</si>
  <si>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</si>
  <si>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</si>
  <si>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</si>
  <si>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</si>
  <si>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</si>
  <si>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</si>
  <si>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</si>
  <si>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</si>
  <si>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</si>
  <si>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</si>
  <si>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</si>
  <si>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</si>
  <si>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</si>
  <si>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</si>
  <si>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</si>
  <si>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</si>
  <si>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</si>
  <si>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</si>
  <si>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</si>
  <si>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</si>
  <si>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</si>
  <si>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</si>
  <si>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</si>
  <si>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</si>
  <si>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</si>
  <si>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</si>
  <si>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</si>
  <si>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</si>
  <si>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</si>
  <si>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</si>
  <si>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</si>
  <si>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</si>
  <si>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</si>
  <si>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</si>
  <si>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</si>
  <si>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</si>
  <si>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</si>
  <si>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</si>
  <si>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</si>
  <si>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</si>
  <si>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</si>
  <si>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</si>
  <si>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</si>
  <si>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</si>
  <si>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</si>
  <si>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</si>
  <si>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</si>
  <si>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</si>
  <si>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</si>
  <si>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</si>
  <si>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</si>
  <si>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</si>
  <si>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</si>
  <si>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</si>
  <si>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</si>
  <si>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</si>
  <si>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</si>
  <si>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</si>
  <si>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</si>
  <si>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</si>
  <si>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</si>
  <si>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</si>
  <si>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</si>
  <si>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</si>
  <si>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</si>
  <si>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</si>
  <si>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</si>
  <si>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</si>
  <si>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</si>
  <si>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</si>
  <si>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</si>
  <si>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</si>
  <si>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</si>
  <si>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</si>
  <si>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</si>
  <si>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</si>
  <si>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</si>
  <si>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</si>
  <si>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</si>
  <si>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</si>
  <si>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</si>
  <si>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</si>
  <si>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</si>
  <si>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</si>
  <si>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</si>
  <si>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</si>
  <si>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</si>
  <si>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</si>
  <si>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</si>
  <si>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</si>
  <si>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</si>
  <si>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</si>
  <si>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</si>
  <si>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</si>
  <si>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</si>
  <si>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</si>
  <si>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</si>
  <si>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</si>
  <si>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</si>
  <si>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</si>
  <si>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</si>
  <si>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</si>
  <si>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</si>
  <si>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</si>
  <si>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</si>
  <si>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</si>
  <si>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</si>
  <si>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</si>
  <si>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</si>
  <si>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</si>
  <si>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</si>
  <si>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</si>
  <si>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</si>
  <si>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</si>
  <si>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</si>
  <si>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</si>
  <si>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</si>
  <si>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</si>
  <si>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</si>
  <si>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</si>
  <si>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</si>
  <si>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</si>
  <si>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</si>
  <si>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</si>
  <si>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</si>
  <si>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</si>
  <si>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</si>
  <si>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</si>
  <si>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</si>
  <si>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</si>
  <si>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</si>
  <si>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</si>
  <si>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</si>
  <si>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</si>
  <si>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</si>
  <si>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</si>
  <si>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</si>
  <si>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</si>
  <si>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</si>
  <si>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</si>
  <si>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</si>
  <si>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</si>
  <si>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</si>
  <si>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</si>
  <si>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</si>
  <si>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</si>
  <si>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</si>
  <si>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</si>
  <si>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</si>
  <si>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</si>
  <si>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</si>
  <si>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</si>
  <si>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</si>
  <si>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</si>
  <si>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</si>
  <si>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</si>
  <si>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</si>
  <si>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</si>
  <si>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</si>
  <si>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</si>
  <si>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</si>
  <si>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</si>
  <si>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</si>
  <si>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</si>
  <si>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</si>
  <si>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</si>
  <si>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</si>
  <si>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</si>
  <si>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</si>
  <si>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</si>
  <si>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</si>
  <si>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</si>
  <si>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</si>
  <si>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</si>
  <si>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</si>
  <si>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</si>
  <si>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</si>
  <si>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</si>
  <si>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</si>
  <si>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</si>
  <si>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</si>
  <si>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</si>
  <si>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</si>
  <si>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</si>
  <si>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</si>
  <si>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</si>
  <si>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</si>
  <si>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</si>
  <si>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</si>
  <si>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</si>
  <si>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</si>
  <si>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</si>
  <si>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</si>
  <si>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</si>
  <si>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</si>
  <si>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</si>
  <si>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</si>
  <si>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</si>
  <si>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</si>
  <si>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</si>
  <si>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</si>
  <si>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</si>
  <si>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</si>
  <si>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</si>
  <si>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</si>
  <si>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</si>
  <si>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</si>
  <si>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</si>
  <si>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</si>
  <si>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</si>
  <si>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</si>
  <si>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</si>
  <si>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</si>
  <si>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</si>
  <si>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</si>
  <si>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</si>
  <si>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</si>
  <si>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</si>
  <si>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</si>
  <si>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</si>
  <si>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</si>
  <si>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</si>
  <si>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</si>
  <si>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</si>
  <si>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</si>
  <si>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</si>
  <si>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</si>
  <si>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</si>
  <si>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</si>
  <si>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</si>
  <si>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</si>
  <si>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</si>
  <si>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</si>
  <si>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</si>
  <si>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</si>
  <si>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</si>
  <si>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</si>
  <si>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</si>
  <si>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</si>
  <si>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</si>
  <si>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</si>
  <si>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</si>
  <si>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</si>
  <si>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</si>
  <si>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</si>
  <si>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</si>
  <si>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</si>
  <si>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</si>
  <si>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</si>
  <si>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</si>
  <si>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</si>
  <si>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</si>
  <si>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</si>
  <si>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</si>
  <si>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</si>
  <si>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</si>
  <si>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</si>
  <si>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</si>
  <si>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</si>
  <si>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</si>
  <si>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</si>
  <si>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</si>
  <si>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</si>
  <si>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</si>
  <si>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</si>
  <si>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</si>
  <si>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</si>
  <si>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</si>
  <si>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</si>
  <si>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</si>
  <si>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</si>
  <si>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</si>
  <si>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</si>
  <si>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</si>
  <si>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</si>
  <si>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</si>
  <si>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</si>
  <si>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</si>
  <si>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</si>
  <si>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</si>
  <si>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</si>
  <si>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</si>
  <si>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</si>
  <si>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</si>
  <si>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</si>
  <si>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</si>
  <si>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</si>
  <si>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</si>
  <si>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</si>
  <si>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</si>
  <si>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</si>
  <si>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</si>
  <si>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</si>
  <si>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</si>
  <si>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</si>
  <si>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</si>
  <si>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</si>
  <si>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</si>
  <si>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</si>
  <si>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</si>
  <si>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</si>
  <si>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</si>
  <si>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</si>
  <si>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</si>
  <si>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</si>
  <si>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</si>
  <si>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</si>
  <si>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</si>
  <si>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</si>
  <si>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</si>
  <si>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</si>
  <si>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</si>
  <si>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</si>
  <si>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</si>
  <si>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</si>
  <si>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</si>
  <si>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</si>
  <si>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</si>
  <si>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</si>
  <si>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</si>
  <si>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</si>
  <si>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</si>
  <si>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</si>
  <si>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</si>
  <si>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</si>
  <si>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</si>
  <si>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</si>
  <si>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</si>
  <si>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</si>
  <si>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</si>
  <si>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</si>
  <si>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</si>
  <si>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</si>
  <si>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</si>
  <si>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</si>
  <si>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</si>
  <si>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</si>
  <si>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</si>
  <si>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</si>
  <si>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</si>
  <si>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</si>
  <si>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</si>
  <si>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</si>
  <si>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</si>
  <si>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</si>
  <si>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</si>
  <si>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</si>
  <si>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</si>
  <si>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</si>
  <si>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</si>
  <si>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</si>
  <si>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</si>
  <si>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</si>
  <si>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</si>
  <si>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</si>
  <si>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</si>
  <si>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</si>
  <si>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</si>
  <si>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</si>
  <si>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</si>
  <si>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</si>
  <si>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</si>
  <si>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</si>
  <si>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</si>
  <si>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</si>
  <si>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</si>
  <si>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</si>
  <si>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</si>
  <si>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</si>
  <si>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</si>
  <si>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</si>
  <si>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</si>
  <si>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</si>
  <si>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</si>
  <si>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</si>
  <si>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</si>
  <si>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</si>
  <si>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</si>
  <si>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</si>
  <si>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</si>
  <si>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</si>
  <si>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</si>
  <si>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</si>
  <si>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</si>
  <si>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</si>
  <si>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</si>
  <si>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</si>
  <si>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</si>
  <si>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</si>
  <si>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</si>
  <si>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</si>
  <si>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</si>
  <si>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</si>
  <si>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</si>
  <si>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</si>
  <si>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</si>
  <si>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</si>
  <si>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</si>
  <si>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</si>
  <si>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</si>
  <si>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</si>
  <si>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</si>
  <si>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</si>
  <si>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</si>
  <si>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</si>
  <si>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</si>
  <si>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</si>
  <si>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</si>
  <si>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</si>
  <si>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</si>
  <si>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</si>
  <si>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</si>
  <si>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</si>
  <si>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</si>
  <si>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</si>
  <si>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</si>
  <si>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</si>
  <si>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</si>
  <si>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</si>
  <si>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</si>
  <si>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</si>
  <si>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</si>
  <si>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</si>
  <si>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</si>
  <si>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</si>
  <si>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</si>
  <si>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</si>
  <si>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</si>
  <si>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</si>
  <si>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</si>
  <si>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</si>
  <si>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</si>
  <si>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</si>
  <si>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</si>
  <si>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</si>
  <si>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</si>
  <si>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</si>
  <si>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</si>
  <si>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</si>
  <si>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</si>
  <si>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</si>
  <si>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</si>
  <si>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</si>
  <si>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</si>
  <si>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</si>
  <si>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</si>
  <si>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</si>
  <si>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</si>
  <si>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</si>
  <si>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</si>
  <si>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</si>
  <si>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</si>
  <si>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</si>
  <si>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</si>
  <si>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</si>
  <si>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</si>
  <si>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</si>
  <si>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</si>
  <si>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</si>
  <si>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</si>
  <si>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</si>
  <si>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</si>
  <si>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</si>
  <si>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</si>
  <si>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</si>
  <si>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</si>
  <si>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</si>
  <si>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</si>
  <si>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</si>
  <si>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</si>
  <si>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</si>
  <si>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</si>
  <si>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</si>
  <si>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</si>
  <si>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</si>
  <si>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</si>
  <si>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</si>
  <si>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</si>
  <si>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</si>
  <si>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</si>
  <si>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</si>
  <si>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</si>
  <si>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</si>
  <si>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</si>
  <si>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</si>
  <si>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</si>
  <si>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</si>
  <si>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</si>
  <si>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</si>
  <si>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</si>
  <si>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</si>
  <si>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</si>
  <si>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</si>
  <si>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</si>
  <si>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</si>
  <si>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</si>
  <si>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</si>
  <si>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</si>
  <si>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</si>
  <si>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</si>
  <si>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</si>
  <si>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</si>
  <si>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</si>
  <si>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</si>
  <si>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</si>
  <si>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</si>
  <si>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</si>
  <si>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</si>
  <si>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</si>
  <si>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</si>
  <si>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</si>
  <si>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</si>
  <si>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</si>
  <si>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</si>
  <si>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</si>
  <si>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</si>
  <si>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</si>
  <si>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</si>
  <si>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</si>
  <si>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</si>
  <si>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</si>
  <si>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</si>
  <si>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</si>
  <si>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</si>
  <si>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</si>
  <si>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</si>
  <si>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</si>
  <si>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</si>
  <si>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</si>
  <si>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</si>
  <si>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</si>
  <si>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</si>
  <si>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</si>
  <si>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</si>
  <si>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</si>
  <si>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</si>
  <si>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</si>
  <si>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</si>
  <si>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</si>
  <si>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</si>
  <si>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</si>
  <si>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</si>
  <si>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</si>
  <si>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</si>
  <si>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</si>
  <si>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</si>
  <si>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</si>
  <si>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</si>
  <si>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</si>
  <si>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</si>
  <si>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</si>
  <si>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</si>
  <si>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</si>
  <si>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</si>
  <si>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</si>
  <si>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</si>
  <si>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</si>
  <si>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</si>
  <si>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</si>
  <si>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</si>
  <si>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</si>
  <si>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</si>
  <si>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</si>
  <si>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</si>
  <si>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</si>
  <si>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</si>
  <si>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</si>
  <si>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</si>
  <si>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</si>
  <si>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</si>
  <si>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</si>
  <si>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</si>
  <si>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</si>
  <si>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</si>
  <si>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</si>
  <si>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</si>
  <si>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</si>
  <si>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</si>
  <si>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</si>
  <si>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</si>
  <si>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</si>
  <si>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</si>
  <si>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</si>
  <si>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</si>
  <si>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</si>
  <si>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</si>
  <si>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</si>
  <si>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</si>
  <si>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</si>
  <si>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</si>
  <si>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</si>
  <si>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</si>
  <si>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</si>
  <si>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</si>
  <si>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</si>
  <si>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</si>
  <si>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</si>
  <si>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</si>
  <si>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</si>
  <si>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</si>
  <si>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</si>
  <si>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</si>
  <si>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</si>
  <si>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</si>
  <si>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</si>
  <si>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</si>
  <si>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</si>
  <si>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</si>
  <si>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</si>
  <si>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</si>
  <si>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</si>
  <si>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</si>
  <si>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</si>
  <si>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</si>
  <si>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</si>
  <si>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</si>
  <si>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</si>
  <si>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</si>
  <si>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</si>
  <si>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</si>
  <si>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</si>
  <si>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</si>
  <si>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</si>
  <si>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</si>
  <si>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</si>
  <si>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</si>
  <si>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</si>
  <si>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</si>
  <si>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</si>
  <si>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</si>
  <si>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</si>
  <si>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</si>
  <si>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</si>
  <si>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</si>
  <si>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</si>
  <si>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</si>
  <si>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</si>
  <si>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</si>
  <si>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</si>
  <si>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</si>
  <si>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</si>
  <si>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</si>
  <si>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</si>
  <si>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</si>
  <si>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</si>
  <si>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</si>
  <si>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</si>
  <si>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</si>
  <si>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</si>
  <si>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</si>
  <si>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</si>
  <si>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</si>
  <si>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</si>
  <si>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</si>
  <si>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</si>
  <si>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</si>
  <si>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</si>
  <si>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</si>
  <si>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</si>
  <si>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</si>
  <si>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</si>
  <si>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</si>
  <si>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</si>
  <si>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</si>
  <si>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</si>
  <si>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</si>
  <si>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</si>
  <si>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</si>
  <si>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</si>
  <si>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</si>
  <si>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</si>
  <si>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</si>
  <si>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</si>
  <si>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</si>
  <si>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</si>
  <si>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</si>
  <si>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</si>
  <si>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</si>
  <si>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</si>
  <si>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</si>
  <si>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</si>
  <si>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</si>
  <si>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</si>
  <si>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</si>
  <si>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</si>
  <si>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</si>
  <si>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</si>
  <si>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</si>
  <si>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</si>
  <si>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</si>
  <si>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</si>
  <si>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</si>
  <si>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</si>
  <si>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</si>
  <si>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</si>
  <si>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</si>
  <si>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</si>
  <si>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</si>
  <si>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</si>
  <si>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</si>
  <si>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</si>
  <si>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</si>
  <si>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</si>
  <si>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</si>
  <si>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</si>
  <si>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</si>
  <si>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</si>
  <si>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</si>
  <si>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</si>
  <si>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</si>
  <si>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</si>
  <si>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</si>
  <si>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</si>
  <si>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</si>
  <si>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</si>
  <si>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</si>
  <si>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</si>
  <si>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</si>
  <si>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</si>
  <si>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</si>
  <si>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</si>
  <si>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</si>
  <si>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</si>
  <si>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</si>
  <si>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</si>
  <si>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</si>
  <si>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</si>
  <si>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</si>
  <si>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</si>
  <si>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</si>
  <si>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</si>
  <si>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</si>
  <si>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</si>
  <si>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</si>
  <si>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</si>
  <si>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</si>
  <si>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</si>
  <si>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</si>
  <si>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</si>
  <si>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</si>
  <si>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</si>
  <si>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</si>
  <si>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</si>
  <si>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</si>
  <si>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</si>
  <si>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</si>
  <si>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</si>
  <si>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</si>
  <si>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</si>
  <si>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</si>
  <si>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</si>
  <si>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</si>
  <si>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</si>
  <si>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</si>
  <si>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</si>
  <si>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</si>
  <si>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</si>
  <si>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</si>
  <si>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</si>
  <si>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</si>
  <si>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</si>
  <si>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</si>
  <si>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</si>
  <si>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</si>
  <si>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</si>
  <si>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</si>
  <si>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</si>
  <si>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</si>
  <si>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</si>
  <si>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</si>
  <si>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</si>
  <si>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</si>
  <si>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</si>
  <si>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</si>
  <si>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</si>
  <si>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</si>
  <si>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</si>
  <si>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</si>
  <si>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</si>
  <si>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</si>
  <si>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</si>
  <si>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</si>
  <si>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</si>
  <si>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</si>
  <si>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</si>
  <si>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</si>
  <si>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</si>
  <si>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</si>
  <si>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</si>
  <si>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</si>
  <si>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</si>
  <si>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</si>
  <si>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</si>
  <si>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</si>
  <si>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</si>
  <si>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</si>
  <si>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</si>
  <si>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</si>
  <si>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</si>
  <si>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</si>
  <si>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</si>
  <si>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</si>
  <si>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</si>
  <si>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</si>
  <si>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</si>
  <si>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</si>
  <si>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</si>
  <si>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</si>
  <si>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</si>
  <si>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</si>
  <si>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</si>
  <si>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</si>
  <si>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</si>
  <si>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</si>
  <si>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</si>
  <si>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</si>
  <si>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</si>
  <si>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</si>
  <si>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</si>
  <si>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</si>
  <si>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</si>
  <si>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</si>
  <si>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</si>
  <si>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</si>
  <si>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</si>
  <si>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</si>
  <si>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</si>
  <si>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</si>
  <si>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</si>
  <si>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</si>
  <si>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</si>
  <si>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</si>
  <si>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</si>
  <si>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</si>
  <si>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</si>
  <si>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</si>
  <si>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</si>
  <si>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</si>
  <si>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</si>
  <si>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</si>
  <si>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</si>
  <si>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</si>
  <si>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</si>
  <si>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</si>
  <si>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</si>
  <si>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</si>
  <si>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</si>
  <si>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</si>
  <si>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</si>
  <si>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</si>
  <si>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</si>
  <si>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</si>
  <si>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</si>
  <si>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</si>
  <si>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</si>
  <si>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</si>
  <si>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</si>
  <si>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</si>
  <si>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</si>
  <si>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</si>
  <si>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</si>
  <si>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</si>
  <si>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</si>
  <si>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</si>
  <si>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</si>
  <si>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</si>
  <si>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</si>
  <si>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</si>
  <si>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</si>
  <si>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</si>
  <si>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</si>
  <si>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</si>
  <si>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</si>
  <si>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</si>
  <si>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</si>
  <si>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</si>
  <si>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</si>
  <si>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</si>
  <si>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</si>
  <si>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</si>
  <si>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</si>
  <si>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</si>
  <si>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</si>
  <si>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</si>
  <si>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</si>
  <si>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</si>
  <si>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</si>
  <si>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</si>
  <si>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</si>
  <si>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</si>
  <si>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</si>
  <si>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</si>
  <si>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</si>
  <si>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</si>
  <si>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</si>
  <si>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</si>
  <si>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</si>
  <si>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</si>
  <si>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</si>
  <si>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</si>
  <si>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</si>
  <si>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</si>
  <si>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</si>
  <si>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</si>
  <si>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</si>
  <si>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</si>
  <si>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</si>
  <si>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</si>
  <si>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</si>
  <si>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</si>
  <si>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</si>
  <si>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</si>
  <si>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</si>
  <si>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</si>
  <si>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</si>
  <si>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</si>
  <si>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</si>
  <si>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</si>
  <si>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</si>
  <si>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</si>
  <si>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</si>
  <si>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</si>
  <si>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</si>
  <si>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</si>
  <si>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</si>
  <si>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</si>
  <si>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</si>
  <si>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</si>
  <si>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</si>
  <si>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</si>
  <si>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</si>
  <si>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</si>
  <si>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</si>
  <si>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</si>
  <si>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</si>
  <si>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</si>
  <si>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</si>
  <si>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</si>
  <si>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</si>
  <si>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</si>
  <si>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</si>
  <si>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</si>
  <si>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</si>
  <si>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</si>
  <si>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</si>
  <si>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</si>
  <si>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</si>
  <si>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</si>
  <si>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</si>
  <si>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</si>
  <si>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</si>
  <si>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</si>
  <si>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</si>
  <si>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</si>
  <si>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</si>
  <si>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</si>
  <si>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</si>
  <si>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</si>
  <si>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</si>
  <si>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</si>
  <si>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</si>
  <si>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</si>
  <si>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</si>
  <si>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</si>
  <si>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</si>
  <si>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</si>
  <si>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</si>
  <si>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</si>
  <si>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</si>
  <si>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</si>
  <si>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</si>
  <si>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</si>
  <si>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</si>
  <si>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</si>
  <si>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</si>
  <si>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</si>
  <si>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</si>
  <si>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</si>
  <si>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</si>
  <si>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</si>
  <si>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</si>
  <si>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</si>
  <si>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</si>
  <si>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</si>
  <si>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</si>
  <si>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</si>
  <si>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</si>
  <si>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</si>
  <si>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</si>
  <si>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</si>
  <si>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</si>
  <si>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</si>
  <si>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</si>
  <si>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</si>
  <si>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</si>
  <si>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</si>
  <si>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</si>
  <si>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</si>
  <si>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</si>
  <si>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</si>
  <si>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</si>
  <si>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</si>
  <si>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</si>
  <si>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</si>
  <si>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</si>
  <si>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</si>
  <si>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</si>
  <si>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</si>
  <si>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</si>
  <si>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</si>
  <si>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</si>
  <si>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</si>
  <si>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</si>
  <si>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</si>
  <si>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</si>
  <si>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</si>
  <si>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</si>
  <si>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</si>
  <si>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</si>
  <si>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</si>
  <si>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</si>
  <si>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</si>
  <si>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</si>
  <si>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</si>
  <si>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</si>
  <si>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</si>
  <si>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</si>
  <si>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</si>
  <si>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</si>
  <si>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</si>
  <si>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</si>
  <si>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</si>
  <si>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</si>
  <si>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</si>
  <si>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</si>
  <si>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</si>
  <si>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</si>
  <si>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</si>
  <si>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</si>
  <si>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</si>
  <si>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</si>
  <si>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</si>
  <si>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</si>
  <si>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</si>
  <si>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</si>
  <si>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</si>
  <si>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</si>
  <si>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</si>
  <si>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</si>
  <si>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</si>
  <si>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</si>
  <si>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</si>
  <si>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</si>
  <si>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</si>
  <si>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</si>
  <si>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</si>
  <si>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</si>
  <si>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</si>
  <si>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</si>
  <si>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</si>
  <si>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</si>
  <si>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</si>
  <si>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</si>
  <si>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</si>
  <si>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</si>
  <si>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</si>
  <si>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</si>
  <si>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</si>
  <si>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</si>
  <si>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</si>
  <si>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</si>
  <si>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</si>
  <si>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</si>
  <si>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</si>
  <si>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</si>
  <si>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</si>
  <si>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</si>
  <si>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</si>
  <si>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</si>
  <si>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</si>
  <si>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</si>
  <si>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</si>
  <si>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</si>
  <si>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</si>
  <si>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</si>
  <si>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</si>
  <si>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</si>
  <si>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</si>
  <si>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</si>
  <si>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</si>
  <si>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</si>
  <si>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</si>
  <si>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</si>
  <si>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</si>
  <si>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</si>
  <si>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</si>
  <si>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</si>
  <si>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</si>
  <si>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</si>
  <si>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</si>
  <si>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</si>
  <si>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</si>
  <si>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</si>
  <si>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</si>
  <si>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</si>
  <si>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</si>
  <si>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</si>
  <si>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</si>
  <si>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</si>
  <si>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</si>
  <si>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</si>
  <si>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</si>
  <si>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</si>
  <si>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</si>
  <si>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</si>
  <si>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</si>
  <si>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</si>
  <si>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</si>
  <si>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</si>
  <si>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</si>
  <si>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</si>
  <si>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</si>
  <si>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</si>
  <si>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</si>
  <si>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</si>
  <si>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</si>
  <si>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</si>
  <si>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</si>
  <si>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</si>
  <si>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</si>
  <si>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</si>
  <si>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</si>
  <si>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</si>
  <si>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</si>
  <si>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</si>
  <si>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</si>
  <si>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</si>
  <si>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</si>
  <si>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</si>
  <si>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</si>
  <si>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</si>
  <si>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</si>
  <si>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</si>
  <si>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</si>
  <si>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</si>
  <si>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</si>
  <si>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</si>
  <si>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</si>
  <si>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</si>
  <si>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</si>
  <si>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</si>
  <si>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</si>
  <si>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</si>
  <si>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</si>
  <si>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</si>
  <si>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</si>
  <si>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</si>
  <si>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</si>
  <si>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</si>
  <si>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</si>
  <si>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</si>
  <si>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</si>
  <si>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</si>
  <si>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</si>
  <si>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</si>
  <si>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</si>
  <si>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</si>
  <si>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</si>
  <si>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</si>
  <si>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</si>
  <si>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</si>
  <si>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</si>
  <si>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</si>
  <si>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</si>
  <si>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</si>
  <si>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</si>
  <si>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</si>
  <si>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</si>
  <si>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</si>
  <si>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</si>
  <si>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</si>
  <si>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</si>
  <si>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</si>
  <si>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</si>
  <si>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</si>
  <si>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</si>
  <si>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</si>
  <si>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</si>
  <si>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</si>
  <si>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</si>
  <si>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</si>
  <si>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</si>
  <si>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</si>
  <si>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</si>
  <si>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</si>
  <si>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</si>
  <si>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</si>
  <si>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</si>
  <si>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</si>
  <si>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</si>
  <si>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</si>
  <si>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</si>
  <si>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</si>
  <si>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</si>
  <si>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</si>
  <si>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</si>
  <si>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</si>
  <si>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</si>
  <si>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</si>
  <si>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</si>
  <si>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</si>
  <si>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</si>
  <si>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</si>
  <si>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</si>
  <si>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</si>
  <si>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</si>
  <si>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</si>
  <si>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</si>
  <si>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</si>
  <si>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</si>
  <si>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</si>
  <si>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</si>
  <si>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</si>
  <si>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</si>
  <si>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</si>
  <si>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</si>
  <si>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</si>
  <si>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</si>
  <si>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</si>
  <si>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</si>
  <si>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</si>
  <si>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</si>
  <si>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</si>
  <si>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</si>
  <si>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</si>
  <si>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</si>
  <si>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</si>
  <si>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</si>
  <si>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</si>
  <si>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</si>
  <si>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</si>
  <si>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</si>
  <si>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</si>
  <si>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</si>
  <si>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</si>
  <si>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</si>
  <si>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</si>
  <si>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</si>
  <si>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</si>
  <si>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</si>
  <si>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</si>
  <si>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</si>
  <si>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</si>
  <si>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</si>
  <si>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</si>
  <si>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</si>
  <si>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</si>
  <si>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</si>
  <si>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</si>
  <si>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</si>
  <si>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</si>
  <si>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</si>
  <si>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</si>
  <si>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</si>
  <si>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</si>
  <si>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</si>
  <si>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</si>
  <si>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</si>
  <si>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</si>
  <si>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</si>
  <si>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</si>
  <si>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</si>
  <si>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</si>
  <si>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</si>
  <si>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</si>
  <si>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</si>
  <si>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</si>
  <si>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</si>
  <si>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</si>
  <si>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</si>
  <si>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</si>
  <si>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</si>
  <si>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</si>
  <si>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</si>
  <si>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</si>
  <si>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</si>
  <si>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</si>
  <si>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</si>
  <si>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</si>
  <si>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</si>
  <si>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</si>
  <si>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</si>
  <si>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</si>
  <si>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</si>
  <si>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</si>
  <si>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</si>
  <si>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</si>
  <si>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</si>
  <si>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</si>
  <si>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</si>
  <si>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</si>
  <si>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</si>
  <si>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</si>
  <si>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</si>
  <si>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</si>
  <si>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</si>
  <si>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</si>
  <si>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</si>
  <si>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</si>
  <si>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</si>
  <si>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</si>
  <si>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</si>
  <si>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</si>
  <si>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</si>
  <si>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</si>
  <si>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</si>
  <si>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</si>
  <si>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</si>
  <si>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</si>
  <si>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</si>
  <si>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</si>
  <si>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</si>
  <si>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</si>
  <si>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</si>
  <si>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</si>
  <si>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</si>
  <si>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</si>
  <si>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</si>
  <si>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</si>
  <si>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</si>
  <si>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</si>
  <si>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</si>
  <si>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</si>
  <si>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</si>
  <si>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</si>
  <si>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</si>
  <si>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</si>
  <si>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</si>
  <si>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</si>
  <si>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</si>
  <si>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</si>
  <si>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</si>
  <si>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</si>
  <si>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</si>
  <si>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</si>
  <si>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</si>
  <si>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</si>
  <si>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</si>
  <si>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</si>
  <si>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</si>
  <si>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</si>
  <si>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</si>
  <si>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</si>
  <si>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</si>
  <si>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</si>
  <si>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</si>
  <si>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</si>
  <si>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</si>
  <si>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</si>
  <si>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</si>
  <si>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</si>
  <si>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</si>
  <si>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</si>
  <si>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</si>
  <si>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</si>
  <si>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</si>
  <si>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</si>
  <si>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</si>
  <si>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</si>
  <si>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</si>
  <si>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</si>
  <si>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</si>
  <si>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</si>
  <si>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</si>
  <si>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</si>
  <si>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</si>
  <si>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</si>
  <si>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</si>
  <si>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</si>
  <si>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</si>
  <si>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</si>
  <si>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</si>
  <si>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</si>
  <si>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</si>
  <si>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</si>
  <si>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</si>
  <si>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</si>
  <si>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</si>
  <si>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</si>
  <si>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</si>
  <si>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</si>
  <si>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</si>
  <si>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</si>
  <si>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</si>
  <si>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</si>
  <si>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</si>
  <si>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</si>
  <si>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</si>
  <si>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</si>
  <si>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</si>
  <si>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</si>
  <si>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</si>
  <si>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</si>
  <si>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</si>
  <si>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</si>
  <si>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</si>
  <si>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</si>
  <si>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</si>
  <si>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</si>
  <si>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</si>
  <si>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</si>
  <si>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</si>
  <si>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</si>
  <si>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</si>
  <si>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</si>
  <si>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</si>
  <si>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</si>
  <si>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</si>
  <si>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</si>
  <si>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</si>
  <si>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</si>
  <si>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</si>
  <si>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</si>
  <si>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</si>
  <si>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</si>
  <si>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</si>
  <si>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</si>
  <si>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</si>
  <si>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</si>
  <si>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</si>
  <si>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</si>
  <si>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</si>
  <si>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</si>
  <si>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</si>
  <si>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</si>
  <si>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</si>
  <si>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</si>
  <si>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</si>
  <si>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</si>
  <si>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</si>
  <si>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</si>
  <si>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</si>
  <si>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</si>
  <si>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</si>
  <si>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</si>
  <si>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</si>
  <si>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</si>
  <si>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</si>
  <si>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</si>
  <si>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</si>
  <si>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</si>
  <si>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</si>
  <si>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</si>
  <si>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</si>
  <si>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</si>
  <si>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</si>
  <si>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</si>
  <si>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</si>
  <si>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</si>
  <si>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</si>
  <si>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</si>
  <si>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</si>
  <si>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</si>
  <si>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</si>
  <si>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</si>
  <si>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</si>
  <si>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</si>
  <si>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</si>
  <si>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</si>
  <si>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</si>
  <si>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</si>
  <si>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</si>
  <si>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</si>
  <si>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</si>
  <si>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</si>
  <si>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</si>
  <si>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</si>
  <si>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</si>
  <si>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</si>
  <si>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</si>
  <si>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</si>
  <si>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</si>
  <si>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</si>
  <si>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</si>
  <si>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</si>
  <si>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</si>
  <si>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</si>
  <si>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</si>
  <si>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</si>
  <si>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</si>
  <si>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</si>
  <si>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</si>
  <si>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</si>
  <si>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</si>
  <si>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</si>
  <si>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</si>
  <si>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</si>
  <si>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</si>
  <si>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</si>
  <si>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</si>
  <si>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</si>
  <si>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</si>
  <si>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</si>
  <si>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</si>
  <si>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</si>
  <si>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</si>
  <si>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</si>
  <si>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</si>
  <si>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</si>
  <si>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</si>
  <si>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</si>
  <si>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</si>
  <si>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</si>
  <si>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</si>
  <si>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</si>
  <si>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</si>
  <si>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</si>
  <si>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</si>
  <si>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</si>
  <si>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</si>
  <si>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</si>
  <si>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</si>
  <si>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</si>
  <si>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</si>
  <si>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</si>
  <si>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</si>
  <si>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</si>
  <si>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</si>
  <si>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</si>
  <si>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</si>
  <si>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</si>
  <si>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</si>
  <si>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</si>
  <si>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</si>
  <si>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</si>
  <si>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</si>
  <si>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</si>
  <si>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</si>
  <si>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</si>
  <si>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</si>
  <si>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</si>
  <si>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</si>
  <si>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</si>
  <si>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</si>
  <si>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</si>
  <si>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</si>
  <si>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493 Eastmoor Ave</t>
  </si>
  <si>
    <t>Daly City</t>
  </si>
  <si>
    <t>40%/60%</t>
  </si>
  <si>
    <t>HCD IIG</t>
  </si>
  <si>
    <t>1 bedroom</t>
  </si>
  <si>
    <t>493 Eastmoor Avenue</t>
  </si>
  <si>
    <t>Other (Specify below)</t>
  </si>
  <si>
    <t>5 story Type III-A over 2-story Type I-A</t>
  </si>
  <si>
    <t>County of San Mateo</t>
  </si>
  <si>
    <t>City of Daly City</t>
  </si>
  <si>
    <t>Deferred Costs</t>
  </si>
  <si>
    <t>Tax Credit Equity</t>
  </si>
  <si>
    <t>Fixed</t>
  </si>
  <si>
    <t>Variable</t>
  </si>
  <si>
    <t>Misc. Tenant Charges</t>
  </si>
  <si>
    <t>A/C</t>
  </si>
  <si>
    <t>San Mateo County Housing Authority</t>
  </si>
  <si>
    <t>G&amp;A</t>
  </si>
  <si>
    <t>County of San Mateo, City of Daly City</t>
  </si>
  <si>
    <t>Conversion Fee and Perm Lender Due Diligence</t>
  </si>
  <si>
    <t>Partnership Legal</t>
  </si>
  <si>
    <t>Services and Additional Operating Reserves</t>
  </si>
  <si>
    <t>SDI &amp; Bond</t>
  </si>
  <si>
    <t>Core Eastmoor, LLC</t>
  </si>
  <si>
    <t>Richard N. Berger</t>
  </si>
  <si>
    <t>330 90th Street</t>
  </si>
  <si>
    <t>650-991-8034</t>
  </si>
  <si>
    <t>650-991-8070</t>
  </si>
  <si>
    <t>rberger@dalycity.org</t>
  </si>
  <si>
    <t>008-082-200</t>
  </si>
  <si>
    <t>470 South Market Street</t>
  </si>
  <si>
    <t>San Jose</t>
  </si>
  <si>
    <t>CA</t>
  </si>
  <si>
    <t>Chris Neale</t>
  </si>
  <si>
    <t>Administrative GP</t>
  </si>
  <si>
    <t>470 S. Market Street</t>
  </si>
  <si>
    <t>408-292-7841</t>
  </si>
  <si>
    <t>cneale@thecorecompanies.com</t>
  </si>
  <si>
    <t>Core Development Inc.</t>
  </si>
  <si>
    <t>AHCDC Daly LLC</t>
  </si>
  <si>
    <t>Managing GP</t>
  </si>
  <si>
    <t>27762 Antonio Parkway L1-624</t>
  </si>
  <si>
    <t>Ladera Ranch</t>
  </si>
  <si>
    <t>Joseph A. Stalzer</t>
  </si>
  <si>
    <t>949-429-1250</t>
  </si>
  <si>
    <t>406-204-5670</t>
  </si>
  <si>
    <t>Affordable Housing CDC, Inc.</t>
  </si>
  <si>
    <t>Christy Marbry</t>
  </si>
  <si>
    <t>Core Affordable Housing, LLC</t>
  </si>
  <si>
    <t>San Jose, CA  95113</t>
  </si>
  <si>
    <t>(408) 292-7841</t>
  </si>
  <si>
    <t>Cox, Castle Nicholson LLP</t>
  </si>
  <si>
    <t>50 California Street, Ste. 3200</t>
  </si>
  <si>
    <t>San Francisco, CA  94111</t>
  </si>
  <si>
    <t>Stephen C. Ryan</t>
  </si>
  <si>
    <t>(415) 262-5150</t>
  </si>
  <si>
    <t>(415) 292-5199</t>
  </si>
  <si>
    <t>sryan@coxcastle.com</t>
  </si>
  <si>
    <t>Novogradac &amp; Company LLP</t>
  </si>
  <si>
    <t>P O Box 7833</t>
  </si>
  <si>
    <t>San Francisco, CA  94120-7833</t>
  </si>
  <si>
    <t>(415) 356-8081</t>
  </si>
  <si>
    <t>(415) 356-8001</t>
  </si>
  <si>
    <t>4849 Greenville Avenue</t>
  </si>
  <si>
    <t>Dallas, TX 75206</t>
  </si>
  <si>
    <t>Rebecca Arthur</t>
  </si>
  <si>
    <t>Rebecca.Arthur@novoco.com</t>
  </si>
  <si>
    <t>(408) 221-9559</t>
  </si>
  <si>
    <t>cmarbry@thecorecompanies.com</t>
  </si>
  <si>
    <t>Jeff Nishita</t>
  </si>
  <si>
    <t>jeff.nishita@novoco.com</t>
  </si>
  <si>
    <t>Veloce Partners</t>
  </si>
  <si>
    <t>David Nahas</t>
  </si>
  <si>
    <t>4152 Meridian St. Suite 105-62</t>
  </si>
  <si>
    <t>Bellingham, WA 98226</t>
  </si>
  <si>
    <t>949-510-6552</t>
  </si>
  <si>
    <t>dnahas@velocepartners.com</t>
  </si>
  <si>
    <t>469-329-5215</t>
  </si>
  <si>
    <t>CSCDA</t>
  </si>
  <si>
    <t>Jon Penkower</t>
  </si>
  <si>
    <t>jpenkower@cscda.org</t>
  </si>
  <si>
    <t>1700 North Broadway, Suite 405</t>
  </si>
  <si>
    <t>Walnut Creek, CA 94596</t>
  </si>
  <si>
    <t>925-476-5887</t>
  </si>
  <si>
    <t>493 Eastmoor Investment LLC</t>
  </si>
  <si>
    <t>Tracy Hsu</t>
  </si>
  <si>
    <t>Kong-Yeu Han</t>
  </si>
  <si>
    <t>Member</t>
  </si>
  <si>
    <t>Tax Exempt Bonds</t>
  </si>
  <si>
    <t>Suejane Han</t>
  </si>
  <si>
    <t>22330 Santa Paula Avenue, Cupertino, CA 95014</t>
  </si>
  <si>
    <t>650-390-0943</t>
  </si>
  <si>
    <t>DDF Tracker</t>
  </si>
  <si>
    <t>Deferred Developer Fee - GP Contribution</t>
  </si>
  <si>
    <t>Project-based vouchers (PBVs)</t>
  </si>
  <si>
    <t>HACSM</t>
  </si>
  <si>
    <t>LPMD Architects</t>
  </si>
  <si>
    <t>1288 Kifer Rd., Unit 206</t>
  </si>
  <si>
    <t>Sunnyvale, CA  94086</t>
  </si>
  <si>
    <t>Debbie Hll</t>
  </si>
  <si>
    <t>408-992-0280</t>
  </si>
  <si>
    <t>debbie@lpmd-architects.com</t>
  </si>
  <si>
    <t>Enterprise Housing Credit Investments, LLC</t>
  </si>
  <si>
    <t>70 Corporate – 11000 Broken Land Pkwy, Ste. 700</t>
  </si>
  <si>
    <t>Columbia, MD 21044</t>
  </si>
  <si>
    <t>Philip Porter</t>
  </si>
  <si>
    <t>410-772-2594</t>
  </si>
  <si>
    <t>pporter@enterprisecommunity.com</t>
  </si>
  <si>
    <t>Core Builders</t>
  </si>
  <si>
    <t>Chrissie Davis</t>
  </si>
  <si>
    <t>(408) 292-7928</t>
  </si>
  <si>
    <t>cdavis@corebuildersgc.com</t>
  </si>
  <si>
    <t>EAH, Inc.</t>
  </si>
  <si>
    <t>22 Pelican Way</t>
  </si>
  <si>
    <t>San Rafael, CA 94901</t>
  </si>
  <si>
    <t>Josh Romoff</t>
  </si>
  <si>
    <t>415-689-9402</t>
  </si>
  <si>
    <t>josh.romoff@eahhousing.org</t>
  </si>
  <si>
    <t>jstalzer@ahcdc.com</t>
  </si>
  <si>
    <t>1,196 sq ft of ground floor qualifies as community service facility. Will only charge nominal $1 rent to lessee, which is expected to provide services intended for population at or below 60% AMI</t>
  </si>
  <si>
    <t>HCD - IIG</t>
  </si>
  <si>
    <t>City of Daly City (various)</t>
  </si>
  <si>
    <t>County of San Mateo (various)</t>
  </si>
  <si>
    <t>HEART of San Mateo</t>
  </si>
  <si>
    <t>City of Daly City (including HEART of San Mateo)</t>
  </si>
  <si>
    <t>1375 East 9th Street, Suite 2400</t>
  </si>
  <si>
    <t>Clevaland, OH 44114</t>
  </si>
  <si>
    <t>Jim Gillespie</t>
  </si>
  <si>
    <t>646-829-1157</t>
  </si>
  <si>
    <t>SOFR</t>
  </si>
  <si>
    <t>AHCDC - HCD - IIG Loan</t>
  </si>
  <si>
    <t>Ladera Ranch, CA 92694</t>
  </si>
  <si>
    <t>Soft Loan</t>
  </si>
  <si>
    <t>265 Harbor Blvd, Building A</t>
  </si>
  <si>
    <t>Tracy Choi</t>
  </si>
  <si>
    <t>650-508-6773</t>
  </si>
  <si>
    <t>Soft Loans</t>
  </si>
  <si>
    <t>333 90th Street</t>
  </si>
  <si>
    <t>Daly City, CA 94015-1895</t>
  </si>
  <si>
    <t>Belmont, CA 94002</t>
  </si>
  <si>
    <t>Betsy ZoBell</t>
  </si>
  <si>
    <t>650-991-8255</t>
  </si>
  <si>
    <t>Enterprise - Tax Credit Equity</t>
  </si>
  <si>
    <t>11000 Broken Land Parkway, Suite 700</t>
  </si>
  <si>
    <t>410-964-0552</t>
  </si>
  <si>
    <t>San Jose, CA 95113</t>
  </si>
  <si>
    <t>Deferred Developer Fee - Residual Receipts</t>
  </si>
  <si>
    <t>C-S (Service Commercial)</t>
  </si>
  <si>
    <t>Specific Plan Retail and Office Commercial, no max density</t>
  </si>
  <si>
    <t>85 feet</t>
  </si>
  <si>
    <t>Chase - Tax Exempt Bonds</t>
  </si>
  <si>
    <t>560 Mission Street, Floor 4</t>
  </si>
  <si>
    <t>San Francisco, CA 94105</t>
  </si>
  <si>
    <t>James Vossoughi</t>
  </si>
  <si>
    <t>510-468-6722</t>
  </si>
  <si>
    <t>Bellwether - Permanent Loan</t>
  </si>
  <si>
    <t xml:space="preserve">11 MHSA, 16 HHC, 9 Homeless for 36 supportive units </t>
  </si>
  <si>
    <t>Section 8 Project Based Vouchers - HUD</t>
  </si>
  <si>
    <t>Provided</t>
  </si>
  <si>
    <t>Not Applicable</t>
  </si>
  <si>
    <t>Core Eastmoor LLC</t>
  </si>
  <si>
    <t>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</si>
</sst>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2" borderId="11" xfId="0" applyFont="1" applyFill="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14"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11" xfId="0" applyFont="1" applyBorder="1" applyAlignment="1">
      <alignment horizontal="center" vertical="center" wrapText="1"/>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3" fillId="5" borderId="11" xfId="0" applyNumberFormat="1" applyFont="1" applyFill="1" applyBorder="1" applyAlignment="1" applyProtection="1">
      <alignment horizontal="center"/>
      <protection locked="0"/>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0" fillId="43" borderId="6"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49" fontId="0" fillId="5" borderId="6" xfId="0" applyNumberForma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0" fillId="43" borderId="10" xfId="0" applyFill="1" applyBorder="1" applyAlignment="1" applyProtection="1">
      <alignment horizontal="left"/>
      <protection locked="0"/>
    </xf>
    <xf numFmtId="0" fontId="21" fillId="0" borderId="9" xfId="0" applyFont="1" applyBorder="1" applyAlignment="1">
      <alignment horizontal="center"/>
    </xf>
    <xf numFmtId="0" fontId="21" fillId="0" borderId="6" xfId="0" applyFont="1" applyBorder="1" applyAlignment="1">
      <alignment horizontal="center"/>
    </xf>
    <xf numFmtId="0" fontId="21"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11" xfId="0" applyNumberFormat="1" applyFont="1" applyBorder="1" applyAlignment="1">
      <alignment horizontal="center"/>
    </xf>
    <xf numFmtId="168" fontId="23" fillId="0" borderId="3" xfId="0" applyNumberFormat="1" applyFont="1" applyBorder="1" applyAlignment="1">
      <alignment horizontal="left" vertical="top"/>
    </xf>
    <xf numFmtId="3" fontId="0" fillId="0" borderId="6" xfId="0" applyNumberFormat="1" applyBorder="1" applyAlignment="1">
      <alignment horizontal="right"/>
    </xf>
    <xf numFmtId="0" fontId="0" fillId="0" borderId="6" xfId="0" applyBorder="1" applyAlignment="1" applyProtection="1">
      <alignment horizontal="center"/>
      <protection locked="0"/>
    </xf>
    <xf numFmtId="0" fontId="14" fillId="5" borderId="6" xfId="0" applyFont="1" applyFill="1" applyBorder="1" applyAlignment="1" applyProtection="1">
      <alignment horizontal="left"/>
      <protection locked="0"/>
    </xf>
    <xf numFmtId="3" fontId="23" fillId="0" borderId="11" xfId="0" applyNumberFormat="1" applyFont="1" applyBorder="1" applyAlignment="1">
      <alignment horizontal="center"/>
    </xf>
    <xf numFmtId="166" fontId="23" fillId="5" borderId="4" xfId="0" applyNumberFormat="1"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78" fontId="23"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0" fillId="0" borderId="3" xfId="0" applyBorder="1" applyAlignment="1">
      <alignment horizontal="left"/>
    </xf>
    <xf numFmtId="0" fontId="23"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3" fillId="0" borderId="1" xfId="0" applyFont="1" applyBorder="1" applyAlignment="1">
      <alignment horizontal="center" vertical="top" wrapText="1"/>
    </xf>
    <xf numFmtId="0" fontId="23" fillId="0" borderId="3" xfId="0" applyFont="1" applyBorder="1" applyAlignment="1">
      <alignment horizontal="center"/>
    </xf>
    <xf numFmtId="0" fontId="23" fillId="0" borderId="5" xfId="0" applyFont="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14" fillId="0" borderId="11" xfId="543"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3" borderId="0" xfId="0" applyFont="1" applyFill="1" applyAlignment="1">
      <alignment horizontal="center" vertical="center"/>
    </xf>
    <xf numFmtId="0" fontId="23" fillId="0" borderId="6" xfId="0" applyFont="1" applyBorder="1" applyAlignment="1">
      <alignment horizontal="left"/>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66" fontId="14"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0" borderId="6" xfId="0" applyFont="1" applyBorder="1" applyAlignment="1" applyProtection="1">
      <alignment horizontal="center"/>
      <protection locked="0"/>
    </xf>
    <xf numFmtId="0" fontId="23" fillId="0" borderId="6" xfId="0" applyFont="1" applyBorder="1" applyAlignment="1">
      <alignment horizontal="left" wrapText="1"/>
    </xf>
    <xf numFmtId="0" fontId="14"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0" fontId="15" fillId="0" borderId="0" xfId="244" applyFill="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14" fillId="0" borderId="0" xfId="0" applyFont="1" applyAlignment="1">
      <alignment wrapText="1"/>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lignment horizontal="left"/>
    </xf>
    <xf numFmtId="0" fontId="0" fillId="5" borderId="6" xfId="0" applyFill="1" applyBorder="1" applyProtection="1">
      <protection locked="0"/>
    </xf>
    <xf numFmtId="0" fontId="23" fillId="0" borderId="4" xfId="0" applyFont="1" applyBorder="1" applyAlignment="1" applyProtection="1">
      <alignment horizontal="left"/>
      <protection locked="0"/>
    </xf>
    <xf numFmtId="0" fontId="0" fillId="5" borderId="6" xfId="0" applyFill="1" applyBorder="1" applyAlignment="1" applyProtection="1">
      <alignment horizontal="right"/>
      <protection locked="0"/>
    </xf>
    <xf numFmtId="0" fontId="14" fillId="0" borderId="6" xfId="0" applyFont="1" applyBorder="1" applyAlignment="1" applyProtection="1">
      <alignment horizontal="left"/>
      <protection locked="0"/>
    </xf>
    <xf numFmtId="168" fontId="14"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1" fillId="0" borderId="11" xfId="0" applyFont="1" applyBorder="1" applyAlignment="1">
      <alignment horizontal="center"/>
    </xf>
    <xf numFmtId="10" fontId="23"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68" fontId="0" fillId="0" borderId="11" xfId="0" applyNumberFormat="1" applyBorder="1" applyAlignment="1">
      <alignment horizontal="right"/>
    </xf>
    <xf numFmtId="9" fontId="14" fillId="0" borderId="0" xfId="543" applyNumberFormat="1" applyAlignment="1">
      <alignment horizontal="center" vertical="center"/>
    </xf>
    <xf numFmtId="168" fontId="0" fillId="5" borderId="11" xfId="0" applyNumberFormat="1" applyFill="1" applyBorder="1" applyProtection="1">
      <protection locked="0"/>
    </xf>
    <xf numFmtId="2" fontId="14" fillId="0" borderId="0" xfId="543" applyNumberFormat="1" applyAlignment="1">
      <alignment horizontal="center"/>
    </xf>
    <xf numFmtId="0" fontId="14" fillId="0" borderId="0" xfId="543" applyAlignment="1">
      <alignment horizont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71" fontId="14" fillId="0" borderId="0" xfId="543" applyNumberFormat="1" applyAlignment="1">
      <alignment horizontal="center"/>
    </xf>
    <xf numFmtId="171" fontId="14"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3" fontId="42" fillId="10" borderId="0" xfId="543" applyNumberFormat="1" applyFont="1" applyFill="1" applyAlignment="1">
      <alignment horizontal="left"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70" fillId="0" borderId="0" xfId="0" applyNumberFormat="1" applyFont="1" applyAlignment="1">
      <alignment horizontal="center" vertical="center" wrapText="1"/>
    </xf>
    <xf numFmtId="0" fontId="23" fillId="0" borderId="11" xfId="0" applyFont="1" applyBorder="1" applyAlignment="1">
      <alignment horizontal="center" vertical="top" wrapText="1"/>
    </xf>
    <xf numFmtId="0" fontId="21" fillId="0" borderId="2" xfId="0" applyFont="1" applyBorder="1" applyAlignment="1">
      <alignment horizontal="right"/>
    </xf>
    <xf numFmtId="0" fontId="21" fillId="0" borderId="7" xfId="0" applyFont="1" applyBorder="1" applyAlignment="1">
      <alignment horizontal="right"/>
    </xf>
    <xf numFmtId="168" fontId="0" fillId="0" borderId="11" xfId="0" applyNumberFormat="1" applyBorder="1"/>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3" fillId="0" borderId="4"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5" borderId="11" xfId="0" applyFont="1" applyFill="1" applyBorder="1" applyAlignment="1" applyProtection="1">
      <alignment horizontal="left" wrapText="1"/>
      <protection locked="0"/>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72" fontId="0" fillId="5" borderId="6" xfId="0" applyNumberForma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0" borderId="11" xfId="0" applyFont="1" applyBorder="1" applyAlignment="1">
      <alignment horizontal="center"/>
    </xf>
    <xf numFmtId="0" fontId="21" fillId="0" borderId="0" xfId="0" applyFont="1" applyAlignment="1">
      <alignment horizontal="center" vertical="center"/>
    </xf>
    <xf numFmtId="0" fontId="23" fillId="0" borderId="3" xfId="0" applyFont="1" applyBorder="1" applyAlignment="1">
      <alignment horizontal="left"/>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33" fillId="5" borderId="3" xfId="0" applyNumberFormat="1" applyFont="1" applyFill="1" applyBorder="1" applyAlignment="1" applyProtection="1">
      <alignment horizontal="left"/>
      <protection locked="0"/>
    </xf>
    <xf numFmtId="0" fontId="21" fillId="0" borderId="12" xfId="0" applyFont="1" applyBorder="1" applyAlignment="1">
      <alignment horizontal="center" wrapText="1"/>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9" fontId="14" fillId="5" borderId="3" xfId="0" applyNumberFormat="1" applyFont="1" applyFill="1" applyBorder="1" applyAlignment="1" applyProtection="1">
      <alignment horizontal="right"/>
      <protection locked="0"/>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4" fontId="0" fillId="5" borderId="4" xfId="0" applyNumberFormat="1" applyFill="1" applyBorder="1" applyAlignment="1" applyProtection="1">
      <alignment horizontal="center"/>
      <protection locked="0"/>
    </xf>
    <xf numFmtId="2" fontId="0" fillId="0" borderId="6" xfId="0" applyNumberFormat="1" applyBorder="1" applyAlignment="1">
      <alignment horizontal="center"/>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1" xfId="0" applyFont="1" applyBorder="1" applyAlignment="1">
      <alignment horizontal="center" vertical="center"/>
    </xf>
    <xf numFmtId="0" fontId="170" fillId="0" borderId="0" xfId="0" applyFont="1" applyAlignment="1">
      <alignment horizontal="center" vertic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6E020617-C61F-4CFB-8F66-D713C19F4C03}"/>
    <cellStyle name="20% - Accent1 11" xfId="8729" xr:uid="{589997E2-3BDF-416E-8366-660D1811AD83}"/>
    <cellStyle name="20% - Accent1 2" xfId="2" xr:uid="{00000000-0005-0000-0000-000002000000}"/>
    <cellStyle name="20% - Accent1 2 10" xfId="8730" xr:uid="{357A0F2C-8225-443B-9ADA-63EA932F1A1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22F33942-5649-47E3-857A-C8B55C66919E}"/>
    <cellStyle name="20% - Accent1 2 2 2 2 2 3" xfId="11291" xr:uid="{0770BFDF-C997-464C-8A88-F1D4D7F50860}"/>
    <cellStyle name="20% - Accent1 2 2 2 2 3" xfId="4922" xr:uid="{00000000-0005-0000-0000-000008000000}"/>
    <cellStyle name="20% - Accent1 2 2 2 2 3 2" xfId="13364" xr:uid="{075ABC97-97AE-48F0-8777-F3B5EC53EF67}"/>
    <cellStyle name="20% - Accent1 2 2 2 2 4" xfId="9146" xr:uid="{14782259-A941-4250-92E3-5D6DB52EE602}"/>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FA1C8C1B-8CC4-4FDF-92F6-FC5CCF94E24E}"/>
    <cellStyle name="20% - Accent1 2 2 2 3 2 3" xfId="11704" xr:uid="{60D21450-D173-4369-8940-EDD56651D409}"/>
    <cellStyle name="20% - Accent1 2 2 2 3 3" xfId="5335" xr:uid="{00000000-0005-0000-0000-00000C000000}"/>
    <cellStyle name="20% - Accent1 2 2 2 3 3 2" xfId="13777" xr:uid="{CAD4B8BE-0AD4-477C-A0DA-F4793065204E}"/>
    <cellStyle name="20% - Accent1 2 2 2 3 4" xfId="9559" xr:uid="{89414297-2CE3-4387-ACD1-5060ADA32D6E}"/>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08DAD74C-BBDB-451F-8643-88B506E045E0}"/>
    <cellStyle name="20% - Accent1 2 2 2 4 2 3" xfId="12117" xr:uid="{1E1B716B-8E9A-49F9-A977-F83519D2EA6A}"/>
    <cellStyle name="20% - Accent1 2 2 2 4 3" xfId="5748" xr:uid="{00000000-0005-0000-0000-000010000000}"/>
    <cellStyle name="20% - Accent1 2 2 2 4 3 2" xfId="14190" xr:uid="{1D25BA32-5CEA-49C9-B570-A90E20A5B48F}"/>
    <cellStyle name="20% - Accent1 2 2 2 4 4" xfId="9972" xr:uid="{0C1B4C9C-A052-47A9-A00A-C9ADC49C9D16}"/>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CF1BE295-7BFD-4917-ABBD-BBC9F97F47A7}"/>
    <cellStyle name="20% - Accent1 2 2 2 5 2 3" xfId="12530" xr:uid="{8DD44517-47D0-4BC8-89EC-8FCE06E7CBAA}"/>
    <cellStyle name="20% - Accent1 2 2 2 5 3" xfId="6161" xr:uid="{00000000-0005-0000-0000-000014000000}"/>
    <cellStyle name="20% - Accent1 2 2 2 5 3 2" xfId="14603" xr:uid="{FD1335F8-AB28-4C47-A4A8-E2ECA5AB4079}"/>
    <cellStyle name="20% - Accent1 2 2 2 5 4" xfId="10385" xr:uid="{5F7DF6CD-931D-42C6-810D-AC6EF2FC2C0C}"/>
    <cellStyle name="20% - Accent1 2 2 2 6" xfId="2267" xr:uid="{00000000-0005-0000-0000-000015000000}"/>
    <cellStyle name="20% - Accent1 2 2 2 6 2" xfId="6574" xr:uid="{00000000-0005-0000-0000-000016000000}"/>
    <cellStyle name="20% - Accent1 2 2 2 6 2 2" xfId="15016" xr:uid="{08771E66-6D9B-4C56-A962-9A99CB15D11F}"/>
    <cellStyle name="20% - Accent1 2 2 2 6 3" xfId="10798" xr:uid="{D23AC868-6853-43C7-B920-0CF698AAB3D3}"/>
    <cellStyle name="20% - Accent1 2 2 2 7" xfId="4508" xr:uid="{00000000-0005-0000-0000-000017000000}"/>
    <cellStyle name="20% - Accent1 2 2 2 7 2" xfId="12950" xr:uid="{8A122870-6C61-4C7F-ABE0-DBD8F2E43C2F}"/>
    <cellStyle name="20% - Accent1 2 2 2 8" xfId="8732" xr:uid="{90C339FB-7BED-46A4-90A1-8DF027B06857}"/>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D304D6A8-9C5B-4FB3-9BE6-66C8B3061379}"/>
    <cellStyle name="20% - Accent1 2 2 3 2 3" xfId="11290" xr:uid="{8A9402B1-718E-4AC3-9753-C4F9E299938E}"/>
    <cellStyle name="20% - Accent1 2 2 3 3" xfId="4921" xr:uid="{00000000-0005-0000-0000-00001B000000}"/>
    <cellStyle name="20% - Accent1 2 2 3 3 2" xfId="13363" xr:uid="{3AF2EDEE-B8B5-44B1-865E-5AFF98BE146E}"/>
    <cellStyle name="20% - Accent1 2 2 3 4" xfId="9145" xr:uid="{A03747FC-3A28-417C-BBE6-F0BB2D352BA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D7247D3A-C867-43B5-B1C9-3BCB5BEDA7D9}"/>
    <cellStyle name="20% - Accent1 2 2 4 2 3" xfId="11703" xr:uid="{550E727E-E2A9-4FA2-9E55-D0824F818E42}"/>
    <cellStyle name="20% - Accent1 2 2 4 3" xfId="5334" xr:uid="{00000000-0005-0000-0000-00001F000000}"/>
    <cellStyle name="20% - Accent1 2 2 4 3 2" xfId="13776" xr:uid="{9B30AD32-1302-442D-AE3D-B290BE084479}"/>
    <cellStyle name="20% - Accent1 2 2 4 4" xfId="9558" xr:uid="{EA7992E3-F005-4CEE-B425-06045732724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407E1079-4A38-4859-A4CC-8E6E9E5EB260}"/>
    <cellStyle name="20% - Accent1 2 2 5 2 3" xfId="12116" xr:uid="{4925BFCE-E4BA-4212-B205-2A155359987C}"/>
    <cellStyle name="20% - Accent1 2 2 5 3" xfId="5747" xr:uid="{00000000-0005-0000-0000-000023000000}"/>
    <cellStyle name="20% - Accent1 2 2 5 3 2" xfId="14189" xr:uid="{1B7563B6-5A10-46D3-B3BA-F766DD39E1EC}"/>
    <cellStyle name="20% - Accent1 2 2 5 4" xfId="9971" xr:uid="{34DD54B1-11A4-474D-B2F4-02A6C3983BCE}"/>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00FAFF6A-C803-4426-8155-49479CDF5660}"/>
    <cellStyle name="20% - Accent1 2 2 6 2 3" xfId="12529" xr:uid="{94103252-5B0E-4DB7-8299-AF5993BC40CF}"/>
    <cellStyle name="20% - Accent1 2 2 6 3" xfId="6160" xr:uid="{00000000-0005-0000-0000-000027000000}"/>
    <cellStyle name="20% - Accent1 2 2 6 3 2" xfId="14602" xr:uid="{F593D03B-64DE-45CB-977D-9AB05C2BB071}"/>
    <cellStyle name="20% - Accent1 2 2 6 4" xfId="10384" xr:uid="{BE3F71F1-83C7-4F16-B460-4BC6D14092C9}"/>
    <cellStyle name="20% - Accent1 2 2 7" xfId="2266" xr:uid="{00000000-0005-0000-0000-000028000000}"/>
    <cellStyle name="20% - Accent1 2 2 7 2" xfId="6573" xr:uid="{00000000-0005-0000-0000-000029000000}"/>
    <cellStyle name="20% - Accent1 2 2 7 2 2" xfId="15015" xr:uid="{F3906E6F-E0BB-4584-976D-0D238031A546}"/>
    <cellStyle name="20% - Accent1 2 2 7 3" xfId="10797" xr:uid="{73A9BCE3-32E1-42C6-A5FB-0E66F4E8BDC9}"/>
    <cellStyle name="20% - Accent1 2 2 8" xfId="4507" xr:uid="{00000000-0005-0000-0000-00002A000000}"/>
    <cellStyle name="20% - Accent1 2 2 8 2" xfId="12949" xr:uid="{11C18115-E47A-4362-AF33-D9C6966290AA}"/>
    <cellStyle name="20% - Accent1 2 2 9" xfId="8731" xr:uid="{955A5140-8F3E-4DAC-9A78-797A16B7ECA3}"/>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530BEB3E-1216-4165-8486-8673A19A5ED8}"/>
    <cellStyle name="20% - Accent1 2 3 2 2 3" xfId="11292" xr:uid="{5D0F1947-9633-48B3-A328-9DE03072CF2F}"/>
    <cellStyle name="20% - Accent1 2 3 2 3" xfId="4923" xr:uid="{00000000-0005-0000-0000-00002F000000}"/>
    <cellStyle name="20% - Accent1 2 3 2 3 2" xfId="13365" xr:uid="{D900865C-EA51-44E1-B616-E527F882C8E7}"/>
    <cellStyle name="20% - Accent1 2 3 2 4" xfId="9147" xr:uid="{51E2053A-F306-485D-B77A-283E536FB1C7}"/>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F119A508-14E8-4554-ACA6-84C5E08B061F}"/>
    <cellStyle name="20% - Accent1 2 3 3 2 3" xfId="11705" xr:uid="{C5CB9511-7489-4686-9358-E41D2319E354}"/>
    <cellStyle name="20% - Accent1 2 3 3 3" xfId="5336" xr:uid="{00000000-0005-0000-0000-000033000000}"/>
    <cellStyle name="20% - Accent1 2 3 3 3 2" xfId="13778" xr:uid="{83D31538-7B05-4DE4-A85E-58114CE1F5A5}"/>
    <cellStyle name="20% - Accent1 2 3 3 4" xfId="9560" xr:uid="{67B2A63D-28E3-4203-90FF-9A1B62CF74C2}"/>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F203E618-5E3E-4A16-A335-63EB0698D23A}"/>
    <cellStyle name="20% - Accent1 2 3 4 2 3" xfId="12118" xr:uid="{AB5417E6-9CF7-4D51-9318-F03CA64A6872}"/>
    <cellStyle name="20% - Accent1 2 3 4 3" xfId="5749" xr:uid="{00000000-0005-0000-0000-000037000000}"/>
    <cellStyle name="20% - Accent1 2 3 4 3 2" xfId="14191" xr:uid="{9D484BD2-96EE-450B-A154-ABA65E4A522E}"/>
    <cellStyle name="20% - Accent1 2 3 4 4" xfId="9973" xr:uid="{BEC4AD15-AFD6-4822-A051-DD5827B7AABB}"/>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4B369D1F-8A93-4972-BF3D-EAC701B0A4E3}"/>
    <cellStyle name="20% - Accent1 2 3 5 2 3" xfId="12531" xr:uid="{5A89ED86-35AC-4A25-B2BE-D1FABFA439FF}"/>
    <cellStyle name="20% - Accent1 2 3 5 3" xfId="6162" xr:uid="{00000000-0005-0000-0000-00003B000000}"/>
    <cellStyle name="20% - Accent1 2 3 5 3 2" xfId="14604" xr:uid="{8F4C7337-243A-42BA-BD7C-87070D2F5921}"/>
    <cellStyle name="20% - Accent1 2 3 5 4" xfId="10386" xr:uid="{1A28FE86-07B8-442A-A7A6-FBE974DD3339}"/>
    <cellStyle name="20% - Accent1 2 3 6" xfId="2268" xr:uid="{00000000-0005-0000-0000-00003C000000}"/>
    <cellStyle name="20% - Accent1 2 3 6 2" xfId="6575" xr:uid="{00000000-0005-0000-0000-00003D000000}"/>
    <cellStyle name="20% - Accent1 2 3 6 2 2" xfId="15017" xr:uid="{EC11FB91-99A8-4C55-B4F4-C71DA1BFCEA0}"/>
    <cellStyle name="20% - Accent1 2 3 6 3" xfId="10799" xr:uid="{9289E215-C100-4A93-8333-74DBAB23829C}"/>
    <cellStyle name="20% - Accent1 2 3 7" xfId="4509" xr:uid="{00000000-0005-0000-0000-00003E000000}"/>
    <cellStyle name="20% - Accent1 2 3 7 2" xfId="12951" xr:uid="{EED81E1C-C110-4AF8-8045-F7C8D83A8CAB}"/>
    <cellStyle name="20% - Accent1 2 3 8" xfId="8733" xr:uid="{6B2602BD-F670-4621-9E32-2169C226856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86E34AB3-FB77-4524-9852-9B6CEE42474D}"/>
    <cellStyle name="20% - Accent1 2 4 2 3" xfId="11289" xr:uid="{FF17DB47-27BC-4C22-B730-B3F2BAF97F8B}"/>
    <cellStyle name="20% - Accent1 2 4 3" xfId="4920" xr:uid="{00000000-0005-0000-0000-000042000000}"/>
    <cellStyle name="20% - Accent1 2 4 3 2" xfId="13362" xr:uid="{FA845EAF-35D4-4631-AC58-2E20F6A1370A}"/>
    <cellStyle name="20% - Accent1 2 4 4" xfId="9144" xr:uid="{A970EFA7-B72D-4AAA-A240-F8ACDAFCE74E}"/>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CD92A89D-BB77-40A3-8539-60D4E27A52A0}"/>
    <cellStyle name="20% - Accent1 2 5 2 3" xfId="11702" xr:uid="{B5BAB310-09FA-483A-B225-0044104F94DA}"/>
    <cellStyle name="20% - Accent1 2 5 3" xfId="5333" xr:uid="{00000000-0005-0000-0000-000046000000}"/>
    <cellStyle name="20% - Accent1 2 5 3 2" xfId="13775" xr:uid="{3653523A-C5F3-457B-B59E-EDD9AC8DDAF9}"/>
    <cellStyle name="20% - Accent1 2 5 4" xfId="9557" xr:uid="{23FCD39F-84C1-4947-8CD1-1AD81B61D57B}"/>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29E2CE84-E63A-40BE-BBB3-DBA5C7E91672}"/>
    <cellStyle name="20% - Accent1 2 6 2 3" xfId="12115" xr:uid="{B56D06F0-4FA6-41E5-B500-640AA9C5CE96}"/>
    <cellStyle name="20% - Accent1 2 6 3" xfId="5746" xr:uid="{00000000-0005-0000-0000-00004A000000}"/>
    <cellStyle name="20% - Accent1 2 6 3 2" xfId="14188" xr:uid="{5339CF26-8242-433C-BFD8-7CECCAAC4F1D}"/>
    <cellStyle name="20% - Accent1 2 6 4" xfId="9970" xr:uid="{B4895DAD-DAC5-4F3F-8EC4-933392F0B5D1}"/>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40A97880-2159-4960-9960-CB0435920C1C}"/>
    <cellStyle name="20% - Accent1 2 7 2 3" xfId="12528" xr:uid="{06E73CB8-CA2E-42CD-A7EC-A437F42C4D50}"/>
    <cellStyle name="20% - Accent1 2 7 3" xfId="6159" xr:uid="{00000000-0005-0000-0000-00004E000000}"/>
    <cellStyle name="20% - Accent1 2 7 3 2" xfId="14601" xr:uid="{24C38036-51D3-47EC-8833-FDFE74EC024E}"/>
    <cellStyle name="20% - Accent1 2 7 4" xfId="10383" xr:uid="{E9A74C50-1AC4-4043-A20B-067B680412AE}"/>
    <cellStyle name="20% - Accent1 2 8" xfId="2265" xr:uid="{00000000-0005-0000-0000-00004F000000}"/>
    <cellStyle name="20% - Accent1 2 8 2" xfId="6572" xr:uid="{00000000-0005-0000-0000-000050000000}"/>
    <cellStyle name="20% - Accent1 2 8 2 2" xfId="15014" xr:uid="{ED85D0BD-E034-4F34-A0F1-3576EEFA1A60}"/>
    <cellStyle name="20% - Accent1 2 8 3" xfId="10796" xr:uid="{684C3B51-5258-4A0E-A664-B9B0AC4D43DC}"/>
    <cellStyle name="20% - Accent1 2 9" xfId="4506" xr:uid="{00000000-0005-0000-0000-000051000000}"/>
    <cellStyle name="20% - Accent1 2 9 2" xfId="12948" xr:uid="{01021566-EAB3-4D73-B102-56E07BE53FA7}"/>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B0CE136C-D6EA-4DEA-9475-D91B6B76BF93}"/>
    <cellStyle name="20% - Accent1 3 2 2 2 3" xfId="11294" xr:uid="{6B281842-7575-43A2-8938-1701AFDAA353}"/>
    <cellStyle name="20% - Accent1 3 2 2 3" xfId="4925" xr:uid="{00000000-0005-0000-0000-000057000000}"/>
    <cellStyle name="20% - Accent1 3 2 2 3 2" xfId="13367" xr:uid="{8180781F-7EDD-4BDB-BFF9-9BAAB7B833E9}"/>
    <cellStyle name="20% - Accent1 3 2 2 4" xfId="9149" xr:uid="{24E33B26-4CD1-4DF4-A4FB-B753B504A10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219A7D5B-312A-41DE-A6AA-8736028D8E41}"/>
    <cellStyle name="20% - Accent1 3 2 3 2 3" xfId="11707" xr:uid="{F0093BA0-993F-46B3-B72E-244CD15997E8}"/>
    <cellStyle name="20% - Accent1 3 2 3 3" xfId="5338" xr:uid="{00000000-0005-0000-0000-00005B000000}"/>
    <cellStyle name="20% - Accent1 3 2 3 3 2" xfId="13780" xr:uid="{D093D417-E4A8-4759-A30D-142464BA6DBD}"/>
    <cellStyle name="20% - Accent1 3 2 3 4" xfId="9562" xr:uid="{CC3B2A49-1225-490E-A168-B8DE4A1D9734}"/>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2B75D2AA-A6BC-4639-A950-805E4D30B250}"/>
    <cellStyle name="20% - Accent1 3 2 4 2 3" xfId="12120" xr:uid="{0B66F43D-5DB6-4A52-9AB7-06CAC72063A5}"/>
    <cellStyle name="20% - Accent1 3 2 4 3" xfId="5751" xr:uid="{00000000-0005-0000-0000-00005F000000}"/>
    <cellStyle name="20% - Accent1 3 2 4 3 2" xfId="14193" xr:uid="{A3FE03D5-946E-4D75-9B73-2CA7C7F24C20}"/>
    <cellStyle name="20% - Accent1 3 2 4 4" xfId="9975" xr:uid="{2CDE3F85-E312-46D9-A680-988614F2C290}"/>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B7743778-5A60-4E66-8360-ACFF458C4570}"/>
    <cellStyle name="20% - Accent1 3 2 5 2 3" xfId="12533" xr:uid="{5D21558B-86C2-4E11-8542-C51AA597A5D3}"/>
    <cellStyle name="20% - Accent1 3 2 5 3" xfId="6164" xr:uid="{00000000-0005-0000-0000-000063000000}"/>
    <cellStyle name="20% - Accent1 3 2 5 3 2" xfId="14606" xr:uid="{066E95A1-4238-4748-88FE-67BB32C17FD7}"/>
    <cellStyle name="20% - Accent1 3 2 5 4" xfId="10388" xr:uid="{94C0DEF1-5A8B-4F12-9C55-EF68D6A8CBA4}"/>
    <cellStyle name="20% - Accent1 3 2 6" xfId="2270" xr:uid="{00000000-0005-0000-0000-000064000000}"/>
    <cellStyle name="20% - Accent1 3 2 6 2" xfId="6577" xr:uid="{00000000-0005-0000-0000-000065000000}"/>
    <cellStyle name="20% - Accent1 3 2 6 2 2" xfId="15019" xr:uid="{5FCC8EF5-EB5C-45F0-8413-E8F0DDAC9CC0}"/>
    <cellStyle name="20% - Accent1 3 2 6 3" xfId="10801" xr:uid="{D15608BC-AC38-4A95-A7F8-2AB76E8CBA2E}"/>
    <cellStyle name="20% - Accent1 3 2 7" xfId="4511" xr:uid="{00000000-0005-0000-0000-000066000000}"/>
    <cellStyle name="20% - Accent1 3 2 7 2" xfId="12953" xr:uid="{6E2150F8-9291-487F-BD6C-BA3E88D9A7F4}"/>
    <cellStyle name="20% - Accent1 3 2 8" xfId="8735" xr:uid="{160D9D2A-50B9-4919-85AC-664346E95B1C}"/>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85E1E85F-5782-4B21-8CF4-EA0F9DC4249A}"/>
    <cellStyle name="20% - Accent1 3 3 2 3" xfId="11293" xr:uid="{71461B5A-3791-4ABE-BA91-D165330F7BB6}"/>
    <cellStyle name="20% - Accent1 3 3 3" xfId="4924" xr:uid="{00000000-0005-0000-0000-00006A000000}"/>
    <cellStyle name="20% - Accent1 3 3 3 2" xfId="13366" xr:uid="{AC03F45C-4BCE-44F0-9C21-D09406C2E46A}"/>
    <cellStyle name="20% - Accent1 3 3 4" xfId="9148" xr:uid="{8A097505-407F-4F2E-BEC4-4D1B9FB51F50}"/>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00304BFE-FF06-4885-834F-1F33283C49DA}"/>
    <cellStyle name="20% - Accent1 3 4 2 3" xfId="11706" xr:uid="{C138A8FA-53E0-42FC-8FC1-D4CC4142B70A}"/>
    <cellStyle name="20% - Accent1 3 4 3" xfId="5337" xr:uid="{00000000-0005-0000-0000-00006E000000}"/>
    <cellStyle name="20% - Accent1 3 4 3 2" xfId="13779" xr:uid="{3FC3EC82-5301-4BCE-B380-C2D06A201D23}"/>
    <cellStyle name="20% - Accent1 3 4 4" xfId="9561" xr:uid="{927C5A4B-FAAD-4105-A7CF-021BFEE7F19F}"/>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46F1F5C5-433C-4AE6-8827-953111DD1610}"/>
    <cellStyle name="20% - Accent1 3 5 2 3" xfId="12119" xr:uid="{CF9E98D6-CEAC-46A6-97DD-8713E54476D5}"/>
    <cellStyle name="20% - Accent1 3 5 3" xfId="5750" xr:uid="{00000000-0005-0000-0000-000072000000}"/>
    <cellStyle name="20% - Accent1 3 5 3 2" xfId="14192" xr:uid="{574780AB-DD24-42EE-ADE0-9631A85D4670}"/>
    <cellStyle name="20% - Accent1 3 5 4" xfId="9974" xr:uid="{F2868B8A-091B-460B-BBC8-E3B65B7F5EE4}"/>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9241B828-4ED9-4456-B6CE-C33F4F01AF5E}"/>
    <cellStyle name="20% - Accent1 3 6 2 3" xfId="12532" xr:uid="{404D7FEF-6A49-4788-BB11-27FF3033AC6C}"/>
    <cellStyle name="20% - Accent1 3 6 3" xfId="6163" xr:uid="{00000000-0005-0000-0000-000076000000}"/>
    <cellStyle name="20% - Accent1 3 6 3 2" xfId="14605" xr:uid="{3C7EC453-28F1-405C-A9F3-E406E51A804F}"/>
    <cellStyle name="20% - Accent1 3 6 4" xfId="10387" xr:uid="{320B2845-5381-4095-ABCD-4BB2B26D95D5}"/>
    <cellStyle name="20% - Accent1 3 7" xfId="2269" xr:uid="{00000000-0005-0000-0000-000077000000}"/>
    <cellStyle name="20% - Accent1 3 7 2" xfId="6576" xr:uid="{00000000-0005-0000-0000-000078000000}"/>
    <cellStyle name="20% - Accent1 3 7 2 2" xfId="15018" xr:uid="{C3C86C75-6BBE-4F39-9F74-8F9F50F8B169}"/>
    <cellStyle name="20% - Accent1 3 7 3" xfId="10800" xr:uid="{C8CD42AD-23FF-4AC8-8AE6-DB877703031A}"/>
    <cellStyle name="20% - Accent1 3 8" xfId="4510" xr:uid="{00000000-0005-0000-0000-000079000000}"/>
    <cellStyle name="20% - Accent1 3 8 2" xfId="12952" xr:uid="{DF2D2AEA-1F20-4219-9E40-3184658CFF53}"/>
    <cellStyle name="20% - Accent1 3 9" xfId="8734" xr:uid="{EAFC47FE-EC81-487E-9AC8-9E81999DEC9E}"/>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5BFD166D-E70B-4CC2-A3F2-D518F8A1B60E}"/>
    <cellStyle name="20% - Accent1 4 2 2 3" xfId="11295" xr:uid="{9096E1E6-F334-4C58-8123-C9A5F47B0176}"/>
    <cellStyle name="20% - Accent1 4 2 3" xfId="4926" xr:uid="{00000000-0005-0000-0000-00007E000000}"/>
    <cellStyle name="20% - Accent1 4 2 3 2" xfId="13368" xr:uid="{6247C931-3465-4CBB-86C3-6E6AD851FEB6}"/>
    <cellStyle name="20% - Accent1 4 2 4" xfId="9150" xr:uid="{8D6199C4-E0BF-4F9D-9044-0FE85EDD45F6}"/>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098D1A62-1846-4ACB-A2C0-45DC40EB559A}"/>
    <cellStyle name="20% - Accent1 4 3 2 3" xfId="11708" xr:uid="{1A5D934B-CA36-4EA0-8BB9-BE448008B782}"/>
    <cellStyle name="20% - Accent1 4 3 3" xfId="5339" xr:uid="{00000000-0005-0000-0000-000082000000}"/>
    <cellStyle name="20% - Accent1 4 3 3 2" xfId="13781" xr:uid="{8355E6DA-A4A1-4BDA-A784-7EE7925C728D}"/>
    <cellStyle name="20% - Accent1 4 3 4" xfId="9563" xr:uid="{4670276C-4817-48DD-9FDD-0304761AABF4}"/>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575C8016-DA4F-4320-BDDD-709A245B5CD5}"/>
    <cellStyle name="20% - Accent1 4 4 2 3" xfId="12121" xr:uid="{9B9E37C4-55FF-46FA-88DE-B180B5933324}"/>
    <cellStyle name="20% - Accent1 4 4 3" xfId="5752" xr:uid="{00000000-0005-0000-0000-000086000000}"/>
    <cellStyle name="20% - Accent1 4 4 3 2" xfId="14194" xr:uid="{C8E5B8F8-0E22-47C3-B0F9-20E37E617664}"/>
    <cellStyle name="20% - Accent1 4 4 4" xfId="9976" xr:uid="{9ED12FED-82BC-40D9-9DBA-DBAF5EB4908B}"/>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2AF0DF3A-5790-450B-A7DD-06D42B8B0A38}"/>
    <cellStyle name="20% - Accent1 4 5 2 3" xfId="12534" xr:uid="{3C294797-BC0B-4E36-8D27-BB830859E98B}"/>
    <cellStyle name="20% - Accent1 4 5 3" xfId="6165" xr:uid="{00000000-0005-0000-0000-00008A000000}"/>
    <cellStyle name="20% - Accent1 4 5 3 2" xfId="14607" xr:uid="{BB177FFD-D462-4A62-814C-161E9279E705}"/>
    <cellStyle name="20% - Accent1 4 5 4" xfId="10389" xr:uid="{A12382A1-6F88-4207-8E7C-CE446A98569E}"/>
    <cellStyle name="20% - Accent1 4 6" xfId="2271" xr:uid="{00000000-0005-0000-0000-00008B000000}"/>
    <cellStyle name="20% - Accent1 4 6 2" xfId="6578" xr:uid="{00000000-0005-0000-0000-00008C000000}"/>
    <cellStyle name="20% - Accent1 4 6 2 2" xfId="15020" xr:uid="{C529CFF0-8B86-4137-BF57-CD85596AF53D}"/>
    <cellStyle name="20% - Accent1 4 6 3" xfId="10802" xr:uid="{D5C10DBD-4EFE-439C-8356-2F9F927A6B1C}"/>
    <cellStyle name="20% - Accent1 4 7" xfId="4512" xr:uid="{00000000-0005-0000-0000-00008D000000}"/>
    <cellStyle name="20% - Accent1 4 7 2" xfId="12954" xr:uid="{88073C3F-0F0C-4140-BC47-BB69919EED4D}"/>
    <cellStyle name="20% - Accent1 4 8" xfId="8736" xr:uid="{B5C3DDB9-388A-4A30-B99E-9A7959A0D3F2}"/>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CAB19A05-4E3D-4C4B-9079-38B599DC2B55}"/>
    <cellStyle name="20% - Accent1 5 2 3" xfId="11288" xr:uid="{F2AFB450-E116-475B-93D1-482D8D0835B9}"/>
    <cellStyle name="20% - Accent1 5 3" xfId="4919" xr:uid="{00000000-0005-0000-0000-000091000000}"/>
    <cellStyle name="20% - Accent1 5 3 2" xfId="13361" xr:uid="{0342E31D-69DC-423A-AE6C-C6A94EFE810F}"/>
    <cellStyle name="20% - Accent1 5 4" xfId="9143" xr:uid="{7316481F-505C-44A2-A6FA-F70B7FEF7A5A}"/>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376C4926-63A5-4268-A7E1-49A9F15354B2}"/>
    <cellStyle name="20% - Accent1 6 2 3" xfId="11701" xr:uid="{C5B4FAC1-4AC1-4E48-87EC-94F9CD851D06}"/>
    <cellStyle name="20% - Accent1 6 3" xfId="5332" xr:uid="{00000000-0005-0000-0000-000095000000}"/>
    <cellStyle name="20% - Accent1 6 3 2" xfId="13774" xr:uid="{53196B51-8F6A-4B3A-AB8F-508D2E75F4C3}"/>
    <cellStyle name="20% - Accent1 6 4" xfId="9556" xr:uid="{827C5CD1-BBF5-4EFB-96A2-4D48CBEBB11C}"/>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0FE309AF-202E-46A8-9BAB-C63E5E92944C}"/>
    <cellStyle name="20% - Accent1 7 2 3" xfId="12114" xr:uid="{29937086-FF1F-46D7-BF39-7346C6C6195C}"/>
    <cellStyle name="20% - Accent1 7 3" xfId="5745" xr:uid="{00000000-0005-0000-0000-000099000000}"/>
    <cellStyle name="20% - Accent1 7 3 2" xfId="14187" xr:uid="{8AD08839-32DE-4159-AB5B-405C36F6BF22}"/>
    <cellStyle name="20% - Accent1 7 4" xfId="9969" xr:uid="{1EB92BB5-78C5-421B-BA54-1D907548223F}"/>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13E326BC-E53C-429F-B001-771EEBF38195}"/>
    <cellStyle name="20% - Accent1 8 2 3" xfId="12527" xr:uid="{C1B205B9-10A6-4BF0-9B09-1230B4C78110}"/>
    <cellStyle name="20% - Accent1 8 3" xfId="6158" xr:uid="{00000000-0005-0000-0000-00009D000000}"/>
    <cellStyle name="20% - Accent1 8 3 2" xfId="14600" xr:uid="{46D9AFA4-0BF5-44B7-A93A-A2F292BE2C0A}"/>
    <cellStyle name="20% - Accent1 8 4" xfId="10382" xr:uid="{1AAEDE32-DB02-48E0-99D1-527CF1E936A0}"/>
    <cellStyle name="20% - Accent1 9" xfId="2264" xr:uid="{00000000-0005-0000-0000-00009E000000}"/>
    <cellStyle name="20% - Accent1 9 2" xfId="6571" xr:uid="{00000000-0005-0000-0000-00009F000000}"/>
    <cellStyle name="20% - Accent1 9 2 2" xfId="15013" xr:uid="{74BC63DD-420C-4C2F-920E-4B8F1814BD0C}"/>
    <cellStyle name="20% - Accent1 9 3" xfId="10795" xr:uid="{4B17CF4F-82A6-498B-9ECD-16BF526AA226}"/>
    <cellStyle name="20% - Accent2" xfId="9" builtinId="34" customBuiltin="1"/>
    <cellStyle name="20% - Accent2 10" xfId="4513" xr:uid="{00000000-0005-0000-0000-0000A1000000}"/>
    <cellStyle name="20% - Accent2 10 2" xfId="12955" xr:uid="{370E84DF-A275-460C-80DF-BCB28E4C85E5}"/>
    <cellStyle name="20% - Accent2 11" xfId="8737" xr:uid="{436D1357-32C1-441E-A8FA-004C5BB886A4}"/>
    <cellStyle name="20% - Accent2 2" xfId="10" xr:uid="{00000000-0005-0000-0000-0000A2000000}"/>
    <cellStyle name="20% - Accent2 2 10" xfId="8738" xr:uid="{81F7B4CA-1CD0-440C-8D6A-88219898626B}"/>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88DBBC79-073A-4CE3-8042-B11C2EA3C195}"/>
    <cellStyle name="20% - Accent2 2 2 2 2 2 3" xfId="11299" xr:uid="{C5955D6A-BB0B-47B7-9424-6CD3D37CBDE0}"/>
    <cellStyle name="20% - Accent2 2 2 2 2 3" xfId="4930" xr:uid="{00000000-0005-0000-0000-0000A8000000}"/>
    <cellStyle name="20% - Accent2 2 2 2 2 3 2" xfId="13372" xr:uid="{DEF9817C-F216-4C4F-9ABB-1FA963915434}"/>
    <cellStyle name="20% - Accent2 2 2 2 2 4" xfId="9154" xr:uid="{AF50E6B7-51BC-4480-94EB-F788FA714DE2}"/>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78CBCDE7-DD09-4C8C-A13A-4E16A1618FB2}"/>
    <cellStyle name="20% - Accent2 2 2 2 3 2 3" xfId="11712" xr:uid="{FBF8AA03-60F8-4058-A818-B4AEC2FD45EE}"/>
    <cellStyle name="20% - Accent2 2 2 2 3 3" xfId="5343" xr:uid="{00000000-0005-0000-0000-0000AC000000}"/>
    <cellStyle name="20% - Accent2 2 2 2 3 3 2" xfId="13785" xr:uid="{1D48E093-CA1A-45A5-8E9B-71EB4D090D2B}"/>
    <cellStyle name="20% - Accent2 2 2 2 3 4" xfId="9567" xr:uid="{F147C3A9-C4FC-4FC0-8C01-A50EABC082B1}"/>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24031BEC-A98E-4966-AEA8-1EF35AFFD9F2}"/>
    <cellStyle name="20% - Accent2 2 2 2 4 2 3" xfId="12125" xr:uid="{A581E382-50C9-4477-8ACD-77DBB68AFF49}"/>
    <cellStyle name="20% - Accent2 2 2 2 4 3" xfId="5756" xr:uid="{00000000-0005-0000-0000-0000B0000000}"/>
    <cellStyle name="20% - Accent2 2 2 2 4 3 2" xfId="14198" xr:uid="{0455D7F5-E8C4-4A56-B812-EB375C5A9842}"/>
    <cellStyle name="20% - Accent2 2 2 2 4 4" xfId="9980" xr:uid="{30EEE622-A1F6-4092-801B-1AF25EB35986}"/>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06374819-D6CE-46D0-AD38-02A703CCCF35}"/>
    <cellStyle name="20% - Accent2 2 2 2 5 2 3" xfId="12538" xr:uid="{B4FDC22F-9E24-4886-B17A-C316CA744E96}"/>
    <cellStyle name="20% - Accent2 2 2 2 5 3" xfId="6169" xr:uid="{00000000-0005-0000-0000-0000B4000000}"/>
    <cellStyle name="20% - Accent2 2 2 2 5 3 2" xfId="14611" xr:uid="{1B083FEC-9443-473A-BD0D-913544C3FB58}"/>
    <cellStyle name="20% - Accent2 2 2 2 5 4" xfId="10393" xr:uid="{0648AAC0-0DAA-447E-9771-9F283539A7FE}"/>
    <cellStyle name="20% - Accent2 2 2 2 6" xfId="2275" xr:uid="{00000000-0005-0000-0000-0000B5000000}"/>
    <cellStyle name="20% - Accent2 2 2 2 6 2" xfId="6582" xr:uid="{00000000-0005-0000-0000-0000B6000000}"/>
    <cellStyle name="20% - Accent2 2 2 2 6 2 2" xfId="15024" xr:uid="{15D73351-ADA1-4E67-B557-BAB391ADF9C4}"/>
    <cellStyle name="20% - Accent2 2 2 2 6 3" xfId="10806" xr:uid="{7C97C6D0-EB43-4E43-B502-8394CD80E88C}"/>
    <cellStyle name="20% - Accent2 2 2 2 7" xfId="4516" xr:uid="{00000000-0005-0000-0000-0000B7000000}"/>
    <cellStyle name="20% - Accent2 2 2 2 7 2" xfId="12958" xr:uid="{53304387-68A4-42C0-A604-0CB842C7D489}"/>
    <cellStyle name="20% - Accent2 2 2 2 8" xfId="8740" xr:uid="{C5357373-319C-4C7B-9813-D8A8FF6E53C2}"/>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C662C018-8BAF-423A-B952-E7595823177C}"/>
    <cellStyle name="20% - Accent2 2 2 3 2 3" xfId="11298" xr:uid="{CA4C682C-03C1-4217-9341-A76183EF711B}"/>
    <cellStyle name="20% - Accent2 2 2 3 3" xfId="4929" xr:uid="{00000000-0005-0000-0000-0000BB000000}"/>
    <cellStyle name="20% - Accent2 2 2 3 3 2" xfId="13371" xr:uid="{F0638D45-99C7-445B-B144-DFFD17300F24}"/>
    <cellStyle name="20% - Accent2 2 2 3 4" xfId="9153" xr:uid="{D3BF7C02-B2E0-44E2-994B-CC7BDB7BEA6C}"/>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2E375D32-9D11-46FE-B098-987A7D46424A}"/>
    <cellStyle name="20% - Accent2 2 2 4 2 3" xfId="11711" xr:uid="{6903C3DC-2C08-4E31-994B-B826E3034F5A}"/>
    <cellStyle name="20% - Accent2 2 2 4 3" xfId="5342" xr:uid="{00000000-0005-0000-0000-0000BF000000}"/>
    <cellStyle name="20% - Accent2 2 2 4 3 2" xfId="13784" xr:uid="{2C123745-1F0C-4872-B567-A2F9F4D6E1F8}"/>
    <cellStyle name="20% - Accent2 2 2 4 4" xfId="9566" xr:uid="{D8658C60-94CD-42F5-9B9D-0E43B29D99B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4CB73797-6803-4891-B56B-91191695EC80}"/>
    <cellStyle name="20% - Accent2 2 2 5 2 3" xfId="12124" xr:uid="{4698173B-5B91-45B2-87DE-A245E71517AD}"/>
    <cellStyle name="20% - Accent2 2 2 5 3" xfId="5755" xr:uid="{00000000-0005-0000-0000-0000C3000000}"/>
    <cellStyle name="20% - Accent2 2 2 5 3 2" xfId="14197" xr:uid="{2120EF7C-838A-48D1-B08C-F927F2234B85}"/>
    <cellStyle name="20% - Accent2 2 2 5 4" xfId="9979" xr:uid="{F91A6FF2-10F3-4FC5-B46B-355DDB8D283C}"/>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D067110-2DE5-478C-868C-D252ED7A1A39}"/>
    <cellStyle name="20% - Accent2 2 2 6 2 3" xfId="12537" xr:uid="{2123A916-9773-4522-AC79-0AC0C0B31000}"/>
    <cellStyle name="20% - Accent2 2 2 6 3" xfId="6168" xr:uid="{00000000-0005-0000-0000-0000C7000000}"/>
    <cellStyle name="20% - Accent2 2 2 6 3 2" xfId="14610" xr:uid="{5390D0A2-7A40-4085-BA45-DD459CB1D951}"/>
    <cellStyle name="20% - Accent2 2 2 6 4" xfId="10392" xr:uid="{244BCAB1-4073-4683-872C-37D8C75CC880}"/>
    <cellStyle name="20% - Accent2 2 2 7" xfId="2274" xr:uid="{00000000-0005-0000-0000-0000C8000000}"/>
    <cellStyle name="20% - Accent2 2 2 7 2" xfId="6581" xr:uid="{00000000-0005-0000-0000-0000C9000000}"/>
    <cellStyle name="20% - Accent2 2 2 7 2 2" xfId="15023" xr:uid="{89ECE50F-3847-4135-B098-FAD5F94FD976}"/>
    <cellStyle name="20% - Accent2 2 2 7 3" xfId="10805" xr:uid="{57B01F83-0632-4980-B266-E3D8813A9532}"/>
    <cellStyle name="20% - Accent2 2 2 8" xfId="4515" xr:uid="{00000000-0005-0000-0000-0000CA000000}"/>
    <cellStyle name="20% - Accent2 2 2 8 2" xfId="12957" xr:uid="{232A88AE-DE32-419B-82CE-5F1B24337406}"/>
    <cellStyle name="20% - Accent2 2 2 9" xfId="8739" xr:uid="{453B78A5-A800-40B5-A022-6D13E7429132}"/>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B1AECD98-8CEF-4A9B-A749-E1772BE31875}"/>
    <cellStyle name="20% - Accent2 2 3 2 2 3" xfId="11300" xr:uid="{9D2650B0-06E5-4EF4-8EAD-2837607C6708}"/>
    <cellStyle name="20% - Accent2 2 3 2 3" xfId="4931" xr:uid="{00000000-0005-0000-0000-0000CF000000}"/>
    <cellStyle name="20% - Accent2 2 3 2 3 2" xfId="13373" xr:uid="{5065BB83-5E3F-41AC-8793-55D214D93B57}"/>
    <cellStyle name="20% - Accent2 2 3 2 4" xfId="9155" xr:uid="{79C36DF5-AD64-48D5-A318-B2D82AF34BA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448426CC-2490-4899-A131-48B56FAA1B75}"/>
    <cellStyle name="20% - Accent2 2 3 3 2 3" xfId="11713" xr:uid="{C0864A53-F729-4C23-8981-7BC3F257D71E}"/>
    <cellStyle name="20% - Accent2 2 3 3 3" xfId="5344" xr:uid="{00000000-0005-0000-0000-0000D3000000}"/>
    <cellStyle name="20% - Accent2 2 3 3 3 2" xfId="13786" xr:uid="{FDC4DCBD-3876-4E93-832A-2A6D6B0761C4}"/>
    <cellStyle name="20% - Accent2 2 3 3 4" xfId="9568" xr:uid="{82E17E75-578C-479C-B6FC-D739AEB94D43}"/>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0A1D697D-DC05-417E-A832-15EA2B785718}"/>
    <cellStyle name="20% - Accent2 2 3 4 2 3" xfId="12126" xr:uid="{B7925C49-A053-481D-B997-79ADDBE98EA4}"/>
    <cellStyle name="20% - Accent2 2 3 4 3" xfId="5757" xr:uid="{00000000-0005-0000-0000-0000D7000000}"/>
    <cellStyle name="20% - Accent2 2 3 4 3 2" xfId="14199" xr:uid="{FFB3779D-42D3-49CF-8794-905EA4A3D757}"/>
    <cellStyle name="20% - Accent2 2 3 4 4" xfId="9981" xr:uid="{4D5C9F47-51BA-469B-9493-730E0DB67109}"/>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5B535101-BAFC-4A1B-8A16-CB1E15E385A2}"/>
    <cellStyle name="20% - Accent2 2 3 5 2 3" xfId="12539" xr:uid="{3068DFED-05B3-4A09-B51C-E068F1CB35FD}"/>
    <cellStyle name="20% - Accent2 2 3 5 3" xfId="6170" xr:uid="{00000000-0005-0000-0000-0000DB000000}"/>
    <cellStyle name="20% - Accent2 2 3 5 3 2" xfId="14612" xr:uid="{7C1D11DC-589F-4060-9D3E-CF6BFEA25E2D}"/>
    <cellStyle name="20% - Accent2 2 3 5 4" xfId="10394" xr:uid="{677319AD-260A-40A0-BAB2-525E57B9BFA4}"/>
    <cellStyle name="20% - Accent2 2 3 6" xfId="2276" xr:uid="{00000000-0005-0000-0000-0000DC000000}"/>
    <cellStyle name="20% - Accent2 2 3 6 2" xfId="6583" xr:uid="{00000000-0005-0000-0000-0000DD000000}"/>
    <cellStyle name="20% - Accent2 2 3 6 2 2" xfId="15025" xr:uid="{ACDB53EA-6A47-48CF-8001-63E176F211BC}"/>
    <cellStyle name="20% - Accent2 2 3 6 3" xfId="10807" xr:uid="{B7528A99-986D-4681-804C-471397FDF9C7}"/>
    <cellStyle name="20% - Accent2 2 3 7" xfId="4517" xr:uid="{00000000-0005-0000-0000-0000DE000000}"/>
    <cellStyle name="20% - Accent2 2 3 7 2" xfId="12959" xr:uid="{A54059B6-0CAE-4FE7-B956-E3A399324183}"/>
    <cellStyle name="20% - Accent2 2 3 8" xfId="8741" xr:uid="{EBB7115C-C51A-450F-A8AB-A234243F3391}"/>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DB3270AF-82CF-4E54-B835-005C5E10AC7E}"/>
    <cellStyle name="20% - Accent2 2 4 2 3" xfId="11297" xr:uid="{5EA43205-6CAF-441F-84EB-AA05A0E4082A}"/>
    <cellStyle name="20% - Accent2 2 4 3" xfId="4928" xr:uid="{00000000-0005-0000-0000-0000E2000000}"/>
    <cellStyle name="20% - Accent2 2 4 3 2" xfId="13370" xr:uid="{FEFD1D14-7684-48D2-87C1-545188F211C5}"/>
    <cellStyle name="20% - Accent2 2 4 4" xfId="9152" xr:uid="{96E62C08-DB36-4160-9D16-3593DD76BE6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56998088-AB46-4346-AE37-1A3880BE6FB9}"/>
    <cellStyle name="20% - Accent2 2 5 2 3" xfId="11710" xr:uid="{23B070B9-FBF1-48B9-8AA9-018AA3744210}"/>
    <cellStyle name="20% - Accent2 2 5 3" xfId="5341" xr:uid="{00000000-0005-0000-0000-0000E6000000}"/>
    <cellStyle name="20% - Accent2 2 5 3 2" xfId="13783" xr:uid="{72B37E40-DFD1-4970-B923-7607DB694514}"/>
    <cellStyle name="20% - Accent2 2 5 4" xfId="9565" xr:uid="{6B76297E-CF72-45FE-90B9-A3BB223396D6}"/>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01B45201-2C93-4B8B-BCC5-C37038EED672}"/>
    <cellStyle name="20% - Accent2 2 6 2 3" xfId="12123" xr:uid="{570D6AF2-D1EA-4E15-8B4A-B891F6073F52}"/>
    <cellStyle name="20% - Accent2 2 6 3" xfId="5754" xr:uid="{00000000-0005-0000-0000-0000EA000000}"/>
    <cellStyle name="20% - Accent2 2 6 3 2" xfId="14196" xr:uid="{A5FC00E1-E1E9-4618-AFDC-7E9FFB68CDA4}"/>
    <cellStyle name="20% - Accent2 2 6 4" xfId="9978" xr:uid="{828B68A9-747E-4FE3-B57A-660F5ABA60E8}"/>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1DAE113D-5D82-48A5-8A49-35BD2194E9BE}"/>
    <cellStyle name="20% - Accent2 2 7 2 3" xfId="12536" xr:uid="{06AC50A9-7E01-4779-9371-FAF90E8BBCD5}"/>
    <cellStyle name="20% - Accent2 2 7 3" xfId="6167" xr:uid="{00000000-0005-0000-0000-0000EE000000}"/>
    <cellStyle name="20% - Accent2 2 7 3 2" xfId="14609" xr:uid="{428D2150-1187-4263-AF9D-8F39C0A811A7}"/>
    <cellStyle name="20% - Accent2 2 7 4" xfId="10391" xr:uid="{103D9E44-1031-4C2C-8AF0-092A2631A31F}"/>
    <cellStyle name="20% - Accent2 2 8" xfId="2273" xr:uid="{00000000-0005-0000-0000-0000EF000000}"/>
    <cellStyle name="20% - Accent2 2 8 2" xfId="6580" xr:uid="{00000000-0005-0000-0000-0000F0000000}"/>
    <cellStyle name="20% - Accent2 2 8 2 2" xfId="15022" xr:uid="{AD517C51-6510-4EF6-8313-D83821A9F3E2}"/>
    <cellStyle name="20% - Accent2 2 8 3" xfId="10804" xr:uid="{BF50762A-3C32-4387-9DB9-433DBFF1710C}"/>
    <cellStyle name="20% - Accent2 2 9" xfId="4514" xr:uid="{00000000-0005-0000-0000-0000F1000000}"/>
    <cellStyle name="20% - Accent2 2 9 2" xfId="12956" xr:uid="{46FB18E4-8C21-4C5D-AF28-48171B27405F}"/>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12BD8491-A06B-4779-8CE6-52F9BE2106FE}"/>
    <cellStyle name="20% - Accent2 3 2 2 2 3" xfId="11302" xr:uid="{1B0E464C-17EA-4EE8-B29B-C9987C9C65DD}"/>
    <cellStyle name="20% - Accent2 3 2 2 3" xfId="4933" xr:uid="{00000000-0005-0000-0000-0000F7000000}"/>
    <cellStyle name="20% - Accent2 3 2 2 3 2" xfId="13375" xr:uid="{BEF80F22-1E4F-4D23-91CB-B6CAFF583E38}"/>
    <cellStyle name="20% - Accent2 3 2 2 4" xfId="9157" xr:uid="{26A5A2CF-1D00-4B9D-8837-AAC104473D09}"/>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35A431CC-476D-4D0A-9073-5B162FD54E28}"/>
    <cellStyle name="20% - Accent2 3 2 3 2 3" xfId="11715" xr:uid="{E6A4ED71-CF24-40DE-9844-78F5FFBD9B0E}"/>
    <cellStyle name="20% - Accent2 3 2 3 3" xfId="5346" xr:uid="{00000000-0005-0000-0000-0000FB000000}"/>
    <cellStyle name="20% - Accent2 3 2 3 3 2" xfId="13788" xr:uid="{95797B3C-9A39-487D-967E-B05880B194EA}"/>
    <cellStyle name="20% - Accent2 3 2 3 4" xfId="9570" xr:uid="{85F6F4FE-A742-48E9-ABB8-6DFCAB950131}"/>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6B147568-5CC2-464E-A828-F528894F8117}"/>
    <cellStyle name="20% - Accent2 3 2 4 2 3" xfId="12128" xr:uid="{AA618279-5E6F-469C-8422-B88E6962706E}"/>
    <cellStyle name="20% - Accent2 3 2 4 3" xfId="5759" xr:uid="{00000000-0005-0000-0000-0000FF000000}"/>
    <cellStyle name="20% - Accent2 3 2 4 3 2" xfId="14201" xr:uid="{5A5D64C3-C27D-4482-9CB1-68C1988F0C68}"/>
    <cellStyle name="20% - Accent2 3 2 4 4" xfId="9983" xr:uid="{7A012FE4-74D6-419C-8521-07835985A5C5}"/>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54DF8A2E-335C-4695-891C-6ED05E8CF169}"/>
    <cellStyle name="20% - Accent2 3 2 5 2 3" xfId="12541" xr:uid="{4AE34856-59DE-44CC-915C-9ADD9FBBF0DC}"/>
    <cellStyle name="20% - Accent2 3 2 5 3" xfId="6172" xr:uid="{00000000-0005-0000-0000-000003010000}"/>
    <cellStyle name="20% - Accent2 3 2 5 3 2" xfId="14614" xr:uid="{91F671E9-81B5-4852-A918-9C63637A2460}"/>
    <cellStyle name="20% - Accent2 3 2 5 4" xfId="10396" xr:uid="{428493BC-29C0-418B-B1DE-CE1C7DED07CF}"/>
    <cellStyle name="20% - Accent2 3 2 6" xfId="2278" xr:uid="{00000000-0005-0000-0000-000004010000}"/>
    <cellStyle name="20% - Accent2 3 2 6 2" xfId="6585" xr:uid="{00000000-0005-0000-0000-000005010000}"/>
    <cellStyle name="20% - Accent2 3 2 6 2 2" xfId="15027" xr:uid="{59561ED4-CB36-4D93-9667-C9344C70C159}"/>
    <cellStyle name="20% - Accent2 3 2 6 3" xfId="10809" xr:uid="{696D2A75-78B2-4CAA-A0C1-A36943EF57BC}"/>
    <cellStyle name="20% - Accent2 3 2 7" xfId="4519" xr:uid="{00000000-0005-0000-0000-000006010000}"/>
    <cellStyle name="20% - Accent2 3 2 7 2" xfId="12961" xr:uid="{F33359A6-F7B2-423E-BDC7-1FA970669789}"/>
    <cellStyle name="20% - Accent2 3 2 8" xfId="8743" xr:uid="{1DD38886-8E70-4B42-9AFC-B29A6A9AFDA3}"/>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25C81CFE-0825-458D-A258-54D7348B9D3A}"/>
    <cellStyle name="20% - Accent2 3 3 2 3" xfId="11301" xr:uid="{6268D066-E1E7-4839-A6F7-4784F8305FFF}"/>
    <cellStyle name="20% - Accent2 3 3 3" xfId="4932" xr:uid="{00000000-0005-0000-0000-00000A010000}"/>
    <cellStyle name="20% - Accent2 3 3 3 2" xfId="13374" xr:uid="{481FF461-9198-4BCE-B98E-081CFD7B7E38}"/>
    <cellStyle name="20% - Accent2 3 3 4" xfId="9156" xr:uid="{58CD850E-6F10-459C-9EFE-A6150F439ABF}"/>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660D727C-A4DA-4C68-9FC6-DD61FAFE0AAB}"/>
    <cellStyle name="20% - Accent2 3 4 2 3" xfId="11714" xr:uid="{2627F386-6C03-4E41-BE5A-6D5E18069EB1}"/>
    <cellStyle name="20% - Accent2 3 4 3" xfId="5345" xr:uid="{00000000-0005-0000-0000-00000E010000}"/>
    <cellStyle name="20% - Accent2 3 4 3 2" xfId="13787" xr:uid="{1F54D64E-24BE-43F8-A409-B7744C9C7AAB}"/>
    <cellStyle name="20% - Accent2 3 4 4" xfId="9569" xr:uid="{E24086CF-C93A-4B59-8EF5-8D710D7FA93B}"/>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95FA992A-7C54-4E6A-8D5B-F4B9208A372D}"/>
    <cellStyle name="20% - Accent2 3 5 2 3" xfId="12127" xr:uid="{381F62C0-9B90-453E-A499-6D811A1F02CE}"/>
    <cellStyle name="20% - Accent2 3 5 3" xfId="5758" xr:uid="{00000000-0005-0000-0000-000012010000}"/>
    <cellStyle name="20% - Accent2 3 5 3 2" xfId="14200" xr:uid="{D5B7444E-C381-4ABE-9B0E-B075575C7242}"/>
    <cellStyle name="20% - Accent2 3 5 4" xfId="9982" xr:uid="{ADFEF7BA-F48F-4769-B6DE-9064B54EB22B}"/>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26A659D8-3B94-48AD-8D4B-8CE1E2BDC1AF}"/>
    <cellStyle name="20% - Accent2 3 6 2 3" xfId="12540" xr:uid="{F3DADA7E-AD39-4D16-A5C7-5612ABD070AB}"/>
    <cellStyle name="20% - Accent2 3 6 3" xfId="6171" xr:uid="{00000000-0005-0000-0000-000016010000}"/>
    <cellStyle name="20% - Accent2 3 6 3 2" xfId="14613" xr:uid="{B709CFE7-7030-49DE-96F3-067A82959796}"/>
    <cellStyle name="20% - Accent2 3 6 4" xfId="10395" xr:uid="{F1D90DD9-6EDC-4993-8CB7-3748F9CD5171}"/>
    <cellStyle name="20% - Accent2 3 7" xfId="2277" xr:uid="{00000000-0005-0000-0000-000017010000}"/>
    <cellStyle name="20% - Accent2 3 7 2" xfId="6584" xr:uid="{00000000-0005-0000-0000-000018010000}"/>
    <cellStyle name="20% - Accent2 3 7 2 2" xfId="15026" xr:uid="{636FF95D-EBC8-47E2-940C-50ED9EECC912}"/>
    <cellStyle name="20% - Accent2 3 7 3" xfId="10808" xr:uid="{0424E19A-9B30-4191-B040-65266B4E7267}"/>
    <cellStyle name="20% - Accent2 3 8" xfId="4518" xr:uid="{00000000-0005-0000-0000-000019010000}"/>
    <cellStyle name="20% - Accent2 3 8 2" xfId="12960" xr:uid="{AA99B497-4CCF-4D9F-8ED4-9A9622A6B983}"/>
    <cellStyle name="20% - Accent2 3 9" xfId="8742" xr:uid="{F1043EC3-0E26-49AE-9E0E-1CF6D2E403D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16F83E0F-8C22-4870-8C96-3C75C32C7489}"/>
    <cellStyle name="20% - Accent2 4 2 2 3" xfId="11303" xr:uid="{789B6F64-4850-4C3B-BF5D-FCBFA850A048}"/>
    <cellStyle name="20% - Accent2 4 2 3" xfId="4934" xr:uid="{00000000-0005-0000-0000-00001E010000}"/>
    <cellStyle name="20% - Accent2 4 2 3 2" xfId="13376" xr:uid="{0FB6A955-3FBD-46A7-A904-654E2F8A8E0D}"/>
    <cellStyle name="20% - Accent2 4 2 4" xfId="9158" xr:uid="{0EA3C99F-A3CF-4532-9145-DF1D44E4889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202D6DDB-DF94-4B87-926A-8B1BDEB13AF0}"/>
    <cellStyle name="20% - Accent2 4 3 2 3" xfId="11716" xr:uid="{BC9B3717-BB9F-4B65-B4EF-26DF8E0A3F56}"/>
    <cellStyle name="20% - Accent2 4 3 3" xfId="5347" xr:uid="{00000000-0005-0000-0000-000022010000}"/>
    <cellStyle name="20% - Accent2 4 3 3 2" xfId="13789" xr:uid="{309C3697-B470-4EE7-9D40-7DE9CACD488A}"/>
    <cellStyle name="20% - Accent2 4 3 4" xfId="9571" xr:uid="{81B034F3-9BB3-41C0-AAEA-57FE5ACAC0F7}"/>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DA1342BE-2B12-4D26-B003-A2C51CD8B2FB}"/>
    <cellStyle name="20% - Accent2 4 4 2 3" xfId="12129" xr:uid="{89F27FCE-B829-4A35-83E5-4E0376FDEB56}"/>
    <cellStyle name="20% - Accent2 4 4 3" xfId="5760" xr:uid="{00000000-0005-0000-0000-000026010000}"/>
    <cellStyle name="20% - Accent2 4 4 3 2" xfId="14202" xr:uid="{CF0F92F7-DF95-42EE-B0D2-EEF3C775115D}"/>
    <cellStyle name="20% - Accent2 4 4 4" xfId="9984" xr:uid="{FCBB9870-53FE-4315-9C5B-608BF5FB55C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0A343C78-FBCC-47C1-BB3A-0FB509C86C7F}"/>
    <cellStyle name="20% - Accent2 4 5 2 3" xfId="12542" xr:uid="{1D268A8A-C577-4706-AD78-6F63D13C984E}"/>
    <cellStyle name="20% - Accent2 4 5 3" xfId="6173" xr:uid="{00000000-0005-0000-0000-00002A010000}"/>
    <cellStyle name="20% - Accent2 4 5 3 2" xfId="14615" xr:uid="{776B3C8D-5F55-4F4A-88CE-693DA0800B7A}"/>
    <cellStyle name="20% - Accent2 4 5 4" xfId="10397" xr:uid="{A54E12BE-2214-47B4-ADDF-6F5C6B19DD49}"/>
    <cellStyle name="20% - Accent2 4 6" xfId="2279" xr:uid="{00000000-0005-0000-0000-00002B010000}"/>
    <cellStyle name="20% - Accent2 4 6 2" xfId="6586" xr:uid="{00000000-0005-0000-0000-00002C010000}"/>
    <cellStyle name="20% - Accent2 4 6 2 2" xfId="15028" xr:uid="{C608DD78-B735-4F33-B429-29248312D93C}"/>
    <cellStyle name="20% - Accent2 4 6 3" xfId="10810" xr:uid="{A70ED753-E714-4610-A069-FF043FE5D883}"/>
    <cellStyle name="20% - Accent2 4 7" xfId="4520" xr:uid="{00000000-0005-0000-0000-00002D010000}"/>
    <cellStyle name="20% - Accent2 4 7 2" xfId="12962" xr:uid="{CD65503E-D95B-4774-B181-BAADCD1CB966}"/>
    <cellStyle name="20% - Accent2 4 8" xfId="8744" xr:uid="{91221DA6-4D27-4D3F-90F3-9ECD2700986F}"/>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7E7AAF1E-DB65-41C0-8108-BB3CD8747D45}"/>
    <cellStyle name="20% - Accent2 5 2 3" xfId="11296" xr:uid="{009BD7A0-D501-4A87-8951-3C24031F1617}"/>
    <cellStyle name="20% - Accent2 5 3" xfId="4927" xr:uid="{00000000-0005-0000-0000-000031010000}"/>
    <cellStyle name="20% - Accent2 5 3 2" xfId="13369" xr:uid="{6E578C10-C21E-42D0-B9DA-AC9708D78917}"/>
    <cellStyle name="20% - Accent2 5 4" xfId="9151" xr:uid="{2C71DA24-0012-4160-B3AE-5524666CD1CE}"/>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51EFF7C9-F7E2-4F47-B9A5-8DB6AFA76F3D}"/>
    <cellStyle name="20% - Accent2 6 2 3" xfId="11709" xr:uid="{F5D274BA-7DE7-498F-8D64-8627653C01DD}"/>
    <cellStyle name="20% - Accent2 6 3" xfId="5340" xr:uid="{00000000-0005-0000-0000-000035010000}"/>
    <cellStyle name="20% - Accent2 6 3 2" xfId="13782" xr:uid="{95EDE731-94F9-474C-997B-946471C5E7D9}"/>
    <cellStyle name="20% - Accent2 6 4" xfId="9564" xr:uid="{459A2F53-4C2E-4044-9D9A-89B5ED2FCBA7}"/>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DE5BDFC2-72C0-4632-AF67-009BF91699CF}"/>
    <cellStyle name="20% - Accent2 7 2 3" xfId="12122" xr:uid="{C3BC9716-59DE-4F9F-B921-6365306C9F46}"/>
    <cellStyle name="20% - Accent2 7 3" xfId="5753" xr:uid="{00000000-0005-0000-0000-000039010000}"/>
    <cellStyle name="20% - Accent2 7 3 2" xfId="14195" xr:uid="{D1F1E631-7E0D-4E5A-BFCD-0C338798FE01}"/>
    <cellStyle name="20% - Accent2 7 4" xfId="9977" xr:uid="{60FA25D8-D608-4B1E-A9AA-B3AC1617DF26}"/>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E4711E90-D1E1-445B-BF72-057E9667D318}"/>
    <cellStyle name="20% - Accent2 8 2 3" xfId="12535" xr:uid="{511756B9-A925-4D21-A7FE-5750ED9B2E53}"/>
    <cellStyle name="20% - Accent2 8 3" xfId="6166" xr:uid="{00000000-0005-0000-0000-00003D010000}"/>
    <cellStyle name="20% - Accent2 8 3 2" xfId="14608" xr:uid="{10377849-FD76-44F7-9C4B-3914EC7E2166}"/>
    <cellStyle name="20% - Accent2 8 4" xfId="10390" xr:uid="{9C803AE1-7F99-4244-98C9-192F7A0708BD}"/>
    <cellStyle name="20% - Accent2 9" xfId="2272" xr:uid="{00000000-0005-0000-0000-00003E010000}"/>
    <cellStyle name="20% - Accent2 9 2" xfId="6579" xr:uid="{00000000-0005-0000-0000-00003F010000}"/>
    <cellStyle name="20% - Accent2 9 2 2" xfId="15021" xr:uid="{70B6C37C-D434-407F-BCA5-C74A94104A5F}"/>
    <cellStyle name="20% - Accent2 9 3" xfId="10803" xr:uid="{DAE5129A-FF2C-4D9B-9FA5-0C7628123379}"/>
    <cellStyle name="20% - Accent3" xfId="17" builtinId="38" customBuiltin="1"/>
    <cellStyle name="20% - Accent3 10" xfId="4521" xr:uid="{00000000-0005-0000-0000-000041010000}"/>
    <cellStyle name="20% - Accent3 10 2" xfId="12963" xr:uid="{8CB6960D-C2EA-4C78-9C56-89A0C8539ECA}"/>
    <cellStyle name="20% - Accent3 11" xfId="8745" xr:uid="{6D64F41C-A0CE-4371-8ED3-CBF739A00C31}"/>
    <cellStyle name="20% - Accent3 2" xfId="18" xr:uid="{00000000-0005-0000-0000-000042010000}"/>
    <cellStyle name="20% - Accent3 2 10" xfId="8746" xr:uid="{3F1A54B3-65F4-4D12-B6E1-9AEE35ECCC1E}"/>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E57D87C0-0666-47E0-91FC-C2496043DC15}"/>
    <cellStyle name="20% - Accent3 2 2 2 2 2 3" xfId="11307" xr:uid="{93D54A51-DCF0-40A9-A945-A1B6D5EA9612}"/>
    <cellStyle name="20% - Accent3 2 2 2 2 3" xfId="4938" xr:uid="{00000000-0005-0000-0000-000048010000}"/>
    <cellStyle name="20% - Accent3 2 2 2 2 3 2" xfId="13380" xr:uid="{BF9D7491-B1A4-4CB7-B549-4B117FC4BE84}"/>
    <cellStyle name="20% - Accent3 2 2 2 2 4" xfId="9162" xr:uid="{20ECAD49-8837-4E81-80B2-104F3488910C}"/>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975F38F2-BBB1-4DB9-9014-6805107FA75D}"/>
    <cellStyle name="20% - Accent3 2 2 2 3 2 3" xfId="11720" xr:uid="{1E679E82-8E5D-48E5-A84F-B3B2B12D14E2}"/>
    <cellStyle name="20% - Accent3 2 2 2 3 3" xfId="5351" xr:uid="{00000000-0005-0000-0000-00004C010000}"/>
    <cellStyle name="20% - Accent3 2 2 2 3 3 2" xfId="13793" xr:uid="{A902263E-45F1-4713-BF58-4F51B5F05A4F}"/>
    <cellStyle name="20% - Accent3 2 2 2 3 4" xfId="9575" xr:uid="{55DD0DED-47F1-4815-A36A-7B3DE283DF5C}"/>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9226F3CC-2E0F-47A0-8FA8-D5AABCF1C5D8}"/>
    <cellStyle name="20% - Accent3 2 2 2 4 2 3" xfId="12133" xr:uid="{D7BDB6CD-FBEA-47B5-94B2-A0E99043503D}"/>
    <cellStyle name="20% - Accent3 2 2 2 4 3" xfId="5764" xr:uid="{00000000-0005-0000-0000-000050010000}"/>
    <cellStyle name="20% - Accent3 2 2 2 4 3 2" xfId="14206" xr:uid="{B19771E8-1B00-445D-AF7B-BFE03772A0C5}"/>
    <cellStyle name="20% - Accent3 2 2 2 4 4" xfId="9988" xr:uid="{401A9D8E-1154-46BB-92EF-3E66C7F16481}"/>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F47DDFA9-1CF4-40ED-82CD-E3FB831AFB11}"/>
    <cellStyle name="20% - Accent3 2 2 2 5 2 3" xfId="12546" xr:uid="{EDE0EDBC-99A2-4A5C-B912-D0D7785A81EF}"/>
    <cellStyle name="20% - Accent3 2 2 2 5 3" xfId="6177" xr:uid="{00000000-0005-0000-0000-000054010000}"/>
    <cellStyle name="20% - Accent3 2 2 2 5 3 2" xfId="14619" xr:uid="{83AAE289-0A56-4BE6-A292-29F74EE1A8CF}"/>
    <cellStyle name="20% - Accent3 2 2 2 5 4" xfId="10401" xr:uid="{F16D2DCC-8077-44AE-AF7D-46ED1603DFA4}"/>
    <cellStyle name="20% - Accent3 2 2 2 6" xfId="2283" xr:uid="{00000000-0005-0000-0000-000055010000}"/>
    <cellStyle name="20% - Accent3 2 2 2 6 2" xfId="6590" xr:uid="{00000000-0005-0000-0000-000056010000}"/>
    <cellStyle name="20% - Accent3 2 2 2 6 2 2" xfId="15032" xr:uid="{0623845C-B2A7-427F-ABE4-352D215E009B}"/>
    <cellStyle name="20% - Accent3 2 2 2 6 3" xfId="10814" xr:uid="{56ED450C-E430-4D0F-8BA5-C6B936ED6A18}"/>
    <cellStyle name="20% - Accent3 2 2 2 7" xfId="4524" xr:uid="{00000000-0005-0000-0000-000057010000}"/>
    <cellStyle name="20% - Accent3 2 2 2 7 2" xfId="12966" xr:uid="{99BCBF7F-E7AA-4EE5-B0ED-69AD6D2A9C73}"/>
    <cellStyle name="20% - Accent3 2 2 2 8" xfId="8748" xr:uid="{834D1E6A-9785-4B71-88DE-DDAE12F5B65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6200C19A-23A1-4075-B05B-C849F80EF231}"/>
    <cellStyle name="20% - Accent3 2 2 3 2 3" xfId="11306" xr:uid="{BAF5A6DA-3208-4391-99DF-C5AF4A4987CE}"/>
    <cellStyle name="20% - Accent3 2 2 3 3" xfId="4937" xr:uid="{00000000-0005-0000-0000-00005B010000}"/>
    <cellStyle name="20% - Accent3 2 2 3 3 2" xfId="13379" xr:uid="{A7060A43-E913-48D3-9EC2-5D293ADDBD0A}"/>
    <cellStyle name="20% - Accent3 2 2 3 4" xfId="9161" xr:uid="{B88A7691-867B-4174-B58D-193494AFC259}"/>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C149C463-3F9B-43E7-9C81-EA37054362C4}"/>
    <cellStyle name="20% - Accent3 2 2 4 2 3" xfId="11719" xr:uid="{4A520555-4D61-4377-A224-EE0FC6011D9D}"/>
    <cellStyle name="20% - Accent3 2 2 4 3" xfId="5350" xr:uid="{00000000-0005-0000-0000-00005F010000}"/>
    <cellStyle name="20% - Accent3 2 2 4 3 2" xfId="13792" xr:uid="{E023CA46-8B67-43F9-8ACC-228C0CB226A4}"/>
    <cellStyle name="20% - Accent3 2 2 4 4" xfId="9574" xr:uid="{26026E0B-9958-4308-A478-808A5C7515F6}"/>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622EBB00-705A-478A-BC84-6094CCBDBA65}"/>
    <cellStyle name="20% - Accent3 2 2 5 2 3" xfId="12132" xr:uid="{44EB9067-774B-4EB0-9E24-CFAB1B50D75D}"/>
    <cellStyle name="20% - Accent3 2 2 5 3" xfId="5763" xr:uid="{00000000-0005-0000-0000-000063010000}"/>
    <cellStyle name="20% - Accent3 2 2 5 3 2" xfId="14205" xr:uid="{0E994475-1C69-41D4-AF98-16BE80ECBC10}"/>
    <cellStyle name="20% - Accent3 2 2 5 4" xfId="9987" xr:uid="{D4C119EE-E162-4EB0-B0BF-04117698E38B}"/>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86FFA97B-06F6-42A9-AE66-97C0ECCCEA5D}"/>
    <cellStyle name="20% - Accent3 2 2 6 2 3" xfId="12545" xr:uid="{44FCBD23-532C-49C9-92B1-EA017B9A408F}"/>
    <cellStyle name="20% - Accent3 2 2 6 3" xfId="6176" xr:uid="{00000000-0005-0000-0000-000067010000}"/>
    <cellStyle name="20% - Accent3 2 2 6 3 2" xfId="14618" xr:uid="{E67F2F4A-B893-40CE-BAC0-203064A26FDF}"/>
    <cellStyle name="20% - Accent3 2 2 6 4" xfId="10400" xr:uid="{2329E398-6AC6-4C9B-A3C1-369AE86DFF39}"/>
    <cellStyle name="20% - Accent3 2 2 7" xfId="2282" xr:uid="{00000000-0005-0000-0000-000068010000}"/>
    <cellStyle name="20% - Accent3 2 2 7 2" xfId="6589" xr:uid="{00000000-0005-0000-0000-000069010000}"/>
    <cellStyle name="20% - Accent3 2 2 7 2 2" xfId="15031" xr:uid="{9C2956FB-A776-4D9B-B450-143EC5B66289}"/>
    <cellStyle name="20% - Accent3 2 2 7 3" xfId="10813" xr:uid="{4F01C95E-2053-4012-A8C2-92D6C270C8C6}"/>
    <cellStyle name="20% - Accent3 2 2 8" xfId="4523" xr:uid="{00000000-0005-0000-0000-00006A010000}"/>
    <cellStyle name="20% - Accent3 2 2 8 2" xfId="12965" xr:uid="{158E57B6-03AA-459B-9960-7B88FB1B7482}"/>
    <cellStyle name="20% - Accent3 2 2 9" xfId="8747" xr:uid="{763AA8C8-5D76-4E79-84DC-3028421390AA}"/>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E3DE6CC7-4F99-4A0A-9A05-938D696DE042}"/>
    <cellStyle name="20% - Accent3 2 3 2 2 3" xfId="11308" xr:uid="{9F1CCB96-EBC1-4496-ADDD-E1D32A920F02}"/>
    <cellStyle name="20% - Accent3 2 3 2 3" xfId="4939" xr:uid="{00000000-0005-0000-0000-00006F010000}"/>
    <cellStyle name="20% - Accent3 2 3 2 3 2" xfId="13381" xr:uid="{7D368F82-3191-4ED5-821C-65C9B6B40865}"/>
    <cellStyle name="20% - Accent3 2 3 2 4" xfId="9163" xr:uid="{ECCD7FA5-C57D-41FF-AF22-466013252605}"/>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6626830E-7EA0-4D4B-AD0D-217C315D9553}"/>
    <cellStyle name="20% - Accent3 2 3 3 2 3" xfId="11721" xr:uid="{18B39D08-14CD-42C5-BB47-559033B90ABF}"/>
    <cellStyle name="20% - Accent3 2 3 3 3" xfId="5352" xr:uid="{00000000-0005-0000-0000-000073010000}"/>
    <cellStyle name="20% - Accent3 2 3 3 3 2" xfId="13794" xr:uid="{184CC049-583E-4A54-B9E8-FB0114032539}"/>
    <cellStyle name="20% - Accent3 2 3 3 4" xfId="9576" xr:uid="{70560AFD-7544-4F35-A57C-0BD88AD9D83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B558A2F7-6C65-463E-8E1C-2F647F7A3EE0}"/>
    <cellStyle name="20% - Accent3 2 3 4 2 3" xfId="12134" xr:uid="{A34BC003-E3B8-42F4-8A04-96300F378D18}"/>
    <cellStyle name="20% - Accent3 2 3 4 3" xfId="5765" xr:uid="{00000000-0005-0000-0000-000077010000}"/>
    <cellStyle name="20% - Accent3 2 3 4 3 2" xfId="14207" xr:uid="{D66F01E2-843E-4AED-BA0B-9D1C73AF99DE}"/>
    <cellStyle name="20% - Accent3 2 3 4 4" xfId="9989" xr:uid="{5C9612AB-D63C-44D1-8B37-AF3AECF75ACF}"/>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D4891DD9-B4CC-4FE9-B49D-1C9582EF8614}"/>
    <cellStyle name="20% - Accent3 2 3 5 2 3" xfId="12547" xr:uid="{96F7E8BE-DE5C-4C0F-BE2D-E5F38797464C}"/>
    <cellStyle name="20% - Accent3 2 3 5 3" xfId="6178" xr:uid="{00000000-0005-0000-0000-00007B010000}"/>
    <cellStyle name="20% - Accent3 2 3 5 3 2" xfId="14620" xr:uid="{57FD5130-8605-4298-9C36-028E4D739288}"/>
    <cellStyle name="20% - Accent3 2 3 5 4" xfId="10402" xr:uid="{57064F81-4628-4BC3-9895-2D171B278ADB}"/>
    <cellStyle name="20% - Accent3 2 3 6" xfId="2284" xr:uid="{00000000-0005-0000-0000-00007C010000}"/>
    <cellStyle name="20% - Accent3 2 3 6 2" xfId="6591" xr:uid="{00000000-0005-0000-0000-00007D010000}"/>
    <cellStyle name="20% - Accent3 2 3 6 2 2" xfId="15033" xr:uid="{A3864E92-2EA4-41E6-8382-1CF41DDF15B5}"/>
    <cellStyle name="20% - Accent3 2 3 6 3" xfId="10815" xr:uid="{54282D32-06A0-4940-8822-ED5D7ECD206A}"/>
    <cellStyle name="20% - Accent3 2 3 7" xfId="4525" xr:uid="{00000000-0005-0000-0000-00007E010000}"/>
    <cellStyle name="20% - Accent3 2 3 7 2" xfId="12967" xr:uid="{F4312E45-513F-48B8-8154-345B95EC447D}"/>
    <cellStyle name="20% - Accent3 2 3 8" xfId="8749" xr:uid="{6F96C452-59B8-4A84-A7A5-AB56CEF8C5D9}"/>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55DFCE9E-9135-46E2-B77B-60648C563EFD}"/>
    <cellStyle name="20% - Accent3 2 4 2 3" xfId="11305" xr:uid="{793D4920-9D55-4FA7-90FF-A7326B34BA41}"/>
    <cellStyle name="20% - Accent3 2 4 3" xfId="4936" xr:uid="{00000000-0005-0000-0000-000082010000}"/>
    <cellStyle name="20% - Accent3 2 4 3 2" xfId="13378" xr:uid="{CE6BC570-9DC3-47CA-977A-CC2371C01779}"/>
    <cellStyle name="20% - Accent3 2 4 4" xfId="9160" xr:uid="{607DDC6C-24DA-487C-8EF6-A7EFD31EE982}"/>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4670BA52-2C37-43A9-AE40-BA5BB4403623}"/>
    <cellStyle name="20% - Accent3 2 5 2 3" xfId="11718" xr:uid="{BC215600-B2D8-41EB-8CB7-4291BDEF6CCB}"/>
    <cellStyle name="20% - Accent3 2 5 3" xfId="5349" xr:uid="{00000000-0005-0000-0000-000086010000}"/>
    <cellStyle name="20% - Accent3 2 5 3 2" xfId="13791" xr:uid="{0E529956-248C-4884-91DA-8CF911377ADF}"/>
    <cellStyle name="20% - Accent3 2 5 4" xfId="9573" xr:uid="{E32A2975-3F9C-4D9B-9C32-C38331B8CEBA}"/>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0D9F3474-462B-4194-9251-9C24FEFDB535}"/>
    <cellStyle name="20% - Accent3 2 6 2 3" xfId="12131" xr:uid="{871FE29E-28F8-4F67-B43B-AE4B3AAF1181}"/>
    <cellStyle name="20% - Accent3 2 6 3" xfId="5762" xr:uid="{00000000-0005-0000-0000-00008A010000}"/>
    <cellStyle name="20% - Accent3 2 6 3 2" xfId="14204" xr:uid="{B64F8370-1E4F-464D-B115-442A1F337987}"/>
    <cellStyle name="20% - Accent3 2 6 4" xfId="9986" xr:uid="{452FB350-BD61-4232-9D67-CC295410C03D}"/>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9BB2E360-BE95-45C4-92AB-A6F0AFCBCE62}"/>
    <cellStyle name="20% - Accent3 2 7 2 3" xfId="12544" xr:uid="{5AD18B2A-6364-4AB7-A620-1FC31587895F}"/>
    <cellStyle name="20% - Accent3 2 7 3" xfId="6175" xr:uid="{00000000-0005-0000-0000-00008E010000}"/>
    <cellStyle name="20% - Accent3 2 7 3 2" xfId="14617" xr:uid="{053EA97B-4DF7-428E-8719-31725C828E4E}"/>
    <cellStyle name="20% - Accent3 2 7 4" xfId="10399" xr:uid="{BF546CBE-102E-4A4F-B815-4C8E140ED316}"/>
    <cellStyle name="20% - Accent3 2 8" xfId="2281" xr:uid="{00000000-0005-0000-0000-00008F010000}"/>
    <cellStyle name="20% - Accent3 2 8 2" xfId="6588" xr:uid="{00000000-0005-0000-0000-000090010000}"/>
    <cellStyle name="20% - Accent3 2 8 2 2" xfId="15030" xr:uid="{8D2266A0-FC11-452B-9CFB-40B7ED411585}"/>
    <cellStyle name="20% - Accent3 2 8 3" xfId="10812" xr:uid="{DC67F796-FD9E-47C1-AAD9-936FE5065AD8}"/>
    <cellStyle name="20% - Accent3 2 9" xfId="4522" xr:uid="{00000000-0005-0000-0000-000091010000}"/>
    <cellStyle name="20% - Accent3 2 9 2" xfId="12964" xr:uid="{978C1443-AD54-487D-80AA-F028879AF03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0093402E-DEED-4DF2-8683-0785EF2AADFC}"/>
    <cellStyle name="20% - Accent3 3 2 2 2 3" xfId="11310" xr:uid="{A3EDF820-CE1E-49CB-85EA-4C0401228F52}"/>
    <cellStyle name="20% - Accent3 3 2 2 3" xfId="4941" xr:uid="{00000000-0005-0000-0000-000097010000}"/>
    <cellStyle name="20% - Accent3 3 2 2 3 2" xfId="13383" xr:uid="{C52508BF-031F-4314-AADF-E5A22065B8CE}"/>
    <cellStyle name="20% - Accent3 3 2 2 4" xfId="9165" xr:uid="{052BF625-A38D-4432-A24D-62513790FB9C}"/>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B4116041-2923-4354-A6BD-247F2C797B2F}"/>
    <cellStyle name="20% - Accent3 3 2 3 2 3" xfId="11723" xr:uid="{66FAE897-ADDE-4983-9FDE-5E912FDD186A}"/>
    <cellStyle name="20% - Accent3 3 2 3 3" xfId="5354" xr:uid="{00000000-0005-0000-0000-00009B010000}"/>
    <cellStyle name="20% - Accent3 3 2 3 3 2" xfId="13796" xr:uid="{76A3C44A-B1E5-4C8E-AF82-5AD76107C4DB}"/>
    <cellStyle name="20% - Accent3 3 2 3 4" xfId="9578" xr:uid="{337A1F19-1048-4100-A0B0-18A613D71F13}"/>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09AF9DA8-56E5-4F4D-8F61-8DC109D74E37}"/>
    <cellStyle name="20% - Accent3 3 2 4 2 3" xfId="12136" xr:uid="{9388111D-003A-4FA2-95A5-0BB10F20C0A9}"/>
    <cellStyle name="20% - Accent3 3 2 4 3" xfId="5767" xr:uid="{00000000-0005-0000-0000-00009F010000}"/>
    <cellStyle name="20% - Accent3 3 2 4 3 2" xfId="14209" xr:uid="{4D4624FA-4676-457D-B5E4-11C74529E76D}"/>
    <cellStyle name="20% - Accent3 3 2 4 4" xfId="9991" xr:uid="{C02B19EE-233D-47D4-889E-CF1F9E0E2E08}"/>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6D637F2D-084F-4BC3-85F2-4768B24E41EA}"/>
    <cellStyle name="20% - Accent3 3 2 5 2 3" xfId="12549" xr:uid="{B1CBA2AD-24A2-4D15-8004-45008CD0E4A2}"/>
    <cellStyle name="20% - Accent3 3 2 5 3" xfId="6180" xr:uid="{00000000-0005-0000-0000-0000A3010000}"/>
    <cellStyle name="20% - Accent3 3 2 5 3 2" xfId="14622" xr:uid="{51D9F30F-7F07-4378-8B8B-7687322E239E}"/>
    <cellStyle name="20% - Accent3 3 2 5 4" xfId="10404" xr:uid="{3CAD2BEC-F8E8-4811-9851-918E11CD568E}"/>
    <cellStyle name="20% - Accent3 3 2 6" xfId="2286" xr:uid="{00000000-0005-0000-0000-0000A4010000}"/>
    <cellStyle name="20% - Accent3 3 2 6 2" xfId="6593" xr:uid="{00000000-0005-0000-0000-0000A5010000}"/>
    <cellStyle name="20% - Accent3 3 2 6 2 2" xfId="15035" xr:uid="{C2D68C26-EB30-4E98-8D12-51E1397EBF10}"/>
    <cellStyle name="20% - Accent3 3 2 6 3" xfId="10817" xr:uid="{B5FDFF55-3600-46D3-A11A-ECB1A8A8F134}"/>
    <cellStyle name="20% - Accent3 3 2 7" xfId="4527" xr:uid="{00000000-0005-0000-0000-0000A6010000}"/>
    <cellStyle name="20% - Accent3 3 2 7 2" xfId="12969" xr:uid="{B66213D3-E1CB-4A87-BDCC-6744D0E66157}"/>
    <cellStyle name="20% - Accent3 3 2 8" xfId="8751" xr:uid="{86F26C1A-F298-44FD-903F-768220F6D318}"/>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1999BB83-81C0-469B-851F-1C95FB6E15FD}"/>
    <cellStyle name="20% - Accent3 3 3 2 3" xfId="11309" xr:uid="{1F2F63B8-1979-4FC1-B880-43F9C459C2BE}"/>
    <cellStyle name="20% - Accent3 3 3 3" xfId="4940" xr:uid="{00000000-0005-0000-0000-0000AA010000}"/>
    <cellStyle name="20% - Accent3 3 3 3 2" xfId="13382" xr:uid="{D49FED84-A89A-41DF-9FE8-E6D02DB9A25C}"/>
    <cellStyle name="20% - Accent3 3 3 4" xfId="9164" xr:uid="{86AE4A45-B132-47C0-80BC-0077204899EE}"/>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F39CE35E-5CCF-4F3D-A96E-3729B889BDA0}"/>
    <cellStyle name="20% - Accent3 3 4 2 3" xfId="11722" xr:uid="{F6E317A1-54E5-431D-9354-FFF7E4DB9A07}"/>
    <cellStyle name="20% - Accent3 3 4 3" xfId="5353" xr:uid="{00000000-0005-0000-0000-0000AE010000}"/>
    <cellStyle name="20% - Accent3 3 4 3 2" xfId="13795" xr:uid="{A67F3475-0DE1-4D0F-916D-45550D32CCAD}"/>
    <cellStyle name="20% - Accent3 3 4 4" xfId="9577" xr:uid="{67A08EDE-1018-4743-9529-102A28968AD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D0B07467-DA35-4102-BC14-B891486F7982}"/>
    <cellStyle name="20% - Accent3 3 5 2 3" xfId="12135" xr:uid="{CE145DF2-9E0B-488C-B21C-491A97C2DA5E}"/>
    <cellStyle name="20% - Accent3 3 5 3" xfId="5766" xr:uid="{00000000-0005-0000-0000-0000B2010000}"/>
    <cellStyle name="20% - Accent3 3 5 3 2" xfId="14208" xr:uid="{047B079C-32E2-4DE4-AA5D-7A999DE2BE6A}"/>
    <cellStyle name="20% - Accent3 3 5 4" xfId="9990" xr:uid="{85A98F85-2087-4F25-B2FE-C9A0E89D586F}"/>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C35930E9-82EA-404F-876E-2263BC585BDD}"/>
    <cellStyle name="20% - Accent3 3 6 2 3" xfId="12548" xr:uid="{1C3C85C5-59A3-49A9-A87A-798E65BBE2E6}"/>
    <cellStyle name="20% - Accent3 3 6 3" xfId="6179" xr:uid="{00000000-0005-0000-0000-0000B6010000}"/>
    <cellStyle name="20% - Accent3 3 6 3 2" xfId="14621" xr:uid="{E493F726-E284-4BCD-A2BB-9EBABA20EB0B}"/>
    <cellStyle name="20% - Accent3 3 6 4" xfId="10403" xr:uid="{A7CCFE7D-F051-4A21-884F-6D130CD4946F}"/>
    <cellStyle name="20% - Accent3 3 7" xfId="2285" xr:uid="{00000000-0005-0000-0000-0000B7010000}"/>
    <cellStyle name="20% - Accent3 3 7 2" xfId="6592" xr:uid="{00000000-0005-0000-0000-0000B8010000}"/>
    <cellStyle name="20% - Accent3 3 7 2 2" xfId="15034" xr:uid="{F15343B4-7D3E-45C4-9707-974C88C2CE26}"/>
    <cellStyle name="20% - Accent3 3 7 3" xfId="10816" xr:uid="{7BCEBBA3-669C-40F8-9E3C-8B7DC42D92F2}"/>
    <cellStyle name="20% - Accent3 3 8" xfId="4526" xr:uid="{00000000-0005-0000-0000-0000B9010000}"/>
    <cellStyle name="20% - Accent3 3 8 2" xfId="12968" xr:uid="{1E8CB482-D097-422B-B7DE-507A2E917B89}"/>
    <cellStyle name="20% - Accent3 3 9" xfId="8750" xr:uid="{96BF811A-A3F9-48D2-AF56-131A427E8FF2}"/>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A3452EFE-F60A-4B93-8021-167AA6BCA5D3}"/>
    <cellStyle name="20% - Accent3 4 2 2 3" xfId="11311" xr:uid="{A0444B75-E895-4D8D-9476-BCF8E7221EB9}"/>
    <cellStyle name="20% - Accent3 4 2 3" xfId="4942" xr:uid="{00000000-0005-0000-0000-0000BE010000}"/>
    <cellStyle name="20% - Accent3 4 2 3 2" xfId="13384" xr:uid="{B2E14E0B-30E9-4729-898C-662E636B08FB}"/>
    <cellStyle name="20% - Accent3 4 2 4" xfId="9166" xr:uid="{9DB283D0-723D-437E-8087-1AF590AE3DF0}"/>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90C561E6-7A35-40DE-B987-A5707A8B8343}"/>
    <cellStyle name="20% - Accent3 4 3 2 3" xfId="11724" xr:uid="{E94DD557-E30E-42B4-B314-9ACC931B5F85}"/>
    <cellStyle name="20% - Accent3 4 3 3" xfId="5355" xr:uid="{00000000-0005-0000-0000-0000C2010000}"/>
    <cellStyle name="20% - Accent3 4 3 3 2" xfId="13797" xr:uid="{80BFA881-ECEB-4CD9-AD2F-45C7F96B9A24}"/>
    <cellStyle name="20% - Accent3 4 3 4" xfId="9579" xr:uid="{9CD4D448-6198-4D4C-96FD-FC5E8A1DF534}"/>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8B6179DB-1C63-413D-A98C-1384E39D243A}"/>
    <cellStyle name="20% - Accent3 4 4 2 3" xfId="12137" xr:uid="{608D068A-C4CF-4F4D-8628-634DB33292F4}"/>
    <cellStyle name="20% - Accent3 4 4 3" xfId="5768" xr:uid="{00000000-0005-0000-0000-0000C6010000}"/>
    <cellStyle name="20% - Accent3 4 4 3 2" xfId="14210" xr:uid="{E9258174-1485-4A27-91F6-FC39C9A4B8F0}"/>
    <cellStyle name="20% - Accent3 4 4 4" xfId="9992" xr:uid="{1C6DA9EA-B47B-4EF5-B527-B701D7A42254}"/>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0D0BD8F7-1270-41FF-AE55-1721746B563D}"/>
    <cellStyle name="20% - Accent3 4 5 2 3" xfId="12550" xr:uid="{5B27F3FC-ADF2-456A-932F-B2430AE3AD16}"/>
    <cellStyle name="20% - Accent3 4 5 3" xfId="6181" xr:uid="{00000000-0005-0000-0000-0000CA010000}"/>
    <cellStyle name="20% - Accent3 4 5 3 2" xfId="14623" xr:uid="{38F1C0B3-0DE2-4FD3-BE5C-0686A8E6E95F}"/>
    <cellStyle name="20% - Accent3 4 5 4" xfId="10405" xr:uid="{CC1E2483-E1EA-403F-9517-81E6A4C9C671}"/>
    <cellStyle name="20% - Accent3 4 6" xfId="2287" xr:uid="{00000000-0005-0000-0000-0000CB010000}"/>
    <cellStyle name="20% - Accent3 4 6 2" xfId="6594" xr:uid="{00000000-0005-0000-0000-0000CC010000}"/>
    <cellStyle name="20% - Accent3 4 6 2 2" xfId="15036" xr:uid="{FE1400BC-5EB3-4917-878D-AC4526C033CF}"/>
    <cellStyle name="20% - Accent3 4 6 3" xfId="10818" xr:uid="{2852F6DF-CB0E-4958-A3DE-30BDCD1915E6}"/>
    <cellStyle name="20% - Accent3 4 7" xfId="4528" xr:uid="{00000000-0005-0000-0000-0000CD010000}"/>
    <cellStyle name="20% - Accent3 4 7 2" xfId="12970" xr:uid="{71529D3C-6EBF-4CCA-9328-B51B40920F5F}"/>
    <cellStyle name="20% - Accent3 4 8" xfId="8752" xr:uid="{33677E6E-B8EB-4D82-98EC-9518617960E8}"/>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4973FA64-B6C8-4881-AC30-3560300405BB}"/>
    <cellStyle name="20% - Accent3 5 2 3" xfId="11304" xr:uid="{7D6B4199-A164-41BE-985A-ED773E40AB2A}"/>
    <cellStyle name="20% - Accent3 5 3" xfId="4935" xr:uid="{00000000-0005-0000-0000-0000D1010000}"/>
    <cellStyle name="20% - Accent3 5 3 2" xfId="13377" xr:uid="{03B70F2B-9B7F-4292-AF84-96205948AEBF}"/>
    <cellStyle name="20% - Accent3 5 4" xfId="9159" xr:uid="{9BF1B1D3-2EE0-472E-AE29-7E65373CF2D9}"/>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17AEE2CE-1FE5-47BA-BFF6-BE3FCD0A6E5A}"/>
    <cellStyle name="20% - Accent3 6 2 3" xfId="11717" xr:uid="{62142AA3-02E0-47CB-9803-AAEABF44E133}"/>
    <cellStyle name="20% - Accent3 6 3" xfId="5348" xr:uid="{00000000-0005-0000-0000-0000D5010000}"/>
    <cellStyle name="20% - Accent3 6 3 2" xfId="13790" xr:uid="{366002E3-C8C4-4DB6-96F3-4C6616FC1A97}"/>
    <cellStyle name="20% - Accent3 6 4" xfId="9572" xr:uid="{BB4CEFD3-5449-43DC-83CC-BE991CAF60D4}"/>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AB135800-DBD8-4D1F-B5AB-027D019BD8CD}"/>
    <cellStyle name="20% - Accent3 7 2 3" xfId="12130" xr:uid="{B6E6AE96-81DE-4BBF-9578-FF740FB6D3A9}"/>
    <cellStyle name="20% - Accent3 7 3" xfId="5761" xr:uid="{00000000-0005-0000-0000-0000D9010000}"/>
    <cellStyle name="20% - Accent3 7 3 2" xfId="14203" xr:uid="{FF8E71C4-2F8D-4A1E-9DF5-3B45F7FBEC16}"/>
    <cellStyle name="20% - Accent3 7 4" xfId="9985" xr:uid="{858F7C08-CAEE-424B-B0F5-FAC2048120D5}"/>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018B4AB1-DFBE-41B0-AEB3-BFCD3F730942}"/>
    <cellStyle name="20% - Accent3 8 2 3" xfId="12543" xr:uid="{78B78019-3643-43A9-8DDA-C457D7D1A0AF}"/>
    <cellStyle name="20% - Accent3 8 3" xfId="6174" xr:uid="{00000000-0005-0000-0000-0000DD010000}"/>
    <cellStyle name="20% - Accent3 8 3 2" xfId="14616" xr:uid="{60A7A22F-6DF1-4763-A8EE-76EA6572245F}"/>
    <cellStyle name="20% - Accent3 8 4" xfId="10398" xr:uid="{998ACF88-00AB-49C0-9F3E-053383467D1F}"/>
    <cellStyle name="20% - Accent3 9" xfId="2280" xr:uid="{00000000-0005-0000-0000-0000DE010000}"/>
    <cellStyle name="20% - Accent3 9 2" xfId="6587" xr:uid="{00000000-0005-0000-0000-0000DF010000}"/>
    <cellStyle name="20% - Accent3 9 2 2" xfId="15029" xr:uid="{05B704B8-B111-486C-A43C-C491E7C10A64}"/>
    <cellStyle name="20% - Accent3 9 3" xfId="10811" xr:uid="{DDCE7001-FF37-4E4D-AE1C-2211C0EAB777}"/>
    <cellStyle name="20% - Accent4" xfId="25" builtinId="42" customBuiltin="1"/>
    <cellStyle name="20% - Accent4 10" xfId="4529" xr:uid="{00000000-0005-0000-0000-0000E1010000}"/>
    <cellStyle name="20% - Accent4 10 2" xfId="12971" xr:uid="{40B6B655-D543-4783-9F33-D8E2128C9CAC}"/>
    <cellStyle name="20% - Accent4 11" xfId="8753" xr:uid="{D432FF64-3BF6-4D79-834E-199C781D76FD}"/>
    <cellStyle name="20% - Accent4 2" xfId="26" xr:uid="{00000000-0005-0000-0000-0000E2010000}"/>
    <cellStyle name="20% - Accent4 2 10" xfId="8754" xr:uid="{4F9D3D2A-20EF-4756-86DA-E46C21D40274}"/>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504886E7-59A5-49F0-BE99-BA2C32239F8C}"/>
    <cellStyle name="20% - Accent4 2 2 2 2 2 3" xfId="11315" xr:uid="{4FFFD0A0-EB1D-44B7-9ECD-BC04DE04E71D}"/>
    <cellStyle name="20% - Accent4 2 2 2 2 3" xfId="4946" xr:uid="{00000000-0005-0000-0000-0000E8010000}"/>
    <cellStyle name="20% - Accent4 2 2 2 2 3 2" xfId="13388" xr:uid="{CADCA2DC-8F0B-429F-B0E0-7402119AEBF9}"/>
    <cellStyle name="20% - Accent4 2 2 2 2 4" xfId="9170" xr:uid="{69625EA1-E6DD-4D7E-8D94-5CB23B8CC047}"/>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B6BD2E03-D5A9-4A2E-B8AF-7F4C8EAC5CFD}"/>
    <cellStyle name="20% - Accent4 2 2 2 3 2 3" xfId="11728" xr:uid="{14F845D3-3293-4794-9CAF-B44B7A8E056C}"/>
    <cellStyle name="20% - Accent4 2 2 2 3 3" xfId="5359" xr:uid="{00000000-0005-0000-0000-0000EC010000}"/>
    <cellStyle name="20% - Accent4 2 2 2 3 3 2" xfId="13801" xr:uid="{B5FD5CC1-4C6C-45CE-A5FE-744598D91A34}"/>
    <cellStyle name="20% - Accent4 2 2 2 3 4" xfId="9583" xr:uid="{E12B8E8C-4473-4043-A0CB-762DBEBAA767}"/>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0A5152AD-AAD3-459C-AC35-017C25E8A281}"/>
    <cellStyle name="20% - Accent4 2 2 2 4 2 3" xfId="12141" xr:uid="{7F077A9F-0CE4-4D0B-8800-D4FF8D8BB9BE}"/>
    <cellStyle name="20% - Accent4 2 2 2 4 3" xfId="5772" xr:uid="{00000000-0005-0000-0000-0000F0010000}"/>
    <cellStyle name="20% - Accent4 2 2 2 4 3 2" xfId="14214" xr:uid="{A5056991-3B4F-4FB5-982C-2DF77AE49F7C}"/>
    <cellStyle name="20% - Accent4 2 2 2 4 4" xfId="9996" xr:uid="{29FCDC84-8B2C-497E-86B3-9AB6F73E477A}"/>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AAA43328-9B4B-4A0D-962C-2AC1E8755042}"/>
    <cellStyle name="20% - Accent4 2 2 2 5 2 3" xfId="12554" xr:uid="{D9E0FA05-9F94-42D5-B354-26E4A0708C7F}"/>
    <cellStyle name="20% - Accent4 2 2 2 5 3" xfId="6185" xr:uid="{00000000-0005-0000-0000-0000F4010000}"/>
    <cellStyle name="20% - Accent4 2 2 2 5 3 2" xfId="14627" xr:uid="{3F15F271-7DDE-44A3-B9E2-3FCD225E4042}"/>
    <cellStyle name="20% - Accent4 2 2 2 5 4" xfId="10409" xr:uid="{27A3AC66-CD0F-45D4-8625-7E7B8D4063CC}"/>
    <cellStyle name="20% - Accent4 2 2 2 6" xfId="2291" xr:uid="{00000000-0005-0000-0000-0000F5010000}"/>
    <cellStyle name="20% - Accent4 2 2 2 6 2" xfId="6598" xr:uid="{00000000-0005-0000-0000-0000F6010000}"/>
    <cellStyle name="20% - Accent4 2 2 2 6 2 2" xfId="15040" xr:uid="{9BF9A56E-A077-4723-B09E-AA343A27ED71}"/>
    <cellStyle name="20% - Accent4 2 2 2 6 3" xfId="10822" xr:uid="{104CCE05-21F1-4357-B628-9F509438D2D1}"/>
    <cellStyle name="20% - Accent4 2 2 2 7" xfId="4532" xr:uid="{00000000-0005-0000-0000-0000F7010000}"/>
    <cellStyle name="20% - Accent4 2 2 2 7 2" xfId="12974" xr:uid="{89ED5EAE-6B03-4C78-9C32-8813C967C9AC}"/>
    <cellStyle name="20% - Accent4 2 2 2 8" xfId="8756" xr:uid="{8CBF21C0-9579-431A-9C25-7AF9E4D1B6F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969DBEF7-AD92-46AE-B0C4-6B5D6FBF21A6}"/>
    <cellStyle name="20% - Accent4 2 2 3 2 3" xfId="11314" xr:uid="{DC0EF022-A029-4B39-AB23-32774C5EF8A1}"/>
    <cellStyle name="20% - Accent4 2 2 3 3" xfId="4945" xr:uid="{00000000-0005-0000-0000-0000FB010000}"/>
    <cellStyle name="20% - Accent4 2 2 3 3 2" xfId="13387" xr:uid="{C7F7AB40-F4DB-4A8F-B806-D16E4AF18003}"/>
    <cellStyle name="20% - Accent4 2 2 3 4" xfId="9169" xr:uid="{5A445CB5-813D-4C42-A52D-6AB95CB3F3CD}"/>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EE43F093-24F8-45D3-A02D-17B1B75E987B}"/>
    <cellStyle name="20% - Accent4 2 2 4 2 3" xfId="11727" xr:uid="{04B813D9-1A34-4043-AA5E-C9CF0CFB4859}"/>
    <cellStyle name="20% - Accent4 2 2 4 3" xfId="5358" xr:uid="{00000000-0005-0000-0000-0000FF010000}"/>
    <cellStyle name="20% - Accent4 2 2 4 3 2" xfId="13800" xr:uid="{03738649-C72C-47F7-8500-45B093DB0693}"/>
    <cellStyle name="20% - Accent4 2 2 4 4" xfId="9582" xr:uid="{C38426EF-70AC-4929-9525-28679B5FA546}"/>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3D43ADBE-8F74-46F3-8736-E7EBF0ABD6BE}"/>
    <cellStyle name="20% - Accent4 2 2 5 2 3" xfId="12140" xr:uid="{E12DE978-82E4-4C16-8C85-2DEA19F8EAC4}"/>
    <cellStyle name="20% - Accent4 2 2 5 3" xfId="5771" xr:uid="{00000000-0005-0000-0000-000003020000}"/>
    <cellStyle name="20% - Accent4 2 2 5 3 2" xfId="14213" xr:uid="{98A43E6A-6BBF-4216-B4F1-230CABEFE590}"/>
    <cellStyle name="20% - Accent4 2 2 5 4" xfId="9995" xr:uid="{683FF5B8-FA08-4055-9A5F-5F6B31194E01}"/>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56F927B7-F35A-4FDA-9093-BE083789454F}"/>
    <cellStyle name="20% - Accent4 2 2 6 2 3" xfId="12553" xr:uid="{F88D21D1-54F3-44C0-A8E6-986F6D990039}"/>
    <cellStyle name="20% - Accent4 2 2 6 3" xfId="6184" xr:uid="{00000000-0005-0000-0000-000007020000}"/>
    <cellStyle name="20% - Accent4 2 2 6 3 2" xfId="14626" xr:uid="{548414CF-F434-48EF-95A5-8AEAB6B0955A}"/>
    <cellStyle name="20% - Accent4 2 2 6 4" xfId="10408" xr:uid="{183468BE-EDDD-4ED0-9A4D-E555A6E8A8DE}"/>
    <cellStyle name="20% - Accent4 2 2 7" xfId="2290" xr:uid="{00000000-0005-0000-0000-000008020000}"/>
    <cellStyle name="20% - Accent4 2 2 7 2" xfId="6597" xr:uid="{00000000-0005-0000-0000-000009020000}"/>
    <cellStyle name="20% - Accent4 2 2 7 2 2" xfId="15039" xr:uid="{BF7FFAFF-521B-4FDA-8723-218911994B21}"/>
    <cellStyle name="20% - Accent4 2 2 7 3" xfId="10821" xr:uid="{1DF7EAED-8FE1-452D-9172-9324C58F762D}"/>
    <cellStyle name="20% - Accent4 2 2 8" xfId="4531" xr:uid="{00000000-0005-0000-0000-00000A020000}"/>
    <cellStyle name="20% - Accent4 2 2 8 2" xfId="12973" xr:uid="{DD5FB78D-F8E1-4AEA-B29B-B770049923A1}"/>
    <cellStyle name="20% - Accent4 2 2 9" xfId="8755" xr:uid="{325A68EE-DC15-4D12-937D-3F41D376F46D}"/>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866857A6-7E1F-4A89-975C-9A74D7C805C5}"/>
    <cellStyle name="20% - Accent4 2 3 2 2 3" xfId="11316" xr:uid="{3027253D-8D96-4CDF-A97D-3B28C57DBD41}"/>
    <cellStyle name="20% - Accent4 2 3 2 3" xfId="4947" xr:uid="{00000000-0005-0000-0000-00000F020000}"/>
    <cellStyle name="20% - Accent4 2 3 2 3 2" xfId="13389" xr:uid="{41F97863-9ECF-46CC-AB4C-2F9CC6A13B87}"/>
    <cellStyle name="20% - Accent4 2 3 2 4" xfId="9171" xr:uid="{C4398A9E-EBE7-4793-9A60-8D0FE6EA5C8D}"/>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056C260B-EE6E-404E-8AF4-39670BE266F9}"/>
    <cellStyle name="20% - Accent4 2 3 3 2 3" xfId="11729" xr:uid="{7B76C8DD-4682-4027-9C5D-603E5A1FE695}"/>
    <cellStyle name="20% - Accent4 2 3 3 3" xfId="5360" xr:uid="{00000000-0005-0000-0000-000013020000}"/>
    <cellStyle name="20% - Accent4 2 3 3 3 2" xfId="13802" xr:uid="{ADE4F017-27D6-41DD-97EA-31C6ADFBF3E8}"/>
    <cellStyle name="20% - Accent4 2 3 3 4" xfId="9584" xr:uid="{FC165ED5-6454-4365-8ED2-9FAB4CBA81B8}"/>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C77D55E1-33FF-4D4B-A606-5EFDE8B8C5DC}"/>
    <cellStyle name="20% - Accent4 2 3 4 2 3" xfId="12142" xr:uid="{32D7FF7C-0039-4FFF-ADF2-1F2659B5088F}"/>
    <cellStyle name="20% - Accent4 2 3 4 3" xfId="5773" xr:uid="{00000000-0005-0000-0000-000017020000}"/>
    <cellStyle name="20% - Accent4 2 3 4 3 2" xfId="14215" xr:uid="{E273BEF6-E924-4ED7-990D-5087BCC2B8E9}"/>
    <cellStyle name="20% - Accent4 2 3 4 4" xfId="9997" xr:uid="{A4BE706E-FE10-4CC1-9B53-3E22528445C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85EB1818-8F01-450D-B251-91F4C8424741}"/>
    <cellStyle name="20% - Accent4 2 3 5 2 3" xfId="12555" xr:uid="{E6593B1B-F244-4A30-B5C8-B30373B6F244}"/>
    <cellStyle name="20% - Accent4 2 3 5 3" xfId="6186" xr:uid="{00000000-0005-0000-0000-00001B020000}"/>
    <cellStyle name="20% - Accent4 2 3 5 3 2" xfId="14628" xr:uid="{C4D95B68-AE68-43EC-8B7D-2C7CB52CD4DA}"/>
    <cellStyle name="20% - Accent4 2 3 5 4" xfId="10410" xr:uid="{CAC934F1-56A3-4733-A488-335FBEF5FEAC}"/>
    <cellStyle name="20% - Accent4 2 3 6" xfId="2292" xr:uid="{00000000-0005-0000-0000-00001C020000}"/>
    <cellStyle name="20% - Accent4 2 3 6 2" xfId="6599" xr:uid="{00000000-0005-0000-0000-00001D020000}"/>
    <cellStyle name="20% - Accent4 2 3 6 2 2" xfId="15041" xr:uid="{7F34CB09-A031-4EE3-BCE0-102CCD9981D6}"/>
    <cellStyle name="20% - Accent4 2 3 6 3" xfId="10823" xr:uid="{E89E693C-90E6-4824-89C3-9C7155556B83}"/>
    <cellStyle name="20% - Accent4 2 3 7" xfId="4533" xr:uid="{00000000-0005-0000-0000-00001E020000}"/>
    <cellStyle name="20% - Accent4 2 3 7 2" xfId="12975" xr:uid="{A4891D76-A9FD-497A-A54C-8D9D7D02537A}"/>
    <cellStyle name="20% - Accent4 2 3 8" xfId="8757" xr:uid="{28DC66AC-99EE-4471-9424-9F7BCE55FD7B}"/>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70F655D1-AC91-412C-B506-DCEAA59A7333}"/>
    <cellStyle name="20% - Accent4 2 4 2 3" xfId="11313" xr:uid="{E050DC3E-106E-449C-85A0-A08590C289C0}"/>
    <cellStyle name="20% - Accent4 2 4 3" xfId="4944" xr:uid="{00000000-0005-0000-0000-000022020000}"/>
    <cellStyle name="20% - Accent4 2 4 3 2" xfId="13386" xr:uid="{9BB39FAC-79B9-43CB-9D40-41B90AE1BECD}"/>
    <cellStyle name="20% - Accent4 2 4 4" xfId="9168" xr:uid="{DF25CFD8-134C-4E27-890E-56859C0F546B}"/>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8A673329-95FE-4488-BC25-ED350645AA53}"/>
    <cellStyle name="20% - Accent4 2 5 2 3" xfId="11726" xr:uid="{F242AF99-D3BA-4398-8AB1-D38103EB3221}"/>
    <cellStyle name="20% - Accent4 2 5 3" xfId="5357" xr:uid="{00000000-0005-0000-0000-000026020000}"/>
    <cellStyle name="20% - Accent4 2 5 3 2" xfId="13799" xr:uid="{90A42D32-DFC1-4C42-AFCD-DA40296F77D2}"/>
    <cellStyle name="20% - Accent4 2 5 4" xfId="9581" xr:uid="{714DD80F-E7C9-44C9-93E5-E365AF62380E}"/>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7BA5D395-6ABC-4372-A938-484939661114}"/>
    <cellStyle name="20% - Accent4 2 6 2 3" xfId="12139" xr:uid="{9D44107A-188F-46CA-88EA-5BEEB54FEAA1}"/>
    <cellStyle name="20% - Accent4 2 6 3" xfId="5770" xr:uid="{00000000-0005-0000-0000-00002A020000}"/>
    <cellStyle name="20% - Accent4 2 6 3 2" xfId="14212" xr:uid="{EE879EE7-867B-4B2F-8C8C-850F6117B8DC}"/>
    <cellStyle name="20% - Accent4 2 6 4" xfId="9994" xr:uid="{CA203857-2384-4E24-B32A-C859CB02881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045A857A-313C-42D4-BF76-C78FC8E91DD8}"/>
    <cellStyle name="20% - Accent4 2 7 2 3" xfId="12552" xr:uid="{32E6DC89-1094-4576-A5B2-A01E56A6866E}"/>
    <cellStyle name="20% - Accent4 2 7 3" xfId="6183" xr:uid="{00000000-0005-0000-0000-00002E020000}"/>
    <cellStyle name="20% - Accent4 2 7 3 2" xfId="14625" xr:uid="{98998DF2-AAD8-4243-8300-D2FAF747863A}"/>
    <cellStyle name="20% - Accent4 2 7 4" xfId="10407" xr:uid="{657A0814-76C6-422E-BD22-ED9F629E1351}"/>
    <cellStyle name="20% - Accent4 2 8" xfId="2289" xr:uid="{00000000-0005-0000-0000-00002F020000}"/>
    <cellStyle name="20% - Accent4 2 8 2" xfId="6596" xr:uid="{00000000-0005-0000-0000-000030020000}"/>
    <cellStyle name="20% - Accent4 2 8 2 2" xfId="15038" xr:uid="{6600975B-ADA2-483C-BBC5-8A5B299A2AC4}"/>
    <cellStyle name="20% - Accent4 2 8 3" xfId="10820" xr:uid="{86252F10-4ED0-418A-A60E-4C6753FF6037}"/>
    <cellStyle name="20% - Accent4 2 9" xfId="4530" xr:uid="{00000000-0005-0000-0000-000031020000}"/>
    <cellStyle name="20% - Accent4 2 9 2" xfId="12972" xr:uid="{FEB24F3D-F5FF-4087-8B2A-A0C26A36941B}"/>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2531F83F-EF1E-4F64-B104-56FA944BD6D3}"/>
    <cellStyle name="20% - Accent4 3 2 2 2 3" xfId="11318" xr:uid="{34699788-9DAF-4452-A570-88EEFDC1F02D}"/>
    <cellStyle name="20% - Accent4 3 2 2 3" xfId="4949" xr:uid="{00000000-0005-0000-0000-000037020000}"/>
    <cellStyle name="20% - Accent4 3 2 2 3 2" xfId="13391" xr:uid="{DF1BE78E-F1FB-4273-9A2D-027B0D3A4C57}"/>
    <cellStyle name="20% - Accent4 3 2 2 4" xfId="9173" xr:uid="{8532A81D-AF37-4893-BD8B-41B12C4235F9}"/>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07096E84-8F24-492B-A655-C6E61E9C1712}"/>
    <cellStyle name="20% - Accent4 3 2 3 2 3" xfId="11731" xr:uid="{2B94EF2B-1AED-4591-A860-A06D63313643}"/>
    <cellStyle name="20% - Accent4 3 2 3 3" xfId="5362" xr:uid="{00000000-0005-0000-0000-00003B020000}"/>
    <cellStyle name="20% - Accent4 3 2 3 3 2" xfId="13804" xr:uid="{897E9597-4041-4386-B091-B26845851ABD}"/>
    <cellStyle name="20% - Accent4 3 2 3 4" xfId="9586" xr:uid="{D4E04AB2-FF7C-4F14-8212-172547F77DE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CAB9A18E-5EF7-4764-9914-96A51330E1D3}"/>
    <cellStyle name="20% - Accent4 3 2 4 2 3" xfId="12144" xr:uid="{609B0A15-010E-4EEC-8B81-D25E8EB31F15}"/>
    <cellStyle name="20% - Accent4 3 2 4 3" xfId="5775" xr:uid="{00000000-0005-0000-0000-00003F020000}"/>
    <cellStyle name="20% - Accent4 3 2 4 3 2" xfId="14217" xr:uid="{0B4C8BAC-B726-4E64-B497-D8C902ED95FE}"/>
    <cellStyle name="20% - Accent4 3 2 4 4" xfId="9999" xr:uid="{B143C674-7C89-40BA-BB0E-ADDBA774926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E1A64365-54B0-4048-A09D-84FC4BF5E1A1}"/>
    <cellStyle name="20% - Accent4 3 2 5 2 3" xfId="12557" xr:uid="{5BAB3E22-0689-4D60-9B0D-3114C8C286E4}"/>
    <cellStyle name="20% - Accent4 3 2 5 3" xfId="6188" xr:uid="{00000000-0005-0000-0000-000043020000}"/>
    <cellStyle name="20% - Accent4 3 2 5 3 2" xfId="14630" xr:uid="{50E9D8DC-69CB-43EC-988C-B27C4F070F08}"/>
    <cellStyle name="20% - Accent4 3 2 5 4" xfId="10412" xr:uid="{BC685780-BEA1-48F4-B670-6E6E86E52CA7}"/>
    <cellStyle name="20% - Accent4 3 2 6" xfId="2294" xr:uid="{00000000-0005-0000-0000-000044020000}"/>
    <cellStyle name="20% - Accent4 3 2 6 2" xfId="6601" xr:uid="{00000000-0005-0000-0000-000045020000}"/>
    <cellStyle name="20% - Accent4 3 2 6 2 2" xfId="15043" xr:uid="{AEB6AB64-B22F-485C-8246-E8F0973ACB5A}"/>
    <cellStyle name="20% - Accent4 3 2 6 3" xfId="10825" xr:uid="{4964D10B-7EEE-4D71-98A4-ACC6BA416F26}"/>
    <cellStyle name="20% - Accent4 3 2 7" xfId="4535" xr:uid="{00000000-0005-0000-0000-000046020000}"/>
    <cellStyle name="20% - Accent4 3 2 7 2" xfId="12977" xr:uid="{527EFAFA-273C-4CD4-8FC2-82CEABCB6488}"/>
    <cellStyle name="20% - Accent4 3 2 8" xfId="8759" xr:uid="{D71A96E7-C043-48CA-8240-841CF5AC6CCB}"/>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24D332C0-1037-408B-8186-3CC8D3E94CFB}"/>
    <cellStyle name="20% - Accent4 3 3 2 3" xfId="11317" xr:uid="{CF8604B7-F2EF-45F7-89CE-8A6285C90845}"/>
    <cellStyle name="20% - Accent4 3 3 3" xfId="4948" xr:uid="{00000000-0005-0000-0000-00004A020000}"/>
    <cellStyle name="20% - Accent4 3 3 3 2" xfId="13390" xr:uid="{A7753A53-5630-48EC-A486-72398F0748BE}"/>
    <cellStyle name="20% - Accent4 3 3 4" xfId="9172" xr:uid="{15420944-21D9-4E14-917B-8BFB6A25B3BC}"/>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4B45D1E4-B524-48C5-A1EC-6CD3C6B5EB41}"/>
    <cellStyle name="20% - Accent4 3 4 2 3" xfId="11730" xr:uid="{0817818C-2DF7-46AF-8EE5-1D3EF8A8983C}"/>
    <cellStyle name="20% - Accent4 3 4 3" xfId="5361" xr:uid="{00000000-0005-0000-0000-00004E020000}"/>
    <cellStyle name="20% - Accent4 3 4 3 2" xfId="13803" xr:uid="{FECE6617-788B-4716-88DF-0ED5AB0D6CD3}"/>
    <cellStyle name="20% - Accent4 3 4 4" xfId="9585" xr:uid="{CE728476-D533-4F29-87B9-BC98BD661A82}"/>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FF3E1D43-D420-4505-99B2-0FB15B7B2B96}"/>
    <cellStyle name="20% - Accent4 3 5 2 3" xfId="12143" xr:uid="{54B6B9A1-8576-4B35-9221-351D0FF91631}"/>
    <cellStyle name="20% - Accent4 3 5 3" xfId="5774" xr:uid="{00000000-0005-0000-0000-000052020000}"/>
    <cellStyle name="20% - Accent4 3 5 3 2" xfId="14216" xr:uid="{8769DB7B-9E92-4EFA-99A8-C79EC5C8EA5A}"/>
    <cellStyle name="20% - Accent4 3 5 4" xfId="9998" xr:uid="{8AC773B5-B8B7-41EE-913D-49359D00FA7D}"/>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4C30EA55-BB40-452E-9093-359B65FCDAF8}"/>
    <cellStyle name="20% - Accent4 3 6 2 3" xfId="12556" xr:uid="{E12C1C62-FA0A-4C82-94A4-50A94AD125CF}"/>
    <cellStyle name="20% - Accent4 3 6 3" xfId="6187" xr:uid="{00000000-0005-0000-0000-000056020000}"/>
    <cellStyle name="20% - Accent4 3 6 3 2" xfId="14629" xr:uid="{22BE5F55-8FA4-4C5E-A1FB-820B87568A6A}"/>
    <cellStyle name="20% - Accent4 3 6 4" xfId="10411" xr:uid="{201624C5-5428-4934-8368-B40C3A60EF93}"/>
    <cellStyle name="20% - Accent4 3 7" xfId="2293" xr:uid="{00000000-0005-0000-0000-000057020000}"/>
    <cellStyle name="20% - Accent4 3 7 2" xfId="6600" xr:uid="{00000000-0005-0000-0000-000058020000}"/>
    <cellStyle name="20% - Accent4 3 7 2 2" xfId="15042" xr:uid="{B5734404-4F22-461E-B553-F8F28662B02E}"/>
    <cellStyle name="20% - Accent4 3 7 3" xfId="10824" xr:uid="{D7B7F08F-0AA1-4981-A8E4-DD37DA40E6E4}"/>
    <cellStyle name="20% - Accent4 3 8" xfId="4534" xr:uid="{00000000-0005-0000-0000-000059020000}"/>
    <cellStyle name="20% - Accent4 3 8 2" xfId="12976" xr:uid="{CEB7E7E5-9F49-48BD-AFDE-199EF963C97F}"/>
    <cellStyle name="20% - Accent4 3 9" xfId="8758" xr:uid="{0CFFD37F-2674-41D0-9837-CE3D77B7EC49}"/>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EDED9179-8696-4836-A7CF-834BDFE9CC53}"/>
    <cellStyle name="20% - Accent4 4 2 2 3" xfId="11319" xr:uid="{12F20DB5-7C67-4D36-9673-5B7B613643E5}"/>
    <cellStyle name="20% - Accent4 4 2 3" xfId="4950" xr:uid="{00000000-0005-0000-0000-00005E020000}"/>
    <cellStyle name="20% - Accent4 4 2 3 2" xfId="13392" xr:uid="{5C528063-ADF5-4085-8AF0-7D44C2A08548}"/>
    <cellStyle name="20% - Accent4 4 2 4" xfId="9174" xr:uid="{0867E7E3-225D-4691-9B11-0BAF084C1F4F}"/>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5DC596D-931A-4FD0-8C02-6C4C61CFE844}"/>
    <cellStyle name="20% - Accent4 4 3 2 3" xfId="11732" xr:uid="{C72E7187-008F-450D-A92D-F097AB9B60AE}"/>
    <cellStyle name="20% - Accent4 4 3 3" xfId="5363" xr:uid="{00000000-0005-0000-0000-000062020000}"/>
    <cellStyle name="20% - Accent4 4 3 3 2" xfId="13805" xr:uid="{10F4F70E-CF34-40B9-874F-741F52DA8395}"/>
    <cellStyle name="20% - Accent4 4 3 4" xfId="9587" xr:uid="{A4A0C4E4-B532-415D-9E9F-283E0ED9184C}"/>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156508CF-CAD1-42E3-9DB6-BE217CA8BB01}"/>
    <cellStyle name="20% - Accent4 4 4 2 3" xfId="12145" xr:uid="{6653FE0D-B3B5-4AB9-AC48-D255A2FF85B3}"/>
    <cellStyle name="20% - Accent4 4 4 3" xfId="5776" xr:uid="{00000000-0005-0000-0000-000066020000}"/>
    <cellStyle name="20% - Accent4 4 4 3 2" xfId="14218" xr:uid="{AC14C2CE-9F71-4BF0-9C52-96DFC159552A}"/>
    <cellStyle name="20% - Accent4 4 4 4" xfId="10000" xr:uid="{98FB5784-AD16-41AE-AC50-4A7046268BF0}"/>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CBFB95FF-3141-4848-8C9B-D49439B356DE}"/>
    <cellStyle name="20% - Accent4 4 5 2 3" xfId="12558" xr:uid="{F1A1ACB6-DDB2-4A74-B374-310A28110E97}"/>
    <cellStyle name="20% - Accent4 4 5 3" xfId="6189" xr:uid="{00000000-0005-0000-0000-00006A020000}"/>
    <cellStyle name="20% - Accent4 4 5 3 2" xfId="14631" xr:uid="{9E0EA9C7-6AFA-424C-BBDB-EC827D1E51B8}"/>
    <cellStyle name="20% - Accent4 4 5 4" xfId="10413" xr:uid="{DB8C7914-14E5-419F-99C8-E71A5B402654}"/>
    <cellStyle name="20% - Accent4 4 6" xfId="2295" xr:uid="{00000000-0005-0000-0000-00006B020000}"/>
    <cellStyle name="20% - Accent4 4 6 2" xfId="6602" xr:uid="{00000000-0005-0000-0000-00006C020000}"/>
    <cellStyle name="20% - Accent4 4 6 2 2" xfId="15044" xr:uid="{8FED3ABE-1F65-4F64-A9DB-D47403AC8ADE}"/>
    <cellStyle name="20% - Accent4 4 6 3" xfId="10826" xr:uid="{F93AB4B5-800E-4201-B9EB-2859D71B0059}"/>
    <cellStyle name="20% - Accent4 4 7" xfId="4536" xr:uid="{00000000-0005-0000-0000-00006D020000}"/>
    <cellStyle name="20% - Accent4 4 7 2" xfId="12978" xr:uid="{ECD85D13-E920-47A5-9EA0-9C0FCB1434FA}"/>
    <cellStyle name="20% - Accent4 4 8" xfId="8760" xr:uid="{CC379645-8F10-42FE-B9CA-7783181DC68C}"/>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164A11E9-EAB4-416B-8828-89337D24C5B0}"/>
    <cellStyle name="20% - Accent4 5 2 3" xfId="11312" xr:uid="{1886388E-9E85-4E34-A11F-7BD8C5FBD76D}"/>
    <cellStyle name="20% - Accent4 5 3" xfId="4943" xr:uid="{00000000-0005-0000-0000-000071020000}"/>
    <cellStyle name="20% - Accent4 5 3 2" xfId="13385" xr:uid="{74A3AC35-78AC-4589-93CF-FC1DCFE28B00}"/>
    <cellStyle name="20% - Accent4 5 4" xfId="9167" xr:uid="{8E21517D-206F-4EF1-AC4D-C087F4498802}"/>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9E1C1AEC-E0A3-4BF0-B1AA-B283588DE954}"/>
    <cellStyle name="20% - Accent4 6 2 3" xfId="11725" xr:uid="{18AD99F2-01D1-4377-9A30-7B9A88F59FB5}"/>
    <cellStyle name="20% - Accent4 6 3" xfId="5356" xr:uid="{00000000-0005-0000-0000-000075020000}"/>
    <cellStyle name="20% - Accent4 6 3 2" xfId="13798" xr:uid="{8BCE7EDB-69EF-40A5-8B5C-721D2ECDF263}"/>
    <cellStyle name="20% - Accent4 6 4" xfId="9580" xr:uid="{E63E8477-11F0-4F59-BDE0-BB6C0C92FDE2}"/>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166FD73B-ECAB-4704-8803-9F89CA189C35}"/>
    <cellStyle name="20% - Accent4 7 2 3" xfId="12138" xr:uid="{352B9153-1938-4D8F-8EF9-96B60FBD9143}"/>
    <cellStyle name="20% - Accent4 7 3" xfId="5769" xr:uid="{00000000-0005-0000-0000-000079020000}"/>
    <cellStyle name="20% - Accent4 7 3 2" xfId="14211" xr:uid="{A475C9F9-0334-4283-A74F-3904EBF263BD}"/>
    <cellStyle name="20% - Accent4 7 4" xfId="9993" xr:uid="{D5966F26-6390-4C13-9B00-496DDB09B233}"/>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398E4371-F705-4C15-8078-B6430EA6BE58}"/>
    <cellStyle name="20% - Accent4 8 2 3" xfId="12551" xr:uid="{6DC08E02-19DC-454D-80E4-AE1F2220FD56}"/>
    <cellStyle name="20% - Accent4 8 3" xfId="6182" xr:uid="{00000000-0005-0000-0000-00007D020000}"/>
    <cellStyle name="20% - Accent4 8 3 2" xfId="14624" xr:uid="{BFE4423A-EA58-449C-8E20-4B76964AAE7F}"/>
    <cellStyle name="20% - Accent4 8 4" xfId="10406" xr:uid="{64D75069-0369-4AD5-9447-2AF116BB27BF}"/>
    <cellStyle name="20% - Accent4 9" xfId="2288" xr:uid="{00000000-0005-0000-0000-00007E020000}"/>
    <cellStyle name="20% - Accent4 9 2" xfId="6595" xr:uid="{00000000-0005-0000-0000-00007F020000}"/>
    <cellStyle name="20% - Accent4 9 2 2" xfId="15037" xr:uid="{E1740734-F5E6-44EB-8DA0-FD77C81FB548}"/>
    <cellStyle name="20% - Accent4 9 3" xfId="10819" xr:uid="{30600320-8058-44B3-A9A8-4715A7D03137}"/>
    <cellStyle name="20% - Accent5" xfId="33" builtinId="46" customBuiltin="1"/>
    <cellStyle name="20% - Accent5 10" xfId="4537" xr:uid="{00000000-0005-0000-0000-000081020000}"/>
    <cellStyle name="20% - Accent5 10 2" xfId="12979" xr:uid="{C0AE740B-7722-4290-B310-2156E7F87C56}"/>
    <cellStyle name="20% - Accent5 11" xfId="8761" xr:uid="{439FEE7F-C555-446B-9100-10CA4C7C419F}"/>
    <cellStyle name="20% - Accent5 2" xfId="34" xr:uid="{00000000-0005-0000-0000-000082020000}"/>
    <cellStyle name="20% - Accent5 2 10" xfId="8762" xr:uid="{6F11A0CC-5AF0-4FEA-B36E-912BAF895CFD}"/>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2981317E-6CC1-434F-85DA-85A50148E6E4}"/>
    <cellStyle name="20% - Accent5 2 2 2 2 2 3" xfId="11323" xr:uid="{11BD780D-87BD-4396-8903-6C475E3181E5}"/>
    <cellStyle name="20% - Accent5 2 2 2 2 3" xfId="4954" xr:uid="{00000000-0005-0000-0000-000088020000}"/>
    <cellStyle name="20% - Accent5 2 2 2 2 3 2" xfId="13396" xr:uid="{7EF031FF-3F8C-47C2-9EAE-D6671440BEB9}"/>
    <cellStyle name="20% - Accent5 2 2 2 2 4" xfId="9178" xr:uid="{AA673DEC-BCA1-4B06-BE09-CC0C475099D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30F7F7B8-DE18-43C6-BD2E-FAE8D787CA98}"/>
    <cellStyle name="20% - Accent5 2 2 2 3 2 3" xfId="11736" xr:uid="{C6F420B0-472B-4C48-A4D0-DEE131A45541}"/>
    <cellStyle name="20% - Accent5 2 2 2 3 3" xfId="5367" xr:uid="{00000000-0005-0000-0000-00008C020000}"/>
    <cellStyle name="20% - Accent5 2 2 2 3 3 2" xfId="13809" xr:uid="{086E88FB-6033-4AE2-A704-EE1076879E71}"/>
    <cellStyle name="20% - Accent5 2 2 2 3 4" xfId="9591" xr:uid="{15BB1519-5838-45B3-A296-432903089DD3}"/>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14F5D902-FE65-42C4-AD4F-E9836D83F5B8}"/>
    <cellStyle name="20% - Accent5 2 2 2 4 2 3" xfId="12149" xr:uid="{6B75632F-1C77-4AA9-885B-8E146E6B71DA}"/>
    <cellStyle name="20% - Accent5 2 2 2 4 3" xfId="5780" xr:uid="{00000000-0005-0000-0000-000090020000}"/>
    <cellStyle name="20% - Accent5 2 2 2 4 3 2" xfId="14222" xr:uid="{5BEB827E-9D70-4FCF-9DD8-90A13E38D20E}"/>
    <cellStyle name="20% - Accent5 2 2 2 4 4" xfId="10004" xr:uid="{D500C2B1-1774-4456-AC58-827E8539A05D}"/>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FEFA2483-D1C1-4EE7-B4A0-5B37D90B376A}"/>
    <cellStyle name="20% - Accent5 2 2 2 5 2 3" xfId="12562" xr:uid="{E01E9006-15B8-457E-B749-A656797ED3E2}"/>
    <cellStyle name="20% - Accent5 2 2 2 5 3" xfId="6193" xr:uid="{00000000-0005-0000-0000-000094020000}"/>
    <cellStyle name="20% - Accent5 2 2 2 5 3 2" xfId="14635" xr:uid="{06F23722-7307-4893-87D8-00CDEF872DA8}"/>
    <cellStyle name="20% - Accent5 2 2 2 5 4" xfId="10417" xr:uid="{3A9299E8-4723-4F1C-B2D6-1B6A62E4B502}"/>
    <cellStyle name="20% - Accent5 2 2 2 6" xfId="2299" xr:uid="{00000000-0005-0000-0000-000095020000}"/>
    <cellStyle name="20% - Accent5 2 2 2 6 2" xfId="6606" xr:uid="{00000000-0005-0000-0000-000096020000}"/>
    <cellStyle name="20% - Accent5 2 2 2 6 2 2" xfId="15048" xr:uid="{AD193241-0F35-474C-A7A1-52BD96980ECC}"/>
    <cellStyle name="20% - Accent5 2 2 2 6 3" xfId="10830" xr:uid="{16138D29-CD8D-4A50-AA16-B19ED6076733}"/>
    <cellStyle name="20% - Accent5 2 2 2 7" xfId="4540" xr:uid="{00000000-0005-0000-0000-000097020000}"/>
    <cellStyle name="20% - Accent5 2 2 2 7 2" xfId="12982" xr:uid="{F0D84885-60FA-4887-9904-D0F20F69460B}"/>
    <cellStyle name="20% - Accent5 2 2 2 8" xfId="8764" xr:uid="{94C03638-8E53-43CC-81E4-FAC0517476E5}"/>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420941F6-5573-4D30-939B-56C6A63BC22D}"/>
    <cellStyle name="20% - Accent5 2 2 3 2 3" xfId="11322" xr:uid="{2D68C50A-FDB6-4D2D-BC50-E8D377567833}"/>
    <cellStyle name="20% - Accent5 2 2 3 3" xfId="4953" xr:uid="{00000000-0005-0000-0000-00009B020000}"/>
    <cellStyle name="20% - Accent5 2 2 3 3 2" xfId="13395" xr:uid="{13681C48-5644-4459-BD12-0A092E292289}"/>
    <cellStyle name="20% - Accent5 2 2 3 4" xfId="9177" xr:uid="{F540ACB0-9E9F-4452-855A-28F226DEDB4A}"/>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79AB3D8F-59CB-473D-B26E-495F16F026EE}"/>
    <cellStyle name="20% - Accent5 2 2 4 2 3" xfId="11735" xr:uid="{28779A3E-44FF-453A-A30C-54115D6DF422}"/>
    <cellStyle name="20% - Accent5 2 2 4 3" xfId="5366" xr:uid="{00000000-0005-0000-0000-00009F020000}"/>
    <cellStyle name="20% - Accent5 2 2 4 3 2" xfId="13808" xr:uid="{48D1A86B-00A4-4075-B948-399586D96870}"/>
    <cellStyle name="20% - Accent5 2 2 4 4" xfId="9590" xr:uid="{0132EC09-40C5-4DEC-A274-911D2DC4F08D}"/>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959AD7C7-1CE1-4E0E-940D-512880E95E79}"/>
    <cellStyle name="20% - Accent5 2 2 5 2 3" xfId="12148" xr:uid="{BFDC8303-4756-4ADA-9A70-349C84DD5ADD}"/>
    <cellStyle name="20% - Accent5 2 2 5 3" xfId="5779" xr:uid="{00000000-0005-0000-0000-0000A3020000}"/>
    <cellStyle name="20% - Accent5 2 2 5 3 2" xfId="14221" xr:uid="{DA193853-E1E9-4695-AF26-F3770EBB8B70}"/>
    <cellStyle name="20% - Accent5 2 2 5 4" xfId="10003" xr:uid="{4E92EBEC-0834-46BE-BC8F-286D3954A0DD}"/>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C354CDCC-49BB-408D-B9B9-77AFE36CE008}"/>
    <cellStyle name="20% - Accent5 2 2 6 2 3" xfId="12561" xr:uid="{0FCEDBAE-DD49-451F-8D70-34FB7A5A18ED}"/>
    <cellStyle name="20% - Accent5 2 2 6 3" xfId="6192" xr:uid="{00000000-0005-0000-0000-0000A7020000}"/>
    <cellStyle name="20% - Accent5 2 2 6 3 2" xfId="14634" xr:uid="{D37ADC0C-CF8B-4F0C-AFEF-DC2761A6D7B7}"/>
    <cellStyle name="20% - Accent5 2 2 6 4" xfId="10416" xr:uid="{91B56968-D4AC-4A1F-804E-07D866C133AF}"/>
    <cellStyle name="20% - Accent5 2 2 7" xfId="2298" xr:uid="{00000000-0005-0000-0000-0000A8020000}"/>
    <cellStyle name="20% - Accent5 2 2 7 2" xfId="6605" xr:uid="{00000000-0005-0000-0000-0000A9020000}"/>
    <cellStyle name="20% - Accent5 2 2 7 2 2" xfId="15047" xr:uid="{43B4211C-E7DC-43BE-9701-26C5BADF2D73}"/>
    <cellStyle name="20% - Accent5 2 2 7 3" xfId="10829" xr:uid="{CE26EC1C-A20A-408A-BC37-0A637CC9BBBD}"/>
    <cellStyle name="20% - Accent5 2 2 8" xfId="4539" xr:uid="{00000000-0005-0000-0000-0000AA020000}"/>
    <cellStyle name="20% - Accent5 2 2 8 2" xfId="12981" xr:uid="{2B7236B3-E42F-443A-9982-03B6BA5C6DAA}"/>
    <cellStyle name="20% - Accent5 2 2 9" xfId="8763" xr:uid="{A020A6E0-1787-4D32-8708-FC2914759CBA}"/>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5405EB92-9588-4A89-B850-544911BCEEB0}"/>
    <cellStyle name="20% - Accent5 2 3 2 2 3" xfId="11324" xr:uid="{47DA0F40-61F3-4633-817C-FC120A5096C4}"/>
    <cellStyle name="20% - Accent5 2 3 2 3" xfId="4955" xr:uid="{00000000-0005-0000-0000-0000AF020000}"/>
    <cellStyle name="20% - Accent5 2 3 2 3 2" xfId="13397" xr:uid="{E947D985-0379-47C1-8A58-D1C5A58C5EA5}"/>
    <cellStyle name="20% - Accent5 2 3 2 4" xfId="9179" xr:uid="{C969AA18-48D4-40C3-A961-F99D6BD29305}"/>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57C08688-A499-42AA-A037-0CB1CA301B62}"/>
    <cellStyle name="20% - Accent5 2 3 3 2 3" xfId="11737" xr:uid="{E2E30CD0-CB14-4CDD-B3A3-8C76FE86C584}"/>
    <cellStyle name="20% - Accent5 2 3 3 3" xfId="5368" xr:uid="{00000000-0005-0000-0000-0000B3020000}"/>
    <cellStyle name="20% - Accent5 2 3 3 3 2" xfId="13810" xr:uid="{4049F988-00EE-4CB1-A659-7B5CC9ED6506}"/>
    <cellStyle name="20% - Accent5 2 3 3 4" xfId="9592" xr:uid="{4DDAEED8-9CE5-430C-8CF8-A3C5CF71755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AD487E8F-35AD-4DA5-B50A-CF5F51EA8B0F}"/>
    <cellStyle name="20% - Accent5 2 3 4 2 3" xfId="12150" xr:uid="{B15CE6C7-29ED-4CD9-B20E-0C66FE3C97F4}"/>
    <cellStyle name="20% - Accent5 2 3 4 3" xfId="5781" xr:uid="{00000000-0005-0000-0000-0000B7020000}"/>
    <cellStyle name="20% - Accent5 2 3 4 3 2" xfId="14223" xr:uid="{D44B5792-46DD-4FE8-8D4A-2FBE6258D7BD}"/>
    <cellStyle name="20% - Accent5 2 3 4 4" xfId="10005" xr:uid="{A200FC43-FC75-40C9-9C5D-F07476913843}"/>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DB054ECE-92C9-482C-A999-285B9BB70BA0}"/>
    <cellStyle name="20% - Accent5 2 3 5 2 3" xfId="12563" xr:uid="{F33B824D-EDDD-493C-AEFA-1E77CFAADA71}"/>
    <cellStyle name="20% - Accent5 2 3 5 3" xfId="6194" xr:uid="{00000000-0005-0000-0000-0000BB020000}"/>
    <cellStyle name="20% - Accent5 2 3 5 3 2" xfId="14636" xr:uid="{6046076D-6CF0-4261-8A60-10A61C5D329C}"/>
    <cellStyle name="20% - Accent5 2 3 5 4" xfId="10418" xr:uid="{A98B1CC8-CC8A-4F8B-9F37-F922BAED867E}"/>
    <cellStyle name="20% - Accent5 2 3 6" xfId="2300" xr:uid="{00000000-0005-0000-0000-0000BC020000}"/>
    <cellStyle name="20% - Accent5 2 3 6 2" xfId="6607" xr:uid="{00000000-0005-0000-0000-0000BD020000}"/>
    <cellStyle name="20% - Accent5 2 3 6 2 2" xfId="15049" xr:uid="{A04F128F-3D36-4407-8196-D143D23397E2}"/>
    <cellStyle name="20% - Accent5 2 3 6 3" xfId="10831" xr:uid="{65484328-C4AD-4722-96D2-E1952C22C986}"/>
    <cellStyle name="20% - Accent5 2 3 7" xfId="4541" xr:uid="{00000000-0005-0000-0000-0000BE020000}"/>
    <cellStyle name="20% - Accent5 2 3 7 2" xfId="12983" xr:uid="{4BA73497-ACF2-4C50-9139-EE868AD96635}"/>
    <cellStyle name="20% - Accent5 2 3 8" xfId="8765" xr:uid="{9EEEF7CA-A8DF-403E-8398-A9188D6E965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63C1ABA9-B94D-4549-96FD-3EBEB7CB6A24}"/>
    <cellStyle name="20% - Accent5 2 4 2 3" xfId="11321" xr:uid="{0D7B640F-9468-453F-A7F6-13DFBC14AE65}"/>
    <cellStyle name="20% - Accent5 2 4 3" xfId="4952" xr:uid="{00000000-0005-0000-0000-0000C2020000}"/>
    <cellStyle name="20% - Accent5 2 4 3 2" xfId="13394" xr:uid="{1713AC0D-3FBC-4CA4-B5B3-BF387E88D43D}"/>
    <cellStyle name="20% - Accent5 2 4 4" xfId="9176" xr:uid="{A4499D32-D7B0-44B6-A9A6-4498581AC2F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8CA8E0F6-C2C6-44A5-88FF-F55B98FAB8AD}"/>
    <cellStyle name="20% - Accent5 2 5 2 3" xfId="11734" xr:uid="{2C2E9135-025E-45DD-8589-140B1C050B40}"/>
    <cellStyle name="20% - Accent5 2 5 3" xfId="5365" xr:uid="{00000000-0005-0000-0000-0000C6020000}"/>
    <cellStyle name="20% - Accent5 2 5 3 2" xfId="13807" xr:uid="{1F75FC0E-0A97-4D77-88B6-4251DB3C9D5A}"/>
    <cellStyle name="20% - Accent5 2 5 4" xfId="9589" xr:uid="{16241E67-BEA0-47D0-845F-D317B26E192A}"/>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AB1493DA-4FBE-4E07-A946-B8B55AF87C11}"/>
    <cellStyle name="20% - Accent5 2 6 2 3" xfId="12147" xr:uid="{A6287569-9F01-423C-9654-F9B8A542CB8D}"/>
    <cellStyle name="20% - Accent5 2 6 3" xfId="5778" xr:uid="{00000000-0005-0000-0000-0000CA020000}"/>
    <cellStyle name="20% - Accent5 2 6 3 2" xfId="14220" xr:uid="{302989BD-4988-4658-B416-21B2625BDB3C}"/>
    <cellStyle name="20% - Accent5 2 6 4" xfId="10002" xr:uid="{B23105DE-7089-476D-9DAB-D1D1DCC5C44B}"/>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BC600EAD-FE0B-47E2-A062-5CEB95F621C4}"/>
    <cellStyle name="20% - Accent5 2 7 2 3" xfId="12560" xr:uid="{5FEA960E-7138-4D74-AA20-37CCD6AC292A}"/>
    <cellStyle name="20% - Accent5 2 7 3" xfId="6191" xr:uid="{00000000-0005-0000-0000-0000CE020000}"/>
    <cellStyle name="20% - Accent5 2 7 3 2" xfId="14633" xr:uid="{91907745-6EAD-40EF-95A2-2193B8B0915D}"/>
    <cellStyle name="20% - Accent5 2 7 4" xfId="10415" xr:uid="{DE1E5F99-2498-4BD1-BA61-8F36BB2F36A9}"/>
    <cellStyle name="20% - Accent5 2 8" xfId="2297" xr:uid="{00000000-0005-0000-0000-0000CF020000}"/>
    <cellStyle name="20% - Accent5 2 8 2" xfId="6604" xr:uid="{00000000-0005-0000-0000-0000D0020000}"/>
    <cellStyle name="20% - Accent5 2 8 2 2" xfId="15046" xr:uid="{66A82BA1-A91F-40CA-891F-265C053AF26A}"/>
    <cellStyle name="20% - Accent5 2 8 3" xfId="10828" xr:uid="{DEDCBFEB-FB93-47C1-8EF2-29E5970E5060}"/>
    <cellStyle name="20% - Accent5 2 9" xfId="4538" xr:uid="{00000000-0005-0000-0000-0000D1020000}"/>
    <cellStyle name="20% - Accent5 2 9 2" xfId="12980" xr:uid="{96930AF1-4569-4771-BF2D-175FB3AD665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67693B72-4D2A-4091-A06F-22630AD630DD}"/>
    <cellStyle name="20% - Accent5 3 2 2 2 3" xfId="11326" xr:uid="{D6B8FA8B-0E08-4AC3-8423-E3FD26E442E8}"/>
    <cellStyle name="20% - Accent5 3 2 2 3" xfId="4957" xr:uid="{00000000-0005-0000-0000-0000D7020000}"/>
    <cellStyle name="20% - Accent5 3 2 2 3 2" xfId="13399" xr:uid="{DB11F590-9407-4B1A-9A3F-85CA4F25DBE2}"/>
    <cellStyle name="20% - Accent5 3 2 2 4" xfId="9181" xr:uid="{F69A7E5A-D33D-4013-97B7-79C43AD3FF3F}"/>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A3B34667-91BA-408F-AAC3-957ADB253AA1}"/>
    <cellStyle name="20% - Accent5 3 2 3 2 3" xfId="11739" xr:uid="{27567785-0052-4088-8DF0-C9D9DF26AD32}"/>
    <cellStyle name="20% - Accent5 3 2 3 3" xfId="5370" xr:uid="{00000000-0005-0000-0000-0000DB020000}"/>
    <cellStyle name="20% - Accent5 3 2 3 3 2" xfId="13812" xr:uid="{8AEBAA89-FD5C-4D66-9F1B-44A543920038}"/>
    <cellStyle name="20% - Accent5 3 2 3 4" xfId="9594" xr:uid="{52352BF5-4978-4EE4-B55A-A2C6F3166F83}"/>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3D561A9A-6449-444A-A0D4-0F668160423D}"/>
    <cellStyle name="20% - Accent5 3 2 4 2 3" xfId="12152" xr:uid="{71442FA1-EDC2-4B4E-9E95-F7BFD9E8FF4D}"/>
    <cellStyle name="20% - Accent5 3 2 4 3" xfId="5783" xr:uid="{00000000-0005-0000-0000-0000DF020000}"/>
    <cellStyle name="20% - Accent5 3 2 4 3 2" xfId="14225" xr:uid="{0244D7E0-31C9-42B7-8895-09D746FDC6D5}"/>
    <cellStyle name="20% - Accent5 3 2 4 4" xfId="10007" xr:uid="{F098C33D-029D-4277-8EFB-A12D41F88E7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05F7582-4D51-41DB-A527-3910EE8F41B6}"/>
    <cellStyle name="20% - Accent5 3 2 5 2 3" xfId="12565" xr:uid="{540062BE-6566-4314-AFE4-640BC675B9EA}"/>
    <cellStyle name="20% - Accent5 3 2 5 3" xfId="6196" xr:uid="{00000000-0005-0000-0000-0000E3020000}"/>
    <cellStyle name="20% - Accent5 3 2 5 3 2" xfId="14638" xr:uid="{471447A3-9ADA-4B10-AB88-36658A4E1FA4}"/>
    <cellStyle name="20% - Accent5 3 2 5 4" xfId="10420" xr:uid="{418789D8-DBF1-4945-96B4-019D7687B470}"/>
    <cellStyle name="20% - Accent5 3 2 6" xfId="2302" xr:uid="{00000000-0005-0000-0000-0000E4020000}"/>
    <cellStyle name="20% - Accent5 3 2 6 2" xfId="6609" xr:uid="{00000000-0005-0000-0000-0000E5020000}"/>
    <cellStyle name="20% - Accent5 3 2 6 2 2" xfId="15051" xr:uid="{6C52F429-A7C8-4E66-AA02-70B8E76E8B73}"/>
    <cellStyle name="20% - Accent5 3 2 6 3" xfId="10833" xr:uid="{1133EAB5-EBFB-441D-8F2D-6DE379375769}"/>
    <cellStyle name="20% - Accent5 3 2 7" xfId="4543" xr:uid="{00000000-0005-0000-0000-0000E6020000}"/>
    <cellStyle name="20% - Accent5 3 2 7 2" xfId="12985" xr:uid="{049A163D-D8A1-4FC8-A894-85E25D01E5B0}"/>
    <cellStyle name="20% - Accent5 3 2 8" xfId="8767" xr:uid="{3C556DB1-DD6E-4DF7-A88E-B7E96B21D180}"/>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7924B274-13CD-4423-BF1F-3FE0B71F69B9}"/>
    <cellStyle name="20% - Accent5 3 3 2 3" xfId="11325" xr:uid="{E1F9ED33-D6B4-4580-B144-29DDCB92185A}"/>
    <cellStyle name="20% - Accent5 3 3 3" xfId="4956" xr:uid="{00000000-0005-0000-0000-0000EA020000}"/>
    <cellStyle name="20% - Accent5 3 3 3 2" xfId="13398" xr:uid="{3C1860C6-16A1-4521-A708-2A872B4264D9}"/>
    <cellStyle name="20% - Accent5 3 3 4" xfId="9180" xr:uid="{84777BA7-8604-467E-838C-F9AA21F812F3}"/>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8ACF3D44-6CAB-4A6D-BF18-8DE4F766AEC2}"/>
    <cellStyle name="20% - Accent5 3 4 2 3" xfId="11738" xr:uid="{4CA100A4-C4B6-4F61-8CD1-DD07B4C65F76}"/>
    <cellStyle name="20% - Accent5 3 4 3" xfId="5369" xr:uid="{00000000-0005-0000-0000-0000EE020000}"/>
    <cellStyle name="20% - Accent5 3 4 3 2" xfId="13811" xr:uid="{02790AD2-D33C-4342-9183-F46E53A1D632}"/>
    <cellStyle name="20% - Accent5 3 4 4" xfId="9593" xr:uid="{0C50AE6E-CEA7-45E4-B029-40542ABDD1C0}"/>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B06E33F5-F439-4240-A498-9C1D85D8B24D}"/>
    <cellStyle name="20% - Accent5 3 5 2 3" xfId="12151" xr:uid="{E5704D00-1873-43FA-843B-1C55EDFAE721}"/>
    <cellStyle name="20% - Accent5 3 5 3" xfId="5782" xr:uid="{00000000-0005-0000-0000-0000F2020000}"/>
    <cellStyle name="20% - Accent5 3 5 3 2" xfId="14224" xr:uid="{0AFA21DA-0FDC-42C2-850E-D74D491997B0}"/>
    <cellStyle name="20% - Accent5 3 5 4" xfId="10006" xr:uid="{82628496-A7F8-461E-904E-0FDD4C68318B}"/>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3F5B6FC5-19D9-4E97-A42E-BEDAFB3C5CAC}"/>
    <cellStyle name="20% - Accent5 3 6 2 3" xfId="12564" xr:uid="{E36AD376-BE6A-422D-B78B-74F19A9C4F71}"/>
    <cellStyle name="20% - Accent5 3 6 3" xfId="6195" xr:uid="{00000000-0005-0000-0000-0000F6020000}"/>
    <cellStyle name="20% - Accent5 3 6 3 2" xfId="14637" xr:uid="{7152FE68-50FD-459C-8E4E-D7E97EF1F052}"/>
    <cellStyle name="20% - Accent5 3 6 4" xfId="10419" xr:uid="{28AD86F6-D4A4-4989-ACAD-1DF34B752CE2}"/>
    <cellStyle name="20% - Accent5 3 7" xfId="2301" xr:uid="{00000000-0005-0000-0000-0000F7020000}"/>
    <cellStyle name="20% - Accent5 3 7 2" xfId="6608" xr:uid="{00000000-0005-0000-0000-0000F8020000}"/>
    <cellStyle name="20% - Accent5 3 7 2 2" xfId="15050" xr:uid="{28A0E660-4CB9-42F9-9F43-C46BCDFD98ED}"/>
    <cellStyle name="20% - Accent5 3 7 3" xfId="10832" xr:uid="{D03CE674-F4D3-42F5-A28D-038F6DBE3743}"/>
    <cellStyle name="20% - Accent5 3 8" xfId="4542" xr:uid="{00000000-0005-0000-0000-0000F9020000}"/>
    <cellStyle name="20% - Accent5 3 8 2" xfId="12984" xr:uid="{6DF39CF3-A68A-498C-9973-07F2419A826E}"/>
    <cellStyle name="20% - Accent5 3 9" xfId="8766" xr:uid="{6D998A2B-E62B-4A1C-BBA4-9B31EAC92BA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91890F6-0F42-49D5-9E56-869D8154ED2D}"/>
    <cellStyle name="20% - Accent5 4 2 2 3" xfId="11327" xr:uid="{E0B5D192-ED5A-40D3-A8FC-BA25F039D11D}"/>
    <cellStyle name="20% - Accent5 4 2 3" xfId="4958" xr:uid="{00000000-0005-0000-0000-0000FE020000}"/>
    <cellStyle name="20% - Accent5 4 2 3 2" xfId="13400" xr:uid="{2A83B9DC-916B-42E0-BDE3-5F6F2B2183B3}"/>
    <cellStyle name="20% - Accent5 4 2 4" xfId="9182" xr:uid="{E9A18A70-A1D3-4D18-AFC1-A7679D1D138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2F5DEE21-DAD8-4ACA-95C8-204A256D7DC7}"/>
    <cellStyle name="20% - Accent5 4 3 2 3" xfId="11740" xr:uid="{8EE42653-197E-4E44-B068-068D7869A2B0}"/>
    <cellStyle name="20% - Accent5 4 3 3" xfId="5371" xr:uid="{00000000-0005-0000-0000-000002030000}"/>
    <cellStyle name="20% - Accent5 4 3 3 2" xfId="13813" xr:uid="{23AA6ADC-9DE8-49B9-9FF4-9B848DBD78EE}"/>
    <cellStyle name="20% - Accent5 4 3 4" xfId="9595" xr:uid="{6F525057-E4D9-4142-8299-8A3D82852545}"/>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79F3F5EC-F842-48FA-8181-31D85458BF33}"/>
    <cellStyle name="20% - Accent5 4 4 2 3" xfId="12153" xr:uid="{31FA991D-C077-4AE7-A4C5-F08302BA8E29}"/>
    <cellStyle name="20% - Accent5 4 4 3" xfId="5784" xr:uid="{00000000-0005-0000-0000-000006030000}"/>
    <cellStyle name="20% - Accent5 4 4 3 2" xfId="14226" xr:uid="{BAEA8052-5C2A-4BD7-93B1-92B723557E26}"/>
    <cellStyle name="20% - Accent5 4 4 4" xfId="10008" xr:uid="{A887DD31-DFE0-4FDB-B4ED-A4F0C5BF9AF4}"/>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376E9D2F-F85E-4058-B679-A657307ED7C3}"/>
    <cellStyle name="20% - Accent5 4 5 2 3" xfId="12566" xr:uid="{EB56210D-8C19-43C9-B866-ECE9DDFF5D0B}"/>
    <cellStyle name="20% - Accent5 4 5 3" xfId="6197" xr:uid="{00000000-0005-0000-0000-00000A030000}"/>
    <cellStyle name="20% - Accent5 4 5 3 2" xfId="14639" xr:uid="{029480D6-1D6B-42A4-B8E4-E965B84925B3}"/>
    <cellStyle name="20% - Accent5 4 5 4" xfId="10421" xr:uid="{B04497AD-FD58-4B5C-A7F4-F05D008F529B}"/>
    <cellStyle name="20% - Accent5 4 6" xfId="2303" xr:uid="{00000000-0005-0000-0000-00000B030000}"/>
    <cellStyle name="20% - Accent5 4 6 2" xfId="6610" xr:uid="{00000000-0005-0000-0000-00000C030000}"/>
    <cellStyle name="20% - Accent5 4 6 2 2" xfId="15052" xr:uid="{BF0F70AE-5B72-45A9-9AA4-29939F62B7CE}"/>
    <cellStyle name="20% - Accent5 4 6 3" xfId="10834" xr:uid="{25AE1862-C07A-4FE6-8C29-245910EB4546}"/>
    <cellStyle name="20% - Accent5 4 7" xfId="4544" xr:uid="{00000000-0005-0000-0000-00000D030000}"/>
    <cellStyle name="20% - Accent5 4 7 2" xfId="12986" xr:uid="{20E74C6F-9D86-4CEB-A6E6-2D8409009E90}"/>
    <cellStyle name="20% - Accent5 4 8" xfId="8768" xr:uid="{B1EFBE19-CDA3-455C-9DAF-CD5CDC3FC2B1}"/>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35FBB5B9-6D26-41A4-9B4E-17D67D71B543}"/>
    <cellStyle name="20% - Accent5 5 2 3" xfId="11320" xr:uid="{6F2937DD-E701-4DAE-B50F-CD01BD157F15}"/>
    <cellStyle name="20% - Accent5 5 3" xfId="4951" xr:uid="{00000000-0005-0000-0000-000011030000}"/>
    <cellStyle name="20% - Accent5 5 3 2" xfId="13393" xr:uid="{AEBF7D09-DC03-4C54-A13D-D93169590B00}"/>
    <cellStyle name="20% - Accent5 5 4" xfId="9175" xr:uid="{B2146D24-D2CB-446A-9574-9CB986A1B179}"/>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202074F4-CD37-4859-8852-0FBA91203A3A}"/>
    <cellStyle name="20% - Accent5 6 2 3" xfId="11733" xr:uid="{917AD498-8E63-4E09-800B-B875B5D11739}"/>
    <cellStyle name="20% - Accent5 6 3" xfId="5364" xr:uid="{00000000-0005-0000-0000-000015030000}"/>
    <cellStyle name="20% - Accent5 6 3 2" xfId="13806" xr:uid="{44FBB986-E46A-479F-8033-0ABAEE5342AF}"/>
    <cellStyle name="20% - Accent5 6 4" xfId="9588" xr:uid="{A17CC32C-0F34-4D7D-9E4D-C2739008C47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1295B930-49C4-4521-8DEC-D6011C668E3E}"/>
    <cellStyle name="20% - Accent5 7 2 3" xfId="12146" xr:uid="{F515CBF6-F252-4B1D-9267-0BF631773C41}"/>
    <cellStyle name="20% - Accent5 7 3" xfId="5777" xr:uid="{00000000-0005-0000-0000-000019030000}"/>
    <cellStyle name="20% - Accent5 7 3 2" xfId="14219" xr:uid="{D929D576-96D0-4236-BCD8-E6FF25F7BE01}"/>
    <cellStyle name="20% - Accent5 7 4" xfId="10001" xr:uid="{A733B631-AFFC-466E-BA1C-ED8C002D3101}"/>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0C48C806-746C-4557-AD2A-F5A96D1E0267}"/>
    <cellStyle name="20% - Accent5 8 2 3" xfId="12559" xr:uid="{284AAA44-72EF-4157-9F75-A64CD458A3ED}"/>
    <cellStyle name="20% - Accent5 8 3" xfId="6190" xr:uid="{00000000-0005-0000-0000-00001D030000}"/>
    <cellStyle name="20% - Accent5 8 3 2" xfId="14632" xr:uid="{F8835A98-57F5-4935-B43D-DB505F28E0B9}"/>
    <cellStyle name="20% - Accent5 8 4" xfId="10414" xr:uid="{74FB2E58-D7A4-404D-BD40-D5C2095116F8}"/>
    <cellStyle name="20% - Accent5 9" xfId="2296" xr:uid="{00000000-0005-0000-0000-00001E030000}"/>
    <cellStyle name="20% - Accent5 9 2" xfId="6603" xr:uid="{00000000-0005-0000-0000-00001F030000}"/>
    <cellStyle name="20% - Accent5 9 2 2" xfId="15045" xr:uid="{9F24CD08-EFC7-4C74-B91E-15D33A59600D}"/>
    <cellStyle name="20% - Accent5 9 3" xfId="10827" xr:uid="{88CE051A-C043-4245-AF54-A538AA3CFEAC}"/>
    <cellStyle name="20% - Accent6" xfId="41" builtinId="50" customBuiltin="1"/>
    <cellStyle name="20% - Accent6 10" xfId="4545" xr:uid="{00000000-0005-0000-0000-000021030000}"/>
    <cellStyle name="20% - Accent6 10 2" xfId="12987" xr:uid="{BC59E3BA-56F3-41CA-9A71-25538F787E31}"/>
    <cellStyle name="20% - Accent6 11" xfId="8769" xr:uid="{9AACE5AD-57EE-4C4F-8094-D4C0268E0183}"/>
    <cellStyle name="20% - Accent6 2" xfId="42" xr:uid="{00000000-0005-0000-0000-000022030000}"/>
    <cellStyle name="20% - Accent6 2 10" xfId="8770" xr:uid="{F0E4610F-1875-4836-A621-BE656E5CCF2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7C472C0-7000-48E8-A525-38DF1B8C9230}"/>
    <cellStyle name="20% - Accent6 2 2 2 2 2 3" xfId="11331" xr:uid="{2E6520FD-1C7F-46EF-8AA9-D47E40D1CD2D}"/>
    <cellStyle name="20% - Accent6 2 2 2 2 3" xfId="4962" xr:uid="{00000000-0005-0000-0000-000028030000}"/>
    <cellStyle name="20% - Accent6 2 2 2 2 3 2" xfId="13404" xr:uid="{74E338DF-406A-4FA5-95EB-696D3582D903}"/>
    <cellStyle name="20% - Accent6 2 2 2 2 4" xfId="9186" xr:uid="{79D14E93-9392-474E-AF28-7186D9EBDDE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EB4EC74A-E5D1-4CDF-BF33-2B606856BD74}"/>
    <cellStyle name="20% - Accent6 2 2 2 3 2 3" xfId="11744" xr:uid="{9D2F2C30-097B-4F01-BBDF-E47EA55166FA}"/>
    <cellStyle name="20% - Accent6 2 2 2 3 3" xfId="5375" xr:uid="{00000000-0005-0000-0000-00002C030000}"/>
    <cellStyle name="20% - Accent6 2 2 2 3 3 2" xfId="13817" xr:uid="{4E2E2DBA-6A11-43E7-88A7-069CA57C1B50}"/>
    <cellStyle name="20% - Accent6 2 2 2 3 4" xfId="9599" xr:uid="{49E78E25-A73F-47BE-93A5-89A4482EC873}"/>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4D2106D0-B51F-490D-B627-56AB486F1BA4}"/>
    <cellStyle name="20% - Accent6 2 2 2 4 2 3" xfId="12157" xr:uid="{53767517-76BB-4C3C-BBC4-75464B6A4343}"/>
    <cellStyle name="20% - Accent6 2 2 2 4 3" xfId="5788" xr:uid="{00000000-0005-0000-0000-000030030000}"/>
    <cellStyle name="20% - Accent6 2 2 2 4 3 2" xfId="14230" xr:uid="{D34A35B0-8A07-41E6-A10A-D27DAB18448A}"/>
    <cellStyle name="20% - Accent6 2 2 2 4 4" xfId="10012" xr:uid="{3D6262C0-6A25-4351-BBB8-19F8E63FA5C9}"/>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BF32DB1-72BE-47DA-92F4-346F28A6AF6C}"/>
    <cellStyle name="20% - Accent6 2 2 2 5 2 3" xfId="12570" xr:uid="{CA5CCDB3-3D49-44CC-889A-ADBC9BD71957}"/>
    <cellStyle name="20% - Accent6 2 2 2 5 3" xfId="6201" xr:uid="{00000000-0005-0000-0000-000034030000}"/>
    <cellStyle name="20% - Accent6 2 2 2 5 3 2" xfId="14643" xr:uid="{98ADEB8E-39CC-434B-A920-19BDDE4E1A2A}"/>
    <cellStyle name="20% - Accent6 2 2 2 5 4" xfId="10425" xr:uid="{3C836683-F084-4E7C-AEE4-427E6E78DFC5}"/>
    <cellStyle name="20% - Accent6 2 2 2 6" xfId="2307" xr:uid="{00000000-0005-0000-0000-000035030000}"/>
    <cellStyle name="20% - Accent6 2 2 2 6 2" xfId="6614" xr:uid="{00000000-0005-0000-0000-000036030000}"/>
    <cellStyle name="20% - Accent6 2 2 2 6 2 2" xfId="15056" xr:uid="{8FF0BD67-7FF4-4BFD-961C-0230C2234362}"/>
    <cellStyle name="20% - Accent6 2 2 2 6 3" xfId="10838" xr:uid="{26A28A21-9233-4ED5-A80C-A7E2E77A659D}"/>
    <cellStyle name="20% - Accent6 2 2 2 7" xfId="4548" xr:uid="{00000000-0005-0000-0000-000037030000}"/>
    <cellStyle name="20% - Accent6 2 2 2 7 2" xfId="12990" xr:uid="{D16594F1-57E8-46DD-9C8F-39CFEC1773EE}"/>
    <cellStyle name="20% - Accent6 2 2 2 8" xfId="8772" xr:uid="{95DEE42A-FAF7-4B98-868A-670F8836E3F2}"/>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32FCC53C-BAF0-475B-9AB6-DE3BDA867E84}"/>
    <cellStyle name="20% - Accent6 2 2 3 2 3" xfId="11330" xr:uid="{4E3ACF41-9BB8-4E00-8E84-5377457D8470}"/>
    <cellStyle name="20% - Accent6 2 2 3 3" xfId="4961" xr:uid="{00000000-0005-0000-0000-00003B030000}"/>
    <cellStyle name="20% - Accent6 2 2 3 3 2" xfId="13403" xr:uid="{53B8F3E3-EB6A-44ED-A1F4-F285D45D35E4}"/>
    <cellStyle name="20% - Accent6 2 2 3 4" xfId="9185" xr:uid="{2332E613-C2A6-4266-BBEE-344944749672}"/>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9571D59E-3DC5-40E4-AC14-A36CFE17391B}"/>
    <cellStyle name="20% - Accent6 2 2 4 2 3" xfId="11743" xr:uid="{62EC0418-DDF6-41C6-8FD8-80811B56B873}"/>
    <cellStyle name="20% - Accent6 2 2 4 3" xfId="5374" xr:uid="{00000000-0005-0000-0000-00003F030000}"/>
    <cellStyle name="20% - Accent6 2 2 4 3 2" xfId="13816" xr:uid="{A382944D-C573-4CFF-881D-F15A5D65E774}"/>
    <cellStyle name="20% - Accent6 2 2 4 4" xfId="9598" xr:uid="{B5C00263-1263-48E8-BC08-C44E5B3C9442}"/>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9DA34140-0502-44FA-ABFD-A8D55DE64275}"/>
    <cellStyle name="20% - Accent6 2 2 5 2 3" xfId="12156" xr:uid="{2D05BEB5-EF59-4B95-99B6-AFA80C434778}"/>
    <cellStyle name="20% - Accent6 2 2 5 3" xfId="5787" xr:uid="{00000000-0005-0000-0000-000043030000}"/>
    <cellStyle name="20% - Accent6 2 2 5 3 2" xfId="14229" xr:uid="{8AF301CA-3BAD-4AB5-B9D9-72B8775ADB17}"/>
    <cellStyle name="20% - Accent6 2 2 5 4" xfId="10011" xr:uid="{E2380473-66B5-482D-88D2-683A32770376}"/>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325AAC49-69BC-4D02-AB44-3EDD93723F7E}"/>
    <cellStyle name="20% - Accent6 2 2 6 2 3" xfId="12569" xr:uid="{73503498-4C36-46C8-875D-08CDE3248DBD}"/>
    <cellStyle name="20% - Accent6 2 2 6 3" xfId="6200" xr:uid="{00000000-0005-0000-0000-000047030000}"/>
    <cellStyle name="20% - Accent6 2 2 6 3 2" xfId="14642" xr:uid="{E1B2AEAB-2764-4115-9E47-FCADB3829904}"/>
    <cellStyle name="20% - Accent6 2 2 6 4" xfId="10424" xr:uid="{CA2206A4-FCEC-4BA7-B061-9F792CF9B96F}"/>
    <cellStyle name="20% - Accent6 2 2 7" xfId="2306" xr:uid="{00000000-0005-0000-0000-000048030000}"/>
    <cellStyle name="20% - Accent6 2 2 7 2" xfId="6613" xr:uid="{00000000-0005-0000-0000-000049030000}"/>
    <cellStyle name="20% - Accent6 2 2 7 2 2" xfId="15055" xr:uid="{AB266C8C-FC49-445E-BDF1-89895260D051}"/>
    <cellStyle name="20% - Accent6 2 2 7 3" xfId="10837" xr:uid="{E7FD1E05-60C2-410F-8551-7AF319D9EADE}"/>
    <cellStyle name="20% - Accent6 2 2 8" xfId="4547" xr:uid="{00000000-0005-0000-0000-00004A030000}"/>
    <cellStyle name="20% - Accent6 2 2 8 2" xfId="12989" xr:uid="{7386D1AA-98BC-40E4-B690-2D6CDE96B591}"/>
    <cellStyle name="20% - Accent6 2 2 9" xfId="8771" xr:uid="{FCFC1368-B9D2-4B25-A7F1-EC6570FA8723}"/>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E4CB28B5-AC82-4D06-8094-A79F35D4ED71}"/>
    <cellStyle name="20% - Accent6 2 3 2 2 3" xfId="11332" xr:uid="{D1153796-70A4-42ED-80C9-EFFC15738E0D}"/>
    <cellStyle name="20% - Accent6 2 3 2 3" xfId="4963" xr:uid="{00000000-0005-0000-0000-00004F030000}"/>
    <cellStyle name="20% - Accent6 2 3 2 3 2" xfId="13405" xr:uid="{0EEC5794-A08E-4C88-A466-849D8AE4D9E7}"/>
    <cellStyle name="20% - Accent6 2 3 2 4" xfId="9187" xr:uid="{067D39E6-4BBB-4FF7-9B6E-4298BBA369F9}"/>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18477F5F-38E5-4AA8-A4C8-C6DAEEC1C5D5}"/>
    <cellStyle name="20% - Accent6 2 3 3 2 3" xfId="11745" xr:uid="{8AF416EA-663E-4E8E-958B-44BADD65D2F9}"/>
    <cellStyle name="20% - Accent6 2 3 3 3" xfId="5376" xr:uid="{00000000-0005-0000-0000-000053030000}"/>
    <cellStyle name="20% - Accent6 2 3 3 3 2" xfId="13818" xr:uid="{71AA5EEA-4548-4056-AAB7-F8CA7EF6CAC6}"/>
    <cellStyle name="20% - Accent6 2 3 3 4" xfId="9600" xr:uid="{ADAF6B62-EEBD-4923-BBAD-6CF4DF1934C8}"/>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C2D946FE-475D-4F4D-8040-9E0E9928441C}"/>
    <cellStyle name="20% - Accent6 2 3 4 2 3" xfId="12158" xr:uid="{855964F9-9221-4AFA-9F7E-E8751618B1C2}"/>
    <cellStyle name="20% - Accent6 2 3 4 3" xfId="5789" xr:uid="{00000000-0005-0000-0000-000057030000}"/>
    <cellStyle name="20% - Accent6 2 3 4 3 2" xfId="14231" xr:uid="{AFA1AF41-A82B-4EF1-ADC4-54C47C54EF2E}"/>
    <cellStyle name="20% - Accent6 2 3 4 4" xfId="10013" xr:uid="{253EEBE1-9173-44E6-AFCB-214688AE81E6}"/>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2BC37F3F-6997-4076-95FC-AC9A08F58F8D}"/>
    <cellStyle name="20% - Accent6 2 3 5 2 3" xfId="12571" xr:uid="{1FE44D59-9449-4B7D-85CC-32C78816D90B}"/>
    <cellStyle name="20% - Accent6 2 3 5 3" xfId="6202" xr:uid="{00000000-0005-0000-0000-00005B030000}"/>
    <cellStyle name="20% - Accent6 2 3 5 3 2" xfId="14644" xr:uid="{29590DBA-7D69-48ED-BEC6-C390F3A428B0}"/>
    <cellStyle name="20% - Accent6 2 3 5 4" xfId="10426" xr:uid="{9E0662F2-3E74-4715-AE7C-E465489B6FF5}"/>
    <cellStyle name="20% - Accent6 2 3 6" xfId="2308" xr:uid="{00000000-0005-0000-0000-00005C030000}"/>
    <cellStyle name="20% - Accent6 2 3 6 2" xfId="6615" xr:uid="{00000000-0005-0000-0000-00005D030000}"/>
    <cellStyle name="20% - Accent6 2 3 6 2 2" xfId="15057" xr:uid="{A8201934-9337-4E9B-9405-06AB6F7F6760}"/>
    <cellStyle name="20% - Accent6 2 3 6 3" xfId="10839" xr:uid="{78C8B5AF-B2DB-46E6-AF4C-B271BBD4FD1C}"/>
    <cellStyle name="20% - Accent6 2 3 7" xfId="4549" xr:uid="{00000000-0005-0000-0000-00005E030000}"/>
    <cellStyle name="20% - Accent6 2 3 7 2" xfId="12991" xr:uid="{2C8F582D-D07A-4946-8180-D54DADF78DFE}"/>
    <cellStyle name="20% - Accent6 2 3 8" xfId="8773" xr:uid="{9BEE708F-D694-44C6-AA64-C3A13461448B}"/>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1499FF96-4B79-4DB7-829B-B83D88836DFD}"/>
    <cellStyle name="20% - Accent6 2 4 2 3" xfId="11329" xr:uid="{584D1CC3-99D8-4955-9E59-8A26D6DA27E7}"/>
    <cellStyle name="20% - Accent6 2 4 3" xfId="4960" xr:uid="{00000000-0005-0000-0000-000062030000}"/>
    <cellStyle name="20% - Accent6 2 4 3 2" xfId="13402" xr:uid="{4EBB70F9-15DC-4719-BF04-B6F35B71E257}"/>
    <cellStyle name="20% - Accent6 2 4 4" xfId="9184" xr:uid="{E6E63DA9-B9C7-48E3-8235-3E65B3EB3AF8}"/>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350BDF64-0743-4CF9-9751-3FF2C654441F}"/>
    <cellStyle name="20% - Accent6 2 5 2 3" xfId="11742" xr:uid="{22B6D90E-0FC5-4A22-A8B2-02D6375A939E}"/>
    <cellStyle name="20% - Accent6 2 5 3" xfId="5373" xr:uid="{00000000-0005-0000-0000-000066030000}"/>
    <cellStyle name="20% - Accent6 2 5 3 2" xfId="13815" xr:uid="{5636C543-513B-4C40-AAD4-B17BCA1FE31A}"/>
    <cellStyle name="20% - Accent6 2 5 4" xfId="9597" xr:uid="{BE28B981-276A-432B-AE65-206EF08F9FD0}"/>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3032B267-3117-453D-A68E-E58CBA9D56D9}"/>
    <cellStyle name="20% - Accent6 2 6 2 3" xfId="12155" xr:uid="{83A5F27C-4A4A-48B3-878E-2C5F5E1A4488}"/>
    <cellStyle name="20% - Accent6 2 6 3" xfId="5786" xr:uid="{00000000-0005-0000-0000-00006A030000}"/>
    <cellStyle name="20% - Accent6 2 6 3 2" xfId="14228" xr:uid="{71B820EB-2A5F-4246-B21B-B2F0EBE0251E}"/>
    <cellStyle name="20% - Accent6 2 6 4" xfId="10010" xr:uid="{23CB8F0E-2FF8-4B66-ADA1-0E3F63FB85E6}"/>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12521928-3788-45CF-97FE-A89D3AB052A5}"/>
    <cellStyle name="20% - Accent6 2 7 2 3" xfId="12568" xr:uid="{1E39B92C-CCB8-41A6-A87A-C26206B926CB}"/>
    <cellStyle name="20% - Accent6 2 7 3" xfId="6199" xr:uid="{00000000-0005-0000-0000-00006E030000}"/>
    <cellStyle name="20% - Accent6 2 7 3 2" xfId="14641" xr:uid="{407F0380-6BF6-4DE5-9FAF-1D37EDCC0B0C}"/>
    <cellStyle name="20% - Accent6 2 7 4" xfId="10423" xr:uid="{9DB94E8B-41A8-40C0-9A79-AA8D5D429006}"/>
    <cellStyle name="20% - Accent6 2 8" xfId="2305" xr:uid="{00000000-0005-0000-0000-00006F030000}"/>
    <cellStyle name="20% - Accent6 2 8 2" xfId="6612" xr:uid="{00000000-0005-0000-0000-000070030000}"/>
    <cellStyle name="20% - Accent6 2 8 2 2" xfId="15054" xr:uid="{231E5B4F-B561-45A8-AFCA-5A68B80D893C}"/>
    <cellStyle name="20% - Accent6 2 8 3" xfId="10836" xr:uid="{546EF5C0-1C1C-4FF5-8126-172D703E9B19}"/>
    <cellStyle name="20% - Accent6 2 9" xfId="4546" xr:uid="{00000000-0005-0000-0000-000071030000}"/>
    <cellStyle name="20% - Accent6 2 9 2" xfId="12988" xr:uid="{C49BEB18-8FAE-481C-89B6-37D0015DBDDB}"/>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28E8549E-30C1-4507-9710-29068DF63DF5}"/>
    <cellStyle name="20% - Accent6 3 2 2 2 3" xfId="11334" xr:uid="{3616DC2E-EF2A-4DD4-B0EA-B28BB92FF3C4}"/>
    <cellStyle name="20% - Accent6 3 2 2 3" xfId="4965" xr:uid="{00000000-0005-0000-0000-000077030000}"/>
    <cellStyle name="20% - Accent6 3 2 2 3 2" xfId="13407" xr:uid="{74E42B22-7B07-437F-AEB5-6DA68E66CBCA}"/>
    <cellStyle name="20% - Accent6 3 2 2 4" xfId="9189" xr:uid="{ABDFAB87-EAF9-4F73-8FA0-151F5396EECB}"/>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A29F97ED-7467-4868-8F3B-39C11F31CA92}"/>
    <cellStyle name="20% - Accent6 3 2 3 2 3" xfId="11747" xr:uid="{8E99AF57-8243-4D7E-92DD-F19A8D1B28FB}"/>
    <cellStyle name="20% - Accent6 3 2 3 3" xfId="5378" xr:uid="{00000000-0005-0000-0000-00007B030000}"/>
    <cellStyle name="20% - Accent6 3 2 3 3 2" xfId="13820" xr:uid="{FC2F4F5F-391F-48AE-A73B-AD5F2136ECE5}"/>
    <cellStyle name="20% - Accent6 3 2 3 4" xfId="9602" xr:uid="{F1F3ACBF-105C-42A2-B192-E08518BB3D1B}"/>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A2924440-5C6D-478F-BACF-D360ED2E8194}"/>
    <cellStyle name="20% - Accent6 3 2 4 2 3" xfId="12160" xr:uid="{1F0196E2-9DA7-4E00-B8FB-B35C2A8A08EE}"/>
    <cellStyle name="20% - Accent6 3 2 4 3" xfId="5791" xr:uid="{00000000-0005-0000-0000-00007F030000}"/>
    <cellStyle name="20% - Accent6 3 2 4 3 2" xfId="14233" xr:uid="{A09A3363-A48A-41C8-9169-7A36F681D8A9}"/>
    <cellStyle name="20% - Accent6 3 2 4 4" xfId="10015" xr:uid="{724BF11E-A2C9-4E17-9BC6-4D356A530F4E}"/>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2B98AFB0-F096-428C-AD7C-5E1336C100CC}"/>
    <cellStyle name="20% - Accent6 3 2 5 2 3" xfId="12573" xr:uid="{E82C3D7F-9865-4F9F-A4D0-D2571836CE88}"/>
    <cellStyle name="20% - Accent6 3 2 5 3" xfId="6204" xr:uid="{00000000-0005-0000-0000-000083030000}"/>
    <cellStyle name="20% - Accent6 3 2 5 3 2" xfId="14646" xr:uid="{8F593405-ED86-4A71-89BF-5E88BAB2D97A}"/>
    <cellStyle name="20% - Accent6 3 2 5 4" xfId="10428" xr:uid="{4447AF18-F9E2-4314-9E40-570D71864021}"/>
    <cellStyle name="20% - Accent6 3 2 6" xfId="2310" xr:uid="{00000000-0005-0000-0000-000084030000}"/>
    <cellStyle name="20% - Accent6 3 2 6 2" xfId="6617" xr:uid="{00000000-0005-0000-0000-000085030000}"/>
    <cellStyle name="20% - Accent6 3 2 6 2 2" xfId="15059" xr:uid="{BA42E925-15ED-428A-AC46-1613944C6DF5}"/>
    <cellStyle name="20% - Accent6 3 2 6 3" xfId="10841" xr:uid="{D6856E78-120E-4C35-8150-F85D00060E31}"/>
    <cellStyle name="20% - Accent6 3 2 7" xfId="4551" xr:uid="{00000000-0005-0000-0000-000086030000}"/>
    <cellStyle name="20% - Accent6 3 2 7 2" xfId="12993" xr:uid="{F25A8693-B435-4B3B-8C73-4A40796495FD}"/>
    <cellStyle name="20% - Accent6 3 2 8" xfId="8775" xr:uid="{E53D1CB6-9D0B-4BDC-95D5-D6B645E9736E}"/>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210F1035-A6A8-4647-B998-4B664B337B18}"/>
    <cellStyle name="20% - Accent6 3 3 2 3" xfId="11333" xr:uid="{E3B55DFC-60A7-44CA-BEB7-BBE8849E4DED}"/>
    <cellStyle name="20% - Accent6 3 3 3" xfId="4964" xr:uid="{00000000-0005-0000-0000-00008A030000}"/>
    <cellStyle name="20% - Accent6 3 3 3 2" xfId="13406" xr:uid="{7DECB8FC-6AF8-40B7-885C-7F7BFC4D9659}"/>
    <cellStyle name="20% - Accent6 3 3 4" xfId="9188" xr:uid="{F6A0C3E4-8BB4-43C9-B3AB-EB4F932FF676}"/>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D0F402E-DB67-4719-B1C5-3C7C051EA686}"/>
    <cellStyle name="20% - Accent6 3 4 2 3" xfId="11746" xr:uid="{BDD5CBD7-A504-4A96-ADF8-76864966BB10}"/>
    <cellStyle name="20% - Accent6 3 4 3" xfId="5377" xr:uid="{00000000-0005-0000-0000-00008E030000}"/>
    <cellStyle name="20% - Accent6 3 4 3 2" xfId="13819" xr:uid="{CFDBECD4-4615-4DD4-95D2-504552694CBC}"/>
    <cellStyle name="20% - Accent6 3 4 4" xfId="9601" xr:uid="{7E03FB64-66FC-4540-8904-7C5FC0B50A9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4F46569E-85D0-43CC-8D26-D5FD3D4D39F4}"/>
    <cellStyle name="20% - Accent6 3 5 2 3" xfId="12159" xr:uid="{837074A8-4A9E-4D7A-AF12-91261126FC3E}"/>
    <cellStyle name="20% - Accent6 3 5 3" xfId="5790" xr:uid="{00000000-0005-0000-0000-000092030000}"/>
    <cellStyle name="20% - Accent6 3 5 3 2" xfId="14232" xr:uid="{991F8242-AFCE-4237-AE44-C1FC77BE0779}"/>
    <cellStyle name="20% - Accent6 3 5 4" xfId="10014" xr:uid="{3D012CB2-AFF2-48C9-8E9A-D9AA684FFA7F}"/>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D311DDDC-40DC-42FF-B4A6-5CEC63F0BA46}"/>
    <cellStyle name="20% - Accent6 3 6 2 3" xfId="12572" xr:uid="{CC9416D7-7065-4B65-96E9-DB0DC5F6C50C}"/>
    <cellStyle name="20% - Accent6 3 6 3" xfId="6203" xr:uid="{00000000-0005-0000-0000-000096030000}"/>
    <cellStyle name="20% - Accent6 3 6 3 2" xfId="14645" xr:uid="{FCAEAE62-E7CC-48C8-AC49-55A2238C4A45}"/>
    <cellStyle name="20% - Accent6 3 6 4" xfId="10427" xr:uid="{BF0DDB8C-F26C-4B6A-89FC-72528A24F23B}"/>
    <cellStyle name="20% - Accent6 3 7" xfId="2309" xr:uid="{00000000-0005-0000-0000-000097030000}"/>
    <cellStyle name="20% - Accent6 3 7 2" xfId="6616" xr:uid="{00000000-0005-0000-0000-000098030000}"/>
    <cellStyle name="20% - Accent6 3 7 2 2" xfId="15058" xr:uid="{96B5519E-6B7B-4731-A5D1-B46C48F7A836}"/>
    <cellStyle name="20% - Accent6 3 7 3" xfId="10840" xr:uid="{B9817FC5-5734-421A-BBFD-97BA6A93C063}"/>
    <cellStyle name="20% - Accent6 3 8" xfId="4550" xr:uid="{00000000-0005-0000-0000-000099030000}"/>
    <cellStyle name="20% - Accent6 3 8 2" xfId="12992" xr:uid="{E72C973A-2556-419A-B6E0-7BE007DC41AB}"/>
    <cellStyle name="20% - Accent6 3 9" xfId="8774" xr:uid="{1FD13431-2456-40D0-A636-2A13A0418A3E}"/>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54127244-43A3-4208-8A68-4D9E349D7881}"/>
    <cellStyle name="20% - Accent6 4 2 2 3" xfId="11335" xr:uid="{EE838D47-4A8A-4263-BD61-125D65CAC8B7}"/>
    <cellStyle name="20% - Accent6 4 2 3" xfId="4966" xr:uid="{00000000-0005-0000-0000-00009E030000}"/>
    <cellStyle name="20% - Accent6 4 2 3 2" xfId="13408" xr:uid="{44D5C9F1-1647-411B-B08C-1010651758B0}"/>
    <cellStyle name="20% - Accent6 4 2 4" xfId="9190" xr:uid="{515609B8-AD49-4E9D-84D7-1F6C7E43F2FB}"/>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F618D1AB-FB75-4CBB-9D6E-79900786BFB2}"/>
    <cellStyle name="20% - Accent6 4 3 2 3" xfId="11748" xr:uid="{6893CD03-4B4C-4AF5-80D4-C246B3801256}"/>
    <cellStyle name="20% - Accent6 4 3 3" xfId="5379" xr:uid="{00000000-0005-0000-0000-0000A2030000}"/>
    <cellStyle name="20% - Accent6 4 3 3 2" xfId="13821" xr:uid="{B01D3BB5-6AAD-468F-AE9B-282184A833B1}"/>
    <cellStyle name="20% - Accent6 4 3 4" xfId="9603" xr:uid="{A17F0CA8-AE2E-4797-9CB9-09579C0F865F}"/>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0A68906C-A4FB-41E7-9B4B-DA1854C46FDA}"/>
    <cellStyle name="20% - Accent6 4 4 2 3" xfId="12161" xr:uid="{542A9CED-7BEA-40CA-B315-79184854AD30}"/>
    <cellStyle name="20% - Accent6 4 4 3" xfId="5792" xr:uid="{00000000-0005-0000-0000-0000A6030000}"/>
    <cellStyle name="20% - Accent6 4 4 3 2" xfId="14234" xr:uid="{EC7115F5-0B17-468A-840C-FDA5C0AC3226}"/>
    <cellStyle name="20% - Accent6 4 4 4" xfId="10016" xr:uid="{10A7602C-B461-4C1B-A085-2572492C4EF4}"/>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DC6EB1B5-D1FB-4E4C-B895-08EF408CDDF8}"/>
    <cellStyle name="20% - Accent6 4 5 2 3" xfId="12574" xr:uid="{3821BDE6-3327-4CC1-9E1C-12771B77176C}"/>
    <cellStyle name="20% - Accent6 4 5 3" xfId="6205" xr:uid="{00000000-0005-0000-0000-0000AA030000}"/>
    <cellStyle name="20% - Accent6 4 5 3 2" xfId="14647" xr:uid="{393DBEFF-AB18-4ECB-AAB0-FFD265E4208E}"/>
    <cellStyle name="20% - Accent6 4 5 4" xfId="10429" xr:uid="{5F787013-9988-4338-A532-F28198155267}"/>
    <cellStyle name="20% - Accent6 4 6" xfId="2311" xr:uid="{00000000-0005-0000-0000-0000AB030000}"/>
    <cellStyle name="20% - Accent6 4 6 2" xfId="6618" xr:uid="{00000000-0005-0000-0000-0000AC030000}"/>
    <cellStyle name="20% - Accent6 4 6 2 2" xfId="15060" xr:uid="{478004D3-5E05-495C-B554-13C0055BDCB2}"/>
    <cellStyle name="20% - Accent6 4 6 3" xfId="10842" xr:uid="{528F4F31-9045-4F4C-BCEC-B100EE5E5C75}"/>
    <cellStyle name="20% - Accent6 4 7" xfId="4552" xr:uid="{00000000-0005-0000-0000-0000AD030000}"/>
    <cellStyle name="20% - Accent6 4 7 2" xfId="12994" xr:uid="{8B817665-590D-458C-B38D-327C1DB9CD37}"/>
    <cellStyle name="20% - Accent6 4 8" xfId="8776" xr:uid="{31521555-41F4-4CAE-92F5-B46BE29FEE78}"/>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4D9AFDDE-33A0-472F-84AF-998F824E1FFB}"/>
    <cellStyle name="20% - Accent6 5 2 3" xfId="11328" xr:uid="{D9BED10F-99F4-498B-88AF-0A2C53C6C87A}"/>
    <cellStyle name="20% - Accent6 5 3" xfId="4959" xr:uid="{00000000-0005-0000-0000-0000B1030000}"/>
    <cellStyle name="20% - Accent6 5 3 2" xfId="13401" xr:uid="{599F4760-9E77-4381-8C3A-FD62A8B4FC53}"/>
    <cellStyle name="20% - Accent6 5 4" xfId="9183" xr:uid="{5DF4441B-1D81-45B7-878D-E4074FB1D0E4}"/>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89A72406-EBCB-48F6-BD61-2EFC43A23EFF}"/>
    <cellStyle name="20% - Accent6 6 2 3" xfId="11741" xr:uid="{3520E13D-00FF-4652-8EFB-95AAFA3CAC4E}"/>
    <cellStyle name="20% - Accent6 6 3" xfId="5372" xr:uid="{00000000-0005-0000-0000-0000B5030000}"/>
    <cellStyle name="20% - Accent6 6 3 2" xfId="13814" xr:uid="{DAF8C18B-34F3-4833-8922-934E41701D21}"/>
    <cellStyle name="20% - Accent6 6 4" xfId="9596" xr:uid="{2B725D73-AF94-4FEA-881C-17E7635D192D}"/>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C658F0AE-9C49-4493-BCD8-0E46B22CF4DE}"/>
    <cellStyle name="20% - Accent6 7 2 3" xfId="12154" xr:uid="{6A2E012B-2AB0-4438-809A-12042EE86007}"/>
    <cellStyle name="20% - Accent6 7 3" xfId="5785" xr:uid="{00000000-0005-0000-0000-0000B9030000}"/>
    <cellStyle name="20% - Accent6 7 3 2" xfId="14227" xr:uid="{6388C5AC-7021-45C9-8D8D-03EF43DEE5D7}"/>
    <cellStyle name="20% - Accent6 7 4" xfId="10009" xr:uid="{E57E2801-7EB0-4298-9685-FFC49E90FF60}"/>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18D55503-1D19-4E27-A344-FE1ECA2E7976}"/>
    <cellStyle name="20% - Accent6 8 2 3" xfId="12567" xr:uid="{F5078D56-8983-4C6E-A41B-E065CCDF9735}"/>
    <cellStyle name="20% - Accent6 8 3" xfId="6198" xr:uid="{00000000-0005-0000-0000-0000BD030000}"/>
    <cellStyle name="20% - Accent6 8 3 2" xfId="14640" xr:uid="{7258A6F8-7727-4EB2-B645-B8C7F14DDA66}"/>
    <cellStyle name="20% - Accent6 8 4" xfId="10422" xr:uid="{B2DD3C0C-D804-4F46-9B34-60C701918E36}"/>
    <cellStyle name="20% - Accent6 9" xfId="2304" xr:uid="{00000000-0005-0000-0000-0000BE030000}"/>
    <cellStyle name="20% - Accent6 9 2" xfId="6611" xr:uid="{00000000-0005-0000-0000-0000BF030000}"/>
    <cellStyle name="20% - Accent6 9 2 2" xfId="15053" xr:uid="{6C229FB5-04AC-47DC-B933-60554C9A8914}"/>
    <cellStyle name="20% - Accent6 9 3" xfId="10835" xr:uid="{17B56FE2-30E1-4531-A973-9B67C2AE1103}"/>
    <cellStyle name="40% - Accent1" xfId="49" builtinId="31" customBuiltin="1"/>
    <cellStyle name="40% - Accent1 10" xfId="4553" xr:uid="{00000000-0005-0000-0000-0000C1030000}"/>
    <cellStyle name="40% - Accent1 10 2" xfId="12995" xr:uid="{338FF39B-4900-456F-92B7-6A5DE9226711}"/>
    <cellStyle name="40% - Accent1 11" xfId="8777" xr:uid="{F4E1B4E3-3209-4DAF-848F-4EFFA81F1A99}"/>
    <cellStyle name="40% - Accent1 2" xfId="50" xr:uid="{00000000-0005-0000-0000-0000C2030000}"/>
    <cellStyle name="40% - Accent1 2 10" xfId="8778" xr:uid="{36309F05-D6C7-42A7-BEB5-56F071C375D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13ECF870-F4D4-411D-9691-73BFA2D44D93}"/>
    <cellStyle name="40% - Accent1 2 2 2 2 2 3" xfId="11339" xr:uid="{82F8671F-B5ED-4A13-829F-725902D191D1}"/>
    <cellStyle name="40% - Accent1 2 2 2 2 3" xfId="4970" xr:uid="{00000000-0005-0000-0000-0000C8030000}"/>
    <cellStyle name="40% - Accent1 2 2 2 2 3 2" xfId="13412" xr:uid="{BBD8AC20-B489-474B-B8E6-623B79CB0B49}"/>
    <cellStyle name="40% - Accent1 2 2 2 2 4" xfId="9194" xr:uid="{4970B1B3-F359-485C-B08C-0B5EFFA1665E}"/>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AFC3A47-234C-47E9-8E92-0A56B6796BA7}"/>
    <cellStyle name="40% - Accent1 2 2 2 3 2 3" xfId="11752" xr:uid="{9BC33A11-DC3F-4832-A8BF-0016F27AF14C}"/>
    <cellStyle name="40% - Accent1 2 2 2 3 3" xfId="5383" xr:uid="{00000000-0005-0000-0000-0000CC030000}"/>
    <cellStyle name="40% - Accent1 2 2 2 3 3 2" xfId="13825" xr:uid="{913BDCF2-261F-4C22-AB1B-BAD1F86FD822}"/>
    <cellStyle name="40% - Accent1 2 2 2 3 4" xfId="9607" xr:uid="{948CB1FE-C4E8-4D4C-80B1-70A3CC876749}"/>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1EC7A853-88EA-49A2-A00E-511E9097583E}"/>
    <cellStyle name="40% - Accent1 2 2 2 4 2 3" xfId="12165" xr:uid="{C1149F37-1F3B-44D1-9911-09D945E4CC08}"/>
    <cellStyle name="40% - Accent1 2 2 2 4 3" xfId="5796" xr:uid="{00000000-0005-0000-0000-0000D0030000}"/>
    <cellStyle name="40% - Accent1 2 2 2 4 3 2" xfId="14238" xr:uid="{6373F329-AB0E-4D56-8724-D357DBB65454}"/>
    <cellStyle name="40% - Accent1 2 2 2 4 4" xfId="10020" xr:uid="{326AC540-485A-4AFB-B9F2-E140C61F74DF}"/>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046D647F-2191-4A6D-ACF9-9B127A6127CC}"/>
    <cellStyle name="40% - Accent1 2 2 2 5 2 3" xfId="12578" xr:uid="{C1FC985D-D4B4-47B2-A4BB-A643B6C5355F}"/>
    <cellStyle name="40% - Accent1 2 2 2 5 3" xfId="6209" xr:uid="{00000000-0005-0000-0000-0000D4030000}"/>
    <cellStyle name="40% - Accent1 2 2 2 5 3 2" xfId="14651" xr:uid="{24ECC2B4-CC49-4BCB-B0FA-5A8612F28A68}"/>
    <cellStyle name="40% - Accent1 2 2 2 5 4" xfId="10433" xr:uid="{AFA2F5A1-1856-4493-8A21-0C026479580B}"/>
    <cellStyle name="40% - Accent1 2 2 2 6" xfId="2315" xr:uid="{00000000-0005-0000-0000-0000D5030000}"/>
    <cellStyle name="40% - Accent1 2 2 2 6 2" xfId="6622" xr:uid="{00000000-0005-0000-0000-0000D6030000}"/>
    <cellStyle name="40% - Accent1 2 2 2 6 2 2" xfId="15064" xr:uid="{6BEDB7B2-6415-4CFF-8AC6-0DE2FA308B20}"/>
    <cellStyle name="40% - Accent1 2 2 2 6 3" xfId="10846" xr:uid="{892D50B3-156E-404F-8545-5E3C4F71C331}"/>
    <cellStyle name="40% - Accent1 2 2 2 7" xfId="4556" xr:uid="{00000000-0005-0000-0000-0000D7030000}"/>
    <cellStyle name="40% - Accent1 2 2 2 7 2" xfId="12998" xr:uid="{BBF1380D-1E06-44B2-93DA-8C5035F0BB29}"/>
    <cellStyle name="40% - Accent1 2 2 2 8" xfId="8780" xr:uid="{27DB2C91-2F14-4A3F-A810-C7923AA4DAFC}"/>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AE5875C2-5331-4181-8AC8-4B136ADF7BC6}"/>
    <cellStyle name="40% - Accent1 2 2 3 2 3" xfId="11338" xr:uid="{567CBBFA-1220-4BC9-8843-C6DB1C7F64B2}"/>
    <cellStyle name="40% - Accent1 2 2 3 3" xfId="4969" xr:uid="{00000000-0005-0000-0000-0000DB030000}"/>
    <cellStyle name="40% - Accent1 2 2 3 3 2" xfId="13411" xr:uid="{2B434B94-BDE3-4EE7-B41B-629BDD4ADCD3}"/>
    <cellStyle name="40% - Accent1 2 2 3 4" xfId="9193" xr:uid="{819AC8A9-5BB9-45CC-90C6-1C3577A6280D}"/>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9FCF44EF-10F1-4636-819C-F6D454A9BE03}"/>
    <cellStyle name="40% - Accent1 2 2 4 2 3" xfId="11751" xr:uid="{65629A31-9307-43F5-8C34-DD86CF618D51}"/>
    <cellStyle name="40% - Accent1 2 2 4 3" xfId="5382" xr:uid="{00000000-0005-0000-0000-0000DF030000}"/>
    <cellStyle name="40% - Accent1 2 2 4 3 2" xfId="13824" xr:uid="{20940BCA-1940-477B-A501-6405EE4408CC}"/>
    <cellStyle name="40% - Accent1 2 2 4 4" xfId="9606" xr:uid="{681EAD8D-3F03-40B8-959B-916869C8A49A}"/>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9405D1F1-AB20-4443-B45C-30AFD28B2D80}"/>
    <cellStyle name="40% - Accent1 2 2 5 2 3" xfId="12164" xr:uid="{220F7B17-C3BF-4B17-AAC8-83C1D1EAC109}"/>
    <cellStyle name="40% - Accent1 2 2 5 3" xfId="5795" xr:uid="{00000000-0005-0000-0000-0000E3030000}"/>
    <cellStyle name="40% - Accent1 2 2 5 3 2" xfId="14237" xr:uid="{4F60D445-418F-41A3-9843-DC85F7F19E30}"/>
    <cellStyle name="40% - Accent1 2 2 5 4" xfId="10019" xr:uid="{9CD805C9-3590-409C-805D-3583D8EFC52E}"/>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34BF7C90-8756-4CF8-B08B-913CA235CE9C}"/>
    <cellStyle name="40% - Accent1 2 2 6 2 3" xfId="12577" xr:uid="{C4E34258-1D8C-456B-A373-323B4A0F4740}"/>
    <cellStyle name="40% - Accent1 2 2 6 3" xfId="6208" xr:uid="{00000000-0005-0000-0000-0000E7030000}"/>
    <cellStyle name="40% - Accent1 2 2 6 3 2" xfId="14650" xr:uid="{B613E600-B5F0-43F4-8A51-24C6A4998580}"/>
    <cellStyle name="40% - Accent1 2 2 6 4" xfId="10432" xr:uid="{BABC5E17-22CF-4996-A163-86C8D766AFF8}"/>
    <cellStyle name="40% - Accent1 2 2 7" xfId="2314" xr:uid="{00000000-0005-0000-0000-0000E8030000}"/>
    <cellStyle name="40% - Accent1 2 2 7 2" xfId="6621" xr:uid="{00000000-0005-0000-0000-0000E9030000}"/>
    <cellStyle name="40% - Accent1 2 2 7 2 2" xfId="15063" xr:uid="{E269F9FC-2973-4ED6-B85F-FE15B1D02C8D}"/>
    <cellStyle name="40% - Accent1 2 2 7 3" xfId="10845" xr:uid="{39952041-DD8C-4F02-9CD1-149FE0930043}"/>
    <cellStyle name="40% - Accent1 2 2 8" xfId="4555" xr:uid="{00000000-0005-0000-0000-0000EA030000}"/>
    <cellStyle name="40% - Accent1 2 2 8 2" xfId="12997" xr:uid="{AFF5E1F3-CBFF-46AD-A0AF-09860DBD5EEA}"/>
    <cellStyle name="40% - Accent1 2 2 9" xfId="8779" xr:uid="{2B1BE049-998F-4D9E-934E-DF256F6109D4}"/>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E60EF007-FC27-46A0-B96C-64F10EEDF947}"/>
    <cellStyle name="40% - Accent1 2 3 2 2 3" xfId="11340" xr:uid="{0D9B980A-B752-414E-8162-F4610206D9FA}"/>
    <cellStyle name="40% - Accent1 2 3 2 3" xfId="4971" xr:uid="{00000000-0005-0000-0000-0000EF030000}"/>
    <cellStyle name="40% - Accent1 2 3 2 3 2" xfId="13413" xr:uid="{3B45BAD3-C674-4CD1-B95F-974B71E81FEE}"/>
    <cellStyle name="40% - Accent1 2 3 2 4" xfId="9195" xr:uid="{F3ACE4A4-B791-4C34-B022-1695C3BEDBF2}"/>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AE78FD70-7AD6-4EFE-8496-02DD8F49086E}"/>
    <cellStyle name="40% - Accent1 2 3 3 2 3" xfId="11753" xr:uid="{78480F49-40FF-4034-AC6A-A97FE9D721FB}"/>
    <cellStyle name="40% - Accent1 2 3 3 3" xfId="5384" xr:uid="{00000000-0005-0000-0000-0000F3030000}"/>
    <cellStyle name="40% - Accent1 2 3 3 3 2" xfId="13826" xr:uid="{A2C0AA62-5D89-46CF-91A3-5D7CD0E89DB8}"/>
    <cellStyle name="40% - Accent1 2 3 3 4" xfId="9608" xr:uid="{D1B6676B-51C9-4B29-9DC7-CE0C179C990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D69F9A96-AA35-4CBF-AB73-9D3965C19713}"/>
    <cellStyle name="40% - Accent1 2 3 4 2 3" xfId="12166" xr:uid="{9C2C7731-4527-483F-BD9C-B12F4C518113}"/>
    <cellStyle name="40% - Accent1 2 3 4 3" xfId="5797" xr:uid="{00000000-0005-0000-0000-0000F7030000}"/>
    <cellStyle name="40% - Accent1 2 3 4 3 2" xfId="14239" xr:uid="{A920DD37-B7B5-467A-8608-F18C3A486898}"/>
    <cellStyle name="40% - Accent1 2 3 4 4" xfId="10021" xr:uid="{3FCE6287-9E30-4B1D-B742-572E158806FF}"/>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68C02194-6F2E-49C1-BF81-217AB8B363C8}"/>
    <cellStyle name="40% - Accent1 2 3 5 2 3" xfId="12579" xr:uid="{AD5574BD-275E-45A9-916D-42EDB2CED6EE}"/>
    <cellStyle name="40% - Accent1 2 3 5 3" xfId="6210" xr:uid="{00000000-0005-0000-0000-0000FB030000}"/>
    <cellStyle name="40% - Accent1 2 3 5 3 2" xfId="14652" xr:uid="{6D1C37B2-86CE-45A6-AC0C-DFD4BB1B97D5}"/>
    <cellStyle name="40% - Accent1 2 3 5 4" xfId="10434" xr:uid="{E4A9EC6D-CE4A-4853-B414-CBB7A56A039C}"/>
    <cellStyle name="40% - Accent1 2 3 6" xfId="2316" xr:uid="{00000000-0005-0000-0000-0000FC030000}"/>
    <cellStyle name="40% - Accent1 2 3 6 2" xfId="6623" xr:uid="{00000000-0005-0000-0000-0000FD030000}"/>
    <cellStyle name="40% - Accent1 2 3 6 2 2" xfId="15065" xr:uid="{51C9C514-0AB7-425E-8C4D-C14529A5F63D}"/>
    <cellStyle name="40% - Accent1 2 3 6 3" xfId="10847" xr:uid="{F3A28936-D5F4-44CB-9D07-0E1A87688A66}"/>
    <cellStyle name="40% - Accent1 2 3 7" xfId="4557" xr:uid="{00000000-0005-0000-0000-0000FE030000}"/>
    <cellStyle name="40% - Accent1 2 3 7 2" xfId="12999" xr:uid="{0486CF17-E7A8-4CEC-B6A2-9A68006E6B72}"/>
    <cellStyle name="40% - Accent1 2 3 8" xfId="8781" xr:uid="{5A7936A0-CB87-449B-A464-296043AEE8E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47D95B53-A912-45FC-89A0-21D9B73AF927}"/>
    <cellStyle name="40% - Accent1 2 4 2 3" xfId="11337" xr:uid="{74167273-2FC2-4977-A207-15D382DBF9CD}"/>
    <cellStyle name="40% - Accent1 2 4 3" xfId="4968" xr:uid="{00000000-0005-0000-0000-000002040000}"/>
    <cellStyle name="40% - Accent1 2 4 3 2" xfId="13410" xr:uid="{A32376E5-7856-47BA-9FCE-FEC5F3DA844A}"/>
    <cellStyle name="40% - Accent1 2 4 4" xfId="9192" xr:uid="{FA6F8300-922D-4CA1-B78C-178FB74AF249}"/>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FA83EA2A-32B8-49F7-A924-62028E6D18C1}"/>
    <cellStyle name="40% - Accent1 2 5 2 3" xfId="11750" xr:uid="{787E5498-6868-42F0-8DE7-918C4899ABFC}"/>
    <cellStyle name="40% - Accent1 2 5 3" xfId="5381" xr:uid="{00000000-0005-0000-0000-000006040000}"/>
    <cellStyle name="40% - Accent1 2 5 3 2" xfId="13823" xr:uid="{EFF846BF-0293-4639-9AD2-92E0687BCD1A}"/>
    <cellStyle name="40% - Accent1 2 5 4" xfId="9605" xr:uid="{2F1B4FB9-D608-4947-A0EF-438867285CE9}"/>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BDEFF9A9-1E6D-4DF8-85AC-A3F7A2FCB80E}"/>
    <cellStyle name="40% - Accent1 2 6 2 3" xfId="12163" xr:uid="{FA3E6B1F-35B1-4AEE-8B7A-169A72DB9F9A}"/>
    <cellStyle name="40% - Accent1 2 6 3" xfId="5794" xr:uid="{00000000-0005-0000-0000-00000A040000}"/>
    <cellStyle name="40% - Accent1 2 6 3 2" xfId="14236" xr:uid="{9EFFF12D-0AFA-4EAC-8803-1BA4C2DF557C}"/>
    <cellStyle name="40% - Accent1 2 6 4" xfId="10018" xr:uid="{D7AF770A-E0AE-4DF7-9647-AE5746F47EF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038B514C-8AF5-4805-932F-88F5D1E12039}"/>
    <cellStyle name="40% - Accent1 2 7 2 3" xfId="12576" xr:uid="{9CD9D89A-4C55-465F-9A18-13A16FCA18AB}"/>
    <cellStyle name="40% - Accent1 2 7 3" xfId="6207" xr:uid="{00000000-0005-0000-0000-00000E040000}"/>
    <cellStyle name="40% - Accent1 2 7 3 2" xfId="14649" xr:uid="{237F117E-12D3-479C-81B9-180D242A6A91}"/>
    <cellStyle name="40% - Accent1 2 7 4" xfId="10431" xr:uid="{29DAC559-20A0-47DA-A871-5E71FDF49FCB}"/>
    <cellStyle name="40% - Accent1 2 8" xfId="2313" xr:uid="{00000000-0005-0000-0000-00000F040000}"/>
    <cellStyle name="40% - Accent1 2 8 2" xfId="6620" xr:uid="{00000000-0005-0000-0000-000010040000}"/>
    <cellStyle name="40% - Accent1 2 8 2 2" xfId="15062" xr:uid="{A43C335E-0041-4BDF-A421-126E6E691CDB}"/>
    <cellStyle name="40% - Accent1 2 8 3" xfId="10844" xr:uid="{AF8D6B29-C416-4ABF-A4B4-1F182ED6B80D}"/>
    <cellStyle name="40% - Accent1 2 9" xfId="4554" xr:uid="{00000000-0005-0000-0000-000011040000}"/>
    <cellStyle name="40% - Accent1 2 9 2" xfId="12996" xr:uid="{9E3285DB-5A75-4AB1-A2CD-9A2E94B64E4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ACB2AE5E-4BEE-40C4-AFB3-FFDE632B4660}"/>
    <cellStyle name="40% - Accent1 3 2 2 2 3" xfId="11342" xr:uid="{F263E799-8069-4AFE-A820-2CD7732F1834}"/>
    <cellStyle name="40% - Accent1 3 2 2 3" xfId="4973" xr:uid="{00000000-0005-0000-0000-000017040000}"/>
    <cellStyle name="40% - Accent1 3 2 2 3 2" xfId="13415" xr:uid="{D53C9E0D-AE46-476D-960F-FFF411469FE3}"/>
    <cellStyle name="40% - Accent1 3 2 2 4" xfId="9197" xr:uid="{D2389CB2-C985-4C47-90E4-D92993FE0CBA}"/>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EB9977D-907F-46F9-A020-06DB3F882E32}"/>
    <cellStyle name="40% - Accent1 3 2 3 2 3" xfId="11755" xr:uid="{134E18E1-C99A-4C9A-8744-1C9CAEEA1BB3}"/>
    <cellStyle name="40% - Accent1 3 2 3 3" xfId="5386" xr:uid="{00000000-0005-0000-0000-00001B040000}"/>
    <cellStyle name="40% - Accent1 3 2 3 3 2" xfId="13828" xr:uid="{7A656159-B62D-4F67-AF99-97A161A1CF1E}"/>
    <cellStyle name="40% - Accent1 3 2 3 4" xfId="9610" xr:uid="{8EF8BA09-2AFF-4942-8086-9D96F746834B}"/>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E881765-0E4A-463A-9BD7-16377390C4C8}"/>
    <cellStyle name="40% - Accent1 3 2 4 2 3" xfId="12168" xr:uid="{8287716A-AA45-459F-85A7-89C52F35B3F9}"/>
    <cellStyle name="40% - Accent1 3 2 4 3" xfId="5799" xr:uid="{00000000-0005-0000-0000-00001F040000}"/>
    <cellStyle name="40% - Accent1 3 2 4 3 2" xfId="14241" xr:uid="{BB6BF77A-C0A9-4668-B9B9-33DA51FCB7FA}"/>
    <cellStyle name="40% - Accent1 3 2 4 4" xfId="10023" xr:uid="{68C189F3-6FF2-405B-B4DF-C42C0AC08004}"/>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6B054FDD-5623-4EC6-8889-E7AAD5B23DA1}"/>
    <cellStyle name="40% - Accent1 3 2 5 2 3" xfId="12581" xr:uid="{08959716-E293-485A-82C5-80257E3B6F06}"/>
    <cellStyle name="40% - Accent1 3 2 5 3" xfId="6212" xr:uid="{00000000-0005-0000-0000-000023040000}"/>
    <cellStyle name="40% - Accent1 3 2 5 3 2" xfId="14654" xr:uid="{B0324A1D-426E-4706-B173-D79BB011B60D}"/>
    <cellStyle name="40% - Accent1 3 2 5 4" xfId="10436" xr:uid="{072B3551-EC7D-4854-A9A1-165535414EDD}"/>
    <cellStyle name="40% - Accent1 3 2 6" xfId="2318" xr:uid="{00000000-0005-0000-0000-000024040000}"/>
    <cellStyle name="40% - Accent1 3 2 6 2" xfId="6625" xr:uid="{00000000-0005-0000-0000-000025040000}"/>
    <cellStyle name="40% - Accent1 3 2 6 2 2" xfId="15067" xr:uid="{78D58E90-A414-445E-969E-3BB007D54CDA}"/>
    <cellStyle name="40% - Accent1 3 2 6 3" xfId="10849" xr:uid="{4C30777D-BF5D-4465-B1AD-067B1D86AAE0}"/>
    <cellStyle name="40% - Accent1 3 2 7" xfId="4559" xr:uid="{00000000-0005-0000-0000-000026040000}"/>
    <cellStyle name="40% - Accent1 3 2 7 2" xfId="13001" xr:uid="{11DADC94-AED8-49A9-B82C-5011DA682635}"/>
    <cellStyle name="40% - Accent1 3 2 8" xfId="8783" xr:uid="{4D89FCFE-E878-46E4-B00A-29292841A15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92803002-7554-4F1D-BEAA-D8925F44FCD5}"/>
    <cellStyle name="40% - Accent1 3 3 2 3" xfId="11341" xr:uid="{5B0A73DB-513E-41AD-BA37-F6A4568BDAA2}"/>
    <cellStyle name="40% - Accent1 3 3 3" xfId="4972" xr:uid="{00000000-0005-0000-0000-00002A040000}"/>
    <cellStyle name="40% - Accent1 3 3 3 2" xfId="13414" xr:uid="{043204AD-CB52-4044-9233-7CA5DC73233F}"/>
    <cellStyle name="40% - Accent1 3 3 4" xfId="9196" xr:uid="{82C7BE11-8F3D-43EF-8850-29371AC73A3F}"/>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4BD99E2D-C9E5-498F-BB5B-8C2F2C3C02C2}"/>
    <cellStyle name="40% - Accent1 3 4 2 3" xfId="11754" xr:uid="{276490E0-7CE0-43B1-B83C-93898BF17D84}"/>
    <cellStyle name="40% - Accent1 3 4 3" xfId="5385" xr:uid="{00000000-0005-0000-0000-00002E040000}"/>
    <cellStyle name="40% - Accent1 3 4 3 2" xfId="13827" xr:uid="{FEFA8069-B6CB-4736-A867-DC603D8EE96B}"/>
    <cellStyle name="40% - Accent1 3 4 4" xfId="9609" xr:uid="{08FB7819-931F-42B6-8DE3-EF801581082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6BBC9CC7-241C-4B6C-95B9-ACB457BAA056}"/>
    <cellStyle name="40% - Accent1 3 5 2 3" xfId="12167" xr:uid="{D5068965-ABA2-4EA8-971B-1866182E891C}"/>
    <cellStyle name="40% - Accent1 3 5 3" xfId="5798" xr:uid="{00000000-0005-0000-0000-000032040000}"/>
    <cellStyle name="40% - Accent1 3 5 3 2" xfId="14240" xr:uid="{F07859B9-C01C-4F73-92BC-D883FCC6DD86}"/>
    <cellStyle name="40% - Accent1 3 5 4" xfId="10022" xr:uid="{AA71B166-EF3E-4BFE-A79E-FDA0CE912401}"/>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F875A0DA-CE9D-49EE-80F1-F9903F10A14A}"/>
    <cellStyle name="40% - Accent1 3 6 2 3" xfId="12580" xr:uid="{7E3493CD-9286-4C94-A21C-E378545E939D}"/>
    <cellStyle name="40% - Accent1 3 6 3" xfId="6211" xr:uid="{00000000-0005-0000-0000-000036040000}"/>
    <cellStyle name="40% - Accent1 3 6 3 2" xfId="14653" xr:uid="{332BA9B6-0388-4C8D-BBA1-27B7DC08383D}"/>
    <cellStyle name="40% - Accent1 3 6 4" xfId="10435" xr:uid="{AB42F331-927B-4019-829B-85546EF3ED38}"/>
    <cellStyle name="40% - Accent1 3 7" xfId="2317" xr:uid="{00000000-0005-0000-0000-000037040000}"/>
    <cellStyle name="40% - Accent1 3 7 2" xfId="6624" xr:uid="{00000000-0005-0000-0000-000038040000}"/>
    <cellStyle name="40% - Accent1 3 7 2 2" xfId="15066" xr:uid="{24D58E9C-D6BE-4D89-83C9-8094218BBEF6}"/>
    <cellStyle name="40% - Accent1 3 7 3" xfId="10848" xr:uid="{6F423EAC-2094-46EA-ACA5-CFDD66140E03}"/>
    <cellStyle name="40% - Accent1 3 8" xfId="4558" xr:uid="{00000000-0005-0000-0000-000039040000}"/>
    <cellStyle name="40% - Accent1 3 8 2" xfId="13000" xr:uid="{8A54F091-0190-43FE-81E8-41E725DF4B2C}"/>
    <cellStyle name="40% - Accent1 3 9" xfId="8782" xr:uid="{9FAB9229-4BD4-4A63-AB8F-D586DC602E64}"/>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3D7F4D6F-7850-4941-ADEA-177D1EF06C54}"/>
    <cellStyle name="40% - Accent1 4 2 2 3" xfId="11343" xr:uid="{5CC54081-1DEC-4742-AD85-8CCC5588137F}"/>
    <cellStyle name="40% - Accent1 4 2 3" xfId="4974" xr:uid="{00000000-0005-0000-0000-00003E040000}"/>
    <cellStyle name="40% - Accent1 4 2 3 2" xfId="13416" xr:uid="{A8B9386B-DBFE-412C-AB57-C9097A049A03}"/>
    <cellStyle name="40% - Accent1 4 2 4" xfId="9198" xr:uid="{492CA954-B26E-43A0-A46E-4B6A93FA7186}"/>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60DAA55F-98E9-4AE8-9185-5379AD809ECE}"/>
    <cellStyle name="40% - Accent1 4 3 2 3" xfId="11756" xr:uid="{C1BEC2F2-A9DD-48FD-AE2E-1845E45BFBA6}"/>
    <cellStyle name="40% - Accent1 4 3 3" xfId="5387" xr:uid="{00000000-0005-0000-0000-000042040000}"/>
    <cellStyle name="40% - Accent1 4 3 3 2" xfId="13829" xr:uid="{4F1BC896-9933-4C68-86E5-F6CA79E11A28}"/>
    <cellStyle name="40% - Accent1 4 3 4" xfId="9611" xr:uid="{3402951D-02E9-466D-ADCE-DD9DED6E9BE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6C11ED0F-D174-4811-B876-C90B96BB3179}"/>
    <cellStyle name="40% - Accent1 4 4 2 3" xfId="12169" xr:uid="{FEE22A36-60EF-4307-9A1D-190FE6AB7512}"/>
    <cellStyle name="40% - Accent1 4 4 3" xfId="5800" xr:uid="{00000000-0005-0000-0000-000046040000}"/>
    <cellStyle name="40% - Accent1 4 4 3 2" xfId="14242" xr:uid="{D87FE723-B9E2-4C88-9B9F-F8A81CB56A56}"/>
    <cellStyle name="40% - Accent1 4 4 4" xfId="10024" xr:uid="{F97EFDEE-27DF-4C12-B47D-4193754908BA}"/>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C0EC9D0C-E279-4D66-9C0A-AAA251B5E46C}"/>
    <cellStyle name="40% - Accent1 4 5 2 3" xfId="12582" xr:uid="{4BF5CC34-C272-4096-B0B1-A585D0C75BD7}"/>
    <cellStyle name="40% - Accent1 4 5 3" xfId="6213" xr:uid="{00000000-0005-0000-0000-00004A040000}"/>
    <cellStyle name="40% - Accent1 4 5 3 2" xfId="14655" xr:uid="{96771488-33CB-4375-A8A1-2DC9A04B9CD7}"/>
    <cellStyle name="40% - Accent1 4 5 4" xfId="10437" xr:uid="{719FD34A-766B-47EF-B3CF-5BFD14816E23}"/>
    <cellStyle name="40% - Accent1 4 6" xfId="2319" xr:uid="{00000000-0005-0000-0000-00004B040000}"/>
    <cellStyle name="40% - Accent1 4 6 2" xfId="6626" xr:uid="{00000000-0005-0000-0000-00004C040000}"/>
    <cellStyle name="40% - Accent1 4 6 2 2" xfId="15068" xr:uid="{9E275030-74D3-4B6B-9BDE-E7677F3FB571}"/>
    <cellStyle name="40% - Accent1 4 6 3" xfId="10850" xr:uid="{37F62A02-3EC2-4D8D-BA33-8A5C970F362D}"/>
    <cellStyle name="40% - Accent1 4 7" xfId="4560" xr:uid="{00000000-0005-0000-0000-00004D040000}"/>
    <cellStyle name="40% - Accent1 4 7 2" xfId="13002" xr:uid="{9C8516D7-9828-4E24-9E20-AC5324FEC727}"/>
    <cellStyle name="40% - Accent1 4 8" xfId="8784" xr:uid="{48B1CC9A-6586-43F4-AAF9-CADFABDF8E9B}"/>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3FBD20A4-8CF0-44C1-9C7A-CC64C31CFC0F}"/>
    <cellStyle name="40% - Accent1 5 2 3" xfId="11336" xr:uid="{205567B7-C324-4BC9-AA44-29449C95C18E}"/>
    <cellStyle name="40% - Accent1 5 3" xfId="4967" xr:uid="{00000000-0005-0000-0000-000051040000}"/>
    <cellStyle name="40% - Accent1 5 3 2" xfId="13409" xr:uid="{143E75D2-C855-43A5-AA85-475843F9C270}"/>
    <cellStyle name="40% - Accent1 5 4" xfId="9191" xr:uid="{52631EB6-5195-4D42-896D-9C0001603B8F}"/>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F72EF01F-5A5A-461E-B20D-A0288562BABB}"/>
    <cellStyle name="40% - Accent1 6 2 3" xfId="11749" xr:uid="{04C3D709-3A09-4681-947D-8D8B1C2680F1}"/>
    <cellStyle name="40% - Accent1 6 3" xfId="5380" xr:uid="{00000000-0005-0000-0000-000055040000}"/>
    <cellStyle name="40% - Accent1 6 3 2" xfId="13822" xr:uid="{000C3BC7-4CD4-4655-B034-E7560B522D55}"/>
    <cellStyle name="40% - Accent1 6 4" xfId="9604" xr:uid="{4AE6D269-D466-449E-B15F-BACF9480D02D}"/>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F4E920F-5187-4C8E-8C36-E6B09151E5DB}"/>
    <cellStyle name="40% - Accent1 7 2 3" xfId="12162" xr:uid="{B7DEA1E6-2FB2-4CC5-B9BB-7B2B2216523E}"/>
    <cellStyle name="40% - Accent1 7 3" xfId="5793" xr:uid="{00000000-0005-0000-0000-000059040000}"/>
    <cellStyle name="40% - Accent1 7 3 2" xfId="14235" xr:uid="{1198B750-71E8-49B4-AEFE-A4A1EAD68D89}"/>
    <cellStyle name="40% - Accent1 7 4" xfId="10017" xr:uid="{10496A13-5FB4-4465-ADAB-EE8BE57F2D8E}"/>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69769424-0547-4B2B-B641-EE5D68C96D2E}"/>
    <cellStyle name="40% - Accent1 8 2 3" xfId="12575" xr:uid="{542DA1D4-FBF9-4B97-822C-824BFFD0C87B}"/>
    <cellStyle name="40% - Accent1 8 3" xfId="6206" xr:uid="{00000000-0005-0000-0000-00005D040000}"/>
    <cellStyle name="40% - Accent1 8 3 2" xfId="14648" xr:uid="{D764AA58-501F-4FD3-9F33-56151AA88CDB}"/>
    <cellStyle name="40% - Accent1 8 4" xfId="10430" xr:uid="{DBCD3727-9CBB-4E1D-BFD9-78EEFA404CE5}"/>
    <cellStyle name="40% - Accent1 9" xfId="2312" xr:uid="{00000000-0005-0000-0000-00005E040000}"/>
    <cellStyle name="40% - Accent1 9 2" xfId="6619" xr:uid="{00000000-0005-0000-0000-00005F040000}"/>
    <cellStyle name="40% - Accent1 9 2 2" xfId="15061" xr:uid="{448735BB-83CA-4BDC-A5AA-E5F4653DE600}"/>
    <cellStyle name="40% - Accent1 9 3" xfId="10843" xr:uid="{D215C2C0-A4E3-4E31-A7C8-7569F4D481B2}"/>
    <cellStyle name="40% - Accent2" xfId="57" builtinId="35" customBuiltin="1"/>
    <cellStyle name="40% - Accent2 10" xfId="4561" xr:uid="{00000000-0005-0000-0000-000061040000}"/>
    <cellStyle name="40% - Accent2 10 2" xfId="13003" xr:uid="{0AA15F20-68A9-48C8-891C-DF0528121411}"/>
    <cellStyle name="40% - Accent2 11" xfId="8785" xr:uid="{84F9DBC7-B576-41C2-90DA-7DE134C2F557}"/>
    <cellStyle name="40% - Accent2 2" xfId="58" xr:uid="{00000000-0005-0000-0000-000062040000}"/>
    <cellStyle name="40% - Accent2 2 10" xfId="8786" xr:uid="{F37ABC19-F43F-4F4C-90F0-D2ED39635731}"/>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AD981B44-D36D-4CE1-9F51-AEACC31D33B2}"/>
    <cellStyle name="40% - Accent2 2 2 2 2 2 3" xfId="11347" xr:uid="{41AF9F17-F006-4157-AF60-7FDDC8E5D28A}"/>
    <cellStyle name="40% - Accent2 2 2 2 2 3" xfId="4978" xr:uid="{00000000-0005-0000-0000-000068040000}"/>
    <cellStyle name="40% - Accent2 2 2 2 2 3 2" xfId="13420" xr:uid="{E4EE713A-0174-4476-8872-2B595449C256}"/>
    <cellStyle name="40% - Accent2 2 2 2 2 4" xfId="9202" xr:uid="{F3C42635-90EB-4117-BC04-0C30183F3929}"/>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03868AAB-2182-4C68-AE57-9E1B94FA68EA}"/>
    <cellStyle name="40% - Accent2 2 2 2 3 2 3" xfId="11760" xr:uid="{5E7A8276-8C9E-4543-AC4F-5D5BD29773C3}"/>
    <cellStyle name="40% - Accent2 2 2 2 3 3" xfId="5391" xr:uid="{00000000-0005-0000-0000-00006C040000}"/>
    <cellStyle name="40% - Accent2 2 2 2 3 3 2" xfId="13833" xr:uid="{7E622146-1D56-491B-975B-7FA558BB4CB8}"/>
    <cellStyle name="40% - Accent2 2 2 2 3 4" xfId="9615" xr:uid="{AF68A23B-6895-4C02-91C1-B74240B58BE1}"/>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8F6E7C01-D425-4A3A-B0E9-B0E1C426239A}"/>
    <cellStyle name="40% - Accent2 2 2 2 4 2 3" xfId="12173" xr:uid="{0B2AD6C1-3541-4B3D-8018-B3A25D6A5481}"/>
    <cellStyle name="40% - Accent2 2 2 2 4 3" xfId="5804" xr:uid="{00000000-0005-0000-0000-000070040000}"/>
    <cellStyle name="40% - Accent2 2 2 2 4 3 2" xfId="14246" xr:uid="{75D06526-006C-471A-B21B-0B6EB743545B}"/>
    <cellStyle name="40% - Accent2 2 2 2 4 4" xfId="10028" xr:uid="{E5E19D04-4E7A-46FC-8CBA-A4B5464F1A35}"/>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619FB3F8-5A5D-4C26-BC6B-8F9E0FA4F39D}"/>
    <cellStyle name="40% - Accent2 2 2 2 5 2 3" xfId="12586" xr:uid="{35062D06-AD3A-425F-95F6-F5701C70EF97}"/>
    <cellStyle name="40% - Accent2 2 2 2 5 3" xfId="6217" xr:uid="{00000000-0005-0000-0000-000074040000}"/>
    <cellStyle name="40% - Accent2 2 2 2 5 3 2" xfId="14659" xr:uid="{5F4778C9-9251-41AB-BEA1-CF24715F7BEB}"/>
    <cellStyle name="40% - Accent2 2 2 2 5 4" xfId="10441" xr:uid="{3E1EDF44-A4C0-4034-B0A6-9E91FA5E4983}"/>
    <cellStyle name="40% - Accent2 2 2 2 6" xfId="2323" xr:uid="{00000000-0005-0000-0000-000075040000}"/>
    <cellStyle name="40% - Accent2 2 2 2 6 2" xfId="6630" xr:uid="{00000000-0005-0000-0000-000076040000}"/>
    <cellStyle name="40% - Accent2 2 2 2 6 2 2" xfId="15072" xr:uid="{89A64132-9955-459B-86D6-2B675958EC67}"/>
    <cellStyle name="40% - Accent2 2 2 2 6 3" xfId="10854" xr:uid="{C5DB4CDB-A00F-4BF5-9423-62BCF9CB055E}"/>
    <cellStyle name="40% - Accent2 2 2 2 7" xfId="4564" xr:uid="{00000000-0005-0000-0000-000077040000}"/>
    <cellStyle name="40% - Accent2 2 2 2 7 2" xfId="13006" xr:uid="{A63C343C-4E6A-45F2-A41F-58923F6D83DC}"/>
    <cellStyle name="40% - Accent2 2 2 2 8" xfId="8788" xr:uid="{8D586616-BED0-4FA0-8959-5395DAAE698F}"/>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0C0A144D-11CF-478B-A584-BA9F6D678A13}"/>
    <cellStyle name="40% - Accent2 2 2 3 2 3" xfId="11346" xr:uid="{36F78776-AE1A-4370-A340-5AB04E0FF1B1}"/>
    <cellStyle name="40% - Accent2 2 2 3 3" xfId="4977" xr:uid="{00000000-0005-0000-0000-00007B040000}"/>
    <cellStyle name="40% - Accent2 2 2 3 3 2" xfId="13419" xr:uid="{681F55F8-E71D-4697-ADEC-38F4A242D1AD}"/>
    <cellStyle name="40% - Accent2 2 2 3 4" xfId="9201" xr:uid="{EBBF4DBB-5AB5-4747-B95E-DD0802CEE52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BAF9B598-D342-45CD-806B-5B3173BC07DB}"/>
    <cellStyle name="40% - Accent2 2 2 4 2 3" xfId="11759" xr:uid="{16A02CD6-5AEE-43F8-8961-6AAFD93ED3F7}"/>
    <cellStyle name="40% - Accent2 2 2 4 3" xfId="5390" xr:uid="{00000000-0005-0000-0000-00007F040000}"/>
    <cellStyle name="40% - Accent2 2 2 4 3 2" xfId="13832" xr:uid="{EF2D1E1F-FD21-4054-9A8B-1C50511486C1}"/>
    <cellStyle name="40% - Accent2 2 2 4 4" xfId="9614" xr:uid="{E39555F0-136F-4B3A-AD16-4A1EAEE13521}"/>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2FE4EA1D-DC43-4E3F-BD8C-3C446A168437}"/>
    <cellStyle name="40% - Accent2 2 2 5 2 3" xfId="12172" xr:uid="{F5964279-D2B1-4286-9FE6-6E7344B8F689}"/>
    <cellStyle name="40% - Accent2 2 2 5 3" xfId="5803" xr:uid="{00000000-0005-0000-0000-000083040000}"/>
    <cellStyle name="40% - Accent2 2 2 5 3 2" xfId="14245" xr:uid="{9BF1B220-4243-41D2-9074-7C3ACB111978}"/>
    <cellStyle name="40% - Accent2 2 2 5 4" xfId="10027" xr:uid="{F1D266EC-0FDD-45AE-974D-6B325748D55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FE67BD33-33BD-4735-8FCA-F4722A2C614F}"/>
    <cellStyle name="40% - Accent2 2 2 6 2 3" xfId="12585" xr:uid="{D2542124-17DE-42C5-9ACC-F015ACC238CF}"/>
    <cellStyle name="40% - Accent2 2 2 6 3" xfId="6216" xr:uid="{00000000-0005-0000-0000-000087040000}"/>
    <cellStyle name="40% - Accent2 2 2 6 3 2" xfId="14658" xr:uid="{2544095F-489D-432A-8A3D-00464ADDE263}"/>
    <cellStyle name="40% - Accent2 2 2 6 4" xfId="10440" xr:uid="{B94E9536-98F1-4F89-84F4-5D9EA00099B5}"/>
    <cellStyle name="40% - Accent2 2 2 7" xfId="2322" xr:uid="{00000000-0005-0000-0000-000088040000}"/>
    <cellStyle name="40% - Accent2 2 2 7 2" xfId="6629" xr:uid="{00000000-0005-0000-0000-000089040000}"/>
    <cellStyle name="40% - Accent2 2 2 7 2 2" xfId="15071" xr:uid="{2E022E7A-3E80-4389-A300-FD73E9F918B0}"/>
    <cellStyle name="40% - Accent2 2 2 7 3" xfId="10853" xr:uid="{5E232ECF-6335-4B4D-A65D-5725C8B7BA69}"/>
    <cellStyle name="40% - Accent2 2 2 8" xfId="4563" xr:uid="{00000000-0005-0000-0000-00008A040000}"/>
    <cellStyle name="40% - Accent2 2 2 8 2" xfId="13005" xr:uid="{A573429D-584B-4197-90EB-6CC6BD9A0478}"/>
    <cellStyle name="40% - Accent2 2 2 9" xfId="8787" xr:uid="{E08ECA62-2E3D-4062-87E7-47DEC81358C9}"/>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6F42AA34-1223-4E95-86D7-9BE415AB8B4B}"/>
    <cellStyle name="40% - Accent2 2 3 2 2 3" xfId="11348" xr:uid="{97072355-9291-4241-A231-79C8CD8218BE}"/>
    <cellStyle name="40% - Accent2 2 3 2 3" xfId="4979" xr:uid="{00000000-0005-0000-0000-00008F040000}"/>
    <cellStyle name="40% - Accent2 2 3 2 3 2" xfId="13421" xr:uid="{B452E763-8E5D-4B3A-A5C1-BBC3656798E0}"/>
    <cellStyle name="40% - Accent2 2 3 2 4" xfId="9203" xr:uid="{3934AFD5-D084-4935-AF8B-D1C57E22B66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EC48FF73-D1B6-48D7-A0FA-2AF4FD6E42B2}"/>
    <cellStyle name="40% - Accent2 2 3 3 2 3" xfId="11761" xr:uid="{8CF40BAE-980A-400B-B82D-110281C25698}"/>
    <cellStyle name="40% - Accent2 2 3 3 3" xfId="5392" xr:uid="{00000000-0005-0000-0000-000093040000}"/>
    <cellStyle name="40% - Accent2 2 3 3 3 2" xfId="13834" xr:uid="{B253741D-02CA-41F6-9E1F-C9D55D860F48}"/>
    <cellStyle name="40% - Accent2 2 3 3 4" xfId="9616" xr:uid="{D2308128-C2A9-40AF-B738-7B017EEBBBAF}"/>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B6AC2B9B-9BE1-4CEB-89FB-AA62826450D6}"/>
    <cellStyle name="40% - Accent2 2 3 4 2 3" xfId="12174" xr:uid="{A24C8CDB-39C2-485F-B9DD-1E12F1E5656F}"/>
    <cellStyle name="40% - Accent2 2 3 4 3" xfId="5805" xr:uid="{00000000-0005-0000-0000-000097040000}"/>
    <cellStyle name="40% - Accent2 2 3 4 3 2" xfId="14247" xr:uid="{0E8791DE-DD2A-49A3-BBA4-DB866E46496D}"/>
    <cellStyle name="40% - Accent2 2 3 4 4" xfId="10029" xr:uid="{8952425F-A7DA-4494-882D-D70103485BBF}"/>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3FF91A11-498E-4FA5-8B02-2D7E90F04692}"/>
    <cellStyle name="40% - Accent2 2 3 5 2 3" xfId="12587" xr:uid="{488FC83F-1661-4F43-8D0C-9EFF603A15AA}"/>
    <cellStyle name="40% - Accent2 2 3 5 3" xfId="6218" xr:uid="{00000000-0005-0000-0000-00009B040000}"/>
    <cellStyle name="40% - Accent2 2 3 5 3 2" xfId="14660" xr:uid="{28EF00FF-8677-4802-9F08-619E063E2EC4}"/>
    <cellStyle name="40% - Accent2 2 3 5 4" xfId="10442" xr:uid="{01E71BD7-3A50-4BF9-93A9-D15CAEEF8A00}"/>
    <cellStyle name="40% - Accent2 2 3 6" xfId="2324" xr:uid="{00000000-0005-0000-0000-00009C040000}"/>
    <cellStyle name="40% - Accent2 2 3 6 2" xfId="6631" xr:uid="{00000000-0005-0000-0000-00009D040000}"/>
    <cellStyle name="40% - Accent2 2 3 6 2 2" xfId="15073" xr:uid="{E1AC0065-A75B-497D-BD9B-5E776DD4BDB8}"/>
    <cellStyle name="40% - Accent2 2 3 6 3" xfId="10855" xr:uid="{DB6FAAE8-DE40-46DB-B501-ED9918DD32CB}"/>
    <cellStyle name="40% - Accent2 2 3 7" xfId="4565" xr:uid="{00000000-0005-0000-0000-00009E040000}"/>
    <cellStyle name="40% - Accent2 2 3 7 2" xfId="13007" xr:uid="{218BF1DA-9C75-44F2-9696-3B0C27787427}"/>
    <cellStyle name="40% - Accent2 2 3 8" xfId="8789" xr:uid="{646CF087-6E5F-4E4C-873A-6A2A4E72E3D3}"/>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97213D02-1E54-4EBD-8332-D615F9E5E04B}"/>
    <cellStyle name="40% - Accent2 2 4 2 3" xfId="11345" xr:uid="{E8CC8084-4C97-4C8D-A112-BE081AA7EA10}"/>
    <cellStyle name="40% - Accent2 2 4 3" xfId="4976" xr:uid="{00000000-0005-0000-0000-0000A2040000}"/>
    <cellStyle name="40% - Accent2 2 4 3 2" xfId="13418" xr:uid="{BDA00292-4C0D-45F4-A1C2-DB6B343AFB34}"/>
    <cellStyle name="40% - Accent2 2 4 4" xfId="9200" xr:uid="{FD4B6721-5D13-49F1-9DCD-1324EF21BCB6}"/>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21CB3E57-34C5-4C73-8FBE-D1B95AE8F5E1}"/>
    <cellStyle name="40% - Accent2 2 5 2 3" xfId="11758" xr:uid="{EDBD2351-A456-4576-830A-304A4CD6A917}"/>
    <cellStyle name="40% - Accent2 2 5 3" xfId="5389" xr:uid="{00000000-0005-0000-0000-0000A6040000}"/>
    <cellStyle name="40% - Accent2 2 5 3 2" xfId="13831" xr:uid="{AD3CEAC4-B969-47DB-93FE-CDDBE9D0D6AC}"/>
    <cellStyle name="40% - Accent2 2 5 4" xfId="9613" xr:uid="{4610DBFF-E824-41E3-B2B4-FC38036E3FFA}"/>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E2067889-FAEB-4558-BB3F-1F17212FC158}"/>
    <cellStyle name="40% - Accent2 2 6 2 3" xfId="12171" xr:uid="{2C49346E-B52A-4F27-8A91-35551E0E15D3}"/>
    <cellStyle name="40% - Accent2 2 6 3" xfId="5802" xr:uid="{00000000-0005-0000-0000-0000AA040000}"/>
    <cellStyle name="40% - Accent2 2 6 3 2" xfId="14244" xr:uid="{C89F66B1-326A-4097-9168-EB9130294450}"/>
    <cellStyle name="40% - Accent2 2 6 4" xfId="10026" xr:uid="{2DBC9BBA-2C94-4107-B8B8-28FFECC450AE}"/>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B8B803AA-683D-4555-B21D-24FB7418526E}"/>
    <cellStyle name="40% - Accent2 2 7 2 3" xfId="12584" xr:uid="{9C8BDD9B-8ABE-42C2-B7DD-AD194DB7AF49}"/>
    <cellStyle name="40% - Accent2 2 7 3" xfId="6215" xr:uid="{00000000-0005-0000-0000-0000AE040000}"/>
    <cellStyle name="40% - Accent2 2 7 3 2" xfId="14657" xr:uid="{F6B807D0-3995-40F3-8FE4-679A5E7F5B67}"/>
    <cellStyle name="40% - Accent2 2 7 4" xfId="10439" xr:uid="{9715ECA4-067B-4FAA-BE39-9B62EF690AF0}"/>
    <cellStyle name="40% - Accent2 2 8" xfId="2321" xr:uid="{00000000-0005-0000-0000-0000AF040000}"/>
    <cellStyle name="40% - Accent2 2 8 2" xfId="6628" xr:uid="{00000000-0005-0000-0000-0000B0040000}"/>
    <cellStyle name="40% - Accent2 2 8 2 2" xfId="15070" xr:uid="{579B6C8F-A22E-4B33-9CF6-0780994C0C83}"/>
    <cellStyle name="40% - Accent2 2 8 3" xfId="10852" xr:uid="{7A63E9AC-0307-406D-BA8F-B3E9618ABE8D}"/>
    <cellStyle name="40% - Accent2 2 9" xfId="4562" xr:uid="{00000000-0005-0000-0000-0000B1040000}"/>
    <cellStyle name="40% - Accent2 2 9 2" xfId="13004" xr:uid="{7F394784-83DE-4782-B68A-289EB974FBDF}"/>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22254DD6-034C-414C-9178-B9C3A097A6C7}"/>
    <cellStyle name="40% - Accent2 3 2 2 2 3" xfId="11350" xr:uid="{251FB6D9-1C95-445F-B1AD-6ABDB61826AC}"/>
    <cellStyle name="40% - Accent2 3 2 2 3" xfId="4981" xr:uid="{00000000-0005-0000-0000-0000B7040000}"/>
    <cellStyle name="40% - Accent2 3 2 2 3 2" xfId="13423" xr:uid="{006CE69C-CBDE-422F-983A-1EF86342AE6C}"/>
    <cellStyle name="40% - Accent2 3 2 2 4" xfId="9205" xr:uid="{AC4F567C-814B-4C67-BD44-62C336CBB387}"/>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CC18490B-BD8A-4FEA-BCEE-5B384CBDA87F}"/>
    <cellStyle name="40% - Accent2 3 2 3 2 3" xfId="11763" xr:uid="{0F50CF7F-C3EF-46E9-8DEF-C6D4BD552F7F}"/>
    <cellStyle name="40% - Accent2 3 2 3 3" xfId="5394" xr:uid="{00000000-0005-0000-0000-0000BB040000}"/>
    <cellStyle name="40% - Accent2 3 2 3 3 2" xfId="13836" xr:uid="{94EA4F8C-1DCD-425F-80C8-4B36AAFA9B27}"/>
    <cellStyle name="40% - Accent2 3 2 3 4" xfId="9618" xr:uid="{A2D830D3-9A26-4D3D-B315-6D9066B552E3}"/>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B04ED1CE-07BD-48ED-9F27-81D1390C475B}"/>
    <cellStyle name="40% - Accent2 3 2 4 2 3" xfId="12176" xr:uid="{0986ACE5-65EA-45B0-AAA6-BC0B30C8D1F7}"/>
    <cellStyle name="40% - Accent2 3 2 4 3" xfId="5807" xr:uid="{00000000-0005-0000-0000-0000BF040000}"/>
    <cellStyle name="40% - Accent2 3 2 4 3 2" xfId="14249" xr:uid="{0DBEFFDC-5E63-40F5-B5C0-6743037C455A}"/>
    <cellStyle name="40% - Accent2 3 2 4 4" xfId="10031" xr:uid="{6BC3744A-C5A5-4991-B37B-ED6605750727}"/>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21513EF3-3C56-4390-9EEE-53B1C661032C}"/>
    <cellStyle name="40% - Accent2 3 2 5 2 3" xfId="12589" xr:uid="{16CE7CC6-35A8-4788-8DB2-3DD106CAA8A2}"/>
    <cellStyle name="40% - Accent2 3 2 5 3" xfId="6220" xr:uid="{00000000-0005-0000-0000-0000C3040000}"/>
    <cellStyle name="40% - Accent2 3 2 5 3 2" xfId="14662" xr:uid="{4012AB52-FEE0-4974-85BB-CCB9501BD1F0}"/>
    <cellStyle name="40% - Accent2 3 2 5 4" xfId="10444" xr:uid="{E1ADE88A-D25C-402E-80E1-AC7D54937F75}"/>
    <cellStyle name="40% - Accent2 3 2 6" xfId="2326" xr:uid="{00000000-0005-0000-0000-0000C4040000}"/>
    <cellStyle name="40% - Accent2 3 2 6 2" xfId="6633" xr:uid="{00000000-0005-0000-0000-0000C5040000}"/>
    <cellStyle name="40% - Accent2 3 2 6 2 2" xfId="15075" xr:uid="{51920C4B-0D8C-49B4-BF80-7ED563071398}"/>
    <cellStyle name="40% - Accent2 3 2 6 3" xfId="10857" xr:uid="{A5B93CBA-2E9A-4DD9-B33F-479FE27D3966}"/>
    <cellStyle name="40% - Accent2 3 2 7" xfId="4567" xr:uid="{00000000-0005-0000-0000-0000C6040000}"/>
    <cellStyle name="40% - Accent2 3 2 7 2" xfId="13009" xr:uid="{5BBEF4E5-EA7E-4088-AFA0-579FF786295D}"/>
    <cellStyle name="40% - Accent2 3 2 8" xfId="8791" xr:uid="{E4A17F83-9FD9-4773-B1A9-23BB96F0F163}"/>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06B51ECE-6787-4D50-8DF2-6149021BBED4}"/>
    <cellStyle name="40% - Accent2 3 3 2 3" xfId="11349" xr:uid="{74E78A88-D623-465A-8260-A445D411D282}"/>
    <cellStyle name="40% - Accent2 3 3 3" xfId="4980" xr:uid="{00000000-0005-0000-0000-0000CA040000}"/>
    <cellStyle name="40% - Accent2 3 3 3 2" xfId="13422" xr:uid="{08152DB6-964B-44DD-A1FF-5DE538CFFB9B}"/>
    <cellStyle name="40% - Accent2 3 3 4" xfId="9204" xr:uid="{A92D2D0A-DBCA-4920-886D-6689D2046228}"/>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3A1A9311-4659-4E8C-881C-97130FE59559}"/>
    <cellStyle name="40% - Accent2 3 4 2 3" xfId="11762" xr:uid="{B9232371-BB0D-4508-8C4C-B182459C3FA2}"/>
    <cellStyle name="40% - Accent2 3 4 3" xfId="5393" xr:uid="{00000000-0005-0000-0000-0000CE040000}"/>
    <cellStyle name="40% - Accent2 3 4 3 2" xfId="13835" xr:uid="{0A040D85-2711-4B53-934A-7567A9A64990}"/>
    <cellStyle name="40% - Accent2 3 4 4" xfId="9617" xr:uid="{B6E70BF1-D072-4667-B45A-A06BEEEA036B}"/>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769161C6-73BA-4290-B98D-5F50FD2C5DBE}"/>
    <cellStyle name="40% - Accent2 3 5 2 3" xfId="12175" xr:uid="{82DB29CF-A759-4D87-84BA-E42B1E835256}"/>
    <cellStyle name="40% - Accent2 3 5 3" xfId="5806" xr:uid="{00000000-0005-0000-0000-0000D2040000}"/>
    <cellStyle name="40% - Accent2 3 5 3 2" xfId="14248" xr:uid="{4C9EEFCB-0A0C-4F67-8824-BBE03FA4FA5B}"/>
    <cellStyle name="40% - Accent2 3 5 4" xfId="10030" xr:uid="{2740E6D4-CB21-46E8-AC28-41C877CFFE25}"/>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6CB5262D-8B34-4FE3-A98C-8C3E63E15273}"/>
    <cellStyle name="40% - Accent2 3 6 2 3" xfId="12588" xr:uid="{E9ECF6D0-4230-4FCB-A2E3-ABCA9026C582}"/>
    <cellStyle name="40% - Accent2 3 6 3" xfId="6219" xr:uid="{00000000-0005-0000-0000-0000D6040000}"/>
    <cellStyle name="40% - Accent2 3 6 3 2" xfId="14661" xr:uid="{591F4D83-3119-4A2D-8BFA-9BE2565F85E6}"/>
    <cellStyle name="40% - Accent2 3 6 4" xfId="10443" xr:uid="{F14E6D14-0E0B-4DCE-81EB-D84FA37CFB9A}"/>
    <cellStyle name="40% - Accent2 3 7" xfId="2325" xr:uid="{00000000-0005-0000-0000-0000D7040000}"/>
    <cellStyle name="40% - Accent2 3 7 2" xfId="6632" xr:uid="{00000000-0005-0000-0000-0000D8040000}"/>
    <cellStyle name="40% - Accent2 3 7 2 2" xfId="15074" xr:uid="{4F0CA68C-E64E-45CB-916A-0E0560D05ECD}"/>
    <cellStyle name="40% - Accent2 3 7 3" xfId="10856" xr:uid="{4BFA5789-A158-45A6-9DCC-70949E485F1E}"/>
    <cellStyle name="40% - Accent2 3 8" xfId="4566" xr:uid="{00000000-0005-0000-0000-0000D9040000}"/>
    <cellStyle name="40% - Accent2 3 8 2" xfId="13008" xr:uid="{9DAA18AF-9113-49C7-ABBB-A5E63C787EEC}"/>
    <cellStyle name="40% - Accent2 3 9" xfId="8790" xr:uid="{507D494C-D291-4F5E-A3DA-B01B5F0D988B}"/>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10E5AFB2-3D23-4E18-9ED9-292CDB59A49E}"/>
    <cellStyle name="40% - Accent2 4 2 2 3" xfId="11351" xr:uid="{E0DFCC50-F860-4B49-8672-A46253EB2DAD}"/>
    <cellStyle name="40% - Accent2 4 2 3" xfId="4982" xr:uid="{00000000-0005-0000-0000-0000DE040000}"/>
    <cellStyle name="40% - Accent2 4 2 3 2" xfId="13424" xr:uid="{A4E08939-E2EF-45C9-9B54-23F0E4CD86B2}"/>
    <cellStyle name="40% - Accent2 4 2 4" xfId="9206" xr:uid="{5C585541-99B2-445D-A6EC-5649ECC265D8}"/>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4899F59B-18AA-4301-94E4-BEF0E3441866}"/>
    <cellStyle name="40% - Accent2 4 3 2 3" xfId="11764" xr:uid="{5C018C8C-93E6-4603-84FC-B916BB13CC4C}"/>
    <cellStyle name="40% - Accent2 4 3 3" xfId="5395" xr:uid="{00000000-0005-0000-0000-0000E2040000}"/>
    <cellStyle name="40% - Accent2 4 3 3 2" xfId="13837" xr:uid="{1358A631-47EF-47CE-B766-E1E8C35736F2}"/>
    <cellStyle name="40% - Accent2 4 3 4" xfId="9619" xr:uid="{C55BE90F-C36D-4311-964A-A24909AD9D8A}"/>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B67CBC55-CAA5-45CC-8B91-506039D3D01E}"/>
    <cellStyle name="40% - Accent2 4 4 2 3" xfId="12177" xr:uid="{66503552-8C3A-4C90-80CA-ACE12BA10566}"/>
    <cellStyle name="40% - Accent2 4 4 3" xfId="5808" xr:uid="{00000000-0005-0000-0000-0000E6040000}"/>
    <cellStyle name="40% - Accent2 4 4 3 2" xfId="14250" xr:uid="{2B508187-BC8A-4A67-AE90-927392CB47DD}"/>
    <cellStyle name="40% - Accent2 4 4 4" xfId="10032" xr:uid="{926A8729-85BD-4F58-BFB4-76F2F3A521E4}"/>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3604113E-394E-487B-A98A-E21D9DACEDCA}"/>
    <cellStyle name="40% - Accent2 4 5 2 3" xfId="12590" xr:uid="{69936171-5F9A-42EE-976B-5E96F932B1B3}"/>
    <cellStyle name="40% - Accent2 4 5 3" xfId="6221" xr:uid="{00000000-0005-0000-0000-0000EA040000}"/>
    <cellStyle name="40% - Accent2 4 5 3 2" xfId="14663" xr:uid="{008D8EAD-B498-43A9-BABD-D5ED4326D02E}"/>
    <cellStyle name="40% - Accent2 4 5 4" xfId="10445" xr:uid="{D3F9E8E5-E829-48BC-825B-6F5465DC1741}"/>
    <cellStyle name="40% - Accent2 4 6" xfId="2327" xr:uid="{00000000-0005-0000-0000-0000EB040000}"/>
    <cellStyle name="40% - Accent2 4 6 2" xfId="6634" xr:uid="{00000000-0005-0000-0000-0000EC040000}"/>
    <cellStyle name="40% - Accent2 4 6 2 2" xfId="15076" xr:uid="{CFC69CA4-93DA-4321-B84B-487DF512C3F4}"/>
    <cellStyle name="40% - Accent2 4 6 3" xfId="10858" xr:uid="{98F2D103-67A3-4572-B77B-F5081836BAD6}"/>
    <cellStyle name="40% - Accent2 4 7" xfId="4568" xr:uid="{00000000-0005-0000-0000-0000ED040000}"/>
    <cellStyle name="40% - Accent2 4 7 2" xfId="13010" xr:uid="{43811D79-2B9C-45A5-9DDE-5F5D220BD9C5}"/>
    <cellStyle name="40% - Accent2 4 8" xfId="8792" xr:uid="{7C6FDE3C-0ED0-44D5-BA04-2049273CD714}"/>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C125426A-0316-43E6-9C45-0523CE968297}"/>
    <cellStyle name="40% - Accent2 5 2 3" xfId="11344" xr:uid="{D3FEB3C4-4D16-4570-97EF-EF41BC06DEE5}"/>
    <cellStyle name="40% - Accent2 5 3" xfId="4975" xr:uid="{00000000-0005-0000-0000-0000F1040000}"/>
    <cellStyle name="40% - Accent2 5 3 2" xfId="13417" xr:uid="{7F9D3EAC-4D19-4863-BBE1-98DD7CDF7A9A}"/>
    <cellStyle name="40% - Accent2 5 4" xfId="9199" xr:uid="{7BCECF65-76C2-4CC2-9E40-FB9832843D5E}"/>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507808F4-E34D-4469-8DB2-F4236F11E7AE}"/>
    <cellStyle name="40% - Accent2 6 2 3" xfId="11757" xr:uid="{503D0800-DD23-4EDD-B839-39898EA38C36}"/>
    <cellStyle name="40% - Accent2 6 3" xfId="5388" xr:uid="{00000000-0005-0000-0000-0000F5040000}"/>
    <cellStyle name="40% - Accent2 6 3 2" xfId="13830" xr:uid="{B93CE97B-955D-480C-BEAE-43DD749E4785}"/>
    <cellStyle name="40% - Accent2 6 4" xfId="9612" xr:uid="{E87F1208-E325-41EA-A8A3-ADA2BFD4F4D8}"/>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44115F21-11E4-4F36-A90D-FA01BBBEA3D7}"/>
    <cellStyle name="40% - Accent2 7 2 3" xfId="12170" xr:uid="{81CA7265-9630-4394-844A-C428CDD12491}"/>
    <cellStyle name="40% - Accent2 7 3" xfId="5801" xr:uid="{00000000-0005-0000-0000-0000F9040000}"/>
    <cellStyle name="40% - Accent2 7 3 2" xfId="14243" xr:uid="{887E3326-6179-487E-A68B-767DA0250503}"/>
    <cellStyle name="40% - Accent2 7 4" xfId="10025" xr:uid="{996004B7-604C-4837-9786-3F96DD25B035}"/>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73B285F2-4E14-404B-96C6-F7CD26BF8DAE}"/>
    <cellStyle name="40% - Accent2 8 2 3" xfId="12583" xr:uid="{7CEF48EE-1DED-4C49-B71C-7E7215300DB2}"/>
    <cellStyle name="40% - Accent2 8 3" xfId="6214" xr:uid="{00000000-0005-0000-0000-0000FD040000}"/>
    <cellStyle name="40% - Accent2 8 3 2" xfId="14656" xr:uid="{782725A9-D601-40D4-AD3E-11B599EAFEBE}"/>
    <cellStyle name="40% - Accent2 8 4" xfId="10438" xr:uid="{5B5A3A78-B78B-4CA8-90B3-BA11953E5571}"/>
    <cellStyle name="40% - Accent2 9" xfId="2320" xr:uid="{00000000-0005-0000-0000-0000FE040000}"/>
    <cellStyle name="40% - Accent2 9 2" xfId="6627" xr:uid="{00000000-0005-0000-0000-0000FF040000}"/>
    <cellStyle name="40% - Accent2 9 2 2" xfId="15069" xr:uid="{9201AD52-94F2-4A6B-9EC0-A6AEF1E55999}"/>
    <cellStyle name="40% - Accent2 9 3" xfId="10851" xr:uid="{0697CD48-A8B9-4627-BFF1-15AF1C25F728}"/>
    <cellStyle name="40% - Accent3" xfId="65" builtinId="39" customBuiltin="1"/>
    <cellStyle name="40% - Accent3 10" xfId="4569" xr:uid="{00000000-0005-0000-0000-000001050000}"/>
    <cellStyle name="40% - Accent3 10 2" xfId="13011" xr:uid="{DCA039E5-EDBC-4A0C-8558-D3278F5BF8F6}"/>
    <cellStyle name="40% - Accent3 11" xfId="8793" xr:uid="{D98A7784-BAB7-4412-8F50-FEE9486986D1}"/>
    <cellStyle name="40% - Accent3 2" xfId="66" xr:uid="{00000000-0005-0000-0000-000002050000}"/>
    <cellStyle name="40% - Accent3 2 10" xfId="8794" xr:uid="{B66D7CA9-2FB3-46A4-A97F-CAEDC8F66B89}"/>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DC887727-748F-4F5B-88C9-0C5362C71DF9}"/>
    <cellStyle name="40% - Accent3 2 2 2 2 2 3" xfId="11355" xr:uid="{B032A1C1-FC39-4886-86EB-4112A309324D}"/>
    <cellStyle name="40% - Accent3 2 2 2 2 3" xfId="4986" xr:uid="{00000000-0005-0000-0000-000008050000}"/>
    <cellStyle name="40% - Accent3 2 2 2 2 3 2" xfId="13428" xr:uid="{FEEABBFB-1DCB-40FF-B34F-845BD767ED82}"/>
    <cellStyle name="40% - Accent3 2 2 2 2 4" xfId="9210" xr:uid="{1340F70E-B0A8-4F66-9EAC-9F522671CF66}"/>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969E9AED-0778-4EB9-B9D7-89C72F5B40F6}"/>
    <cellStyle name="40% - Accent3 2 2 2 3 2 3" xfId="11768" xr:uid="{3BF2FB7F-BA99-4AA8-AD42-7FC850F131D2}"/>
    <cellStyle name="40% - Accent3 2 2 2 3 3" xfId="5399" xr:uid="{00000000-0005-0000-0000-00000C050000}"/>
    <cellStyle name="40% - Accent3 2 2 2 3 3 2" xfId="13841" xr:uid="{3557D76B-CB9A-4B04-B267-711A98A1C3FA}"/>
    <cellStyle name="40% - Accent3 2 2 2 3 4" xfId="9623" xr:uid="{F037A686-08F5-46A8-8AB5-DB11063B5C0F}"/>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94B4E95F-FF28-4239-B8A8-9E2582116F14}"/>
    <cellStyle name="40% - Accent3 2 2 2 4 2 3" xfId="12181" xr:uid="{F938389B-2C1A-4B0E-B256-3BE69E959FD0}"/>
    <cellStyle name="40% - Accent3 2 2 2 4 3" xfId="5812" xr:uid="{00000000-0005-0000-0000-000010050000}"/>
    <cellStyle name="40% - Accent3 2 2 2 4 3 2" xfId="14254" xr:uid="{2F559E1D-6A77-481E-9E41-D2FADF43012B}"/>
    <cellStyle name="40% - Accent3 2 2 2 4 4" xfId="10036" xr:uid="{55E15051-0448-4B36-91F0-FC2E6338375A}"/>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B69FB56D-84D2-418A-998A-AAC3C13E8A3C}"/>
    <cellStyle name="40% - Accent3 2 2 2 5 2 3" xfId="12594" xr:uid="{3E2FDF07-15E3-44A8-B804-6660FFF3FEC7}"/>
    <cellStyle name="40% - Accent3 2 2 2 5 3" xfId="6225" xr:uid="{00000000-0005-0000-0000-000014050000}"/>
    <cellStyle name="40% - Accent3 2 2 2 5 3 2" xfId="14667" xr:uid="{1B300EE8-6174-4069-9A45-3C3B74919CFD}"/>
    <cellStyle name="40% - Accent3 2 2 2 5 4" xfId="10449" xr:uid="{FB08F09E-6738-49F0-A337-6DE71166598A}"/>
    <cellStyle name="40% - Accent3 2 2 2 6" xfId="2331" xr:uid="{00000000-0005-0000-0000-000015050000}"/>
    <cellStyle name="40% - Accent3 2 2 2 6 2" xfId="6638" xr:uid="{00000000-0005-0000-0000-000016050000}"/>
    <cellStyle name="40% - Accent3 2 2 2 6 2 2" xfId="15080" xr:uid="{32D8D168-0D4B-456D-B0C2-3526D77B5FDB}"/>
    <cellStyle name="40% - Accent3 2 2 2 6 3" xfId="10862" xr:uid="{13DC0666-F1CD-44CD-80AF-65A91B11F57A}"/>
    <cellStyle name="40% - Accent3 2 2 2 7" xfId="4572" xr:uid="{00000000-0005-0000-0000-000017050000}"/>
    <cellStyle name="40% - Accent3 2 2 2 7 2" xfId="13014" xr:uid="{AA17B47B-BB55-4492-A8EC-BF5320DEB890}"/>
    <cellStyle name="40% - Accent3 2 2 2 8" xfId="8796" xr:uid="{B76CFE89-EA40-4A77-A9F2-5E6D05EADBE2}"/>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BD175F7-7E4A-401B-90C0-00FF794B0F79}"/>
    <cellStyle name="40% - Accent3 2 2 3 2 3" xfId="11354" xr:uid="{77D384BB-2DE8-4159-98FF-92D092685F6E}"/>
    <cellStyle name="40% - Accent3 2 2 3 3" xfId="4985" xr:uid="{00000000-0005-0000-0000-00001B050000}"/>
    <cellStyle name="40% - Accent3 2 2 3 3 2" xfId="13427" xr:uid="{163A9267-6F2C-4008-930F-0690BE30F33F}"/>
    <cellStyle name="40% - Accent3 2 2 3 4" xfId="9209" xr:uid="{3978E159-6EF9-4767-8D7C-032419DC8E0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FD22197E-4D6B-4F9E-99E9-12D8EB54FCF9}"/>
    <cellStyle name="40% - Accent3 2 2 4 2 3" xfId="11767" xr:uid="{0F9CCE2E-0C74-4685-A1AB-C302A004ADF6}"/>
    <cellStyle name="40% - Accent3 2 2 4 3" xfId="5398" xr:uid="{00000000-0005-0000-0000-00001F050000}"/>
    <cellStyle name="40% - Accent3 2 2 4 3 2" xfId="13840" xr:uid="{7319077C-DB11-4E8D-973F-82075655E508}"/>
    <cellStyle name="40% - Accent3 2 2 4 4" xfId="9622" xr:uid="{954D8389-387C-448C-884B-02E9D4F1A9E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67AD23BA-CE36-4000-8612-28A50BB4398B}"/>
    <cellStyle name="40% - Accent3 2 2 5 2 3" xfId="12180" xr:uid="{41EC9DF3-63F3-42C6-BB25-F6AC78A22FAF}"/>
    <cellStyle name="40% - Accent3 2 2 5 3" xfId="5811" xr:uid="{00000000-0005-0000-0000-000023050000}"/>
    <cellStyle name="40% - Accent3 2 2 5 3 2" xfId="14253" xr:uid="{D6201B03-FB7F-40C7-B625-1D7ABC1B3BAB}"/>
    <cellStyle name="40% - Accent3 2 2 5 4" xfId="10035" xr:uid="{0469F795-9956-4AA8-BA97-731E3F6E9DD2}"/>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EA75D4E5-7F25-4D93-831A-6EA59C728F6B}"/>
    <cellStyle name="40% - Accent3 2 2 6 2 3" xfId="12593" xr:uid="{C4C136D5-692A-4938-BFC2-796FAADF8CB2}"/>
    <cellStyle name="40% - Accent3 2 2 6 3" xfId="6224" xr:uid="{00000000-0005-0000-0000-000027050000}"/>
    <cellStyle name="40% - Accent3 2 2 6 3 2" xfId="14666" xr:uid="{320C0092-96E0-4646-A92E-BC05B96120CE}"/>
    <cellStyle name="40% - Accent3 2 2 6 4" xfId="10448" xr:uid="{6BFDB41B-EF6F-4ED8-9C52-55370792421A}"/>
    <cellStyle name="40% - Accent3 2 2 7" xfId="2330" xr:uid="{00000000-0005-0000-0000-000028050000}"/>
    <cellStyle name="40% - Accent3 2 2 7 2" xfId="6637" xr:uid="{00000000-0005-0000-0000-000029050000}"/>
    <cellStyle name="40% - Accent3 2 2 7 2 2" xfId="15079" xr:uid="{2724D747-AFF7-4D55-8292-51BE0F297717}"/>
    <cellStyle name="40% - Accent3 2 2 7 3" xfId="10861" xr:uid="{D5078597-4A6C-4916-B045-87588000E780}"/>
    <cellStyle name="40% - Accent3 2 2 8" xfId="4571" xr:uid="{00000000-0005-0000-0000-00002A050000}"/>
    <cellStyle name="40% - Accent3 2 2 8 2" xfId="13013" xr:uid="{0BDF6664-2B76-419F-BD31-5880C773B95A}"/>
    <cellStyle name="40% - Accent3 2 2 9" xfId="8795" xr:uid="{82B023A6-EA9B-48EC-98C8-FF10C85ABDCD}"/>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70DFE9DF-6B90-41B1-841E-3375699E89CD}"/>
    <cellStyle name="40% - Accent3 2 3 2 2 3" xfId="11356" xr:uid="{6F976C30-8220-4260-BB3D-5E5BC71FFAFC}"/>
    <cellStyle name="40% - Accent3 2 3 2 3" xfId="4987" xr:uid="{00000000-0005-0000-0000-00002F050000}"/>
    <cellStyle name="40% - Accent3 2 3 2 3 2" xfId="13429" xr:uid="{4368978D-BC52-4DC4-940C-A78B3A6D85AA}"/>
    <cellStyle name="40% - Accent3 2 3 2 4" xfId="9211" xr:uid="{E9863136-AAF9-4C83-8235-4FBB69268078}"/>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4BC40429-61C7-4E3F-A300-5941E068A7FE}"/>
    <cellStyle name="40% - Accent3 2 3 3 2 3" xfId="11769" xr:uid="{263C2001-527E-44D2-88F2-38DD61CE1978}"/>
    <cellStyle name="40% - Accent3 2 3 3 3" xfId="5400" xr:uid="{00000000-0005-0000-0000-000033050000}"/>
    <cellStyle name="40% - Accent3 2 3 3 3 2" xfId="13842" xr:uid="{F9E741B7-A286-42F4-9B19-98A5FEF10E11}"/>
    <cellStyle name="40% - Accent3 2 3 3 4" xfId="9624" xr:uid="{725B8973-8887-4C61-81B7-C61145568225}"/>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2CFFD2B5-ABE5-4870-8723-98EA62F63019}"/>
    <cellStyle name="40% - Accent3 2 3 4 2 3" xfId="12182" xr:uid="{054D8A92-F6E0-4CE2-83B7-01467341208F}"/>
    <cellStyle name="40% - Accent3 2 3 4 3" xfId="5813" xr:uid="{00000000-0005-0000-0000-000037050000}"/>
    <cellStyle name="40% - Accent3 2 3 4 3 2" xfId="14255" xr:uid="{27B62A50-D4A3-4C69-ACA2-A9846B7C1908}"/>
    <cellStyle name="40% - Accent3 2 3 4 4" xfId="10037" xr:uid="{2ABFD302-A54A-4D3C-8722-7A3E92137FA9}"/>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30D08063-C56F-4960-914E-F81EA72EC3A0}"/>
    <cellStyle name="40% - Accent3 2 3 5 2 3" xfId="12595" xr:uid="{A41ADFE6-4B77-4BE3-93BD-E802BF1F7C95}"/>
    <cellStyle name="40% - Accent3 2 3 5 3" xfId="6226" xr:uid="{00000000-0005-0000-0000-00003B050000}"/>
    <cellStyle name="40% - Accent3 2 3 5 3 2" xfId="14668" xr:uid="{A578733D-4AA6-46F5-8CB3-A89C33B6E901}"/>
    <cellStyle name="40% - Accent3 2 3 5 4" xfId="10450" xr:uid="{BD3332B8-4462-4AAB-9050-FBACE91430C2}"/>
    <cellStyle name="40% - Accent3 2 3 6" xfId="2332" xr:uid="{00000000-0005-0000-0000-00003C050000}"/>
    <cellStyle name="40% - Accent3 2 3 6 2" xfId="6639" xr:uid="{00000000-0005-0000-0000-00003D050000}"/>
    <cellStyle name="40% - Accent3 2 3 6 2 2" xfId="15081" xr:uid="{3CFFFCDC-202F-40E7-BD6E-1FB5D6A6CB1F}"/>
    <cellStyle name="40% - Accent3 2 3 6 3" xfId="10863" xr:uid="{028A8289-B25C-40F1-9E4D-BA3769F21BF3}"/>
    <cellStyle name="40% - Accent3 2 3 7" xfId="4573" xr:uid="{00000000-0005-0000-0000-00003E050000}"/>
    <cellStyle name="40% - Accent3 2 3 7 2" xfId="13015" xr:uid="{2922CD10-D5FA-41E2-886C-DBB8C93E122E}"/>
    <cellStyle name="40% - Accent3 2 3 8" xfId="8797" xr:uid="{8D78C362-A81F-4075-BC1C-97A9D91ED2DA}"/>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E4153B93-8FB9-4031-9D91-368D0DCFB75A}"/>
    <cellStyle name="40% - Accent3 2 4 2 3" xfId="11353" xr:uid="{4AAE8710-12D5-4749-B15F-E0F4D2F14BB7}"/>
    <cellStyle name="40% - Accent3 2 4 3" xfId="4984" xr:uid="{00000000-0005-0000-0000-000042050000}"/>
    <cellStyle name="40% - Accent3 2 4 3 2" xfId="13426" xr:uid="{29567A93-4ACC-467E-B75C-91487592AED4}"/>
    <cellStyle name="40% - Accent3 2 4 4" xfId="9208" xr:uid="{BAB2DB73-2979-425F-895D-C6EDB36DEFFF}"/>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46A0BD66-06C4-4CD1-A46A-CFCD0376138C}"/>
    <cellStyle name="40% - Accent3 2 5 2 3" xfId="11766" xr:uid="{E77C5A2A-5D89-458A-8597-6EE96F843AF0}"/>
    <cellStyle name="40% - Accent3 2 5 3" xfId="5397" xr:uid="{00000000-0005-0000-0000-000046050000}"/>
    <cellStyle name="40% - Accent3 2 5 3 2" xfId="13839" xr:uid="{42E6BA5B-3140-44E3-97BD-DB6A2D6326FD}"/>
    <cellStyle name="40% - Accent3 2 5 4" xfId="9621" xr:uid="{ECF77269-68B6-46DA-ABDC-E607C2EAD45E}"/>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BE9B6322-3D4D-4FCC-A867-6C93C403806E}"/>
    <cellStyle name="40% - Accent3 2 6 2 3" xfId="12179" xr:uid="{901D0A6E-42A0-490C-8581-CCCFCFE74914}"/>
    <cellStyle name="40% - Accent3 2 6 3" xfId="5810" xr:uid="{00000000-0005-0000-0000-00004A050000}"/>
    <cellStyle name="40% - Accent3 2 6 3 2" xfId="14252" xr:uid="{2E953FEA-B1FA-4B23-8B87-8598815B85D9}"/>
    <cellStyle name="40% - Accent3 2 6 4" xfId="10034" xr:uid="{E78942B9-0732-4605-A636-18C26FAD43F2}"/>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B0798015-F9ED-4720-B5D0-1C2ACF857C34}"/>
    <cellStyle name="40% - Accent3 2 7 2 3" xfId="12592" xr:uid="{9462728E-FB4A-4F89-A59B-DDB5EB368E65}"/>
    <cellStyle name="40% - Accent3 2 7 3" xfId="6223" xr:uid="{00000000-0005-0000-0000-00004E050000}"/>
    <cellStyle name="40% - Accent3 2 7 3 2" xfId="14665" xr:uid="{41C26210-7D8E-456B-A612-0F74C646AB08}"/>
    <cellStyle name="40% - Accent3 2 7 4" xfId="10447" xr:uid="{333FBC77-F63D-4742-8777-6C49E0AFD799}"/>
    <cellStyle name="40% - Accent3 2 8" xfId="2329" xr:uid="{00000000-0005-0000-0000-00004F050000}"/>
    <cellStyle name="40% - Accent3 2 8 2" xfId="6636" xr:uid="{00000000-0005-0000-0000-000050050000}"/>
    <cellStyle name="40% - Accent3 2 8 2 2" xfId="15078" xr:uid="{22CD17AC-438C-4CB7-9FE2-1CCBC079E3F6}"/>
    <cellStyle name="40% - Accent3 2 8 3" xfId="10860" xr:uid="{9EC6B7FB-5D24-435C-8DCA-DC34787D1C62}"/>
    <cellStyle name="40% - Accent3 2 9" xfId="4570" xr:uid="{00000000-0005-0000-0000-000051050000}"/>
    <cellStyle name="40% - Accent3 2 9 2" xfId="13012" xr:uid="{55F38123-2688-4370-8926-9ED58DBA27B5}"/>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C4B40D6A-3AC2-4798-8405-9E8E6042915D}"/>
    <cellStyle name="40% - Accent3 3 2 2 2 3" xfId="11358" xr:uid="{1858432B-5ACF-477A-A688-399A5FCC445F}"/>
    <cellStyle name="40% - Accent3 3 2 2 3" xfId="4989" xr:uid="{00000000-0005-0000-0000-000057050000}"/>
    <cellStyle name="40% - Accent3 3 2 2 3 2" xfId="13431" xr:uid="{08E4BDC0-F1BD-4937-AEA5-73E566A4C3D9}"/>
    <cellStyle name="40% - Accent3 3 2 2 4" xfId="9213" xr:uid="{9A947E69-D1F7-4284-A552-001FC3651D08}"/>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F44665DD-68F2-4551-928D-DD7CF04D08DF}"/>
    <cellStyle name="40% - Accent3 3 2 3 2 3" xfId="11771" xr:uid="{CA0B8837-83A4-4379-8D1D-A773C8D49E22}"/>
    <cellStyle name="40% - Accent3 3 2 3 3" xfId="5402" xr:uid="{00000000-0005-0000-0000-00005B050000}"/>
    <cellStyle name="40% - Accent3 3 2 3 3 2" xfId="13844" xr:uid="{A0A1FB45-CA7A-444F-8C91-2C3987F30739}"/>
    <cellStyle name="40% - Accent3 3 2 3 4" xfId="9626" xr:uid="{8761944B-D159-4477-8E11-B86B3F172E87}"/>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BD8401E-BB5E-40E5-A945-DD720F69EDB4}"/>
    <cellStyle name="40% - Accent3 3 2 4 2 3" xfId="12184" xr:uid="{4F22D32C-71BB-48D1-B2AA-49FFBE8AC08D}"/>
    <cellStyle name="40% - Accent3 3 2 4 3" xfId="5815" xr:uid="{00000000-0005-0000-0000-00005F050000}"/>
    <cellStyle name="40% - Accent3 3 2 4 3 2" xfId="14257" xr:uid="{08094D1D-06CC-4068-AD3E-69CE3E222C78}"/>
    <cellStyle name="40% - Accent3 3 2 4 4" xfId="10039" xr:uid="{B71233BC-B176-4453-B579-78694619FF60}"/>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0CCE0E9C-B558-4DA1-8B1B-1B68C458A6F7}"/>
    <cellStyle name="40% - Accent3 3 2 5 2 3" xfId="12597" xr:uid="{62CA47D3-6B4B-4B11-BD62-EE915018723D}"/>
    <cellStyle name="40% - Accent3 3 2 5 3" xfId="6228" xr:uid="{00000000-0005-0000-0000-000063050000}"/>
    <cellStyle name="40% - Accent3 3 2 5 3 2" xfId="14670" xr:uid="{6375B341-5BEB-4843-8B15-C3CB9C71B077}"/>
    <cellStyle name="40% - Accent3 3 2 5 4" xfId="10452" xr:uid="{395398EE-2E08-4D11-95D4-C777D6D5102B}"/>
    <cellStyle name="40% - Accent3 3 2 6" xfId="2334" xr:uid="{00000000-0005-0000-0000-000064050000}"/>
    <cellStyle name="40% - Accent3 3 2 6 2" xfId="6641" xr:uid="{00000000-0005-0000-0000-000065050000}"/>
    <cellStyle name="40% - Accent3 3 2 6 2 2" xfId="15083" xr:uid="{E6D9DA9E-7E21-4FD2-9792-0EFA77755A70}"/>
    <cellStyle name="40% - Accent3 3 2 6 3" xfId="10865" xr:uid="{AC2452D4-A8D3-4B0C-BDFB-2359DF5EF2DB}"/>
    <cellStyle name="40% - Accent3 3 2 7" xfId="4575" xr:uid="{00000000-0005-0000-0000-000066050000}"/>
    <cellStyle name="40% - Accent3 3 2 7 2" xfId="13017" xr:uid="{35AD67C1-DFB0-475D-AB1C-0E5CF3DBE360}"/>
    <cellStyle name="40% - Accent3 3 2 8" xfId="8799" xr:uid="{EB3A2C69-14C8-4E0E-9F6F-D6BD3B1C91E3}"/>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4DD45014-AF5E-41BA-A312-5313312907DA}"/>
    <cellStyle name="40% - Accent3 3 3 2 3" xfId="11357" xr:uid="{B260970E-984D-46BC-AE80-DC08F1DC1DD0}"/>
    <cellStyle name="40% - Accent3 3 3 3" xfId="4988" xr:uid="{00000000-0005-0000-0000-00006A050000}"/>
    <cellStyle name="40% - Accent3 3 3 3 2" xfId="13430" xr:uid="{0E28652A-90F4-4ED9-9CBF-1F8291DBC17B}"/>
    <cellStyle name="40% - Accent3 3 3 4" xfId="9212" xr:uid="{B0418865-941D-4854-AE1E-10436633A211}"/>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0EC2EE5C-2304-4AFA-B588-82974A242660}"/>
    <cellStyle name="40% - Accent3 3 4 2 3" xfId="11770" xr:uid="{68F83C3D-2907-43A1-8B48-779E4B18F0E3}"/>
    <cellStyle name="40% - Accent3 3 4 3" xfId="5401" xr:uid="{00000000-0005-0000-0000-00006E050000}"/>
    <cellStyle name="40% - Accent3 3 4 3 2" xfId="13843" xr:uid="{081EB0E6-EDAB-47F5-A146-97AA1A5D1B2E}"/>
    <cellStyle name="40% - Accent3 3 4 4" xfId="9625" xr:uid="{D7EEA573-7638-4F15-AEB8-37E9F754188F}"/>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A00466A-BCA7-4C26-931F-C9E7DBF293A0}"/>
    <cellStyle name="40% - Accent3 3 5 2 3" xfId="12183" xr:uid="{47854844-E563-4650-B598-8EE048508DAB}"/>
    <cellStyle name="40% - Accent3 3 5 3" xfId="5814" xr:uid="{00000000-0005-0000-0000-000072050000}"/>
    <cellStyle name="40% - Accent3 3 5 3 2" xfId="14256" xr:uid="{0B6C8219-6B9F-498C-921A-CD5FF4AAE6BF}"/>
    <cellStyle name="40% - Accent3 3 5 4" xfId="10038" xr:uid="{E45F8119-90BD-4177-ABD2-2AFFE373235D}"/>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857DBCC4-08B6-40AA-9CAB-854AFFF5E490}"/>
    <cellStyle name="40% - Accent3 3 6 2 3" xfId="12596" xr:uid="{3F93F48F-A4E0-439A-8C17-4589BD6AA92B}"/>
    <cellStyle name="40% - Accent3 3 6 3" xfId="6227" xr:uid="{00000000-0005-0000-0000-000076050000}"/>
    <cellStyle name="40% - Accent3 3 6 3 2" xfId="14669" xr:uid="{61FBB264-9F88-438A-89E1-08AAB6A9A5A9}"/>
    <cellStyle name="40% - Accent3 3 6 4" xfId="10451" xr:uid="{C7184592-AF9B-403E-8C29-7BC366D49E21}"/>
    <cellStyle name="40% - Accent3 3 7" xfId="2333" xr:uid="{00000000-0005-0000-0000-000077050000}"/>
    <cellStyle name="40% - Accent3 3 7 2" xfId="6640" xr:uid="{00000000-0005-0000-0000-000078050000}"/>
    <cellStyle name="40% - Accent3 3 7 2 2" xfId="15082" xr:uid="{5C5DD713-A245-4001-9725-27653DAF544C}"/>
    <cellStyle name="40% - Accent3 3 7 3" xfId="10864" xr:uid="{6B23BF9D-A85A-4304-A83D-4844DC9361F2}"/>
    <cellStyle name="40% - Accent3 3 8" xfId="4574" xr:uid="{00000000-0005-0000-0000-000079050000}"/>
    <cellStyle name="40% - Accent3 3 8 2" xfId="13016" xr:uid="{0D2B65E0-6212-4F8E-8A8D-5D738FB786A6}"/>
    <cellStyle name="40% - Accent3 3 9" xfId="8798" xr:uid="{07F9CAD4-0025-440C-8492-9AE3AFDD8426}"/>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85BA5198-9613-407D-BA24-F23980C7F936}"/>
    <cellStyle name="40% - Accent3 4 2 2 3" xfId="11359" xr:uid="{59544424-BBCF-4548-81A8-41F741B6B9E9}"/>
    <cellStyle name="40% - Accent3 4 2 3" xfId="4990" xr:uid="{00000000-0005-0000-0000-00007E050000}"/>
    <cellStyle name="40% - Accent3 4 2 3 2" xfId="13432" xr:uid="{BA871508-2DEA-47BE-9FD6-045121C71EBC}"/>
    <cellStyle name="40% - Accent3 4 2 4" xfId="9214" xr:uid="{30BE2805-76FD-4BE0-AC23-FF46A3D7D036}"/>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904C8A68-ADB5-4FBE-8846-BA0E2213D0AB}"/>
    <cellStyle name="40% - Accent3 4 3 2 3" xfId="11772" xr:uid="{EF53A7A1-F622-40D3-A6E2-04026CBEB5BE}"/>
    <cellStyle name="40% - Accent3 4 3 3" xfId="5403" xr:uid="{00000000-0005-0000-0000-000082050000}"/>
    <cellStyle name="40% - Accent3 4 3 3 2" xfId="13845" xr:uid="{1EF7C0FB-12EC-4970-A6F0-E58CC901BBE6}"/>
    <cellStyle name="40% - Accent3 4 3 4" xfId="9627" xr:uid="{CADB729B-47AF-4DE6-B627-A856111291E0}"/>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4693049E-64C9-44A0-BE3F-FFAAFA8A5BA5}"/>
    <cellStyle name="40% - Accent3 4 4 2 3" xfId="12185" xr:uid="{6D2844C4-8EEA-4C30-B5D1-0C678C74DA1A}"/>
    <cellStyle name="40% - Accent3 4 4 3" xfId="5816" xr:uid="{00000000-0005-0000-0000-000086050000}"/>
    <cellStyle name="40% - Accent3 4 4 3 2" xfId="14258" xr:uid="{C1F2CF37-3054-4D3B-92BA-375AFA4075A0}"/>
    <cellStyle name="40% - Accent3 4 4 4" xfId="10040" xr:uid="{431D65DC-00CC-459D-A1D4-4D163A2D54B4}"/>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6EE3651D-3492-475A-952B-63866EAA6307}"/>
    <cellStyle name="40% - Accent3 4 5 2 3" xfId="12598" xr:uid="{6FCA98A8-9B49-42B3-A383-BCD011175B36}"/>
    <cellStyle name="40% - Accent3 4 5 3" xfId="6229" xr:uid="{00000000-0005-0000-0000-00008A050000}"/>
    <cellStyle name="40% - Accent3 4 5 3 2" xfId="14671" xr:uid="{8055BA8D-788A-4A4A-8229-F4A942F24A8B}"/>
    <cellStyle name="40% - Accent3 4 5 4" xfId="10453" xr:uid="{D97157AB-79FC-4A8B-B1B9-7A91C9C23262}"/>
    <cellStyle name="40% - Accent3 4 6" xfId="2335" xr:uid="{00000000-0005-0000-0000-00008B050000}"/>
    <cellStyle name="40% - Accent3 4 6 2" xfId="6642" xr:uid="{00000000-0005-0000-0000-00008C050000}"/>
    <cellStyle name="40% - Accent3 4 6 2 2" xfId="15084" xr:uid="{A0E03038-B529-4F01-9848-5DD22E77E300}"/>
    <cellStyle name="40% - Accent3 4 6 3" xfId="10866" xr:uid="{1065F932-9909-4EEF-83D6-08D0E1E45769}"/>
    <cellStyle name="40% - Accent3 4 7" xfId="4576" xr:uid="{00000000-0005-0000-0000-00008D050000}"/>
    <cellStyle name="40% - Accent3 4 7 2" xfId="13018" xr:uid="{C12165F5-8ABE-4A9D-965F-7CCC85322277}"/>
    <cellStyle name="40% - Accent3 4 8" xfId="8800" xr:uid="{716093AC-7B96-4F32-83AB-4144692FF5B3}"/>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CB1330E2-DEDD-47AC-BF2E-F9420DAEA2D7}"/>
    <cellStyle name="40% - Accent3 5 2 3" xfId="11352" xr:uid="{5ABDF9E1-8B38-4A39-815F-C29D9065A7B3}"/>
    <cellStyle name="40% - Accent3 5 3" xfId="4983" xr:uid="{00000000-0005-0000-0000-000091050000}"/>
    <cellStyle name="40% - Accent3 5 3 2" xfId="13425" xr:uid="{8D32DB3F-F61B-4A30-A512-E7C4B89617B0}"/>
    <cellStyle name="40% - Accent3 5 4" xfId="9207" xr:uid="{9D1A4E14-7C30-40E2-81C8-DED8A0BA750B}"/>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81C81917-B0A4-4B3F-8D28-4F84D299D730}"/>
    <cellStyle name="40% - Accent3 6 2 3" xfId="11765" xr:uid="{A007CB60-9111-4129-9A9D-FEAB11778EB9}"/>
    <cellStyle name="40% - Accent3 6 3" xfId="5396" xr:uid="{00000000-0005-0000-0000-000095050000}"/>
    <cellStyle name="40% - Accent3 6 3 2" xfId="13838" xr:uid="{EA9985E9-D1C2-46C4-871E-6E01DB00809B}"/>
    <cellStyle name="40% - Accent3 6 4" xfId="9620" xr:uid="{973E36AD-ED8A-4C3A-891D-475E7D3AB954}"/>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3C6C019D-18CD-4028-8E7A-45738E98F0F3}"/>
    <cellStyle name="40% - Accent3 7 2 3" xfId="12178" xr:uid="{D585633B-9935-4EF9-9BB9-99FB0AA0FA15}"/>
    <cellStyle name="40% - Accent3 7 3" xfId="5809" xr:uid="{00000000-0005-0000-0000-000099050000}"/>
    <cellStyle name="40% - Accent3 7 3 2" xfId="14251" xr:uid="{89B801C0-D46A-4E3D-BAA8-25AE80E321F5}"/>
    <cellStyle name="40% - Accent3 7 4" xfId="10033" xr:uid="{F327C0DE-331D-43B5-8422-0C6D59124BC4}"/>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0E90EAB0-E123-4909-9F0C-91B4098593E9}"/>
    <cellStyle name="40% - Accent3 8 2 3" xfId="12591" xr:uid="{A1872F74-97BE-43D6-9C1C-C606A8A2AA1F}"/>
    <cellStyle name="40% - Accent3 8 3" xfId="6222" xr:uid="{00000000-0005-0000-0000-00009D050000}"/>
    <cellStyle name="40% - Accent3 8 3 2" xfId="14664" xr:uid="{698E0652-E717-42D6-ACBA-DD387D64076D}"/>
    <cellStyle name="40% - Accent3 8 4" xfId="10446" xr:uid="{9DAA731C-2F1A-4032-A4B9-854B1F9D9187}"/>
    <cellStyle name="40% - Accent3 9" xfId="2328" xr:uid="{00000000-0005-0000-0000-00009E050000}"/>
    <cellStyle name="40% - Accent3 9 2" xfId="6635" xr:uid="{00000000-0005-0000-0000-00009F050000}"/>
    <cellStyle name="40% - Accent3 9 2 2" xfId="15077" xr:uid="{44671F3B-CB14-4B9C-BDE8-C9700D00D9B5}"/>
    <cellStyle name="40% - Accent3 9 3" xfId="10859" xr:uid="{1EE12587-385D-4EEC-8091-313B1B3643AF}"/>
    <cellStyle name="40% - Accent4" xfId="73" builtinId="43" customBuiltin="1"/>
    <cellStyle name="40% - Accent4 10" xfId="4577" xr:uid="{00000000-0005-0000-0000-0000A1050000}"/>
    <cellStyle name="40% - Accent4 10 2" xfId="13019" xr:uid="{7670D63A-8B41-4CB1-9A27-F4552517BDA3}"/>
    <cellStyle name="40% - Accent4 11" xfId="8801" xr:uid="{EC03B256-9D13-4A8E-A570-0CA52733549F}"/>
    <cellStyle name="40% - Accent4 2" xfId="74" xr:uid="{00000000-0005-0000-0000-0000A2050000}"/>
    <cellStyle name="40% - Accent4 2 10" xfId="8802" xr:uid="{30C35235-4350-49C1-B48D-22301ED0478E}"/>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16884E9C-589E-4C6D-B10F-D48994D4DB69}"/>
    <cellStyle name="40% - Accent4 2 2 2 2 2 3" xfId="11363" xr:uid="{2FDD2A6D-52CE-4930-8153-4DB5090F4AE0}"/>
    <cellStyle name="40% - Accent4 2 2 2 2 3" xfId="4994" xr:uid="{00000000-0005-0000-0000-0000A8050000}"/>
    <cellStyle name="40% - Accent4 2 2 2 2 3 2" xfId="13436" xr:uid="{BBD93060-F50A-48F1-8038-765F3182E25D}"/>
    <cellStyle name="40% - Accent4 2 2 2 2 4" xfId="9218" xr:uid="{2A0D0841-4D47-4DF9-AB02-6FB555541A78}"/>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15B1C315-DE24-4D85-9817-A6ADF7A3E59A}"/>
    <cellStyle name="40% - Accent4 2 2 2 3 2 3" xfId="11776" xr:uid="{56030E48-EA51-4EB3-93A3-8962BB816186}"/>
    <cellStyle name="40% - Accent4 2 2 2 3 3" xfId="5407" xr:uid="{00000000-0005-0000-0000-0000AC050000}"/>
    <cellStyle name="40% - Accent4 2 2 2 3 3 2" xfId="13849" xr:uid="{1F2F8871-965E-4CFC-A5BA-448F15743933}"/>
    <cellStyle name="40% - Accent4 2 2 2 3 4" xfId="9631" xr:uid="{4758C0BD-94C5-4090-9076-2B940EA092BC}"/>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29809B43-3818-4E2C-BFA7-8F70A7565FCC}"/>
    <cellStyle name="40% - Accent4 2 2 2 4 2 3" xfId="12189" xr:uid="{6461C3B1-3377-4058-BE63-355DDDDFC9D0}"/>
    <cellStyle name="40% - Accent4 2 2 2 4 3" xfId="5820" xr:uid="{00000000-0005-0000-0000-0000B0050000}"/>
    <cellStyle name="40% - Accent4 2 2 2 4 3 2" xfId="14262" xr:uid="{1A6C4C17-86C7-4D24-B06D-ADFC0C5E624C}"/>
    <cellStyle name="40% - Accent4 2 2 2 4 4" xfId="10044" xr:uid="{8E1C1473-D99C-49EA-90E4-AB824D872E8A}"/>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DDAEA046-066A-4AC1-8BB0-64B98B98A027}"/>
    <cellStyle name="40% - Accent4 2 2 2 5 2 3" xfId="12602" xr:uid="{BCDC2C19-C358-42ED-86D8-69BB0D97A6C3}"/>
    <cellStyle name="40% - Accent4 2 2 2 5 3" xfId="6233" xr:uid="{00000000-0005-0000-0000-0000B4050000}"/>
    <cellStyle name="40% - Accent4 2 2 2 5 3 2" xfId="14675" xr:uid="{6A2C82EB-E187-466D-A944-2C7656D24797}"/>
    <cellStyle name="40% - Accent4 2 2 2 5 4" xfId="10457" xr:uid="{9A47F71E-AC25-4074-BD22-E8B4051BC611}"/>
    <cellStyle name="40% - Accent4 2 2 2 6" xfId="2339" xr:uid="{00000000-0005-0000-0000-0000B5050000}"/>
    <cellStyle name="40% - Accent4 2 2 2 6 2" xfId="6646" xr:uid="{00000000-0005-0000-0000-0000B6050000}"/>
    <cellStyle name="40% - Accent4 2 2 2 6 2 2" xfId="15088" xr:uid="{33C8758F-89EC-4158-AE76-0904777A8623}"/>
    <cellStyle name="40% - Accent4 2 2 2 6 3" xfId="10870" xr:uid="{4A006507-2014-4629-9D84-4C1BA2F209E4}"/>
    <cellStyle name="40% - Accent4 2 2 2 7" xfId="4580" xr:uid="{00000000-0005-0000-0000-0000B7050000}"/>
    <cellStyle name="40% - Accent4 2 2 2 7 2" xfId="13022" xr:uid="{649761C6-397C-4DC8-9076-9A0E0728E2EF}"/>
    <cellStyle name="40% - Accent4 2 2 2 8" xfId="8804" xr:uid="{D1CC1B6F-BD15-4966-9A4F-10B2BB1DB424}"/>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27A03078-0329-4FE2-8F1D-1C290E9979F8}"/>
    <cellStyle name="40% - Accent4 2 2 3 2 3" xfId="11362" xr:uid="{4A4CAFBC-87DB-4C42-97DE-4CD678BF1DD3}"/>
    <cellStyle name="40% - Accent4 2 2 3 3" xfId="4993" xr:uid="{00000000-0005-0000-0000-0000BB050000}"/>
    <cellStyle name="40% - Accent4 2 2 3 3 2" xfId="13435" xr:uid="{381859FE-B7AA-4B7C-9013-B18E3A01A107}"/>
    <cellStyle name="40% - Accent4 2 2 3 4" xfId="9217" xr:uid="{2A6CE61D-A000-4FCB-8994-76BD48370974}"/>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2F1C9A5F-9279-4CCC-AB9F-50BFFEB81D59}"/>
    <cellStyle name="40% - Accent4 2 2 4 2 3" xfId="11775" xr:uid="{9697A4E2-19F2-4F94-A6C1-1386E42E8EB4}"/>
    <cellStyle name="40% - Accent4 2 2 4 3" xfId="5406" xr:uid="{00000000-0005-0000-0000-0000BF050000}"/>
    <cellStyle name="40% - Accent4 2 2 4 3 2" xfId="13848" xr:uid="{50B6D863-DD58-4C2B-9EC1-A11DE896451F}"/>
    <cellStyle name="40% - Accent4 2 2 4 4" xfId="9630" xr:uid="{DA79AE89-D1FB-4BA5-9C4D-6F92FDC7EC34}"/>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FBD6E86D-6DBE-4E3A-A80C-B9CBFE35DB60}"/>
    <cellStyle name="40% - Accent4 2 2 5 2 3" xfId="12188" xr:uid="{4D311C7E-D65B-4066-BFAF-6A222BCD6F86}"/>
    <cellStyle name="40% - Accent4 2 2 5 3" xfId="5819" xr:uid="{00000000-0005-0000-0000-0000C3050000}"/>
    <cellStyle name="40% - Accent4 2 2 5 3 2" xfId="14261" xr:uid="{3552B955-C42A-4290-92F7-1F04A31448E3}"/>
    <cellStyle name="40% - Accent4 2 2 5 4" xfId="10043" xr:uid="{9E0D30D0-44FB-4E1D-849D-5F708C6A1649}"/>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E2E5FB63-B37B-4DD0-885F-CEB3DA3AE7BC}"/>
    <cellStyle name="40% - Accent4 2 2 6 2 3" xfId="12601" xr:uid="{F169FD13-2C00-44A2-95D6-E52CEA70AEB7}"/>
    <cellStyle name="40% - Accent4 2 2 6 3" xfId="6232" xr:uid="{00000000-0005-0000-0000-0000C7050000}"/>
    <cellStyle name="40% - Accent4 2 2 6 3 2" xfId="14674" xr:uid="{48C133E4-D4B1-4BC0-A99A-4B9ED8CF22F0}"/>
    <cellStyle name="40% - Accent4 2 2 6 4" xfId="10456" xr:uid="{0719D5C0-CF49-43B9-907B-74AD076DC78A}"/>
    <cellStyle name="40% - Accent4 2 2 7" xfId="2338" xr:uid="{00000000-0005-0000-0000-0000C8050000}"/>
    <cellStyle name="40% - Accent4 2 2 7 2" xfId="6645" xr:uid="{00000000-0005-0000-0000-0000C9050000}"/>
    <cellStyle name="40% - Accent4 2 2 7 2 2" xfId="15087" xr:uid="{E9926447-89DD-4955-9B08-0514DF2A9BEE}"/>
    <cellStyle name="40% - Accent4 2 2 7 3" xfId="10869" xr:uid="{C2BC99D7-C0CC-488B-BD20-C7D95DC5E728}"/>
    <cellStyle name="40% - Accent4 2 2 8" xfId="4579" xr:uid="{00000000-0005-0000-0000-0000CA050000}"/>
    <cellStyle name="40% - Accent4 2 2 8 2" xfId="13021" xr:uid="{65AE63A0-186C-4E22-AE93-008754079D08}"/>
    <cellStyle name="40% - Accent4 2 2 9" xfId="8803" xr:uid="{0DA2F32C-0C96-41E0-BBE0-19C2E00F1B53}"/>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B0BF7D29-DE16-4B42-B611-203C0DFB111D}"/>
    <cellStyle name="40% - Accent4 2 3 2 2 3" xfId="11364" xr:uid="{72D2A301-A615-421C-B03D-92313DD88BA3}"/>
    <cellStyle name="40% - Accent4 2 3 2 3" xfId="4995" xr:uid="{00000000-0005-0000-0000-0000CF050000}"/>
    <cellStyle name="40% - Accent4 2 3 2 3 2" xfId="13437" xr:uid="{BE671907-B777-4050-A125-5C5963555E3F}"/>
    <cellStyle name="40% - Accent4 2 3 2 4" xfId="9219" xr:uid="{8E7F6E2C-A841-48A0-BA25-5E39539005C4}"/>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B372AD20-7A15-41D8-BF21-2AAD4DED49DC}"/>
    <cellStyle name="40% - Accent4 2 3 3 2 3" xfId="11777" xr:uid="{96939351-BEDF-4DA6-BFD3-D854BA4A0B22}"/>
    <cellStyle name="40% - Accent4 2 3 3 3" xfId="5408" xr:uid="{00000000-0005-0000-0000-0000D3050000}"/>
    <cellStyle name="40% - Accent4 2 3 3 3 2" xfId="13850" xr:uid="{15476923-8CBC-4E18-9579-218D373D66A4}"/>
    <cellStyle name="40% - Accent4 2 3 3 4" xfId="9632" xr:uid="{6ABD561A-4A7F-4271-A186-75A56340514E}"/>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79F09BE6-1764-4908-AE78-C4F8667BFD0E}"/>
    <cellStyle name="40% - Accent4 2 3 4 2 3" xfId="12190" xr:uid="{CA802636-7368-49B4-B060-0F17BB8D42A0}"/>
    <cellStyle name="40% - Accent4 2 3 4 3" xfId="5821" xr:uid="{00000000-0005-0000-0000-0000D7050000}"/>
    <cellStyle name="40% - Accent4 2 3 4 3 2" xfId="14263" xr:uid="{EC8D544E-B571-42BF-8011-213C1F044AF9}"/>
    <cellStyle name="40% - Accent4 2 3 4 4" xfId="10045" xr:uid="{A0F4D8D9-B5E8-40B4-832F-0EACADF47E70}"/>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9A4CBC07-97F0-4A2E-BFCE-C6434E7916D9}"/>
    <cellStyle name="40% - Accent4 2 3 5 2 3" xfId="12603" xr:uid="{38C87E55-34F4-4143-A101-4A2FB293725F}"/>
    <cellStyle name="40% - Accent4 2 3 5 3" xfId="6234" xr:uid="{00000000-0005-0000-0000-0000DB050000}"/>
    <cellStyle name="40% - Accent4 2 3 5 3 2" xfId="14676" xr:uid="{08AAD2ED-1EF7-41AA-BBA2-3EE6239E4201}"/>
    <cellStyle name="40% - Accent4 2 3 5 4" xfId="10458" xr:uid="{C7782735-E109-41E1-BC05-17BCA339F690}"/>
    <cellStyle name="40% - Accent4 2 3 6" xfId="2340" xr:uid="{00000000-0005-0000-0000-0000DC050000}"/>
    <cellStyle name="40% - Accent4 2 3 6 2" xfId="6647" xr:uid="{00000000-0005-0000-0000-0000DD050000}"/>
    <cellStyle name="40% - Accent4 2 3 6 2 2" xfId="15089" xr:uid="{789ADA18-4887-452D-A223-B46488F5D09B}"/>
    <cellStyle name="40% - Accent4 2 3 6 3" xfId="10871" xr:uid="{4AF0B438-1802-46B6-AD3D-8782D37E92C9}"/>
    <cellStyle name="40% - Accent4 2 3 7" xfId="4581" xr:uid="{00000000-0005-0000-0000-0000DE050000}"/>
    <cellStyle name="40% - Accent4 2 3 7 2" xfId="13023" xr:uid="{F6C947FE-8887-4694-BA45-5392E2676094}"/>
    <cellStyle name="40% - Accent4 2 3 8" xfId="8805" xr:uid="{C88952AB-D08F-4B21-9408-8F7F0D324A0C}"/>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9CDA28B1-0676-4DB5-8FD1-3FA756321828}"/>
    <cellStyle name="40% - Accent4 2 4 2 3" xfId="11361" xr:uid="{84DE2911-F330-48D7-935E-73A31DAF3A06}"/>
    <cellStyle name="40% - Accent4 2 4 3" xfId="4992" xr:uid="{00000000-0005-0000-0000-0000E2050000}"/>
    <cellStyle name="40% - Accent4 2 4 3 2" xfId="13434" xr:uid="{23C48F6F-65C5-4D90-A392-C94B010738E6}"/>
    <cellStyle name="40% - Accent4 2 4 4" xfId="9216" xr:uid="{136A611A-1B2F-4D6B-9B60-1448187B58A8}"/>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7E5FA587-5423-4521-9B78-5AAF35905F11}"/>
    <cellStyle name="40% - Accent4 2 5 2 3" xfId="11774" xr:uid="{A0EAADFB-0001-4408-A867-CD470DB72DAC}"/>
    <cellStyle name="40% - Accent4 2 5 3" xfId="5405" xr:uid="{00000000-0005-0000-0000-0000E6050000}"/>
    <cellStyle name="40% - Accent4 2 5 3 2" xfId="13847" xr:uid="{93E0F53B-344D-427D-84BB-FFF69B1C9053}"/>
    <cellStyle name="40% - Accent4 2 5 4" xfId="9629" xr:uid="{37786B7E-BA89-4CDA-9C98-A6B976EEE803}"/>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5160B7C3-4F8A-4182-87D1-FEC4EB33C2A4}"/>
    <cellStyle name="40% - Accent4 2 6 2 3" xfId="12187" xr:uid="{AF34C085-B012-4209-96B0-7C975F51F74D}"/>
    <cellStyle name="40% - Accent4 2 6 3" xfId="5818" xr:uid="{00000000-0005-0000-0000-0000EA050000}"/>
    <cellStyle name="40% - Accent4 2 6 3 2" xfId="14260" xr:uid="{917E6458-BD48-47BE-839F-37EC9D917C8F}"/>
    <cellStyle name="40% - Accent4 2 6 4" xfId="10042" xr:uid="{8E82638D-2E75-44F1-B6A9-8CC58F39A4C1}"/>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C6E9C631-2DE9-4B41-AA9A-07F02E063236}"/>
    <cellStyle name="40% - Accent4 2 7 2 3" xfId="12600" xr:uid="{96BC11C8-E084-450F-88ED-C0E370422C7E}"/>
    <cellStyle name="40% - Accent4 2 7 3" xfId="6231" xr:uid="{00000000-0005-0000-0000-0000EE050000}"/>
    <cellStyle name="40% - Accent4 2 7 3 2" xfId="14673" xr:uid="{5BFF8670-EFA9-4AB4-9005-7059A4191E12}"/>
    <cellStyle name="40% - Accent4 2 7 4" xfId="10455" xr:uid="{58321CB4-D7A4-42D9-B639-A90A46F5D3F9}"/>
    <cellStyle name="40% - Accent4 2 8" xfId="2337" xr:uid="{00000000-0005-0000-0000-0000EF050000}"/>
    <cellStyle name="40% - Accent4 2 8 2" xfId="6644" xr:uid="{00000000-0005-0000-0000-0000F0050000}"/>
    <cellStyle name="40% - Accent4 2 8 2 2" xfId="15086" xr:uid="{6B727DE8-FBD7-42A7-A9C5-87B745DEE0F3}"/>
    <cellStyle name="40% - Accent4 2 8 3" xfId="10868" xr:uid="{08867EC2-7DE8-4606-B44D-A8D6C578A99A}"/>
    <cellStyle name="40% - Accent4 2 9" xfId="4578" xr:uid="{00000000-0005-0000-0000-0000F1050000}"/>
    <cellStyle name="40% - Accent4 2 9 2" xfId="13020" xr:uid="{3E989C5B-B1DE-4EBE-A7A8-7034AECC69AD}"/>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A7C51AD1-E465-4F62-8365-B5D8D07D0F27}"/>
    <cellStyle name="40% - Accent4 3 2 2 2 3" xfId="11366" xr:uid="{583F2D55-6C35-404B-B02B-E712727FFA71}"/>
    <cellStyle name="40% - Accent4 3 2 2 3" xfId="4997" xr:uid="{00000000-0005-0000-0000-0000F7050000}"/>
    <cellStyle name="40% - Accent4 3 2 2 3 2" xfId="13439" xr:uid="{5C69EDCA-64CF-472E-9DB2-2A3B1A6B7687}"/>
    <cellStyle name="40% - Accent4 3 2 2 4" xfId="9221" xr:uid="{3CFAA284-678D-43AF-9FB5-FD0BD251E4AF}"/>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C97CDE06-35E7-4594-B5D5-8B2C9719B042}"/>
    <cellStyle name="40% - Accent4 3 2 3 2 3" xfId="11779" xr:uid="{1D11FA1D-CA59-43AF-A375-6B87F885774F}"/>
    <cellStyle name="40% - Accent4 3 2 3 3" xfId="5410" xr:uid="{00000000-0005-0000-0000-0000FB050000}"/>
    <cellStyle name="40% - Accent4 3 2 3 3 2" xfId="13852" xr:uid="{08B00C9A-5BBD-47CC-8191-03BEDD6EA041}"/>
    <cellStyle name="40% - Accent4 3 2 3 4" xfId="9634" xr:uid="{50B4AE02-BC5A-4071-89C9-25D47797A747}"/>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3155DA5B-4532-4E5E-8BFE-DBBC007DBBB6}"/>
    <cellStyle name="40% - Accent4 3 2 4 2 3" xfId="12192" xr:uid="{D9264EA3-2B37-4AE6-986B-47E0A6A6D613}"/>
    <cellStyle name="40% - Accent4 3 2 4 3" xfId="5823" xr:uid="{00000000-0005-0000-0000-0000FF050000}"/>
    <cellStyle name="40% - Accent4 3 2 4 3 2" xfId="14265" xr:uid="{EB3237C8-51A8-4724-AD3D-752764AABFE8}"/>
    <cellStyle name="40% - Accent4 3 2 4 4" xfId="10047" xr:uid="{D96766F8-24FC-48C3-A4C0-A1F0B3CE72BD}"/>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5768BDC8-69A3-446E-8904-D41766686763}"/>
    <cellStyle name="40% - Accent4 3 2 5 2 3" xfId="12605" xr:uid="{95156D3F-70A8-423C-846A-FA0673167727}"/>
    <cellStyle name="40% - Accent4 3 2 5 3" xfId="6236" xr:uid="{00000000-0005-0000-0000-000003060000}"/>
    <cellStyle name="40% - Accent4 3 2 5 3 2" xfId="14678" xr:uid="{103C36D0-220A-45FC-9F55-C2259971832E}"/>
    <cellStyle name="40% - Accent4 3 2 5 4" xfId="10460" xr:uid="{8FC11F74-1A40-4901-B5D0-ACE6A649F5FF}"/>
    <cellStyle name="40% - Accent4 3 2 6" xfId="2342" xr:uid="{00000000-0005-0000-0000-000004060000}"/>
    <cellStyle name="40% - Accent4 3 2 6 2" xfId="6649" xr:uid="{00000000-0005-0000-0000-000005060000}"/>
    <cellStyle name="40% - Accent4 3 2 6 2 2" xfId="15091" xr:uid="{696955F3-579A-4012-B377-C63D7FBE83CD}"/>
    <cellStyle name="40% - Accent4 3 2 6 3" xfId="10873" xr:uid="{4EB020A5-8128-4F50-9EBB-DA6F3FF44CF1}"/>
    <cellStyle name="40% - Accent4 3 2 7" xfId="4583" xr:uid="{00000000-0005-0000-0000-000006060000}"/>
    <cellStyle name="40% - Accent4 3 2 7 2" xfId="13025" xr:uid="{4E1A83DD-6718-4EB6-9734-A90C1047D062}"/>
    <cellStyle name="40% - Accent4 3 2 8" xfId="8807" xr:uid="{88EA3930-1216-4DD1-AB8E-4F1E1EED31A3}"/>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AB1CEC07-A8E9-4CF0-9250-07D13A7A13B1}"/>
    <cellStyle name="40% - Accent4 3 3 2 3" xfId="11365" xr:uid="{5E84370D-D43A-4A10-B371-A9AB45150D6B}"/>
    <cellStyle name="40% - Accent4 3 3 3" xfId="4996" xr:uid="{00000000-0005-0000-0000-00000A060000}"/>
    <cellStyle name="40% - Accent4 3 3 3 2" xfId="13438" xr:uid="{C4AFC837-DD73-4EDE-802E-E74562FC125F}"/>
    <cellStyle name="40% - Accent4 3 3 4" xfId="9220" xr:uid="{34A3F7FA-1F7A-4CEC-8D42-E62886F751D7}"/>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F13E187D-92EA-457F-87FC-FF1C04869A8A}"/>
    <cellStyle name="40% - Accent4 3 4 2 3" xfId="11778" xr:uid="{703795FF-5D9D-47B6-BA1D-C0DDEF2C0DD0}"/>
    <cellStyle name="40% - Accent4 3 4 3" xfId="5409" xr:uid="{00000000-0005-0000-0000-00000E060000}"/>
    <cellStyle name="40% - Accent4 3 4 3 2" xfId="13851" xr:uid="{5ACC1721-4669-4AB4-8402-36700355E640}"/>
    <cellStyle name="40% - Accent4 3 4 4" xfId="9633" xr:uid="{7F05EF7C-B6D8-4C39-B2F0-EE641F516841}"/>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841946A3-0B06-43A6-8E84-3AC065D27383}"/>
    <cellStyle name="40% - Accent4 3 5 2 3" xfId="12191" xr:uid="{C0EEAB7E-54D2-4634-B36B-507D6A5BE311}"/>
    <cellStyle name="40% - Accent4 3 5 3" xfId="5822" xr:uid="{00000000-0005-0000-0000-000012060000}"/>
    <cellStyle name="40% - Accent4 3 5 3 2" xfId="14264" xr:uid="{9EF67F79-ED2E-46C8-8393-D324CEAAC23F}"/>
    <cellStyle name="40% - Accent4 3 5 4" xfId="10046" xr:uid="{9910C3D4-DAD5-4F29-9F27-E6FFEB34830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75CD34AD-F53E-4B39-92CF-8CA25A19A514}"/>
    <cellStyle name="40% - Accent4 3 6 2 3" xfId="12604" xr:uid="{F22170BC-97DB-4EBF-AB05-226E4559A198}"/>
    <cellStyle name="40% - Accent4 3 6 3" xfId="6235" xr:uid="{00000000-0005-0000-0000-000016060000}"/>
    <cellStyle name="40% - Accent4 3 6 3 2" xfId="14677" xr:uid="{AB9CB093-1DAE-4F3F-8963-7676DF185F7D}"/>
    <cellStyle name="40% - Accent4 3 6 4" xfId="10459" xr:uid="{AB3A2818-ADAB-4E86-B21F-2DD94D4C8766}"/>
    <cellStyle name="40% - Accent4 3 7" xfId="2341" xr:uid="{00000000-0005-0000-0000-000017060000}"/>
    <cellStyle name="40% - Accent4 3 7 2" xfId="6648" xr:uid="{00000000-0005-0000-0000-000018060000}"/>
    <cellStyle name="40% - Accent4 3 7 2 2" xfId="15090" xr:uid="{55CF16C8-08EF-422D-9754-2DF615B348BA}"/>
    <cellStyle name="40% - Accent4 3 7 3" xfId="10872" xr:uid="{D0053775-9905-4CB8-B674-51FFE623BDEE}"/>
    <cellStyle name="40% - Accent4 3 8" xfId="4582" xr:uid="{00000000-0005-0000-0000-000019060000}"/>
    <cellStyle name="40% - Accent4 3 8 2" xfId="13024" xr:uid="{915035F9-1D59-4405-92FE-D22A66CAB302}"/>
    <cellStyle name="40% - Accent4 3 9" xfId="8806" xr:uid="{2C98247D-27F1-4495-A6F8-A720BE79D873}"/>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182B00CC-F6F8-4D40-8991-9E5A18CCE701}"/>
    <cellStyle name="40% - Accent4 4 2 2 3" xfId="11367" xr:uid="{E38A6A96-BE14-4310-9BE1-4E504CE29392}"/>
    <cellStyle name="40% - Accent4 4 2 3" xfId="4998" xr:uid="{00000000-0005-0000-0000-00001E060000}"/>
    <cellStyle name="40% - Accent4 4 2 3 2" xfId="13440" xr:uid="{F7595531-3D90-4EBD-9975-9073214A2DFA}"/>
    <cellStyle name="40% - Accent4 4 2 4" xfId="9222" xr:uid="{33180DB0-FE1F-4879-A355-8D68116806B4}"/>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0165B809-431D-4A49-9BF2-2084CD7ECFD3}"/>
    <cellStyle name="40% - Accent4 4 3 2 3" xfId="11780" xr:uid="{E6014004-8A8F-41D2-B84D-67616B5C6656}"/>
    <cellStyle name="40% - Accent4 4 3 3" xfId="5411" xr:uid="{00000000-0005-0000-0000-000022060000}"/>
    <cellStyle name="40% - Accent4 4 3 3 2" xfId="13853" xr:uid="{6A658367-7EA7-4604-A612-9BA4321D27E7}"/>
    <cellStyle name="40% - Accent4 4 3 4" xfId="9635" xr:uid="{D05C8E8D-79D1-4EDD-89F2-53808F2DDAA3}"/>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0D11EFF2-2640-42EC-ACE8-38573B6938CF}"/>
    <cellStyle name="40% - Accent4 4 4 2 3" xfId="12193" xr:uid="{B21C8027-22F6-436F-898C-38D3ED08C136}"/>
    <cellStyle name="40% - Accent4 4 4 3" xfId="5824" xr:uid="{00000000-0005-0000-0000-000026060000}"/>
    <cellStyle name="40% - Accent4 4 4 3 2" xfId="14266" xr:uid="{1D4B2570-E904-44BE-A741-C75FAD7208D7}"/>
    <cellStyle name="40% - Accent4 4 4 4" xfId="10048" xr:uid="{72DDC259-99D6-4237-B4D5-3D29F238242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224598DB-8359-4DBB-BA0F-D811D861A155}"/>
    <cellStyle name="40% - Accent4 4 5 2 3" xfId="12606" xr:uid="{2EE3AD1E-698A-497F-A67F-BF4A5CED2D68}"/>
    <cellStyle name="40% - Accent4 4 5 3" xfId="6237" xr:uid="{00000000-0005-0000-0000-00002A060000}"/>
    <cellStyle name="40% - Accent4 4 5 3 2" xfId="14679" xr:uid="{D1D38797-6B6A-40BF-BBBF-9498346FF597}"/>
    <cellStyle name="40% - Accent4 4 5 4" xfId="10461" xr:uid="{D0139B60-208A-4C0F-A36E-396921383132}"/>
    <cellStyle name="40% - Accent4 4 6" xfId="2343" xr:uid="{00000000-0005-0000-0000-00002B060000}"/>
    <cellStyle name="40% - Accent4 4 6 2" xfId="6650" xr:uid="{00000000-0005-0000-0000-00002C060000}"/>
    <cellStyle name="40% - Accent4 4 6 2 2" xfId="15092" xr:uid="{DB4C2A08-4E99-4D27-8F6B-369D93165C23}"/>
    <cellStyle name="40% - Accent4 4 6 3" xfId="10874" xr:uid="{C1704EBD-78A9-4D79-84F8-5D1150467010}"/>
    <cellStyle name="40% - Accent4 4 7" xfId="4584" xr:uid="{00000000-0005-0000-0000-00002D060000}"/>
    <cellStyle name="40% - Accent4 4 7 2" xfId="13026" xr:uid="{DF0DC015-4AA6-463E-9C45-21FA272955AC}"/>
    <cellStyle name="40% - Accent4 4 8" xfId="8808" xr:uid="{6598ADA6-E4CC-4C79-9A6F-9774599300E9}"/>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CFA4A30B-BFE5-40CD-9835-567AF141AF79}"/>
    <cellStyle name="40% - Accent4 5 2 3" xfId="11360" xr:uid="{64BDFB3A-379B-48DF-BC4B-6B8448AACBAF}"/>
    <cellStyle name="40% - Accent4 5 3" xfId="4991" xr:uid="{00000000-0005-0000-0000-000031060000}"/>
    <cellStyle name="40% - Accent4 5 3 2" xfId="13433" xr:uid="{98AA4858-188D-4358-9375-2E1F274F8875}"/>
    <cellStyle name="40% - Accent4 5 4" xfId="9215" xr:uid="{7E114CCC-6B62-44F9-B3FD-D34DFB85124E}"/>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CE655417-68F7-4E3C-8E58-DF1379C2DA5E}"/>
    <cellStyle name="40% - Accent4 6 2 3" xfId="11773" xr:uid="{5078B35F-FD7F-4544-86BB-2C2C0C493CA3}"/>
    <cellStyle name="40% - Accent4 6 3" xfId="5404" xr:uid="{00000000-0005-0000-0000-000035060000}"/>
    <cellStyle name="40% - Accent4 6 3 2" xfId="13846" xr:uid="{91F67B86-6A94-4EDE-A537-191A04549026}"/>
    <cellStyle name="40% - Accent4 6 4" xfId="9628" xr:uid="{CD555DC9-E386-462E-BD8E-3DA8F3171673}"/>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7D79E610-FF36-461A-B3EF-F04AF4589970}"/>
    <cellStyle name="40% - Accent4 7 2 3" xfId="12186" xr:uid="{7F92418B-A58D-4BD6-BF6E-890D16CE7B82}"/>
    <cellStyle name="40% - Accent4 7 3" xfId="5817" xr:uid="{00000000-0005-0000-0000-000039060000}"/>
    <cellStyle name="40% - Accent4 7 3 2" xfId="14259" xr:uid="{CA0D8413-96F9-40DB-9DA3-3FD9451C17EE}"/>
    <cellStyle name="40% - Accent4 7 4" xfId="10041" xr:uid="{F32D9E05-B5EF-41F9-A6F4-4193B4FD2BEC}"/>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D8BE1459-E5AA-4AA4-8343-B4FD9EEB1878}"/>
    <cellStyle name="40% - Accent4 8 2 3" xfId="12599" xr:uid="{C41484C0-8B5A-43A4-9A30-52849A9C7D60}"/>
    <cellStyle name="40% - Accent4 8 3" xfId="6230" xr:uid="{00000000-0005-0000-0000-00003D060000}"/>
    <cellStyle name="40% - Accent4 8 3 2" xfId="14672" xr:uid="{E5045CE1-E679-4965-97A2-3527763A77AF}"/>
    <cellStyle name="40% - Accent4 8 4" xfId="10454" xr:uid="{3D66276F-F0F6-472F-91BF-3EE5EA7FCFA5}"/>
    <cellStyle name="40% - Accent4 9" xfId="2336" xr:uid="{00000000-0005-0000-0000-00003E060000}"/>
    <cellStyle name="40% - Accent4 9 2" xfId="6643" xr:uid="{00000000-0005-0000-0000-00003F060000}"/>
    <cellStyle name="40% - Accent4 9 2 2" xfId="15085" xr:uid="{8C871EEF-9EB4-4249-841A-B737CCEB9968}"/>
    <cellStyle name="40% - Accent4 9 3" xfId="10867" xr:uid="{2A366900-785D-4AE6-B857-AC0697038C88}"/>
    <cellStyle name="40% - Accent5" xfId="81" builtinId="47" customBuiltin="1"/>
    <cellStyle name="40% - Accent5 10" xfId="4585" xr:uid="{00000000-0005-0000-0000-000041060000}"/>
    <cellStyle name="40% - Accent5 10 2" xfId="13027" xr:uid="{01EE5EF5-FFDA-4D1A-9798-E8EFB9DA6838}"/>
    <cellStyle name="40% - Accent5 11" xfId="8809" xr:uid="{EC2222BE-1CCE-4C5D-9A70-7A96B3EC88C5}"/>
    <cellStyle name="40% - Accent5 2" xfId="82" xr:uid="{00000000-0005-0000-0000-000042060000}"/>
    <cellStyle name="40% - Accent5 2 10" xfId="8810" xr:uid="{27CF7FFE-0101-40B7-8E85-E884981E07D9}"/>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27E03B29-0FE4-4A94-9D2D-CFC6B0AC6B30}"/>
    <cellStyle name="40% - Accent5 2 2 2 2 2 3" xfId="11371" xr:uid="{01500F62-00B4-42CE-AED9-6CDE8F466193}"/>
    <cellStyle name="40% - Accent5 2 2 2 2 3" xfId="5002" xr:uid="{00000000-0005-0000-0000-000048060000}"/>
    <cellStyle name="40% - Accent5 2 2 2 2 3 2" xfId="13444" xr:uid="{493FBAD0-C422-408A-BD73-358300A0F3B6}"/>
    <cellStyle name="40% - Accent5 2 2 2 2 4" xfId="9226" xr:uid="{328B0F70-D9DB-43BC-A6C2-9F101E49992F}"/>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5317B3BD-BD02-46ED-9B49-9A3CC10585D2}"/>
    <cellStyle name="40% - Accent5 2 2 2 3 2 3" xfId="11784" xr:uid="{7C2CD3C6-BC9A-43E2-8A97-2C42844A540A}"/>
    <cellStyle name="40% - Accent5 2 2 2 3 3" xfId="5415" xr:uid="{00000000-0005-0000-0000-00004C060000}"/>
    <cellStyle name="40% - Accent5 2 2 2 3 3 2" xfId="13857" xr:uid="{6FD4947B-E08D-4F87-9E9E-F68110AF17E3}"/>
    <cellStyle name="40% - Accent5 2 2 2 3 4" xfId="9639" xr:uid="{CEB8C024-D53E-4779-A134-78A1D0E25BEF}"/>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1F1A44E5-E075-4523-832E-DCFBB4D2997A}"/>
    <cellStyle name="40% - Accent5 2 2 2 4 2 3" xfId="12197" xr:uid="{5A9A746B-82C0-452D-9935-FE671BD13D42}"/>
    <cellStyle name="40% - Accent5 2 2 2 4 3" xfId="5828" xr:uid="{00000000-0005-0000-0000-000050060000}"/>
    <cellStyle name="40% - Accent5 2 2 2 4 3 2" xfId="14270" xr:uid="{93C5F1B9-3EA3-4693-A848-DCDB07C827F9}"/>
    <cellStyle name="40% - Accent5 2 2 2 4 4" xfId="10052" xr:uid="{EEC27B13-4C6B-4A51-B4C5-1ECC75192F23}"/>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C8EDB7C5-C795-42DA-BCF8-F0D487413679}"/>
    <cellStyle name="40% - Accent5 2 2 2 5 2 3" xfId="12610" xr:uid="{C2EB194D-CB19-4303-BB55-F4DB065E706F}"/>
    <cellStyle name="40% - Accent5 2 2 2 5 3" xfId="6241" xr:uid="{00000000-0005-0000-0000-000054060000}"/>
    <cellStyle name="40% - Accent5 2 2 2 5 3 2" xfId="14683" xr:uid="{046C2AD5-D9FC-4E96-BA7C-6191645FC33A}"/>
    <cellStyle name="40% - Accent5 2 2 2 5 4" xfId="10465" xr:uid="{F027A356-A728-4642-B12D-F972E2F1E467}"/>
    <cellStyle name="40% - Accent5 2 2 2 6" xfId="2347" xr:uid="{00000000-0005-0000-0000-000055060000}"/>
    <cellStyle name="40% - Accent5 2 2 2 6 2" xfId="6654" xr:uid="{00000000-0005-0000-0000-000056060000}"/>
    <cellStyle name="40% - Accent5 2 2 2 6 2 2" xfId="15096" xr:uid="{B95BB48F-3679-4413-83CB-8C257FAADEF9}"/>
    <cellStyle name="40% - Accent5 2 2 2 6 3" xfId="10878" xr:uid="{46E3B7F4-4DEB-4CF6-A554-7E273CD779B7}"/>
    <cellStyle name="40% - Accent5 2 2 2 7" xfId="4588" xr:uid="{00000000-0005-0000-0000-000057060000}"/>
    <cellStyle name="40% - Accent5 2 2 2 7 2" xfId="13030" xr:uid="{AEB66C10-1943-404B-93B6-91935260E5B7}"/>
    <cellStyle name="40% - Accent5 2 2 2 8" xfId="8812" xr:uid="{6A1953BE-8FCA-4486-BCF5-41FF2F17612F}"/>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63B0ED32-BE93-44C2-BFC8-756FB95D947F}"/>
    <cellStyle name="40% - Accent5 2 2 3 2 3" xfId="11370" xr:uid="{1A5B4C48-95FF-43E3-B6F4-72A9E690E8A7}"/>
    <cellStyle name="40% - Accent5 2 2 3 3" xfId="5001" xr:uid="{00000000-0005-0000-0000-00005B060000}"/>
    <cellStyle name="40% - Accent5 2 2 3 3 2" xfId="13443" xr:uid="{4EB79985-2086-467A-8E5B-8B0CBBB039B2}"/>
    <cellStyle name="40% - Accent5 2 2 3 4" xfId="9225" xr:uid="{6C836DA0-8809-46BC-AB26-EB97867285FB}"/>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3F27A9EC-A4F6-499E-9323-6F1120C02C3A}"/>
    <cellStyle name="40% - Accent5 2 2 4 2 3" xfId="11783" xr:uid="{70CEEF50-516B-4DCD-8707-18E081697E83}"/>
    <cellStyle name="40% - Accent5 2 2 4 3" xfId="5414" xr:uid="{00000000-0005-0000-0000-00005F060000}"/>
    <cellStyle name="40% - Accent5 2 2 4 3 2" xfId="13856" xr:uid="{C05ABC12-1E0A-4D9A-AB8B-8AC9D9578D71}"/>
    <cellStyle name="40% - Accent5 2 2 4 4" xfId="9638" xr:uid="{F58145FA-2091-46E1-853F-675C738353E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808BA89A-70EC-42EE-9F9A-E62F64456786}"/>
    <cellStyle name="40% - Accent5 2 2 5 2 3" xfId="12196" xr:uid="{025A02E0-CD95-473E-B694-B01833300A8A}"/>
    <cellStyle name="40% - Accent5 2 2 5 3" xfId="5827" xr:uid="{00000000-0005-0000-0000-000063060000}"/>
    <cellStyle name="40% - Accent5 2 2 5 3 2" xfId="14269" xr:uid="{4EB8DAD2-DCD4-44BB-84CB-5E23F2A6CD52}"/>
    <cellStyle name="40% - Accent5 2 2 5 4" xfId="10051" xr:uid="{C4A25497-F26A-42E8-9867-055D5659DF3C}"/>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77674B45-2F4C-403E-A66F-56241C8C5144}"/>
    <cellStyle name="40% - Accent5 2 2 6 2 3" xfId="12609" xr:uid="{9A20E8CA-DE5C-47A3-8FA2-DDDB6BAD8A5F}"/>
    <cellStyle name="40% - Accent5 2 2 6 3" xfId="6240" xr:uid="{00000000-0005-0000-0000-000067060000}"/>
    <cellStyle name="40% - Accent5 2 2 6 3 2" xfId="14682" xr:uid="{1DC5C28C-83F3-4DCF-AFDD-994591BA11F1}"/>
    <cellStyle name="40% - Accent5 2 2 6 4" xfId="10464" xr:uid="{CFB6E44F-41A7-4712-9389-719B76E0F0DC}"/>
    <cellStyle name="40% - Accent5 2 2 7" xfId="2346" xr:uid="{00000000-0005-0000-0000-000068060000}"/>
    <cellStyle name="40% - Accent5 2 2 7 2" xfId="6653" xr:uid="{00000000-0005-0000-0000-000069060000}"/>
    <cellStyle name="40% - Accent5 2 2 7 2 2" xfId="15095" xr:uid="{2AAED59C-02CB-4D36-A40B-1C20B4E7579E}"/>
    <cellStyle name="40% - Accent5 2 2 7 3" xfId="10877" xr:uid="{86FCD468-38FA-4B42-B24D-F2EAC4BA7117}"/>
    <cellStyle name="40% - Accent5 2 2 8" xfId="4587" xr:uid="{00000000-0005-0000-0000-00006A060000}"/>
    <cellStyle name="40% - Accent5 2 2 8 2" xfId="13029" xr:uid="{92118EC3-8970-489B-AFF3-5976AB809B6D}"/>
    <cellStyle name="40% - Accent5 2 2 9" xfId="8811" xr:uid="{9D0DAAD9-DCF8-4DC8-A996-3934E61B4626}"/>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756A629B-61B5-4E94-953B-E2FF422A3717}"/>
    <cellStyle name="40% - Accent5 2 3 2 2 3" xfId="11372" xr:uid="{99A55525-3677-499B-A2AA-D72383388FEB}"/>
    <cellStyle name="40% - Accent5 2 3 2 3" xfId="5003" xr:uid="{00000000-0005-0000-0000-00006F060000}"/>
    <cellStyle name="40% - Accent5 2 3 2 3 2" xfId="13445" xr:uid="{6A29C8AB-9CE8-4834-A507-38111E776CA7}"/>
    <cellStyle name="40% - Accent5 2 3 2 4" xfId="9227" xr:uid="{1915A2B9-DE8F-4773-AE0A-486D3070F51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CE7AA518-D88E-42C6-9C1D-C2695E4C2B55}"/>
    <cellStyle name="40% - Accent5 2 3 3 2 3" xfId="11785" xr:uid="{FA1B2D29-A575-4B29-9D86-C787D88F4A6F}"/>
    <cellStyle name="40% - Accent5 2 3 3 3" xfId="5416" xr:uid="{00000000-0005-0000-0000-000073060000}"/>
    <cellStyle name="40% - Accent5 2 3 3 3 2" xfId="13858" xr:uid="{F4D800FC-6741-49EA-84C6-10C47ECD89F5}"/>
    <cellStyle name="40% - Accent5 2 3 3 4" xfId="9640" xr:uid="{13B4E7A6-295D-436A-91D7-CE9BC351468B}"/>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1F5C302E-5DAF-4256-9C0A-4EE4B6FB424E}"/>
    <cellStyle name="40% - Accent5 2 3 4 2 3" xfId="12198" xr:uid="{C0A42A14-D987-458B-85AA-11CDAAD92A03}"/>
    <cellStyle name="40% - Accent5 2 3 4 3" xfId="5829" xr:uid="{00000000-0005-0000-0000-000077060000}"/>
    <cellStyle name="40% - Accent5 2 3 4 3 2" xfId="14271" xr:uid="{1DEAC120-C899-404A-A3C4-10B0D9CABB7D}"/>
    <cellStyle name="40% - Accent5 2 3 4 4" xfId="10053" xr:uid="{17A13504-9EA1-4A9F-ACAD-8AAFA896D26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4B729812-1B87-4F65-969D-639D26025D0C}"/>
    <cellStyle name="40% - Accent5 2 3 5 2 3" xfId="12611" xr:uid="{A7864A8B-6A36-4C33-8FCB-CC1034F8403F}"/>
    <cellStyle name="40% - Accent5 2 3 5 3" xfId="6242" xr:uid="{00000000-0005-0000-0000-00007B060000}"/>
    <cellStyle name="40% - Accent5 2 3 5 3 2" xfId="14684" xr:uid="{23C59944-AC05-46E4-ADC0-C8D583A71ABB}"/>
    <cellStyle name="40% - Accent5 2 3 5 4" xfId="10466" xr:uid="{9FBE8199-86E7-4316-90EA-CB1F86D909E0}"/>
    <cellStyle name="40% - Accent5 2 3 6" xfId="2348" xr:uid="{00000000-0005-0000-0000-00007C060000}"/>
    <cellStyle name="40% - Accent5 2 3 6 2" xfId="6655" xr:uid="{00000000-0005-0000-0000-00007D060000}"/>
    <cellStyle name="40% - Accent5 2 3 6 2 2" xfId="15097" xr:uid="{FCD35156-E4C9-4F5A-94EE-70CD86AB6B28}"/>
    <cellStyle name="40% - Accent5 2 3 6 3" xfId="10879" xr:uid="{F0E61C3B-515E-40E5-8C5C-B8E7E6EB5559}"/>
    <cellStyle name="40% - Accent5 2 3 7" xfId="4589" xr:uid="{00000000-0005-0000-0000-00007E060000}"/>
    <cellStyle name="40% - Accent5 2 3 7 2" xfId="13031" xr:uid="{B77240D7-C333-4343-89DD-043157EEC5F2}"/>
    <cellStyle name="40% - Accent5 2 3 8" xfId="8813" xr:uid="{18199FBB-6743-4DB9-A19D-B9C348361956}"/>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2193C002-0923-4DF0-99BE-2EA1E2A64561}"/>
    <cellStyle name="40% - Accent5 2 4 2 3" xfId="11369" xr:uid="{27F922FB-4944-4E1D-9A02-2C2A00ADBD0A}"/>
    <cellStyle name="40% - Accent5 2 4 3" xfId="5000" xr:uid="{00000000-0005-0000-0000-000082060000}"/>
    <cellStyle name="40% - Accent5 2 4 3 2" xfId="13442" xr:uid="{44D05E45-215C-4792-85D0-9228CACBD563}"/>
    <cellStyle name="40% - Accent5 2 4 4" xfId="9224" xr:uid="{2DCFE179-B0AA-4E0F-9695-4A29A169DBF4}"/>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68CC4918-3E2E-49DD-B9BD-0ACCE7F86B6B}"/>
    <cellStyle name="40% - Accent5 2 5 2 3" xfId="11782" xr:uid="{BE5CCB46-13DE-4310-A6EC-192E58B165D3}"/>
    <cellStyle name="40% - Accent5 2 5 3" xfId="5413" xr:uid="{00000000-0005-0000-0000-000086060000}"/>
    <cellStyle name="40% - Accent5 2 5 3 2" xfId="13855" xr:uid="{61B9F7FD-C9F6-4AE6-84DB-6D8904EDF5DD}"/>
    <cellStyle name="40% - Accent5 2 5 4" xfId="9637" xr:uid="{09A811E1-A79B-47A3-8AFA-624CC3436C34}"/>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6FB823B1-6965-4CEC-A6F4-30AE08BAB558}"/>
    <cellStyle name="40% - Accent5 2 6 2 3" xfId="12195" xr:uid="{4A572FEE-F5F2-400A-B9F9-2960512C3C84}"/>
    <cellStyle name="40% - Accent5 2 6 3" xfId="5826" xr:uid="{00000000-0005-0000-0000-00008A060000}"/>
    <cellStyle name="40% - Accent5 2 6 3 2" xfId="14268" xr:uid="{0769FF92-785F-4589-97C3-6D8DD5534489}"/>
    <cellStyle name="40% - Accent5 2 6 4" xfId="10050" xr:uid="{E938E3D5-557B-42D9-85B7-A92454863CC9}"/>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4ADDF2DD-3842-413F-AE1A-FC67E4565C1A}"/>
    <cellStyle name="40% - Accent5 2 7 2 3" xfId="12608" xr:uid="{D026E224-12A8-4381-AE6D-E911F1B1102A}"/>
    <cellStyle name="40% - Accent5 2 7 3" xfId="6239" xr:uid="{00000000-0005-0000-0000-00008E060000}"/>
    <cellStyle name="40% - Accent5 2 7 3 2" xfId="14681" xr:uid="{9E736C35-F23F-4414-B139-9C77E4AB7A94}"/>
    <cellStyle name="40% - Accent5 2 7 4" xfId="10463" xr:uid="{B9462562-9598-4340-8E91-E74DA8A59FA0}"/>
    <cellStyle name="40% - Accent5 2 8" xfId="2345" xr:uid="{00000000-0005-0000-0000-00008F060000}"/>
    <cellStyle name="40% - Accent5 2 8 2" xfId="6652" xr:uid="{00000000-0005-0000-0000-000090060000}"/>
    <cellStyle name="40% - Accent5 2 8 2 2" xfId="15094" xr:uid="{6E32175A-0484-40B0-AE81-E40D57281B9A}"/>
    <cellStyle name="40% - Accent5 2 8 3" xfId="10876" xr:uid="{B9462C7E-940B-4680-A565-4646B71A4D5F}"/>
    <cellStyle name="40% - Accent5 2 9" xfId="4586" xr:uid="{00000000-0005-0000-0000-000091060000}"/>
    <cellStyle name="40% - Accent5 2 9 2" xfId="13028" xr:uid="{A494D461-2209-4544-838F-5914E3DD1228}"/>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C8DA2E23-B658-4968-AE5C-F4B3C19DB0F1}"/>
    <cellStyle name="40% - Accent5 3 2 2 2 3" xfId="11374" xr:uid="{1468BEEA-9DD0-4698-AAD1-E9AFCC0EE850}"/>
    <cellStyle name="40% - Accent5 3 2 2 3" xfId="5005" xr:uid="{00000000-0005-0000-0000-000097060000}"/>
    <cellStyle name="40% - Accent5 3 2 2 3 2" xfId="13447" xr:uid="{CC76E805-F85F-460D-8829-55D60D28786A}"/>
    <cellStyle name="40% - Accent5 3 2 2 4" xfId="9229" xr:uid="{B3C711DE-7BB3-4809-803B-D63634FA8C0D}"/>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3E7D2C0-2C53-42FE-A8A2-232180CC1260}"/>
    <cellStyle name="40% - Accent5 3 2 3 2 3" xfId="11787" xr:uid="{D2A330BA-E15B-4404-B526-D4E3632AFD1B}"/>
    <cellStyle name="40% - Accent5 3 2 3 3" xfId="5418" xr:uid="{00000000-0005-0000-0000-00009B060000}"/>
    <cellStyle name="40% - Accent5 3 2 3 3 2" xfId="13860" xr:uid="{2F7D2BDA-20A9-4706-BC5C-067CA415B769}"/>
    <cellStyle name="40% - Accent5 3 2 3 4" xfId="9642" xr:uid="{C0AB0A05-B7DA-4360-85D1-887128D20E05}"/>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09A5B53D-9C2D-41DC-B796-2AEE7129A496}"/>
    <cellStyle name="40% - Accent5 3 2 4 2 3" xfId="12200" xr:uid="{B787AA3E-32EF-4714-86FB-DEC91A903D30}"/>
    <cellStyle name="40% - Accent5 3 2 4 3" xfId="5831" xr:uid="{00000000-0005-0000-0000-00009F060000}"/>
    <cellStyle name="40% - Accent5 3 2 4 3 2" xfId="14273" xr:uid="{E9798487-901A-4288-9876-5C859D4CD534}"/>
    <cellStyle name="40% - Accent5 3 2 4 4" xfId="10055" xr:uid="{80FCD015-0EF4-49CD-84D1-186F7CBD1633}"/>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DEF6E924-F385-4072-AB87-98B024D06124}"/>
    <cellStyle name="40% - Accent5 3 2 5 2 3" xfId="12613" xr:uid="{158555B6-C6C7-4921-8165-6E176D74E7F8}"/>
    <cellStyle name="40% - Accent5 3 2 5 3" xfId="6244" xr:uid="{00000000-0005-0000-0000-0000A3060000}"/>
    <cellStyle name="40% - Accent5 3 2 5 3 2" xfId="14686" xr:uid="{A18588FE-B9B6-48B6-AA7F-07C834C0E518}"/>
    <cellStyle name="40% - Accent5 3 2 5 4" xfId="10468" xr:uid="{E444391E-A264-4D78-9FA4-1F652D0C4596}"/>
    <cellStyle name="40% - Accent5 3 2 6" xfId="2350" xr:uid="{00000000-0005-0000-0000-0000A4060000}"/>
    <cellStyle name="40% - Accent5 3 2 6 2" xfId="6657" xr:uid="{00000000-0005-0000-0000-0000A5060000}"/>
    <cellStyle name="40% - Accent5 3 2 6 2 2" xfId="15099" xr:uid="{5CADBB87-2954-4969-99E5-C483C18AF69E}"/>
    <cellStyle name="40% - Accent5 3 2 6 3" xfId="10881" xr:uid="{F14B4581-7A09-499D-9E24-A570561A9692}"/>
    <cellStyle name="40% - Accent5 3 2 7" xfId="4591" xr:uid="{00000000-0005-0000-0000-0000A6060000}"/>
    <cellStyle name="40% - Accent5 3 2 7 2" xfId="13033" xr:uid="{2B105F51-F252-4DAA-91CA-B6B9FD405A0D}"/>
    <cellStyle name="40% - Accent5 3 2 8" xfId="8815" xr:uid="{B6F119E9-2AB7-4DD8-9AE4-658AEF69D213}"/>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C21BEA66-45A9-4762-8C7E-D5B95F4DA17A}"/>
    <cellStyle name="40% - Accent5 3 3 2 3" xfId="11373" xr:uid="{DD1EAE8A-73BA-452B-A8B7-A1FCCBA76C29}"/>
    <cellStyle name="40% - Accent5 3 3 3" xfId="5004" xr:uid="{00000000-0005-0000-0000-0000AA060000}"/>
    <cellStyle name="40% - Accent5 3 3 3 2" xfId="13446" xr:uid="{8BA5A194-F442-4DE3-A7D4-09B9FAC88938}"/>
    <cellStyle name="40% - Accent5 3 3 4" xfId="9228" xr:uid="{AC230C65-4F00-42D0-B650-DC3D00C047DD}"/>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5C69DF00-8287-41D9-B980-8642756D95AB}"/>
    <cellStyle name="40% - Accent5 3 4 2 3" xfId="11786" xr:uid="{09EB9A3F-2FDE-4B95-A2E3-9F57D18AE098}"/>
    <cellStyle name="40% - Accent5 3 4 3" xfId="5417" xr:uid="{00000000-0005-0000-0000-0000AE060000}"/>
    <cellStyle name="40% - Accent5 3 4 3 2" xfId="13859" xr:uid="{741CFB54-8341-4518-ABEC-0C1BE978990A}"/>
    <cellStyle name="40% - Accent5 3 4 4" xfId="9641" xr:uid="{F9690A65-B0C2-428E-B27D-C31DBC9D0887}"/>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D7167FE8-7FBB-46EB-B163-BA1891F402F7}"/>
    <cellStyle name="40% - Accent5 3 5 2 3" xfId="12199" xr:uid="{986B2384-7591-4CD9-80AB-B98A7F631412}"/>
    <cellStyle name="40% - Accent5 3 5 3" xfId="5830" xr:uid="{00000000-0005-0000-0000-0000B2060000}"/>
    <cellStyle name="40% - Accent5 3 5 3 2" xfId="14272" xr:uid="{FB22D510-F667-48A3-85EE-1F9B9881ECA2}"/>
    <cellStyle name="40% - Accent5 3 5 4" xfId="10054" xr:uid="{CB2E5C1D-80EA-485D-A2F9-39E0DAAF994E}"/>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972283F8-DA8E-4833-9A15-B53A4D1AD5F4}"/>
    <cellStyle name="40% - Accent5 3 6 2 3" xfId="12612" xr:uid="{1E9179E9-D809-46AC-B4BE-1D79DB088A5E}"/>
    <cellStyle name="40% - Accent5 3 6 3" xfId="6243" xr:uid="{00000000-0005-0000-0000-0000B6060000}"/>
    <cellStyle name="40% - Accent5 3 6 3 2" xfId="14685" xr:uid="{3B1C885F-4F7B-480B-BADF-02E0CFDBB6CB}"/>
    <cellStyle name="40% - Accent5 3 6 4" xfId="10467" xr:uid="{BE0F8956-21A8-4ABA-9016-05022D0BD993}"/>
    <cellStyle name="40% - Accent5 3 7" xfId="2349" xr:uid="{00000000-0005-0000-0000-0000B7060000}"/>
    <cellStyle name="40% - Accent5 3 7 2" xfId="6656" xr:uid="{00000000-0005-0000-0000-0000B8060000}"/>
    <cellStyle name="40% - Accent5 3 7 2 2" xfId="15098" xr:uid="{5D34BD43-B460-4B27-ABB8-7FF8D1DE242F}"/>
    <cellStyle name="40% - Accent5 3 7 3" xfId="10880" xr:uid="{D855FC62-C539-441F-B77A-A21C8DD6E4F4}"/>
    <cellStyle name="40% - Accent5 3 8" xfId="4590" xr:uid="{00000000-0005-0000-0000-0000B9060000}"/>
    <cellStyle name="40% - Accent5 3 8 2" xfId="13032" xr:uid="{4D4AC431-5E63-4E7B-93EF-206B7C4B91BD}"/>
    <cellStyle name="40% - Accent5 3 9" xfId="8814" xr:uid="{80853FAA-2C81-4F12-A425-1EEB3B98CF3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C861755C-A403-4B1A-A420-92B6DEC2F61C}"/>
    <cellStyle name="40% - Accent5 4 2 2 3" xfId="11375" xr:uid="{F8A6FFB9-AACD-407F-ADCC-99B042CEAEB5}"/>
    <cellStyle name="40% - Accent5 4 2 3" xfId="5006" xr:uid="{00000000-0005-0000-0000-0000BE060000}"/>
    <cellStyle name="40% - Accent5 4 2 3 2" xfId="13448" xr:uid="{B7DF7407-5CF8-4FC7-92D1-29389B3F0574}"/>
    <cellStyle name="40% - Accent5 4 2 4" xfId="9230" xr:uid="{2D56E501-91AF-4D55-B980-930540305264}"/>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12BC5B1E-9B9D-4524-8343-BEE71BC58196}"/>
    <cellStyle name="40% - Accent5 4 3 2 3" xfId="11788" xr:uid="{55969581-902E-42DA-8208-518358DF210C}"/>
    <cellStyle name="40% - Accent5 4 3 3" xfId="5419" xr:uid="{00000000-0005-0000-0000-0000C2060000}"/>
    <cellStyle name="40% - Accent5 4 3 3 2" xfId="13861" xr:uid="{C0553086-9FB8-4AC2-B770-DB74EBE57E98}"/>
    <cellStyle name="40% - Accent5 4 3 4" xfId="9643" xr:uid="{9DD97BB5-1196-48E7-9D41-27FB7903CBE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049A516B-3EF1-4F27-B00D-30DB100C38AF}"/>
    <cellStyle name="40% - Accent5 4 4 2 3" xfId="12201" xr:uid="{642CAEC4-407E-4A3D-A8D3-BE143B2929D3}"/>
    <cellStyle name="40% - Accent5 4 4 3" xfId="5832" xr:uid="{00000000-0005-0000-0000-0000C6060000}"/>
    <cellStyle name="40% - Accent5 4 4 3 2" xfId="14274" xr:uid="{9104C2BD-3673-4227-A3DC-E7D652481DB8}"/>
    <cellStyle name="40% - Accent5 4 4 4" xfId="10056" xr:uid="{4D11C548-E18E-455D-882F-8D9A63DCD3DD}"/>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A16D2470-F85D-40A8-BB1C-AF122BC4B426}"/>
    <cellStyle name="40% - Accent5 4 5 2 3" xfId="12614" xr:uid="{5425CA14-646E-49BD-B78E-665AFEE86632}"/>
    <cellStyle name="40% - Accent5 4 5 3" xfId="6245" xr:uid="{00000000-0005-0000-0000-0000CA060000}"/>
    <cellStyle name="40% - Accent5 4 5 3 2" xfId="14687" xr:uid="{7AE582BD-59F7-4F10-8289-CC75EC156806}"/>
    <cellStyle name="40% - Accent5 4 5 4" xfId="10469" xr:uid="{4BDDAD7F-3544-4AA3-A2EC-AA311CCF8E6D}"/>
    <cellStyle name="40% - Accent5 4 6" xfId="2351" xr:uid="{00000000-0005-0000-0000-0000CB060000}"/>
    <cellStyle name="40% - Accent5 4 6 2" xfId="6658" xr:uid="{00000000-0005-0000-0000-0000CC060000}"/>
    <cellStyle name="40% - Accent5 4 6 2 2" xfId="15100" xr:uid="{51BB8BD8-7B84-489B-B3B3-F62F02AB6941}"/>
    <cellStyle name="40% - Accent5 4 6 3" xfId="10882" xr:uid="{1378E885-BEC5-45C1-B298-8A9F00C5F7E4}"/>
    <cellStyle name="40% - Accent5 4 7" xfId="4592" xr:uid="{00000000-0005-0000-0000-0000CD060000}"/>
    <cellStyle name="40% - Accent5 4 7 2" xfId="13034" xr:uid="{B8836EDD-FBEC-42FE-B9DA-F9FFFE8B4D76}"/>
    <cellStyle name="40% - Accent5 4 8" xfId="8816" xr:uid="{81FFEB4F-75BD-43F2-B413-E4696563597A}"/>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C32457E9-1F6D-4E06-A31A-B724F73285E3}"/>
    <cellStyle name="40% - Accent5 5 2 3" xfId="11368" xr:uid="{7ACF890E-872C-469A-9DDD-3659FD58BA86}"/>
    <cellStyle name="40% - Accent5 5 3" xfId="4999" xr:uid="{00000000-0005-0000-0000-0000D1060000}"/>
    <cellStyle name="40% - Accent5 5 3 2" xfId="13441" xr:uid="{3D330D7D-2A74-4C1A-B86E-98E96492D7C0}"/>
    <cellStyle name="40% - Accent5 5 4" xfId="9223" xr:uid="{1B86B8FA-49FB-4D43-9CA4-1ACAD94148A6}"/>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A6A195FF-E604-4C50-A9C8-F216F4301C1F}"/>
    <cellStyle name="40% - Accent5 6 2 3" xfId="11781" xr:uid="{9884C0EC-3A66-4ECA-AE6A-9FAED3EBD06E}"/>
    <cellStyle name="40% - Accent5 6 3" xfId="5412" xr:uid="{00000000-0005-0000-0000-0000D5060000}"/>
    <cellStyle name="40% - Accent5 6 3 2" xfId="13854" xr:uid="{8BB6DDAF-AB7B-4EB9-B9ED-773F403A11B7}"/>
    <cellStyle name="40% - Accent5 6 4" xfId="9636" xr:uid="{28DF21FB-6565-48CB-93F2-33BF19B9F4E5}"/>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2EEBDEE-D02A-47AA-8CE8-4201101D6413}"/>
    <cellStyle name="40% - Accent5 7 2 3" xfId="12194" xr:uid="{707A6805-AFE1-4AAD-97BD-FB04D288407C}"/>
    <cellStyle name="40% - Accent5 7 3" xfId="5825" xr:uid="{00000000-0005-0000-0000-0000D9060000}"/>
    <cellStyle name="40% - Accent5 7 3 2" xfId="14267" xr:uid="{94EA1230-D8E3-47F4-844B-7D26F0170E7D}"/>
    <cellStyle name="40% - Accent5 7 4" xfId="10049" xr:uid="{705FAEE6-FC56-4C63-A434-20C9E0282602}"/>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DBF87D33-4E1C-432B-8FA8-57769A165A56}"/>
    <cellStyle name="40% - Accent5 8 2 3" xfId="12607" xr:uid="{E0D1F118-3FE5-479F-AE95-061940617970}"/>
    <cellStyle name="40% - Accent5 8 3" xfId="6238" xr:uid="{00000000-0005-0000-0000-0000DD060000}"/>
    <cellStyle name="40% - Accent5 8 3 2" xfId="14680" xr:uid="{99AAD816-274F-4768-9A81-34B662322C5B}"/>
    <cellStyle name="40% - Accent5 8 4" xfId="10462" xr:uid="{A94094BE-817C-4097-B82F-29AAF1C1CA80}"/>
    <cellStyle name="40% - Accent5 9" xfId="2344" xr:uid="{00000000-0005-0000-0000-0000DE060000}"/>
    <cellStyle name="40% - Accent5 9 2" xfId="6651" xr:uid="{00000000-0005-0000-0000-0000DF060000}"/>
    <cellStyle name="40% - Accent5 9 2 2" xfId="15093" xr:uid="{F84A7247-C4B2-4D34-97A2-AB3B8FBF7771}"/>
    <cellStyle name="40% - Accent5 9 3" xfId="10875" xr:uid="{A2BBC0A5-0628-4A6B-82ED-6D6A96CBE784}"/>
    <cellStyle name="40% - Accent6" xfId="89" builtinId="51" customBuiltin="1"/>
    <cellStyle name="40% - Accent6 10" xfId="4593" xr:uid="{00000000-0005-0000-0000-0000E1060000}"/>
    <cellStyle name="40% - Accent6 10 2" xfId="13035" xr:uid="{2F2CF173-1C71-4083-B970-AE4D907351E8}"/>
    <cellStyle name="40% - Accent6 11" xfId="8817" xr:uid="{386504AD-1740-4827-B926-2F8CFC6FE303}"/>
    <cellStyle name="40% - Accent6 2" xfId="90" xr:uid="{00000000-0005-0000-0000-0000E2060000}"/>
    <cellStyle name="40% - Accent6 2 10" xfId="8818" xr:uid="{28C7D513-45CB-4441-8ABE-0BA704FCA60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800BCBB6-EE5E-4FE7-9553-DA3372E787AF}"/>
    <cellStyle name="40% - Accent6 2 2 2 2 2 3" xfId="11379" xr:uid="{DFB903E7-B533-4D6F-BD1C-DB2E17D761E3}"/>
    <cellStyle name="40% - Accent6 2 2 2 2 3" xfId="5010" xr:uid="{00000000-0005-0000-0000-0000E8060000}"/>
    <cellStyle name="40% - Accent6 2 2 2 2 3 2" xfId="13452" xr:uid="{DB322DBD-4D5C-4E3D-8293-D9278B6E4BC9}"/>
    <cellStyle name="40% - Accent6 2 2 2 2 4" xfId="9234" xr:uid="{8ED0182E-7660-4C95-B41A-6A3B5AF9E8DE}"/>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40382563-F43F-4225-9A96-9413DB281BB8}"/>
    <cellStyle name="40% - Accent6 2 2 2 3 2 3" xfId="11792" xr:uid="{92E5D543-BCA1-4F14-A183-902620F66BDB}"/>
    <cellStyle name="40% - Accent6 2 2 2 3 3" xfId="5423" xr:uid="{00000000-0005-0000-0000-0000EC060000}"/>
    <cellStyle name="40% - Accent6 2 2 2 3 3 2" xfId="13865" xr:uid="{237AB948-2ECE-4C1B-A16F-F13FE288A931}"/>
    <cellStyle name="40% - Accent6 2 2 2 3 4" xfId="9647" xr:uid="{86F9FAD3-FDDF-4117-8C28-69D8A68EE1D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B540443C-0B8F-43F7-A08B-1B808519A8F9}"/>
    <cellStyle name="40% - Accent6 2 2 2 4 2 3" xfId="12205" xr:uid="{00663CCA-7157-49CD-81D3-203C21A8D972}"/>
    <cellStyle name="40% - Accent6 2 2 2 4 3" xfId="5836" xr:uid="{00000000-0005-0000-0000-0000F0060000}"/>
    <cellStyle name="40% - Accent6 2 2 2 4 3 2" xfId="14278" xr:uid="{7B0C1FF0-5D39-4733-BFBE-859F0E641A75}"/>
    <cellStyle name="40% - Accent6 2 2 2 4 4" xfId="10060" xr:uid="{213F7588-3087-4600-AE58-93880F3B382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07ABF94C-13D4-467B-A4D4-1ECF2F68DE6F}"/>
    <cellStyle name="40% - Accent6 2 2 2 5 2 3" xfId="12618" xr:uid="{82C13464-E4FE-47B6-96B0-85D8CBD7AA56}"/>
    <cellStyle name="40% - Accent6 2 2 2 5 3" xfId="6249" xr:uid="{00000000-0005-0000-0000-0000F4060000}"/>
    <cellStyle name="40% - Accent6 2 2 2 5 3 2" xfId="14691" xr:uid="{315C2D43-712A-49F4-940F-D2245D1E1D3F}"/>
    <cellStyle name="40% - Accent6 2 2 2 5 4" xfId="10473" xr:uid="{6A66A0B7-5B13-4009-9960-F168EE11D3D2}"/>
    <cellStyle name="40% - Accent6 2 2 2 6" xfId="2355" xr:uid="{00000000-0005-0000-0000-0000F5060000}"/>
    <cellStyle name="40% - Accent6 2 2 2 6 2" xfId="6662" xr:uid="{00000000-0005-0000-0000-0000F6060000}"/>
    <cellStyle name="40% - Accent6 2 2 2 6 2 2" xfId="15104" xr:uid="{E628AA70-63AA-49D9-A422-2D9168EE9751}"/>
    <cellStyle name="40% - Accent6 2 2 2 6 3" xfId="10886" xr:uid="{97FDCAB6-F298-4769-8228-F299F6743714}"/>
    <cellStyle name="40% - Accent6 2 2 2 7" xfId="4596" xr:uid="{00000000-0005-0000-0000-0000F7060000}"/>
    <cellStyle name="40% - Accent6 2 2 2 7 2" xfId="13038" xr:uid="{EBAECF4E-C365-4506-99BC-CA62DB4761C8}"/>
    <cellStyle name="40% - Accent6 2 2 2 8" xfId="8820" xr:uid="{DB34289F-3385-46B9-9FDF-E7A6281A3CB2}"/>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DC34AE47-34F6-4D55-AD40-7BF8D7BAA326}"/>
    <cellStyle name="40% - Accent6 2 2 3 2 3" xfId="11378" xr:uid="{0CD580B6-6A9D-46E6-9A4C-ACFA044F8DEC}"/>
    <cellStyle name="40% - Accent6 2 2 3 3" xfId="5009" xr:uid="{00000000-0005-0000-0000-0000FB060000}"/>
    <cellStyle name="40% - Accent6 2 2 3 3 2" xfId="13451" xr:uid="{859FF428-DAB0-4840-998D-B21A6699C358}"/>
    <cellStyle name="40% - Accent6 2 2 3 4" xfId="9233" xr:uid="{F5B23B15-1FF1-4BF8-8DDD-636907B3F285}"/>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CF7E0B2E-C793-443D-95BD-3744549CB94E}"/>
    <cellStyle name="40% - Accent6 2 2 4 2 3" xfId="11791" xr:uid="{C6C2C1AB-2DCA-41CE-95AA-FB707A9BE6EB}"/>
    <cellStyle name="40% - Accent6 2 2 4 3" xfId="5422" xr:uid="{00000000-0005-0000-0000-0000FF060000}"/>
    <cellStyle name="40% - Accent6 2 2 4 3 2" xfId="13864" xr:uid="{B326FCF2-CA89-488D-A94F-AA8D06CBFE03}"/>
    <cellStyle name="40% - Accent6 2 2 4 4" xfId="9646" xr:uid="{EA67EC22-9E53-443D-ADDD-E65BD33D48F6}"/>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B3A31174-6E84-4459-9457-9C48F8AA891C}"/>
    <cellStyle name="40% - Accent6 2 2 5 2 3" xfId="12204" xr:uid="{EA39AAED-5596-471F-9C27-84086D2F02A9}"/>
    <cellStyle name="40% - Accent6 2 2 5 3" xfId="5835" xr:uid="{00000000-0005-0000-0000-000003070000}"/>
    <cellStyle name="40% - Accent6 2 2 5 3 2" xfId="14277" xr:uid="{EFA8982E-2998-443D-B0F6-DD6DED1B0C6F}"/>
    <cellStyle name="40% - Accent6 2 2 5 4" xfId="10059" xr:uid="{818BCAF2-C304-4769-9887-DCD9446A088D}"/>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C377B2FF-8EA3-4F5D-8169-96BD3712A8EB}"/>
    <cellStyle name="40% - Accent6 2 2 6 2 3" xfId="12617" xr:uid="{EB140B86-A53A-444C-A20F-5E6EAAB97AA9}"/>
    <cellStyle name="40% - Accent6 2 2 6 3" xfId="6248" xr:uid="{00000000-0005-0000-0000-000007070000}"/>
    <cellStyle name="40% - Accent6 2 2 6 3 2" xfId="14690" xr:uid="{FFF7D5E0-80FF-42A5-8E5E-E034D20B3C57}"/>
    <cellStyle name="40% - Accent6 2 2 6 4" xfId="10472" xr:uid="{541BF5CB-DF2C-4823-983C-7D9A8BC71194}"/>
    <cellStyle name="40% - Accent6 2 2 7" xfId="2354" xr:uid="{00000000-0005-0000-0000-000008070000}"/>
    <cellStyle name="40% - Accent6 2 2 7 2" xfId="6661" xr:uid="{00000000-0005-0000-0000-000009070000}"/>
    <cellStyle name="40% - Accent6 2 2 7 2 2" xfId="15103" xr:uid="{6C3E4381-4A98-4C60-B128-4363E7CDE32D}"/>
    <cellStyle name="40% - Accent6 2 2 7 3" xfId="10885" xr:uid="{40464AE6-83FD-4EE9-BF5A-841E62A24CC2}"/>
    <cellStyle name="40% - Accent6 2 2 8" xfId="4595" xr:uid="{00000000-0005-0000-0000-00000A070000}"/>
    <cellStyle name="40% - Accent6 2 2 8 2" xfId="13037" xr:uid="{4D0DFF20-0909-40AE-AFD4-B96FA9C6199A}"/>
    <cellStyle name="40% - Accent6 2 2 9" xfId="8819" xr:uid="{7EEA848A-1B02-40D1-81FA-0C484C8182E2}"/>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13ECF92C-DDE7-41AE-9FD9-8F7FD8769BB7}"/>
    <cellStyle name="40% - Accent6 2 3 2 2 3" xfId="11380" xr:uid="{3E77C604-35D4-4716-89D2-900412B54B69}"/>
    <cellStyle name="40% - Accent6 2 3 2 3" xfId="5011" xr:uid="{00000000-0005-0000-0000-00000F070000}"/>
    <cellStyle name="40% - Accent6 2 3 2 3 2" xfId="13453" xr:uid="{9D4B0121-75BD-4966-9671-3663B75BBE39}"/>
    <cellStyle name="40% - Accent6 2 3 2 4" xfId="9235" xr:uid="{831B65DB-C12D-4507-AA49-60BEC2DA1258}"/>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96275C2D-4F89-4586-87CC-8A57A9FBE48A}"/>
    <cellStyle name="40% - Accent6 2 3 3 2 3" xfId="11793" xr:uid="{1B2A016F-F8F4-4F56-B933-BB4989FBC32C}"/>
    <cellStyle name="40% - Accent6 2 3 3 3" xfId="5424" xr:uid="{00000000-0005-0000-0000-000013070000}"/>
    <cellStyle name="40% - Accent6 2 3 3 3 2" xfId="13866" xr:uid="{124D6BE3-5215-4BFA-AA32-0743F5D06FEF}"/>
    <cellStyle name="40% - Accent6 2 3 3 4" xfId="9648" xr:uid="{C5482BDC-0846-4EB1-9B82-BFA2E7C3D18A}"/>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24A6C4EC-665B-4611-8E37-87F9C5A148CD}"/>
    <cellStyle name="40% - Accent6 2 3 4 2 3" xfId="12206" xr:uid="{E4515A0C-47F7-4151-ABA4-BEA7C2152D79}"/>
    <cellStyle name="40% - Accent6 2 3 4 3" xfId="5837" xr:uid="{00000000-0005-0000-0000-000017070000}"/>
    <cellStyle name="40% - Accent6 2 3 4 3 2" xfId="14279" xr:uid="{C28AD7B4-73FE-40BB-8C35-35A5CE09B7D1}"/>
    <cellStyle name="40% - Accent6 2 3 4 4" xfId="10061" xr:uid="{577195A9-B9CD-4720-9AED-5D821EA9FF6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CA8CF1ED-B5C7-40A0-8E61-EAB5AC4E6923}"/>
    <cellStyle name="40% - Accent6 2 3 5 2 3" xfId="12619" xr:uid="{73071246-3579-4911-9CB3-06EE4461F230}"/>
    <cellStyle name="40% - Accent6 2 3 5 3" xfId="6250" xr:uid="{00000000-0005-0000-0000-00001B070000}"/>
    <cellStyle name="40% - Accent6 2 3 5 3 2" xfId="14692" xr:uid="{3CACDFB2-7AE4-4A2A-A4F2-5D3A3F931157}"/>
    <cellStyle name="40% - Accent6 2 3 5 4" xfId="10474" xr:uid="{13E5F573-F05D-4873-9DD0-D38E6631E109}"/>
    <cellStyle name="40% - Accent6 2 3 6" xfId="2356" xr:uid="{00000000-0005-0000-0000-00001C070000}"/>
    <cellStyle name="40% - Accent6 2 3 6 2" xfId="6663" xr:uid="{00000000-0005-0000-0000-00001D070000}"/>
    <cellStyle name="40% - Accent6 2 3 6 2 2" xfId="15105" xr:uid="{4C3E74E1-5990-4A58-8107-90CEE5EF892B}"/>
    <cellStyle name="40% - Accent6 2 3 6 3" xfId="10887" xr:uid="{C13AA31A-5BA1-4BBE-AFEC-CB2A972E52E3}"/>
    <cellStyle name="40% - Accent6 2 3 7" xfId="4597" xr:uid="{00000000-0005-0000-0000-00001E070000}"/>
    <cellStyle name="40% - Accent6 2 3 7 2" xfId="13039" xr:uid="{7C0DF1A6-146E-47AD-AEA9-0AEE58C656B6}"/>
    <cellStyle name="40% - Accent6 2 3 8" xfId="8821" xr:uid="{43C99E7E-9DD7-467C-B5E6-0AA057091F6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A4A230FF-4DB5-492F-93B8-62701C407ED3}"/>
    <cellStyle name="40% - Accent6 2 4 2 3" xfId="11377" xr:uid="{AD364A7B-012A-49BF-9E37-ADDFB2842A8A}"/>
    <cellStyle name="40% - Accent6 2 4 3" xfId="5008" xr:uid="{00000000-0005-0000-0000-000022070000}"/>
    <cellStyle name="40% - Accent6 2 4 3 2" xfId="13450" xr:uid="{5DC54660-F576-482A-8A1F-735A65F2A310}"/>
    <cellStyle name="40% - Accent6 2 4 4" xfId="9232" xr:uid="{035743ED-C7B9-4952-A568-624C4EB9416C}"/>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811F6AEB-5957-48AA-A52C-A9A772460A5A}"/>
    <cellStyle name="40% - Accent6 2 5 2 3" xfId="11790" xr:uid="{6548BD8D-D3CB-4459-987A-D4B52F5892E6}"/>
    <cellStyle name="40% - Accent6 2 5 3" xfId="5421" xr:uid="{00000000-0005-0000-0000-000026070000}"/>
    <cellStyle name="40% - Accent6 2 5 3 2" xfId="13863" xr:uid="{728D3C2C-8059-491D-B5DD-9F5F23092267}"/>
    <cellStyle name="40% - Accent6 2 5 4" xfId="9645" xr:uid="{9AB6335B-66D1-46CA-88AE-1F8794F896A0}"/>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05C07FB4-9838-475D-AA39-73330A788C6B}"/>
    <cellStyle name="40% - Accent6 2 6 2 3" xfId="12203" xr:uid="{AF2B4FBF-8BB8-4655-979E-AB50B6EBF405}"/>
    <cellStyle name="40% - Accent6 2 6 3" xfId="5834" xr:uid="{00000000-0005-0000-0000-00002A070000}"/>
    <cellStyle name="40% - Accent6 2 6 3 2" xfId="14276" xr:uid="{6CA85307-1051-40CE-8DB6-766D418714BC}"/>
    <cellStyle name="40% - Accent6 2 6 4" xfId="10058" xr:uid="{DADA76D3-8CDD-435D-9BF6-BF758055B456}"/>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2E0741BA-BE16-4A68-8F2D-75A7346F46A9}"/>
    <cellStyle name="40% - Accent6 2 7 2 3" xfId="12616" xr:uid="{AED10974-514E-463C-80C6-DCBAF9DCEF93}"/>
    <cellStyle name="40% - Accent6 2 7 3" xfId="6247" xr:uid="{00000000-0005-0000-0000-00002E070000}"/>
    <cellStyle name="40% - Accent6 2 7 3 2" xfId="14689" xr:uid="{CD9B63F4-B534-4DA7-B7BF-D6BB59A126AD}"/>
    <cellStyle name="40% - Accent6 2 7 4" xfId="10471" xr:uid="{F82C30A9-61F3-4AA3-BB16-BB4E1E67116C}"/>
    <cellStyle name="40% - Accent6 2 8" xfId="2353" xr:uid="{00000000-0005-0000-0000-00002F070000}"/>
    <cellStyle name="40% - Accent6 2 8 2" xfId="6660" xr:uid="{00000000-0005-0000-0000-000030070000}"/>
    <cellStyle name="40% - Accent6 2 8 2 2" xfId="15102" xr:uid="{A27662F3-855D-4D56-857F-FD7197B20597}"/>
    <cellStyle name="40% - Accent6 2 8 3" xfId="10884" xr:uid="{03216BE6-82A1-418A-8CCB-C687D73D7401}"/>
    <cellStyle name="40% - Accent6 2 9" xfId="4594" xr:uid="{00000000-0005-0000-0000-000031070000}"/>
    <cellStyle name="40% - Accent6 2 9 2" xfId="13036" xr:uid="{D1529F4A-30EF-48CE-91B2-B83B0AE18F98}"/>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14F920E4-4A30-4E2F-A34A-57F140981216}"/>
    <cellStyle name="40% - Accent6 3 2 2 2 3" xfId="11382" xr:uid="{DF0BCC73-97CE-4116-979D-E61A7F786226}"/>
    <cellStyle name="40% - Accent6 3 2 2 3" xfId="5013" xr:uid="{00000000-0005-0000-0000-000037070000}"/>
    <cellStyle name="40% - Accent6 3 2 2 3 2" xfId="13455" xr:uid="{1A8E4769-000D-4A40-B940-5BE8EAD9CC8D}"/>
    <cellStyle name="40% - Accent6 3 2 2 4" xfId="9237" xr:uid="{20E5C225-BF98-4516-9948-3BADEA00D710}"/>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0DDC0318-4978-4151-B9E7-417EC74D7242}"/>
    <cellStyle name="40% - Accent6 3 2 3 2 3" xfId="11795" xr:uid="{8BA0627C-4B93-4300-BF92-9BDF12AABD4C}"/>
    <cellStyle name="40% - Accent6 3 2 3 3" xfId="5426" xr:uid="{00000000-0005-0000-0000-00003B070000}"/>
    <cellStyle name="40% - Accent6 3 2 3 3 2" xfId="13868" xr:uid="{4AA45F04-68C5-46C7-948D-DBE44977105F}"/>
    <cellStyle name="40% - Accent6 3 2 3 4" xfId="9650" xr:uid="{B5EF26DD-2B7A-46F8-929E-78F873A2B12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148A54A8-9822-43D9-9960-42EEAD888E6B}"/>
    <cellStyle name="40% - Accent6 3 2 4 2 3" xfId="12208" xr:uid="{204AC239-B7EA-4370-BF51-27B755B9D947}"/>
    <cellStyle name="40% - Accent6 3 2 4 3" xfId="5839" xr:uid="{00000000-0005-0000-0000-00003F070000}"/>
    <cellStyle name="40% - Accent6 3 2 4 3 2" xfId="14281" xr:uid="{1F000F21-2792-4F0B-AE26-C4ABB7A16D2C}"/>
    <cellStyle name="40% - Accent6 3 2 4 4" xfId="10063" xr:uid="{2170FC60-8987-45EC-B43F-639DF2710A02}"/>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275737D7-278D-4957-ACF4-B148E9EEA388}"/>
    <cellStyle name="40% - Accent6 3 2 5 2 3" xfId="12621" xr:uid="{6D15BBDE-E114-4782-9148-008B0D54C50E}"/>
    <cellStyle name="40% - Accent6 3 2 5 3" xfId="6252" xr:uid="{00000000-0005-0000-0000-000043070000}"/>
    <cellStyle name="40% - Accent6 3 2 5 3 2" xfId="14694" xr:uid="{2BBE4DDD-E419-4F19-AAAB-1155DA99574F}"/>
    <cellStyle name="40% - Accent6 3 2 5 4" xfId="10476" xr:uid="{8F7A1EA0-F34A-40A4-84A9-7B1B1D106EE2}"/>
    <cellStyle name="40% - Accent6 3 2 6" xfId="2358" xr:uid="{00000000-0005-0000-0000-000044070000}"/>
    <cellStyle name="40% - Accent6 3 2 6 2" xfId="6665" xr:uid="{00000000-0005-0000-0000-000045070000}"/>
    <cellStyle name="40% - Accent6 3 2 6 2 2" xfId="15107" xr:uid="{1C63753D-65D8-4AE0-9119-35E1F42B221F}"/>
    <cellStyle name="40% - Accent6 3 2 6 3" xfId="10889" xr:uid="{EE4E1FB8-90F1-4371-8519-8E59DFB626F0}"/>
    <cellStyle name="40% - Accent6 3 2 7" xfId="4599" xr:uid="{00000000-0005-0000-0000-000046070000}"/>
    <cellStyle name="40% - Accent6 3 2 7 2" xfId="13041" xr:uid="{313BA332-4184-40AE-8662-20058D49C547}"/>
    <cellStyle name="40% - Accent6 3 2 8" xfId="8823" xr:uid="{2FF9CD02-87BE-445A-B990-BDD885B459A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68660C47-115B-4347-A626-28C8205596AE}"/>
    <cellStyle name="40% - Accent6 3 3 2 3" xfId="11381" xr:uid="{5A318F9F-CF51-4555-A373-F92892AAAF29}"/>
    <cellStyle name="40% - Accent6 3 3 3" xfId="5012" xr:uid="{00000000-0005-0000-0000-00004A070000}"/>
    <cellStyle name="40% - Accent6 3 3 3 2" xfId="13454" xr:uid="{6B9B5478-EF9B-4717-83B0-850BD2559F25}"/>
    <cellStyle name="40% - Accent6 3 3 4" xfId="9236" xr:uid="{9FF265DD-2764-4250-9125-6D84AAF693DD}"/>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A02F47D9-DB49-4410-9807-BFDFA33A7458}"/>
    <cellStyle name="40% - Accent6 3 4 2 3" xfId="11794" xr:uid="{AD188F12-9FC0-414B-8CDD-1C700FD2E3C6}"/>
    <cellStyle name="40% - Accent6 3 4 3" xfId="5425" xr:uid="{00000000-0005-0000-0000-00004E070000}"/>
    <cellStyle name="40% - Accent6 3 4 3 2" xfId="13867" xr:uid="{E0440C68-62F8-44C5-B1A6-55AA48EBE483}"/>
    <cellStyle name="40% - Accent6 3 4 4" xfId="9649" xr:uid="{C6D9700F-54BC-4F89-BEC1-F980C259DBAE}"/>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FE97603D-350A-4CB6-9E90-BA0C4983C7D9}"/>
    <cellStyle name="40% - Accent6 3 5 2 3" xfId="12207" xr:uid="{23C43693-45DC-4F70-B229-51616C54F7D5}"/>
    <cellStyle name="40% - Accent6 3 5 3" xfId="5838" xr:uid="{00000000-0005-0000-0000-000052070000}"/>
    <cellStyle name="40% - Accent6 3 5 3 2" xfId="14280" xr:uid="{6570D996-A081-4BAD-989F-728276C110FF}"/>
    <cellStyle name="40% - Accent6 3 5 4" xfId="10062" xr:uid="{7C379F84-501F-49B2-8ED1-4A459570AAD9}"/>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01C60DA8-23A5-4444-A74D-73B203511692}"/>
    <cellStyle name="40% - Accent6 3 6 2 3" xfId="12620" xr:uid="{F41B9933-419E-4ED5-AD3A-E710659DC039}"/>
    <cellStyle name="40% - Accent6 3 6 3" xfId="6251" xr:uid="{00000000-0005-0000-0000-000056070000}"/>
    <cellStyle name="40% - Accent6 3 6 3 2" xfId="14693" xr:uid="{850A0531-31FF-45F1-9176-C2657440570E}"/>
    <cellStyle name="40% - Accent6 3 6 4" xfId="10475" xr:uid="{29B00251-D052-441D-9567-1A45ED1DE3FF}"/>
    <cellStyle name="40% - Accent6 3 7" xfId="2357" xr:uid="{00000000-0005-0000-0000-000057070000}"/>
    <cellStyle name="40% - Accent6 3 7 2" xfId="6664" xr:uid="{00000000-0005-0000-0000-000058070000}"/>
    <cellStyle name="40% - Accent6 3 7 2 2" xfId="15106" xr:uid="{2AB10B96-A290-481D-8AE0-0F48E59A4A38}"/>
    <cellStyle name="40% - Accent6 3 7 3" xfId="10888" xr:uid="{0F867695-114B-42B9-81E6-B595576D1187}"/>
    <cellStyle name="40% - Accent6 3 8" xfId="4598" xr:uid="{00000000-0005-0000-0000-000059070000}"/>
    <cellStyle name="40% - Accent6 3 8 2" xfId="13040" xr:uid="{B4D8E964-D06D-4CE3-94F7-DECBDA4EDC44}"/>
    <cellStyle name="40% - Accent6 3 9" xfId="8822" xr:uid="{D25FFAAA-410D-4B1C-8820-53464A889DAE}"/>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0FE3EDAC-BA8D-4EBA-9906-EB5E5DD611FC}"/>
    <cellStyle name="40% - Accent6 4 2 2 3" xfId="11383" xr:uid="{52EE6354-80F3-4E1B-BEB9-0A5F76311571}"/>
    <cellStyle name="40% - Accent6 4 2 3" xfId="5014" xr:uid="{00000000-0005-0000-0000-00005E070000}"/>
    <cellStyle name="40% - Accent6 4 2 3 2" xfId="13456" xr:uid="{FDBAD54F-7DE3-43AF-A7C9-F32B12B04CC8}"/>
    <cellStyle name="40% - Accent6 4 2 4" xfId="9238" xr:uid="{EC1F5C34-F108-4B01-9B51-D2EBDBD10CCF}"/>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B0A22755-B263-4C89-805C-823B5632F113}"/>
    <cellStyle name="40% - Accent6 4 3 2 3" xfId="11796" xr:uid="{67C7A1F5-7A7A-45CE-B2D5-8A67591DF764}"/>
    <cellStyle name="40% - Accent6 4 3 3" xfId="5427" xr:uid="{00000000-0005-0000-0000-000062070000}"/>
    <cellStyle name="40% - Accent6 4 3 3 2" xfId="13869" xr:uid="{2D4BC28E-3ED6-4BCE-8382-06BEBCCFBE6C}"/>
    <cellStyle name="40% - Accent6 4 3 4" xfId="9651" xr:uid="{4EBC1412-220F-48D5-91F0-54DF3904AA9E}"/>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16255481-BC69-45CF-9F2A-CF8141C0564E}"/>
    <cellStyle name="40% - Accent6 4 4 2 3" xfId="12209" xr:uid="{CEEA851B-8B23-4E96-A553-BEC015A4C713}"/>
    <cellStyle name="40% - Accent6 4 4 3" xfId="5840" xr:uid="{00000000-0005-0000-0000-000066070000}"/>
    <cellStyle name="40% - Accent6 4 4 3 2" xfId="14282" xr:uid="{83CB0EF5-B031-4F58-B0BD-07B5CE8E7FD9}"/>
    <cellStyle name="40% - Accent6 4 4 4" xfId="10064" xr:uid="{3276A25D-1D57-459D-B1DC-3221E303A5EA}"/>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A905BD49-1211-4A97-8739-5D4013390659}"/>
    <cellStyle name="40% - Accent6 4 5 2 3" xfId="12622" xr:uid="{26A6097F-18B3-4E0F-8CA5-F138D7DE9830}"/>
    <cellStyle name="40% - Accent6 4 5 3" xfId="6253" xr:uid="{00000000-0005-0000-0000-00006A070000}"/>
    <cellStyle name="40% - Accent6 4 5 3 2" xfId="14695" xr:uid="{AD358BCF-E014-4B99-92C2-A9C35044312C}"/>
    <cellStyle name="40% - Accent6 4 5 4" xfId="10477" xr:uid="{D0A58327-07CF-4A13-8C3D-EC455DA4F7CF}"/>
    <cellStyle name="40% - Accent6 4 6" xfId="2359" xr:uid="{00000000-0005-0000-0000-00006B070000}"/>
    <cellStyle name="40% - Accent6 4 6 2" xfId="6666" xr:uid="{00000000-0005-0000-0000-00006C070000}"/>
    <cellStyle name="40% - Accent6 4 6 2 2" xfId="15108" xr:uid="{EB96C5F0-1528-420B-BEC4-393D657E4B96}"/>
    <cellStyle name="40% - Accent6 4 6 3" xfId="10890" xr:uid="{B1E7FE1F-DD1D-4409-8D04-1DB9EDB6FADA}"/>
    <cellStyle name="40% - Accent6 4 7" xfId="4600" xr:uid="{00000000-0005-0000-0000-00006D070000}"/>
    <cellStyle name="40% - Accent6 4 7 2" xfId="13042" xr:uid="{6E5DE975-585F-4C22-9E84-D812E2BDB338}"/>
    <cellStyle name="40% - Accent6 4 8" xfId="8824" xr:uid="{A9F4D31D-D5FE-4655-8B37-9AEFCA51CB9E}"/>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D6179212-CF11-4A96-B7FA-85C893DA9EBD}"/>
    <cellStyle name="40% - Accent6 5 2 3" xfId="11376" xr:uid="{32DAF4E6-80E7-4865-95A5-307887351C3B}"/>
    <cellStyle name="40% - Accent6 5 3" xfId="5007" xr:uid="{00000000-0005-0000-0000-000071070000}"/>
    <cellStyle name="40% - Accent6 5 3 2" xfId="13449" xr:uid="{88EB75A2-7B08-4FD1-9379-0ACE557BE00F}"/>
    <cellStyle name="40% - Accent6 5 4" xfId="9231" xr:uid="{4D452EB1-E759-44A8-8985-B59EB90E245A}"/>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C81EE9D3-D5D8-48CE-B216-5049FC2CEAD7}"/>
    <cellStyle name="40% - Accent6 6 2 3" xfId="11789" xr:uid="{C7DB7FE3-5DFA-4425-BEDA-46A3FC7FBCC0}"/>
    <cellStyle name="40% - Accent6 6 3" xfId="5420" xr:uid="{00000000-0005-0000-0000-000075070000}"/>
    <cellStyle name="40% - Accent6 6 3 2" xfId="13862" xr:uid="{6EC9870F-701F-4F1D-BC28-16B8DDCFB64B}"/>
    <cellStyle name="40% - Accent6 6 4" xfId="9644" xr:uid="{E930DE3A-E17C-4604-909F-25C2ACCE0A3C}"/>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94D62354-D74F-4ABF-8842-A93D949A5701}"/>
    <cellStyle name="40% - Accent6 7 2 3" xfId="12202" xr:uid="{7D5069DC-6342-4D3A-868A-66C7325C6C21}"/>
    <cellStyle name="40% - Accent6 7 3" xfId="5833" xr:uid="{00000000-0005-0000-0000-000079070000}"/>
    <cellStyle name="40% - Accent6 7 3 2" xfId="14275" xr:uid="{BC79D2F1-958F-448F-BD02-4D44F427D56E}"/>
    <cellStyle name="40% - Accent6 7 4" xfId="10057" xr:uid="{E5AB88EF-A13B-4F7C-817D-B37F9E8388A3}"/>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0F51218B-7F2F-46D3-990A-B8AC5DDD63E7}"/>
    <cellStyle name="40% - Accent6 8 2 3" xfId="12615" xr:uid="{E77A8C7A-F58C-4F7E-B066-66B5F4A20AD7}"/>
    <cellStyle name="40% - Accent6 8 3" xfId="6246" xr:uid="{00000000-0005-0000-0000-00007D070000}"/>
    <cellStyle name="40% - Accent6 8 3 2" xfId="14688" xr:uid="{9EF4D1CA-5253-4AE1-8911-CF5CF02E6E67}"/>
    <cellStyle name="40% - Accent6 8 4" xfId="10470" xr:uid="{02C40D41-7C2B-4861-8EDB-6F3CCEE4581C}"/>
    <cellStyle name="40% - Accent6 9" xfId="2352" xr:uid="{00000000-0005-0000-0000-00007E070000}"/>
    <cellStyle name="40% - Accent6 9 2" xfId="6659" xr:uid="{00000000-0005-0000-0000-00007F070000}"/>
    <cellStyle name="40% - Accent6 9 2 2" xfId="15101" xr:uid="{7C473F29-CC61-4D6A-9B55-428416B7C0D3}"/>
    <cellStyle name="40% - Accent6 9 3" xfId="10883" xr:uid="{61FE56EC-F66E-456E-89F5-FBC5AB8EA60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EB383741-315D-4AEF-8A20-DCE0592CD3D0}"/>
    <cellStyle name="Comma 4 2 2 2 10 3" xfId="11208" xr:uid="{FED1F525-38FF-40D3-ABC1-3A0439466A6F}"/>
    <cellStyle name="Comma 4 2 2 2 11" xfId="4601" xr:uid="{00000000-0005-0000-0000-0000A3070000}"/>
    <cellStyle name="Comma 4 2 2 2 11 2" xfId="13043" xr:uid="{315E6AE6-4FA7-48CA-89FB-2DBAA2D3241B}"/>
    <cellStyle name="Comma 4 2 2 2 12" xfId="8825" xr:uid="{E8409BE6-C4C0-4231-8925-BD00F07153C9}"/>
    <cellStyle name="Comma 4 2 2 2 2" xfId="129" xr:uid="{00000000-0005-0000-0000-0000A4070000}"/>
    <cellStyle name="Comma 4 2 2 2 2 10" xfId="4602" xr:uid="{00000000-0005-0000-0000-0000A5070000}"/>
    <cellStyle name="Comma 4 2 2 2 2 10 2" xfId="13044" xr:uid="{DAA126AE-3E59-467A-B4A0-A5E63AA5017C}"/>
    <cellStyle name="Comma 4 2 2 2 2 11" xfId="8826" xr:uid="{FDF86F4C-0436-4CBF-B95A-06307CB73C39}"/>
    <cellStyle name="Comma 4 2 2 2 2 2" xfId="130" xr:uid="{00000000-0005-0000-0000-0000A6070000}"/>
    <cellStyle name="Comma 4 2 2 2 2 2 10" xfId="8827" xr:uid="{2ACE9CCE-1CEC-4F6C-8702-924B0D882B5F}"/>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8178AD36-7598-4D5E-8610-497356AFD52A}"/>
    <cellStyle name="Comma 4 2 2 2 2 2 2 2 3" xfId="11386" xr:uid="{26A11D3C-980E-40E6-9F3D-9EEA07DB1021}"/>
    <cellStyle name="Comma 4 2 2 2 2 2 2 3" xfId="5017" xr:uid="{00000000-0005-0000-0000-0000AA070000}"/>
    <cellStyle name="Comma 4 2 2 2 2 2 2 3 2" xfId="13459" xr:uid="{AEC1BA89-7247-4935-9AFA-6BE6CF5289D0}"/>
    <cellStyle name="Comma 4 2 2 2 2 2 2 4" xfId="9241" xr:uid="{CF9E7E2A-2866-426A-ABE9-7E51B8F0A06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75D16AFF-F3E9-4888-9D65-5D6EAE72F6D3}"/>
    <cellStyle name="Comma 4 2 2 2 2 2 3 2 3" xfId="11799" xr:uid="{7C35B7D1-A7AC-4AE2-8DED-CAAE8915BD62}"/>
    <cellStyle name="Comma 4 2 2 2 2 2 3 3" xfId="5430" xr:uid="{00000000-0005-0000-0000-0000AE070000}"/>
    <cellStyle name="Comma 4 2 2 2 2 2 3 3 2" xfId="13872" xr:uid="{62B5D899-7BFF-41CB-A033-BD94CC417C09}"/>
    <cellStyle name="Comma 4 2 2 2 2 2 3 4" xfId="9654" xr:uid="{8E2B4653-8833-4716-B503-40DA6B3E09E9}"/>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3F29F31F-C155-4635-941C-CF61C8973638}"/>
    <cellStyle name="Comma 4 2 2 2 2 2 4 2 3" xfId="12212" xr:uid="{09BD77E9-FAC5-4378-BA8D-A371FB9FA399}"/>
    <cellStyle name="Comma 4 2 2 2 2 2 4 3" xfId="5843" xr:uid="{00000000-0005-0000-0000-0000B2070000}"/>
    <cellStyle name="Comma 4 2 2 2 2 2 4 3 2" xfId="14285" xr:uid="{1B5C9947-10AC-4AFA-B84A-31373A9050A7}"/>
    <cellStyle name="Comma 4 2 2 2 2 2 4 4" xfId="10067" xr:uid="{CCE10551-4945-4858-8032-4FC722ADA9CE}"/>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0F1D5BCA-97D6-4574-84E3-650FD5F2F90D}"/>
    <cellStyle name="Comma 4 2 2 2 2 2 5 2 3" xfId="12625" xr:uid="{DDC88E5C-5989-4CD2-8864-853D8707537E}"/>
    <cellStyle name="Comma 4 2 2 2 2 2 5 3" xfId="6256" xr:uid="{00000000-0005-0000-0000-0000B6070000}"/>
    <cellStyle name="Comma 4 2 2 2 2 2 5 3 2" xfId="14698" xr:uid="{12F73472-6D7D-4B89-B3DA-0B81E5F3404B}"/>
    <cellStyle name="Comma 4 2 2 2 2 2 5 4" xfId="10480" xr:uid="{7A01F864-FFDE-4318-BC91-5F1D9A450F8E}"/>
    <cellStyle name="Comma 4 2 2 2 2 2 6" xfId="2384" xr:uid="{00000000-0005-0000-0000-0000B7070000}"/>
    <cellStyle name="Comma 4 2 2 2 2 2 6 2" xfId="6669" xr:uid="{00000000-0005-0000-0000-0000B8070000}"/>
    <cellStyle name="Comma 4 2 2 2 2 2 6 2 2" xfId="15111" xr:uid="{8376B358-C69B-4655-89B6-7AD16A869D10}"/>
    <cellStyle name="Comma 4 2 2 2 2 2 6 3" xfId="10893" xr:uid="{B9F398B2-5104-4003-9591-FCF0A78E41D2}"/>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10742877-2E19-4D28-939A-4D02E28D8407}"/>
    <cellStyle name="Comma 4 2 2 2 2 2 8 3" xfId="11210" xr:uid="{ABCFE8E6-03C2-4228-B148-3E4D4AC83C6D}"/>
    <cellStyle name="Comma 4 2 2 2 2 2 9" xfId="4603" xr:uid="{00000000-0005-0000-0000-0000BC070000}"/>
    <cellStyle name="Comma 4 2 2 2 2 2 9 2" xfId="13045" xr:uid="{CA45D9B5-A5B4-4675-BE64-6131DC90D5C2}"/>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C25F6155-479D-4549-9AF1-DFCA480E7897}"/>
    <cellStyle name="Comma 4 2 2 2 2 3 2 3" xfId="11385" xr:uid="{27AC01F3-AF6B-44BE-A5AB-B4D7124B5126}"/>
    <cellStyle name="Comma 4 2 2 2 2 3 3" xfId="5016" xr:uid="{00000000-0005-0000-0000-0000C0070000}"/>
    <cellStyle name="Comma 4 2 2 2 2 3 3 2" xfId="13458" xr:uid="{60F8D470-9AA4-417F-A880-78D2E944CB60}"/>
    <cellStyle name="Comma 4 2 2 2 2 3 4" xfId="9240" xr:uid="{C61395EC-A4E4-45BA-A93A-CBA3B8B312C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5B250E28-6812-4942-A656-2205C1D4E28C}"/>
    <cellStyle name="Comma 4 2 2 2 2 4 2 3" xfId="11798" xr:uid="{00FCF727-1945-4859-B345-47AEEECD7442}"/>
    <cellStyle name="Comma 4 2 2 2 2 4 3" xfId="5429" xr:uid="{00000000-0005-0000-0000-0000C4070000}"/>
    <cellStyle name="Comma 4 2 2 2 2 4 3 2" xfId="13871" xr:uid="{74DD74E5-FA2C-4008-A805-58DDDE957B8E}"/>
    <cellStyle name="Comma 4 2 2 2 2 4 4" xfId="9653" xr:uid="{EA89E4D7-1C81-4E87-8071-87FC26F2EDC4}"/>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43815005-DC1F-4A1F-843D-A069BE2C2515}"/>
    <cellStyle name="Comma 4 2 2 2 2 5 2 3" xfId="12211" xr:uid="{6D59A7BF-A32F-4BCB-B102-15F98ED89576}"/>
    <cellStyle name="Comma 4 2 2 2 2 5 3" xfId="5842" xr:uid="{00000000-0005-0000-0000-0000C8070000}"/>
    <cellStyle name="Comma 4 2 2 2 2 5 3 2" xfId="14284" xr:uid="{51C634B7-D4BF-4877-8C43-3EA66A699AC1}"/>
    <cellStyle name="Comma 4 2 2 2 2 5 4" xfId="10066" xr:uid="{31BB7EB4-08A2-4A3C-9125-511FBE2768EF}"/>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914872AD-A3D8-497A-9CC2-E9FDC607127A}"/>
    <cellStyle name="Comma 4 2 2 2 2 6 2 3" xfId="12624" xr:uid="{CA3C5A4F-D88C-4BF4-A869-06E9CB7AD35C}"/>
    <cellStyle name="Comma 4 2 2 2 2 6 3" xfId="6255" xr:uid="{00000000-0005-0000-0000-0000CC070000}"/>
    <cellStyle name="Comma 4 2 2 2 2 6 3 2" xfId="14697" xr:uid="{E8A086DB-0458-4A55-B2C6-A8E9BC76A726}"/>
    <cellStyle name="Comma 4 2 2 2 2 6 4" xfId="10479" xr:uid="{B2F1BF9C-3033-4330-88EC-BA6599AF1FA8}"/>
    <cellStyle name="Comma 4 2 2 2 2 7" xfId="2383" xr:uid="{00000000-0005-0000-0000-0000CD070000}"/>
    <cellStyle name="Comma 4 2 2 2 2 7 2" xfId="6668" xr:uid="{00000000-0005-0000-0000-0000CE070000}"/>
    <cellStyle name="Comma 4 2 2 2 2 7 2 2" xfId="15110" xr:uid="{9B040350-76B7-480B-A1D7-86ED376D9F24}"/>
    <cellStyle name="Comma 4 2 2 2 2 7 3" xfId="10892" xr:uid="{056CB106-FBAD-4557-BC06-ED11B11BD23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E989305-4134-4DE5-9B78-BE3A35C1C8B0}"/>
    <cellStyle name="Comma 4 2 2 2 2 9 3" xfId="11209" xr:uid="{0C012E4A-8485-47B0-B66C-A2AB8DD23FEB}"/>
    <cellStyle name="Comma 4 2 2 2 3" xfId="131" xr:uid="{00000000-0005-0000-0000-0000D2070000}"/>
    <cellStyle name="Comma 4 2 2 2 3 10" xfId="8828" xr:uid="{66014AE0-D441-4603-9E31-A82AA95F9BA2}"/>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99A4A2FB-90A7-442F-BAB1-0EF8B8A0C645}"/>
    <cellStyle name="Comma 4 2 2 2 3 2 2 3" xfId="11387" xr:uid="{A187AE1C-CEC4-4E89-B2B4-A16F8D8880F4}"/>
    <cellStyle name="Comma 4 2 2 2 3 2 3" xfId="5018" xr:uid="{00000000-0005-0000-0000-0000D6070000}"/>
    <cellStyle name="Comma 4 2 2 2 3 2 3 2" xfId="13460" xr:uid="{4C3AC181-2EDC-4CBF-B7A3-F1F411363DEB}"/>
    <cellStyle name="Comma 4 2 2 2 3 2 4" xfId="9242" xr:uid="{8D059566-6B3F-4516-B53E-E30DCC780CE4}"/>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B0927612-659E-4570-ACEB-96EDC8F40776}"/>
    <cellStyle name="Comma 4 2 2 2 3 3 2 3" xfId="11800" xr:uid="{09D70730-6A38-4A3D-8E16-99B179E79761}"/>
    <cellStyle name="Comma 4 2 2 2 3 3 3" xfId="5431" xr:uid="{00000000-0005-0000-0000-0000DA070000}"/>
    <cellStyle name="Comma 4 2 2 2 3 3 3 2" xfId="13873" xr:uid="{8EE6784B-7A7A-4CE2-82C3-BD6E5E8A6543}"/>
    <cellStyle name="Comma 4 2 2 2 3 3 4" xfId="9655" xr:uid="{50CEB533-E5D2-4BB8-96A5-1A9F6DCBC6BB}"/>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C394135F-F2BF-4204-A46A-90EA6207D364}"/>
    <cellStyle name="Comma 4 2 2 2 3 4 2 3" xfId="12213" xr:uid="{9238F07B-3B02-42A2-9DF0-3B6D1915FC0B}"/>
    <cellStyle name="Comma 4 2 2 2 3 4 3" xfId="5844" xr:uid="{00000000-0005-0000-0000-0000DE070000}"/>
    <cellStyle name="Comma 4 2 2 2 3 4 3 2" xfId="14286" xr:uid="{2EE85016-1F58-4F4C-9B3A-EE1EF00DD5E3}"/>
    <cellStyle name="Comma 4 2 2 2 3 4 4" xfId="10068" xr:uid="{2D1C5AF9-6058-435D-9367-F920A90DEAEB}"/>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6EC87500-E460-4408-AEDC-3B15CCFDE738}"/>
    <cellStyle name="Comma 4 2 2 2 3 5 2 3" xfId="12626" xr:uid="{5996330C-C107-488B-A20F-E8527A862DF9}"/>
    <cellStyle name="Comma 4 2 2 2 3 5 3" xfId="6257" xr:uid="{00000000-0005-0000-0000-0000E2070000}"/>
    <cellStyle name="Comma 4 2 2 2 3 5 3 2" xfId="14699" xr:uid="{4FDA7162-D8BA-4993-BD56-EE67A0785625}"/>
    <cellStyle name="Comma 4 2 2 2 3 5 4" xfId="10481" xr:uid="{8A7E4365-9F12-4A58-81E7-02F3BA940476}"/>
    <cellStyle name="Comma 4 2 2 2 3 6" xfId="2385" xr:uid="{00000000-0005-0000-0000-0000E3070000}"/>
    <cellStyle name="Comma 4 2 2 2 3 6 2" xfId="6670" xr:uid="{00000000-0005-0000-0000-0000E4070000}"/>
    <cellStyle name="Comma 4 2 2 2 3 6 2 2" xfId="15112" xr:uid="{3D279643-7296-4C78-AE91-C948628B98C7}"/>
    <cellStyle name="Comma 4 2 2 2 3 6 3" xfId="10894" xr:uid="{54129FC4-B71B-4A9D-BEDD-F4D33F5CAE6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19681486-B295-4147-9D44-E790E01EF9C6}"/>
    <cellStyle name="Comma 4 2 2 2 3 8 3" xfId="11211" xr:uid="{626451EC-1EDD-4520-9F1B-A4A6991C32C6}"/>
    <cellStyle name="Comma 4 2 2 2 3 9" xfId="4604" xr:uid="{00000000-0005-0000-0000-0000E8070000}"/>
    <cellStyle name="Comma 4 2 2 2 3 9 2" xfId="13046" xr:uid="{53F2B03E-B6B5-45EE-92B5-663269A0557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BA1BEE9F-24F3-4BB1-A5DE-F45722781A91}"/>
    <cellStyle name="Comma 4 2 2 2 4 2 3" xfId="11384" xr:uid="{2C9DF098-F7C9-4E15-9329-5B3414E182F2}"/>
    <cellStyle name="Comma 4 2 2 2 4 3" xfId="5015" xr:uid="{00000000-0005-0000-0000-0000EC070000}"/>
    <cellStyle name="Comma 4 2 2 2 4 3 2" xfId="13457" xr:uid="{E60427A2-882A-42A7-AB68-F2367340A9A5}"/>
    <cellStyle name="Comma 4 2 2 2 4 4" xfId="9239" xr:uid="{D1D00BA8-4854-4E2C-8E55-5AA742A3A127}"/>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21304EDD-F45C-4BB7-8C41-AC27AF014251}"/>
    <cellStyle name="Comma 4 2 2 2 5 2 3" xfId="11797" xr:uid="{3D952847-7D35-4394-85CD-1F8A5B122B56}"/>
    <cellStyle name="Comma 4 2 2 2 5 3" xfId="5428" xr:uid="{00000000-0005-0000-0000-0000F0070000}"/>
    <cellStyle name="Comma 4 2 2 2 5 3 2" xfId="13870" xr:uid="{2C5760DA-3428-4FA1-BF56-D80F8F857264}"/>
    <cellStyle name="Comma 4 2 2 2 5 4" xfId="9652" xr:uid="{6C84B653-5BEF-4092-9253-9BD8711C9FAE}"/>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78FA0CE8-A56E-4CAF-B303-AF6CA0B067D1}"/>
    <cellStyle name="Comma 4 2 2 2 6 2 3" xfId="12210" xr:uid="{A9B000CA-3596-4CB3-9560-BF37CD223606}"/>
    <cellStyle name="Comma 4 2 2 2 6 3" xfId="5841" xr:uid="{00000000-0005-0000-0000-0000F4070000}"/>
    <cellStyle name="Comma 4 2 2 2 6 3 2" xfId="14283" xr:uid="{0BACEC01-3B14-4523-8A67-5161BF3D7378}"/>
    <cellStyle name="Comma 4 2 2 2 6 4" xfId="10065" xr:uid="{C26FEB67-4263-477E-94CB-F964E6B4C594}"/>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A2B5D910-0B09-4A0C-96A4-19BDB0F75A0E}"/>
    <cellStyle name="Comma 4 2 2 2 7 2 3" xfId="12623" xr:uid="{9009A5D6-5208-429C-B0B7-7866AA235CB6}"/>
    <cellStyle name="Comma 4 2 2 2 7 3" xfId="6254" xr:uid="{00000000-0005-0000-0000-0000F8070000}"/>
    <cellStyle name="Comma 4 2 2 2 7 3 2" xfId="14696" xr:uid="{A6AE8BB8-601D-45CE-AA73-320AA6C56488}"/>
    <cellStyle name="Comma 4 2 2 2 7 4" xfId="10478" xr:uid="{8C83A166-A4D8-4277-83BE-AA02B8202973}"/>
    <cellStyle name="Comma 4 2 2 2 8" xfId="2382" xr:uid="{00000000-0005-0000-0000-0000F9070000}"/>
    <cellStyle name="Comma 4 2 2 2 8 2" xfId="6667" xr:uid="{00000000-0005-0000-0000-0000FA070000}"/>
    <cellStyle name="Comma 4 2 2 2 8 2 2" xfId="15109" xr:uid="{D0E33A74-2DEA-4A68-A55E-FFA49DA4575B}"/>
    <cellStyle name="Comma 4 2 2 2 8 3" xfId="10891" xr:uid="{49BAD1F0-9043-448D-B27E-32E5FD2D072B}"/>
    <cellStyle name="Comma 4 2 2 2 9" xfId="2381" xr:uid="{00000000-0005-0000-0000-0000FB070000}"/>
    <cellStyle name="Comma 4 2 2 3" xfId="132" xr:uid="{00000000-0005-0000-0000-0000FC070000}"/>
    <cellStyle name="Comma 4 2 2 3 10" xfId="4605" xr:uid="{00000000-0005-0000-0000-0000FD070000}"/>
    <cellStyle name="Comma 4 2 2 3 10 2" xfId="13047" xr:uid="{A2CC4E0D-994E-4589-820F-23A99A3374A4}"/>
    <cellStyle name="Comma 4 2 2 3 11" xfId="8829" xr:uid="{B01B5B37-2B27-4C3E-B455-CA48DEB43480}"/>
    <cellStyle name="Comma 4 2 2 3 2" xfId="133" xr:uid="{00000000-0005-0000-0000-0000FE070000}"/>
    <cellStyle name="Comma 4 2 2 3 2 10" xfId="8830" xr:uid="{6A00F3D0-8870-4772-9478-F6483E4FFFC6}"/>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953F24DB-2708-4784-87CA-3A4DB59C9820}"/>
    <cellStyle name="Comma 4 2 2 3 2 2 2 3" xfId="11389" xr:uid="{81333357-1E49-40F4-B180-31F908B8256F}"/>
    <cellStyle name="Comma 4 2 2 3 2 2 3" xfId="5020" xr:uid="{00000000-0005-0000-0000-000002080000}"/>
    <cellStyle name="Comma 4 2 2 3 2 2 3 2" xfId="13462" xr:uid="{5B6CB0C4-107B-4C23-A5D7-D22EAF8B040B}"/>
    <cellStyle name="Comma 4 2 2 3 2 2 4" xfId="9244" xr:uid="{10639794-0EC7-47C4-8F28-703C6D05166C}"/>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D42203D0-FB92-4FBA-94ED-DECB24BFE734}"/>
    <cellStyle name="Comma 4 2 2 3 2 3 2 3" xfId="11802" xr:uid="{E11B280A-375A-4544-A37C-C6606540B7FB}"/>
    <cellStyle name="Comma 4 2 2 3 2 3 3" xfId="5433" xr:uid="{00000000-0005-0000-0000-000006080000}"/>
    <cellStyle name="Comma 4 2 2 3 2 3 3 2" xfId="13875" xr:uid="{113056DD-87CA-473A-B00E-E5781E711D33}"/>
    <cellStyle name="Comma 4 2 2 3 2 3 4" xfId="9657" xr:uid="{43381AC1-4C1F-48FF-8BA2-9AE71B2D2B31}"/>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89C9688E-026F-4568-8941-537D980BF9ED}"/>
    <cellStyle name="Comma 4 2 2 3 2 4 2 3" xfId="12215" xr:uid="{9D8893EE-5E49-4B6C-A421-F591F57029C3}"/>
    <cellStyle name="Comma 4 2 2 3 2 4 3" xfId="5846" xr:uid="{00000000-0005-0000-0000-00000A080000}"/>
    <cellStyle name="Comma 4 2 2 3 2 4 3 2" xfId="14288" xr:uid="{89DD9A06-267A-49B1-8F20-DA2A46B2857C}"/>
    <cellStyle name="Comma 4 2 2 3 2 4 4" xfId="10070" xr:uid="{DAB86BC0-E17D-4343-97AD-59A54CA81BD3}"/>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25C43DC8-0E3E-4DE4-B973-8408293089B5}"/>
    <cellStyle name="Comma 4 2 2 3 2 5 2 3" xfId="12628" xr:uid="{76C5EC60-A360-4EAE-8B2C-2F52598E7830}"/>
    <cellStyle name="Comma 4 2 2 3 2 5 3" xfId="6259" xr:uid="{00000000-0005-0000-0000-00000E080000}"/>
    <cellStyle name="Comma 4 2 2 3 2 5 3 2" xfId="14701" xr:uid="{D13BDAEE-96F4-4412-8C07-2302004CFF0B}"/>
    <cellStyle name="Comma 4 2 2 3 2 5 4" xfId="10483" xr:uid="{E415DB3B-DEC9-4A3C-9B26-1F58E203067D}"/>
    <cellStyle name="Comma 4 2 2 3 2 6" xfId="2387" xr:uid="{00000000-0005-0000-0000-00000F080000}"/>
    <cellStyle name="Comma 4 2 2 3 2 6 2" xfId="6672" xr:uid="{00000000-0005-0000-0000-000010080000}"/>
    <cellStyle name="Comma 4 2 2 3 2 6 2 2" xfId="15114" xr:uid="{60B89026-4F93-48CE-BA49-EC36D306B643}"/>
    <cellStyle name="Comma 4 2 2 3 2 6 3" xfId="10896" xr:uid="{95161251-C29D-4C61-A5CA-0D85663BC6E5}"/>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79465059-4BC9-47B3-8539-F19698F29631}"/>
    <cellStyle name="Comma 4 2 2 3 2 8 3" xfId="11213" xr:uid="{3770E38D-3497-4126-AACF-CD2FC54FA006}"/>
    <cellStyle name="Comma 4 2 2 3 2 9" xfId="4606" xr:uid="{00000000-0005-0000-0000-000014080000}"/>
    <cellStyle name="Comma 4 2 2 3 2 9 2" xfId="13048" xr:uid="{72D2968D-3021-4EE8-9311-F0F59D37D7A6}"/>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D8B02163-AA19-45CD-8AF9-ADE9F6257BD4}"/>
    <cellStyle name="Comma 4 2 2 3 3 2 3" xfId="11388" xr:uid="{75F927B9-62C6-44AE-BD15-E5B1213CDF5F}"/>
    <cellStyle name="Comma 4 2 2 3 3 3" xfId="5019" xr:uid="{00000000-0005-0000-0000-000018080000}"/>
    <cellStyle name="Comma 4 2 2 3 3 3 2" xfId="13461" xr:uid="{AF1DEE96-3D96-493B-8DE5-D7F4B0B352A6}"/>
    <cellStyle name="Comma 4 2 2 3 3 4" xfId="9243" xr:uid="{2E945501-4F28-4B74-B02E-2B097390B23F}"/>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F340E009-F359-48DF-BD00-1E46057DF086}"/>
    <cellStyle name="Comma 4 2 2 3 4 2 3" xfId="11801" xr:uid="{44EB8482-B55E-4163-B56A-5C55C050626F}"/>
    <cellStyle name="Comma 4 2 2 3 4 3" xfId="5432" xr:uid="{00000000-0005-0000-0000-00001C080000}"/>
    <cellStyle name="Comma 4 2 2 3 4 3 2" xfId="13874" xr:uid="{3FCA0E23-9D7A-4697-A819-CB2F593798A2}"/>
    <cellStyle name="Comma 4 2 2 3 4 4" xfId="9656" xr:uid="{1CF71D5D-6010-4C44-BFB4-5E9474BAEF33}"/>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71F5647A-39B5-4DC7-9964-CAD1B8AD66E2}"/>
    <cellStyle name="Comma 4 2 2 3 5 2 3" xfId="12214" xr:uid="{F726E40C-15B2-4853-A4E2-48413591C3F6}"/>
    <cellStyle name="Comma 4 2 2 3 5 3" xfId="5845" xr:uid="{00000000-0005-0000-0000-000020080000}"/>
    <cellStyle name="Comma 4 2 2 3 5 3 2" xfId="14287" xr:uid="{53B2123B-A29F-44F9-AC2E-B192CB2071A6}"/>
    <cellStyle name="Comma 4 2 2 3 5 4" xfId="10069" xr:uid="{C9F01A47-A4AD-4BC8-804C-E84BFD9C7B8D}"/>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4C1CC627-0F1A-41F1-948A-0052873F8CE8}"/>
    <cellStyle name="Comma 4 2 2 3 6 2 3" xfId="12627" xr:uid="{90998E90-AB9D-4E0E-9A84-1A12F9CB286C}"/>
    <cellStyle name="Comma 4 2 2 3 6 3" xfId="6258" xr:uid="{00000000-0005-0000-0000-000024080000}"/>
    <cellStyle name="Comma 4 2 2 3 6 3 2" xfId="14700" xr:uid="{78D6751C-BCED-4BFF-94F2-45BCB732976E}"/>
    <cellStyle name="Comma 4 2 2 3 6 4" xfId="10482" xr:uid="{D9A3436F-6412-4E00-A431-93AEE5BA853A}"/>
    <cellStyle name="Comma 4 2 2 3 7" xfId="2386" xr:uid="{00000000-0005-0000-0000-000025080000}"/>
    <cellStyle name="Comma 4 2 2 3 7 2" xfId="6671" xr:uid="{00000000-0005-0000-0000-000026080000}"/>
    <cellStyle name="Comma 4 2 2 3 7 2 2" xfId="15113" xr:uid="{127F2780-9921-4FE7-96D2-4CE0F2950050}"/>
    <cellStyle name="Comma 4 2 2 3 7 3" xfId="10895" xr:uid="{C746A725-C76F-4EB5-B23D-687F59186F02}"/>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8DC8613B-8D6C-4838-B48B-5D3701B8FB19}"/>
    <cellStyle name="Comma 4 2 2 3 9 3" xfId="11212" xr:uid="{19F3DD41-728F-4F28-9E42-9129D3CC9233}"/>
    <cellStyle name="Comma 4 2 2 4" xfId="134" xr:uid="{00000000-0005-0000-0000-00002A080000}"/>
    <cellStyle name="Comma 4 2 2 4 10" xfId="8831" xr:uid="{06E78EE9-84CA-49F6-85CA-ECF8A852ACB7}"/>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F01F6EEE-E4D8-42EE-B34B-B1336E7F8EF5}"/>
    <cellStyle name="Comma 4 2 2 4 2 2 3" xfId="11390" xr:uid="{0F6525E6-D6F2-4B60-8EAD-C9C7A1E3940C}"/>
    <cellStyle name="Comma 4 2 2 4 2 3" xfId="5021" xr:uid="{00000000-0005-0000-0000-00002E080000}"/>
    <cellStyle name="Comma 4 2 2 4 2 3 2" xfId="13463" xr:uid="{6C9735E2-D7D8-49CD-88BF-1BC0A1ACDB5C}"/>
    <cellStyle name="Comma 4 2 2 4 2 4" xfId="9245" xr:uid="{E1B7C0DF-8F93-40CD-B079-4ECEA915B119}"/>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97BB0738-B0A5-4130-A49A-1FD300A108FB}"/>
    <cellStyle name="Comma 4 2 2 4 3 2 3" xfId="11803" xr:uid="{EE90F260-286C-434D-B779-9A6C7CB23E53}"/>
    <cellStyle name="Comma 4 2 2 4 3 3" xfId="5434" xr:uid="{00000000-0005-0000-0000-000032080000}"/>
    <cellStyle name="Comma 4 2 2 4 3 3 2" xfId="13876" xr:uid="{B41FDB1B-76D7-4E8D-924A-444EEA026121}"/>
    <cellStyle name="Comma 4 2 2 4 3 4" xfId="9658" xr:uid="{66D0DC8A-817A-4D87-AF89-BC7778D8364A}"/>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0990C10B-7631-4808-ADF1-A1D9070F6476}"/>
    <cellStyle name="Comma 4 2 2 4 4 2 3" xfId="12216" xr:uid="{54C103FC-1552-4E84-BDE9-047B75DF04EC}"/>
    <cellStyle name="Comma 4 2 2 4 4 3" xfId="5847" xr:uid="{00000000-0005-0000-0000-000036080000}"/>
    <cellStyle name="Comma 4 2 2 4 4 3 2" xfId="14289" xr:uid="{75447756-972E-4BB2-AC1E-C642B25B22A9}"/>
    <cellStyle name="Comma 4 2 2 4 4 4" xfId="10071" xr:uid="{CDD09677-89DF-4443-890C-456C368DD96E}"/>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F039B0A1-EAA0-4025-BD3E-4F8882AF708C}"/>
    <cellStyle name="Comma 4 2 2 4 5 2 3" xfId="12629" xr:uid="{D8DB16D0-9041-41B0-B749-54EBBD384C0F}"/>
    <cellStyle name="Comma 4 2 2 4 5 3" xfId="6260" xr:uid="{00000000-0005-0000-0000-00003A080000}"/>
    <cellStyle name="Comma 4 2 2 4 5 3 2" xfId="14702" xr:uid="{C93EE392-1A8A-4D1C-A94C-109BF4919EB5}"/>
    <cellStyle name="Comma 4 2 2 4 5 4" xfId="10484" xr:uid="{2530C370-57C5-4308-8223-A92037D7DF32}"/>
    <cellStyle name="Comma 4 2 2 4 6" xfId="2388" xr:uid="{00000000-0005-0000-0000-00003B080000}"/>
    <cellStyle name="Comma 4 2 2 4 6 2" xfId="6673" xr:uid="{00000000-0005-0000-0000-00003C080000}"/>
    <cellStyle name="Comma 4 2 2 4 6 2 2" xfId="15115" xr:uid="{984C8035-CF49-4DEE-BCBB-299545E1238A}"/>
    <cellStyle name="Comma 4 2 2 4 6 3" xfId="10897" xr:uid="{65C487EA-7BDE-4142-BAA5-4904ECD8F194}"/>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23B37E67-297B-4777-A565-72A8C9EBC943}"/>
    <cellStyle name="Comma 4 2 2 4 8 3" xfId="11214" xr:uid="{52DFAD62-F9A3-45F3-BA9C-C32D1CB6F90F}"/>
    <cellStyle name="Comma 4 2 2 4 9" xfId="4607" xr:uid="{00000000-0005-0000-0000-000040080000}"/>
    <cellStyle name="Comma 4 2 2 4 9 2" xfId="13049" xr:uid="{7CFD0040-DF17-449C-BBAB-8896C98E4046}"/>
    <cellStyle name="Comma 4 2 2 5" xfId="135" xr:uid="{00000000-0005-0000-0000-000041080000}"/>
    <cellStyle name="Comma 4 2 2 5 10" xfId="8832" xr:uid="{E8CE3AB8-5599-4DC2-9C9F-0F00A11F4BC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D7122A97-F7F1-46C8-9309-EBE53ECFB713}"/>
    <cellStyle name="Comma 4 2 2 5 2 2 3" xfId="11391" xr:uid="{C967BDA0-471F-4833-8F17-5F48D60C8B6E}"/>
    <cellStyle name="Comma 4 2 2 5 2 3" xfId="5022" xr:uid="{00000000-0005-0000-0000-000045080000}"/>
    <cellStyle name="Comma 4 2 2 5 2 3 2" xfId="13464" xr:uid="{EA7AE67E-A9C4-4AF3-B4AE-6B26BBC0510F}"/>
    <cellStyle name="Comma 4 2 2 5 2 4" xfId="9246" xr:uid="{DC5E9DCC-C1AF-4696-B65D-AD962ADA57FA}"/>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AA41474B-75B1-46FA-B442-792A95879F98}"/>
    <cellStyle name="Comma 4 2 2 5 3 2 3" xfId="11804" xr:uid="{08432B05-4504-43DA-8415-1E1F1E191C94}"/>
    <cellStyle name="Comma 4 2 2 5 3 3" xfId="5435" xr:uid="{00000000-0005-0000-0000-000049080000}"/>
    <cellStyle name="Comma 4 2 2 5 3 3 2" xfId="13877" xr:uid="{21CFF9D4-B661-465C-987A-957642F72AFB}"/>
    <cellStyle name="Comma 4 2 2 5 3 4" xfId="9659" xr:uid="{A2038363-5337-4B77-9384-F4CA1EAEB2FE}"/>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79A50FCF-631B-44F7-9205-3EB63D3D0154}"/>
    <cellStyle name="Comma 4 2 2 5 4 2 3" xfId="12217" xr:uid="{82EB6F1E-BE4D-46F3-BEB4-69B26D093552}"/>
    <cellStyle name="Comma 4 2 2 5 4 3" xfId="5848" xr:uid="{00000000-0005-0000-0000-00004D080000}"/>
    <cellStyle name="Comma 4 2 2 5 4 3 2" xfId="14290" xr:uid="{95CFB3EA-3ED4-4084-9D6E-AE7DCDEF8F90}"/>
    <cellStyle name="Comma 4 2 2 5 4 4" xfId="10072" xr:uid="{519DC3C3-B339-47AD-8E49-DB8B1B99BCE4}"/>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5AD0C100-FCEB-4BBA-BB3F-459A9E88ECC6}"/>
    <cellStyle name="Comma 4 2 2 5 5 2 3" xfId="12630" xr:uid="{CE15FF9B-B642-4E22-AB6E-4BDFA371A24C}"/>
    <cellStyle name="Comma 4 2 2 5 5 3" xfId="6261" xr:uid="{00000000-0005-0000-0000-000051080000}"/>
    <cellStyle name="Comma 4 2 2 5 5 3 2" xfId="14703" xr:uid="{A5A4F2E9-90EA-4C1A-BB4F-FD5E7931C360}"/>
    <cellStyle name="Comma 4 2 2 5 5 4" xfId="10485" xr:uid="{CF5FEE65-825B-475F-9643-D67A95FA3BB3}"/>
    <cellStyle name="Comma 4 2 2 5 6" xfId="2389" xr:uid="{00000000-0005-0000-0000-000052080000}"/>
    <cellStyle name="Comma 4 2 2 5 6 2" xfId="6674" xr:uid="{00000000-0005-0000-0000-000053080000}"/>
    <cellStyle name="Comma 4 2 2 5 6 2 2" xfId="15116" xr:uid="{35329EBD-99A8-4A13-8E62-FEFFC85D5506}"/>
    <cellStyle name="Comma 4 2 2 5 6 3" xfId="10898" xr:uid="{20D5D71A-496B-494D-9963-E2EF45682604}"/>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5B04A608-AC70-434C-811C-C179E0CEA918}"/>
    <cellStyle name="Comma 4 2 2 5 8 3" xfId="11215" xr:uid="{67885FD9-1D27-41A3-8BF0-6A5CB4281FF3}"/>
    <cellStyle name="Comma 4 2 2 5 9" xfId="4608" xr:uid="{00000000-0005-0000-0000-000057080000}"/>
    <cellStyle name="Comma 4 2 2 5 9 2" xfId="13050" xr:uid="{2E66ABC3-88AB-469A-94FA-8A08D7F2ACA8}"/>
    <cellStyle name="Comma 4 2 3" xfId="136" xr:uid="{00000000-0005-0000-0000-000058080000}"/>
    <cellStyle name="Comma 4 2 3 10" xfId="2768" xr:uid="{00000000-0005-0000-0000-000059080000}"/>
    <cellStyle name="Comma 4 2 3 10 2" xfId="6992" xr:uid="{00000000-0005-0000-0000-00005A080000}"/>
    <cellStyle name="Comma 4 2 3 10 2 2" xfId="15434" xr:uid="{A14CF930-2DBF-4235-B576-2545443B7CE3}"/>
    <cellStyle name="Comma 4 2 3 10 3" xfId="11216" xr:uid="{4F15F85A-8777-47E8-AA85-1120C0A129C8}"/>
    <cellStyle name="Comma 4 2 3 11" xfId="4609" xr:uid="{00000000-0005-0000-0000-00005B080000}"/>
    <cellStyle name="Comma 4 2 3 11 2" xfId="13051" xr:uid="{8D5D0D55-1B94-4C9F-AA10-7E9DAE22F652}"/>
    <cellStyle name="Comma 4 2 3 12" xfId="8833" xr:uid="{992E8FF1-A261-4336-B88F-1D6C3CB73E0E}"/>
    <cellStyle name="Comma 4 2 3 2" xfId="137" xr:uid="{00000000-0005-0000-0000-00005C080000}"/>
    <cellStyle name="Comma 4 2 3 2 10" xfId="4610" xr:uid="{00000000-0005-0000-0000-00005D080000}"/>
    <cellStyle name="Comma 4 2 3 2 10 2" xfId="13052" xr:uid="{FD214742-1F37-465F-A0ED-26AD04F0ED2B}"/>
    <cellStyle name="Comma 4 2 3 2 11" xfId="8834" xr:uid="{94E7A9D1-087C-4C6E-AF89-B7717763039F}"/>
    <cellStyle name="Comma 4 2 3 2 2" xfId="138" xr:uid="{00000000-0005-0000-0000-00005E080000}"/>
    <cellStyle name="Comma 4 2 3 2 2 10" xfId="8835" xr:uid="{167519E4-46E1-431A-BB27-977C20F058CF}"/>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415E90F2-6BBF-4DB1-942B-C6824C33EAB0}"/>
    <cellStyle name="Comma 4 2 3 2 2 2 2 3" xfId="11394" xr:uid="{BDE4480C-3193-44D7-9D47-5147DA9C777A}"/>
    <cellStyle name="Comma 4 2 3 2 2 2 3" xfId="5025" xr:uid="{00000000-0005-0000-0000-000062080000}"/>
    <cellStyle name="Comma 4 2 3 2 2 2 3 2" xfId="13467" xr:uid="{C634B560-079A-4B58-9B75-BB404F83ACD5}"/>
    <cellStyle name="Comma 4 2 3 2 2 2 4" xfId="9249" xr:uid="{510270D3-5453-4F09-8F94-32429159BF84}"/>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0EC853A3-4B04-41FF-B6D5-788F612CDA2A}"/>
    <cellStyle name="Comma 4 2 3 2 2 3 2 3" xfId="11807" xr:uid="{D2468B01-6303-4D5B-9B08-95C0206C3926}"/>
    <cellStyle name="Comma 4 2 3 2 2 3 3" xfId="5438" xr:uid="{00000000-0005-0000-0000-000066080000}"/>
    <cellStyle name="Comma 4 2 3 2 2 3 3 2" xfId="13880" xr:uid="{37364AA8-E778-463C-9BBE-76CAFE5155DD}"/>
    <cellStyle name="Comma 4 2 3 2 2 3 4" xfId="9662" xr:uid="{73744E92-82E9-4838-A5AF-DE82858817D8}"/>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56F92476-6197-42BF-ADF8-A356C59FBDB0}"/>
    <cellStyle name="Comma 4 2 3 2 2 4 2 3" xfId="12220" xr:uid="{AC36DB47-DEC4-4929-9378-3483BEDB0DA3}"/>
    <cellStyle name="Comma 4 2 3 2 2 4 3" xfId="5851" xr:uid="{00000000-0005-0000-0000-00006A080000}"/>
    <cellStyle name="Comma 4 2 3 2 2 4 3 2" xfId="14293" xr:uid="{94B5B918-DD0B-4572-B161-1D77E9E5BEFD}"/>
    <cellStyle name="Comma 4 2 3 2 2 4 4" xfId="10075" xr:uid="{B1F53644-C842-4362-ADB6-0F0961FD6165}"/>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B0F85132-0B64-4AAB-A23C-6E008867999F}"/>
    <cellStyle name="Comma 4 2 3 2 2 5 2 3" xfId="12633" xr:uid="{82E20D36-977B-4FC8-95DD-A57348EBBB20}"/>
    <cellStyle name="Comma 4 2 3 2 2 5 3" xfId="6264" xr:uid="{00000000-0005-0000-0000-00006E080000}"/>
    <cellStyle name="Comma 4 2 3 2 2 5 3 2" xfId="14706" xr:uid="{0425B373-6F11-42B2-982D-865E60237C43}"/>
    <cellStyle name="Comma 4 2 3 2 2 5 4" xfId="10488" xr:uid="{09ED0871-DA21-46CE-AA84-7D8FBA23941D}"/>
    <cellStyle name="Comma 4 2 3 2 2 6" xfId="2392" xr:uid="{00000000-0005-0000-0000-00006F080000}"/>
    <cellStyle name="Comma 4 2 3 2 2 6 2" xfId="6677" xr:uid="{00000000-0005-0000-0000-000070080000}"/>
    <cellStyle name="Comma 4 2 3 2 2 6 2 2" xfId="15119" xr:uid="{8D273B7D-E8E4-4C43-B09D-7CD13E23F8BF}"/>
    <cellStyle name="Comma 4 2 3 2 2 6 3" xfId="10901" xr:uid="{DB8B8DAC-01A8-4E36-87A7-62BC423BC8F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6CC5A749-97B2-4A7E-99CB-BF22CBC769B8}"/>
    <cellStyle name="Comma 4 2 3 2 2 8 3" xfId="11218" xr:uid="{23832B85-86AF-4E5A-B7E7-F919A0A92343}"/>
    <cellStyle name="Comma 4 2 3 2 2 9" xfId="4611" xr:uid="{00000000-0005-0000-0000-000074080000}"/>
    <cellStyle name="Comma 4 2 3 2 2 9 2" xfId="13053" xr:uid="{E9E5D6FF-13EB-4C89-9594-16249AA3916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AAF87B28-4667-47D4-96B9-6440E70CA64E}"/>
    <cellStyle name="Comma 4 2 3 2 3 2 3" xfId="11393" xr:uid="{76F50861-9418-4D22-9C1B-0DFE1974F690}"/>
    <cellStyle name="Comma 4 2 3 2 3 3" xfId="5024" xr:uid="{00000000-0005-0000-0000-000078080000}"/>
    <cellStyle name="Comma 4 2 3 2 3 3 2" xfId="13466" xr:uid="{4EA7AD56-3A3E-4E57-82BF-D7F5D93427F3}"/>
    <cellStyle name="Comma 4 2 3 2 3 4" xfId="9248" xr:uid="{CD98B7B6-EC52-48D3-91B5-CDFBABBD32F5}"/>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4F199E73-BBEF-42DF-8114-6A1FBC9ACDD7}"/>
    <cellStyle name="Comma 4 2 3 2 4 2 3" xfId="11806" xr:uid="{CA36CB3B-9936-4AB7-92B1-CD4B198A1FE8}"/>
    <cellStyle name="Comma 4 2 3 2 4 3" xfId="5437" xr:uid="{00000000-0005-0000-0000-00007C080000}"/>
    <cellStyle name="Comma 4 2 3 2 4 3 2" xfId="13879" xr:uid="{AF622C42-4D9D-4E61-A741-23607C0064C2}"/>
    <cellStyle name="Comma 4 2 3 2 4 4" xfId="9661" xr:uid="{AAD32B03-227D-4064-BC32-D127A20BC4A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261104CA-7CA3-4137-BC71-B39B4A1231EB}"/>
    <cellStyle name="Comma 4 2 3 2 5 2 3" xfId="12219" xr:uid="{FFA8B0F9-F79C-4F7C-99C1-E57049803CAE}"/>
    <cellStyle name="Comma 4 2 3 2 5 3" xfId="5850" xr:uid="{00000000-0005-0000-0000-000080080000}"/>
    <cellStyle name="Comma 4 2 3 2 5 3 2" xfId="14292" xr:uid="{75439294-D294-4730-BDF4-61880ECD19A7}"/>
    <cellStyle name="Comma 4 2 3 2 5 4" xfId="10074" xr:uid="{18637AF5-632E-4061-9D60-3F58B58F76D7}"/>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8308B848-517D-41D3-AABF-872E02AA1256}"/>
    <cellStyle name="Comma 4 2 3 2 6 2 3" xfId="12632" xr:uid="{84208B85-C1F0-4208-93C4-AE85C37B561A}"/>
    <cellStyle name="Comma 4 2 3 2 6 3" xfId="6263" xr:uid="{00000000-0005-0000-0000-000084080000}"/>
    <cellStyle name="Comma 4 2 3 2 6 3 2" xfId="14705" xr:uid="{10E9937B-6F61-41ED-9C7D-320689F11AD8}"/>
    <cellStyle name="Comma 4 2 3 2 6 4" xfId="10487" xr:uid="{E12EEA27-0945-4751-A3E2-657BE5D712DC}"/>
    <cellStyle name="Comma 4 2 3 2 7" xfId="2391" xr:uid="{00000000-0005-0000-0000-000085080000}"/>
    <cellStyle name="Comma 4 2 3 2 7 2" xfId="6676" xr:uid="{00000000-0005-0000-0000-000086080000}"/>
    <cellStyle name="Comma 4 2 3 2 7 2 2" xfId="15118" xr:uid="{7704971E-81A5-47D4-8778-09BDBC107DDE}"/>
    <cellStyle name="Comma 4 2 3 2 7 3" xfId="10900" xr:uid="{4DA6F2DA-BEE4-469B-90A5-CE49ED3552D3}"/>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3B772CB7-4066-4BCD-95B6-B3A05EDD7FD5}"/>
    <cellStyle name="Comma 4 2 3 2 9 3" xfId="11217" xr:uid="{6793E4A9-0038-44E9-9B31-F7C119417C04}"/>
    <cellStyle name="Comma 4 2 3 3" xfId="139" xr:uid="{00000000-0005-0000-0000-00008A080000}"/>
    <cellStyle name="Comma 4 2 3 3 10" xfId="8836" xr:uid="{24091000-6287-468A-80B7-7024BA1AB5D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46190D27-066F-4837-B95D-217836385E0F}"/>
    <cellStyle name="Comma 4 2 3 3 2 2 3" xfId="11395" xr:uid="{533A00BD-16E2-4C32-8489-0FE77157A745}"/>
    <cellStyle name="Comma 4 2 3 3 2 3" xfId="5026" xr:uid="{00000000-0005-0000-0000-00008E080000}"/>
    <cellStyle name="Comma 4 2 3 3 2 3 2" xfId="13468" xr:uid="{E1EF13F8-1C5D-4A68-9270-276333AD7AEB}"/>
    <cellStyle name="Comma 4 2 3 3 2 4" xfId="9250" xr:uid="{AA1330FC-F9AF-4953-8E16-3F77B42376A0}"/>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49AC10D7-0AFC-409A-8C7D-9CB64A2D099A}"/>
    <cellStyle name="Comma 4 2 3 3 3 2 3" xfId="11808" xr:uid="{3E7D99FF-98E9-45E0-9CC0-7C8C2BD048A0}"/>
    <cellStyle name="Comma 4 2 3 3 3 3" xfId="5439" xr:uid="{00000000-0005-0000-0000-000092080000}"/>
    <cellStyle name="Comma 4 2 3 3 3 3 2" xfId="13881" xr:uid="{47726AD3-B950-447C-BD28-8D46EDF68FC9}"/>
    <cellStyle name="Comma 4 2 3 3 3 4" xfId="9663" xr:uid="{94E0505E-9A98-41D4-9C36-20049FA68CBC}"/>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9C698396-87DA-48EE-8DFC-E433064460ED}"/>
    <cellStyle name="Comma 4 2 3 3 4 2 3" xfId="12221" xr:uid="{B8F031B5-57F3-43E2-85B9-989E00248F31}"/>
    <cellStyle name="Comma 4 2 3 3 4 3" xfId="5852" xr:uid="{00000000-0005-0000-0000-000096080000}"/>
    <cellStyle name="Comma 4 2 3 3 4 3 2" xfId="14294" xr:uid="{D5990A80-0F24-4610-9C2C-B399F18A5D56}"/>
    <cellStyle name="Comma 4 2 3 3 4 4" xfId="10076" xr:uid="{3B8DB01A-33EE-41A1-A751-7AF10BAABF0C}"/>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E6CFA40A-8B8D-444A-B492-B15467E4EC0B}"/>
    <cellStyle name="Comma 4 2 3 3 5 2 3" xfId="12634" xr:uid="{933F71F1-2E06-4706-9C13-E0BDDED922E5}"/>
    <cellStyle name="Comma 4 2 3 3 5 3" xfId="6265" xr:uid="{00000000-0005-0000-0000-00009A080000}"/>
    <cellStyle name="Comma 4 2 3 3 5 3 2" xfId="14707" xr:uid="{4772764E-72F2-47A5-B17B-1602C8378690}"/>
    <cellStyle name="Comma 4 2 3 3 5 4" xfId="10489" xr:uid="{3B7F579A-5AA6-476B-8D53-2734C2891428}"/>
    <cellStyle name="Comma 4 2 3 3 6" xfId="2393" xr:uid="{00000000-0005-0000-0000-00009B080000}"/>
    <cellStyle name="Comma 4 2 3 3 6 2" xfId="6678" xr:uid="{00000000-0005-0000-0000-00009C080000}"/>
    <cellStyle name="Comma 4 2 3 3 6 2 2" xfId="15120" xr:uid="{84FBB91E-831A-48E0-B31C-2911223B5DFB}"/>
    <cellStyle name="Comma 4 2 3 3 6 3" xfId="10902" xr:uid="{90C73D7A-9EE9-4E9A-A8FC-DD9143F72F48}"/>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39755FC2-DBBD-4C15-9615-8304680AA8CA}"/>
    <cellStyle name="Comma 4 2 3 3 8 3" xfId="11219" xr:uid="{910F5F0B-939F-4ADC-9DE2-8DF06B432181}"/>
    <cellStyle name="Comma 4 2 3 3 9" xfId="4612" xr:uid="{00000000-0005-0000-0000-0000A0080000}"/>
    <cellStyle name="Comma 4 2 3 3 9 2" xfId="13054" xr:uid="{F645C9FB-3E1F-4594-AC7A-CEF58F539DDA}"/>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E3E557A5-545E-40F2-A991-3800EC95E429}"/>
    <cellStyle name="Comma 4 2 3 4 2 3" xfId="11392" xr:uid="{2D9AF39D-EEF2-4D2B-BC40-9D45DC46D2B5}"/>
    <cellStyle name="Comma 4 2 3 4 3" xfId="5023" xr:uid="{00000000-0005-0000-0000-0000A4080000}"/>
    <cellStyle name="Comma 4 2 3 4 3 2" xfId="13465" xr:uid="{737A1383-2454-4B20-BC94-C1E323DB80AB}"/>
    <cellStyle name="Comma 4 2 3 4 4" xfId="9247" xr:uid="{63A0A6BC-56FD-4429-B8CB-7B6634AA36AF}"/>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43F64C7F-88B6-4826-8874-0D0D019BD9BF}"/>
    <cellStyle name="Comma 4 2 3 5 2 3" xfId="11805" xr:uid="{BEDCE3B0-F8B2-44EC-8BE8-CA8DFF226814}"/>
    <cellStyle name="Comma 4 2 3 5 3" xfId="5436" xr:uid="{00000000-0005-0000-0000-0000A8080000}"/>
    <cellStyle name="Comma 4 2 3 5 3 2" xfId="13878" xr:uid="{5769F287-4C78-4787-B04A-025A51461BA4}"/>
    <cellStyle name="Comma 4 2 3 5 4" xfId="9660" xr:uid="{68ED418C-8D44-4617-BD20-60F96DBF206E}"/>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3D4EA6A8-EBB9-46EA-917B-3B1362146176}"/>
    <cellStyle name="Comma 4 2 3 6 2 3" xfId="12218" xr:uid="{AB1513BB-277A-49C3-BED3-58032A472AEA}"/>
    <cellStyle name="Comma 4 2 3 6 3" xfId="5849" xr:uid="{00000000-0005-0000-0000-0000AC080000}"/>
    <cellStyle name="Comma 4 2 3 6 3 2" xfId="14291" xr:uid="{BB3DEED9-2B54-454D-9E88-7D45CB70498B}"/>
    <cellStyle name="Comma 4 2 3 6 4" xfId="10073" xr:uid="{506A04B3-EE78-4BC3-A044-BC17D8805B6F}"/>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1086D9B9-600F-4EFA-96BB-15E34DC7CB2B}"/>
    <cellStyle name="Comma 4 2 3 7 2 3" xfId="12631" xr:uid="{CDAA6396-E5D9-4E25-9FA2-274DCF406BA3}"/>
    <cellStyle name="Comma 4 2 3 7 3" xfId="6262" xr:uid="{00000000-0005-0000-0000-0000B0080000}"/>
    <cellStyle name="Comma 4 2 3 7 3 2" xfId="14704" xr:uid="{B2DD0A60-05AB-4968-B7C5-A6C533E58D2F}"/>
    <cellStyle name="Comma 4 2 3 7 4" xfId="10486" xr:uid="{C681DFAC-AFA0-42A5-926B-9292E00BA006}"/>
    <cellStyle name="Comma 4 2 3 8" xfId="2390" xr:uid="{00000000-0005-0000-0000-0000B1080000}"/>
    <cellStyle name="Comma 4 2 3 8 2" xfId="6675" xr:uid="{00000000-0005-0000-0000-0000B2080000}"/>
    <cellStyle name="Comma 4 2 3 8 2 2" xfId="15117" xr:uid="{0620AF26-0BC1-40BA-BC2E-5D4A08B1A7BF}"/>
    <cellStyle name="Comma 4 2 3 8 3" xfId="10899" xr:uid="{B8678C84-FD55-44DA-A400-C6863D3BE548}"/>
    <cellStyle name="Comma 4 2 3 9" xfId="2373" xr:uid="{00000000-0005-0000-0000-0000B3080000}"/>
    <cellStyle name="Comma 4 2 4" xfId="140" xr:uid="{00000000-0005-0000-0000-0000B4080000}"/>
    <cellStyle name="Comma 4 2 4 10" xfId="4613" xr:uid="{00000000-0005-0000-0000-0000B5080000}"/>
    <cellStyle name="Comma 4 2 4 10 2" xfId="13055" xr:uid="{52AE9675-82F9-4733-AFEC-004CDB97A052}"/>
    <cellStyle name="Comma 4 2 4 11" xfId="8837" xr:uid="{4E24E3C5-2FB4-4FA0-A69B-B3E9EE65CD7B}"/>
    <cellStyle name="Comma 4 2 4 2" xfId="141" xr:uid="{00000000-0005-0000-0000-0000B6080000}"/>
    <cellStyle name="Comma 4 2 4 2 10" xfId="8838" xr:uid="{594D0FB1-9392-4297-95AF-3C98E7162937}"/>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89EF3D62-571F-40C8-A0A6-0192FAC532AA}"/>
    <cellStyle name="Comma 4 2 4 2 2 2 3" xfId="11397" xr:uid="{1A93E0CA-20A1-4256-A573-01BE4629646E}"/>
    <cellStyle name="Comma 4 2 4 2 2 3" xfId="5028" xr:uid="{00000000-0005-0000-0000-0000BA080000}"/>
    <cellStyle name="Comma 4 2 4 2 2 3 2" xfId="13470" xr:uid="{4939163B-E633-46AB-ADD0-2610CC6538E9}"/>
    <cellStyle name="Comma 4 2 4 2 2 4" xfId="9252" xr:uid="{640E9A17-BA7F-4217-A361-F4F75F49D51C}"/>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65539BF9-7201-44F4-89F5-BB48755DFB6C}"/>
    <cellStyle name="Comma 4 2 4 2 3 2 3" xfId="11810" xr:uid="{F3235081-4CBF-4C5E-A4DB-BB26958B4421}"/>
    <cellStyle name="Comma 4 2 4 2 3 3" xfId="5441" xr:uid="{00000000-0005-0000-0000-0000BE080000}"/>
    <cellStyle name="Comma 4 2 4 2 3 3 2" xfId="13883" xr:uid="{B12D6A80-3565-4FBE-A737-216E783BA1D5}"/>
    <cellStyle name="Comma 4 2 4 2 3 4" xfId="9665" xr:uid="{DA61E710-5F32-424F-8FC1-C26C25A6F983}"/>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5A7E9F13-67F0-422A-9AFC-5C8D9857D4ED}"/>
    <cellStyle name="Comma 4 2 4 2 4 2 3" xfId="12223" xr:uid="{A32F050F-AD63-425B-B68C-BF866354F982}"/>
    <cellStyle name="Comma 4 2 4 2 4 3" xfId="5854" xr:uid="{00000000-0005-0000-0000-0000C2080000}"/>
    <cellStyle name="Comma 4 2 4 2 4 3 2" xfId="14296" xr:uid="{65EC523F-E1C1-47BC-89DC-FC896A5FEFBE}"/>
    <cellStyle name="Comma 4 2 4 2 4 4" xfId="10078" xr:uid="{692F142E-29C1-42CD-A1D0-C87FC7FB36BA}"/>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E4EFD930-2833-47C3-AE49-9865E1D4BDFA}"/>
    <cellStyle name="Comma 4 2 4 2 5 2 3" xfId="12636" xr:uid="{F2477B61-60CC-44B5-A427-9C642FC858F7}"/>
    <cellStyle name="Comma 4 2 4 2 5 3" xfId="6267" xr:uid="{00000000-0005-0000-0000-0000C6080000}"/>
    <cellStyle name="Comma 4 2 4 2 5 3 2" xfId="14709" xr:uid="{0EE7AC83-5E8C-41C9-97AB-D316C6E25B07}"/>
    <cellStyle name="Comma 4 2 4 2 5 4" xfId="10491" xr:uid="{1C5C9546-B3C7-4FBB-A091-FF05F16656BD}"/>
    <cellStyle name="Comma 4 2 4 2 6" xfId="2395" xr:uid="{00000000-0005-0000-0000-0000C7080000}"/>
    <cellStyle name="Comma 4 2 4 2 6 2" xfId="6680" xr:uid="{00000000-0005-0000-0000-0000C8080000}"/>
    <cellStyle name="Comma 4 2 4 2 6 2 2" xfId="15122" xr:uid="{82C8410A-832B-4AB1-BC58-87FBD21FB636}"/>
    <cellStyle name="Comma 4 2 4 2 6 3" xfId="10904" xr:uid="{CDC895E3-36A2-4F38-8D51-BD1B0ACA6A4B}"/>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CA24B3DA-AB29-4427-8C9F-9755BD97F3BC}"/>
    <cellStyle name="Comma 4 2 4 2 8 3" xfId="11221" xr:uid="{C5A5923F-A88C-404C-8EF0-C5D513DCCE4B}"/>
    <cellStyle name="Comma 4 2 4 2 9" xfId="4614" xr:uid="{00000000-0005-0000-0000-0000CC080000}"/>
    <cellStyle name="Comma 4 2 4 2 9 2" xfId="13056" xr:uid="{BB9E6A5D-ADA3-4C29-B05E-AB353C31B8C2}"/>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55CEF546-0D83-4F72-8998-A276C9FDCF77}"/>
    <cellStyle name="Comma 4 2 4 3 2 3" xfId="11396" xr:uid="{2785DB5E-0605-4AFD-AF3C-8AC4040132A1}"/>
    <cellStyle name="Comma 4 2 4 3 3" xfId="5027" xr:uid="{00000000-0005-0000-0000-0000D0080000}"/>
    <cellStyle name="Comma 4 2 4 3 3 2" xfId="13469" xr:uid="{B4DB7A41-B539-464E-BC3D-5C579CA9278B}"/>
    <cellStyle name="Comma 4 2 4 3 4" xfId="9251" xr:uid="{D071B972-B96E-48ED-BF20-041ADAA02F49}"/>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CA5DD5AA-3100-4BB9-8461-F91F6488FE41}"/>
    <cellStyle name="Comma 4 2 4 4 2 3" xfId="11809" xr:uid="{F768148B-D326-45A7-9FC4-870B1865941D}"/>
    <cellStyle name="Comma 4 2 4 4 3" xfId="5440" xr:uid="{00000000-0005-0000-0000-0000D4080000}"/>
    <cellStyle name="Comma 4 2 4 4 3 2" xfId="13882" xr:uid="{3E3397CC-A821-4B21-9159-339F76DF893E}"/>
    <cellStyle name="Comma 4 2 4 4 4" xfId="9664" xr:uid="{F82E9E98-AC28-4138-BDFA-3A1FB8AA1319}"/>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C8B3565-5DA6-456D-87A0-C591323FF148}"/>
    <cellStyle name="Comma 4 2 4 5 2 3" xfId="12222" xr:uid="{D70A3A9E-1553-4AB9-A045-EB51B711FA3C}"/>
    <cellStyle name="Comma 4 2 4 5 3" xfId="5853" xr:uid="{00000000-0005-0000-0000-0000D8080000}"/>
    <cellStyle name="Comma 4 2 4 5 3 2" xfId="14295" xr:uid="{2CA4A1C4-C464-4DB0-8C73-CBFE82E9A70C}"/>
    <cellStyle name="Comma 4 2 4 5 4" xfId="10077" xr:uid="{541DB747-AED6-44B2-9877-CE693D33BCAC}"/>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3B765363-14F3-4AB3-BB70-B0C0BDA27A8A}"/>
    <cellStyle name="Comma 4 2 4 6 2 3" xfId="12635" xr:uid="{66C8865B-06B5-4D1F-A476-327FF7438784}"/>
    <cellStyle name="Comma 4 2 4 6 3" xfId="6266" xr:uid="{00000000-0005-0000-0000-0000DC080000}"/>
    <cellStyle name="Comma 4 2 4 6 3 2" xfId="14708" xr:uid="{28D3005E-F640-4B6E-95E3-DF9338E1EEA6}"/>
    <cellStyle name="Comma 4 2 4 6 4" xfId="10490" xr:uid="{88D44C29-0FC4-47C9-A7B8-2DA698623EE3}"/>
    <cellStyle name="Comma 4 2 4 7" xfId="2394" xr:uid="{00000000-0005-0000-0000-0000DD080000}"/>
    <cellStyle name="Comma 4 2 4 7 2" xfId="6679" xr:uid="{00000000-0005-0000-0000-0000DE080000}"/>
    <cellStyle name="Comma 4 2 4 7 2 2" xfId="15121" xr:uid="{B247CFE9-CBC8-4DF0-9760-9B5130E33F6C}"/>
    <cellStyle name="Comma 4 2 4 7 3" xfId="10903" xr:uid="{7DD3D0FC-65C4-4A17-BE0D-377B0A1483FC}"/>
    <cellStyle name="Comma 4 2 4 8" xfId="2369" xr:uid="{00000000-0005-0000-0000-0000DF080000}"/>
    <cellStyle name="Comma 4 2 4 9" xfId="2772" xr:uid="{00000000-0005-0000-0000-0000E0080000}"/>
    <cellStyle name="Comma 4 2 4 9 2" xfId="6996" xr:uid="{00000000-0005-0000-0000-0000E1080000}"/>
    <cellStyle name="Comma 4 2 4 9 2 2" xfId="15438" xr:uid="{5A9DB49C-B7C5-4ED7-9986-681307325B78}"/>
    <cellStyle name="Comma 4 2 4 9 3" xfId="11220" xr:uid="{9BBC4D73-BA3C-408E-97AA-96B63004BD32}"/>
    <cellStyle name="Comma 4 2 5" xfId="142" xr:uid="{00000000-0005-0000-0000-0000E2080000}"/>
    <cellStyle name="Comma 4 2 5 10" xfId="8839" xr:uid="{2D8D7734-F67E-4594-85D6-1342FB86A26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5E8B67BE-91C3-4374-9FFF-01160B986140}"/>
    <cellStyle name="Comma 4 2 5 2 2 3" xfId="11398" xr:uid="{B53143C3-9170-4FEA-BC70-AFB6DB002612}"/>
    <cellStyle name="Comma 4 2 5 2 3" xfId="5029" xr:uid="{00000000-0005-0000-0000-0000E6080000}"/>
    <cellStyle name="Comma 4 2 5 2 3 2" xfId="13471" xr:uid="{DB76D8E4-7C6D-400E-B5AD-D55C24C3327A}"/>
    <cellStyle name="Comma 4 2 5 2 4" xfId="9253" xr:uid="{FAFBD227-3759-42F0-8312-987DE90FF9E6}"/>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89842412-9198-455A-9BD2-C16FEAA1D789}"/>
    <cellStyle name="Comma 4 2 5 3 2 3" xfId="11811" xr:uid="{7A2E3521-A853-429C-96F4-F7D391D1DD35}"/>
    <cellStyle name="Comma 4 2 5 3 3" xfId="5442" xr:uid="{00000000-0005-0000-0000-0000EA080000}"/>
    <cellStyle name="Comma 4 2 5 3 3 2" xfId="13884" xr:uid="{27219570-0FF5-4A2C-9D92-E6039A8CDDAC}"/>
    <cellStyle name="Comma 4 2 5 3 4" xfId="9666" xr:uid="{39F9DB38-3A16-4575-BFB2-CEC56D7186B3}"/>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A8E0D7E8-47CE-4AFF-93C2-DEB425041855}"/>
    <cellStyle name="Comma 4 2 5 4 2 3" xfId="12224" xr:uid="{D318FFE3-5E0F-46F7-9FAF-F452D4D15CC2}"/>
    <cellStyle name="Comma 4 2 5 4 3" xfId="5855" xr:uid="{00000000-0005-0000-0000-0000EE080000}"/>
    <cellStyle name="Comma 4 2 5 4 3 2" xfId="14297" xr:uid="{227EE5F3-2A94-450C-9AB5-314B6D15F16E}"/>
    <cellStyle name="Comma 4 2 5 4 4" xfId="10079" xr:uid="{66604D03-8F68-46B3-BDFC-123BB42137AC}"/>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43B76714-8097-4F7D-A0D4-807B4C624A56}"/>
    <cellStyle name="Comma 4 2 5 5 2 3" xfId="12637" xr:uid="{BE863A89-87B5-4285-B554-650BC3899A6F}"/>
    <cellStyle name="Comma 4 2 5 5 3" xfId="6268" xr:uid="{00000000-0005-0000-0000-0000F2080000}"/>
    <cellStyle name="Comma 4 2 5 5 3 2" xfId="14710" xr:uid="{38FED660-CF11-4FD8-AD69-AB3B306C5F60}"/>
    <cellStyle name="Comma 4 2 5 5 4" xfId="10492" xr:uid="{C92C7070-914C-4B61-AFD4-14F277C772DD}"/>
    <cellStyle name="Comma 4 2 5 6" xfId="2396" xr:uid="{00000000-0005-0000-0000-0000F3080000}"/>
    <cellStyle name="Comma 4 2 5 6 2" xfId="6681" xr:uid="{00000000-0005-0000-0000-0000F4080000}"/>
    <cellStyle name="Comma 4 2 5 6 2 2" xfId="15123" xr:uid="{5974A92E-0FCB-4C6B-973F-72D06C12779F}"/>
    <cellStyle name="Comma 4 2 5 6 3" xfId="10905" xr:uid="{73AD0C7F-DF5D-4B15-A5D1-FD6D8CD76F63}"/>
    <cellStyle name="Comma 4 2 5 7" xfId="2367" xr:uid="{00000000-0005-0000-0000-0000F5080000}"/>
    <cellStyle name="Comma 4 2 5 8" xfId="2774" xr:uid="{00000000-0005-0000-0000-0000F6080000}"/>
    <cellStyle name="Comma 4 2 5 8 2" xfId="6998" xr:uid="{00000000-0005-0000-0000-0000F7080000}"/>
    <cellStyle name="Comma 4 2 5 8 2 2" xfId="15440" xr:uid="{4AB0BBC7-6D63-4609-936F-1C5EFCDA531B}"/>
    <cellStyle name="Comma 4 2 5 8 3" xfId="11222" xr:uid="{675E1D34-EDB5-45E3-8F63-D990C2671FC8}"/>
    <cellStyle name="Comma 4 2 5 9" xfId="4615" xr:uid="{00000000-0005-0000-0000-0000F8080000}"/>
    <cellStyle name="Comma 4 2 5 9 2" xfId="13057" xr:uid="{FAB0FB46-C021-45C4-84C3-D220C6C75B63}"/>
    <cellStyle name="Comma 4 2 6" xfId="143" xr:uid="{00000000-0005-0000-0000-0000F9080000}"/>
    <cellStyle name="Comma 4 2 6 10" xfId="8840" xr:uid="{CBF0A3B8-646E-400F-A58D-E0D36E874B2C}"/>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13359D77-C35D-4910-AF0F-422FAE4E3482}"/>
    <cellStyle name="Comma 4 2 6 2 2 3" xfId="11399" xr:uid="{5F7FB5D6-0B61-4D1E-B84E-B8944BB593E9}"/>
    <cellStyle name="Comma 4 2 6 2 3" xfId="5030" xr:uid="{00000000-0005-0000-0000-0000FD080000}"/>
    <cellStyle name="Comma 4 2 6 2 3 2" xfId="13472" xr:uid="{4415A28B-484A-41E1-8331-BA736BA25367}"/>
    <cellStyle name="Comma 4 2 6 2 4" xfId="9254" xr:uid="{0696CA44-C2D8-470F-B0B2-07B690309C18}"/>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099289A5-310A-4B98-BA46-421F722D53E9}"/>
    <cellStyle name="Comma 4 2 6 3 2 3" xfId="11812" xr:uid="{7D659532-FDA0-4485-88AE-43C2F47738FA}"/>
    <cellStyle name="Comma 4 2 6 3 3" xfId="5443" xr:uid="{00000000-0005-0000-0000-000001090000}"/>
    <cellStyle name="Comma 4 2 6 3 3 2" xfId="13885" xr:uid="{D9B8C065-6BED-4E49-B5C8-CB232B829EA3}"/>
    <cellStyle name="Comma 4 2 6 3 4" xfId="9667" xr:uid="{83921CD1-7158-4548-A944-900E1252A286}"/>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FD8E821B-B151-4E0D-92E9-7F74A0D83A76}"/>
    <cellStyle name="Comma 4 2 6 4 2 3" xfId="12225" xr:uid="{53CAAD67-18FF-46D9-9704-FECB12650DA3}"/>
    <cellStyle name="Comma 4 2 6 4 3" xfId="5856" xr:uid="{00000000-0005-0000-0000-000005090000}"/>
    <cellStyle name="Comma 4 2 6 4 3 2" xfId="14298" xr:uid="{0B622FEF-1B35-438A-8FE1-C40732DC62B7}"/>
    <cellStyle name="Comma 4 2 6 4 4" xfId="10080" xr:uid="{8CE845BA-C3F6-4FC6-AE1D-19C4A342701D}"/>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B8B9ABD3-E791-4B6B-BAAE-8EFD58EF0872}"/>
    <cellStyle name="Comma 4 2 6 5 2 3" xfId="12638" xr:uid="{C0706B52-973D-4E86-9CA8-07F0D655F687}"/>
    <cellStyle name="Comma 4 2 6 5 3" xfId="6269" xr:uid="{00000000-0005-0000-0000-000009090000}"/>
    <cellStyle name="Comma 4 2 6 5 3 2" xfId="14711" xr:uid="{7EC6DA37-F72D-4AC3-816F-3039EE4A2AEC}"/>
    <cellStyle name="Comma 4 2 6 5 4" xfId="10493" xr:uid="{337E0620-D048-40AE-8CE3-ADC52702FA33}"/>
    <cellStyle name="Comma 4 2 6 6" xfId="2397" xr:uid="{00000000-0005-0000-0000-00000A090000}"/>
    <cellStyle name="Comma 4 2 6 6 2" xfId="6682" xr:uid="{00000000-0005-0000-0000-00000B090000}"/>
    <cellStyle name="Comma 4 2 6 6 2 2" xfId="15124" xr:uid="{330E1583-AC0A-43F8-8841-BF086E199967}"/>
    <cellStyle name="Comma 4 2 6 6 3" xfId="10906" xr:uid="{B77405C8-AEED-4EDE-A963-93030737D35B}"/>
    <cellStyle name="Comma 4 2 6 7" xfId="2366" xr:uid="{00000000-0005-0000-0000-00000C090000}"/>
    <cellStyle name="Comma 4 2 6 8" xfId="2775" xr:uid="{00000000-0005-0000-0000-00000D090000}"/>
    <cellStyle name="Comma 4 2 6 8 2" xfId="6999" xr:uid="{00000000-0005-0000-0000-00000E090000}"/>
    <cellStyle name="Comma 4 2 6 8 2 2" xfId="15441" xr:uid="{5F16F112-55BE-4F79-8430-F7AC49CFB0AF}"/>
    <cellStyle name="Comma 4 2 6 8 3" xfId="11223" xr:uid="{B2F3F30E-AEBE-4F8B-A04B-7CB4F0E97850}"/>
    <cellStyle name="Comma 4 2 6 9" xfId="4616" xr:uid="{00000000-0005-0000-0000-00000F090000}"/>
    <cellStyle name="Comma 4 2 6 9 2" xfId="13058" xr:uid="{B65A63AB-B047-4B4E-9A24-436208E72BDF}"/>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FAA6151C-2EB4-4E0C-BE2C-51C80B084949}"/>
    <cellStyle name="Comma 4 3 2 10 3" xfId="11224" xr:uid="{14C50365-7D03-4574-B3E3-ACD500B38219}"/>
    <cellStyle name="Comma 4 3 2 11" xfId="4617" xr:uid="{00000000-0005-0000-0000-000014090000}"/>
    <cellStyle name="Comma 4 3 2 11 2" xfId="13059" xr:uid="{12446BE7-234F-4576-8CE9-68DFA06F53BD}"/>
    <cellStyle name="Comma 4 3 2 12" xfId="8841" xr:uid="{F73EF500-BBDB-4C19-95B9-C06350E4121B}"/>
    <cellStyle name="Comma 4 3 2 2" xfId="146" xr:uid="{00000000-0005-0000-0000-000015090000}"/>
    <cellStyle name="Comma 4 3 2 2 10" xfId="4618" xr:uid="{00000000-0005-0000-0000-000016090000}"/>
    <cellStyle name="Comma 4 3 2 2 10 2" xfId="13060" xr:uid="{9A42ED29-E896-4C31-B681-1B95AA1D3086}"/>
    <cellStyle name="Comma 4 3 2 2 11" xfId="8842" xr:uid="{2590423C-2BDD-4AAC-8753-8E3EFDC9AC3A}"/>
    <cellStyle name="Comma 4 3 2 2 2" xfId="147" xr:uid="{00000000-0005-0000-0000-000017090000}"/>
    <cellStyle name="Comma 4 3 2 2 2 10" xfId="8843" xr:uid="{2A2CCEEB-F0BC-4D5F-ABAD-AB401AC8E00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BFE82F3F-6546-467B-B0C8-E52F8558DF8A}"/>
    <cellStyle name="Comma 4 3 2 2 2 2 2 3" xfId="11402" xr:uid="{5228DED0-238F-4D86-92FA-D3C73300621C}"/>
    <cellStyle name="Comma 4 3 2 2 2 2 3" xfId="5033" xr:uid="{00000000-0005-0000-0000-00001B090000}"/>
    <cellStyle name="Comma 4 3 2 2 2 2 3 2" xfId="13475" xr:uid="{4DA14A7C-9DCF-4F83-9A12-741F9CA94C1F}"/>
    <cellStyle name="Comma 4 3 2 2 2 2 4" xfId="9257" xr:uid="{25579541-504C-4215-94F4-17DBBC715D4D}"/>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6FA3655D-3DC4-4CD9-BD7B-A3C473F586EE}"/>
    <cellStyle name="Comma 4 3 2 2 2 3 2 3" xfId="11815" xr:uid="{22CCA5B8-6ED9-4AB1-8E97-6EBDF509C3EE}"/>
    <cellStyle name="Comma 4 3 2 2 2 3 3" xfId="5446" xr:uid="{00000000-0005-0000-0000-00001F090000}"/>
    <cellStyle name="Comma 4 3 2 2 2 3 3 2" xfId="13888" xr:uid="{DB374CBA-21EE-4FA1-B90D-36923B9ACCDB}"/>
    <cellStyle name="Comma 4 3 2 2 2 3 4" xfId="9670" xr:uid="{354D3664-BE20-44D1-8D95-A942CD8713A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06B721A5-708C-4ECD-AB7C-4DF005A94418}"/>
    <cellStyle name="Comma 4 3 2 2 2 4 2 3" xfId="12228" xr:uid="{6420F57E-9334-42B7-9910-461B5E5F2155}"/>
    <cellStyle name="Comma 4 3 2 2 2 4 3" xfId="5859" xr:uid="{00000000-0005-0000-0000-000023090000}"/>
    <cellStyle name="Comma 4 3 2 2 2 4 3 2" xfId="14301" xr:uid="{094B2952-F834-4F5E-877D-8D6D4AC7E1B5}"/>
    <cellStyle name="Comma 4 3 2 2 2 4 4" xfId="10083" xr:uid="{727CFCE1-528F-4D98-8FE8-0B5BDE8A8AE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A4420F50-D28E-46F3-942B-606656747B61}"/>
    <cellStyle name="Comma 4 3 2 2 2 5 2 3" xfId="12641" xr:uid="{975D9FA8-C943-4004-A6FD-4A785394EA6C}"/>
    <cellStyle name="Comma 4 3 2 2 2 5 3" xfId="6272" xr:uid="{00000000-0005-0000-0000-000027090000}"/>
    <cellStyle name="Comma 4 3 2 2 2 5 3 2" xfId="14714" xr:uid="{3440A333-EB42-471B-9A05-D8EA29A42F89}"/>
    <cellStyle name="Comma 4 3 2 2 2 5 4" xfId="10496" xr:uid="{1BCD0BE6-3AE9-4874-9EA0-A1BD0ED04DE6}"/>
    <cellStyle name="Comma 4 3 2 2 2 6" xfId="2400" xr:uid="{00000000-0005-0000-0000-000028090000}"/>
    <cellStyle name="Comma 4 3 2 2 2 6 2" xfId="6685" xr:uid="{00000000-0005-0000-0000-000029090000}"/>
    <cellStyle name="Comma 4 3 2 2 2 6 2 2" xfId="15127" xr:uid="{92D1BBEE-DA03-4C25-920C-A171795D1E52}"/>
    <cellStyle name="Comma 4 3 2 2 2 6 3" xfId="10909" xr:uid="{6B5558D5-9770-47E8-960E-C3981A554201}"/>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E440FF74-3FD8-41DD-A300-2482FD864F68}"/>
    <cellStyle name="Comma 4 3 2 2 2 8 3" xfId="11226" xr:uid="{E0D32321-AE5C-44DE-BEA3-5EF85FFD5460}"/>
    <cellStyle name="Comma 4 3 2 2 2 9" xfId="4619" xr:uid="{00000000-0005-0000-0000-00002D090000}"/>
    <cellStyle name="Comma 4 3 2 2 2 9 2" xfId="13061" xr:uid="{A4483A9B-4AEF-4595-B954-82F1F244B946}"/>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9438B745-7C8D-43D8-981F-AD8323B5F5E2}"/>
    <cellStyle name="Comma 4 3 2 2 3 2 3" xfId="11401" xr:uid="{0C8D5FBC-914B-4DAF-8517-D3DE3CD075BF}"/>
    <cellStyle name="Comma 4 3 2 2 3 3" xfId="5032" xr:uid="{00000000-0005-0000-0000-000031090000}"/>
    <cellStyle name="Comma 4 3 2 2 3 3 2" xfId="13474" xr:uid="{475568D3-7BBE-429D-BC5C-21EF5EF86506}"/>
    <cellStyle name="Comma 4 3 2 2 3 4" xfId="9256" xr:uid="{3033F0B3-6D86-4675-A612-72BDD757900A}"/>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5DBA7C27-18ED-4726-A33F-8D3DD7DC77BF}"/>
    <cellStyle name="Comma 4 3 2 2 4 2 3" xfId="11814" xr:uid="{587FF8A4-B851-4682-BD68-54B4735971BE}"/>
    <cellStyle name="Comma 4 3 2 2 4 3" xfId="5445" xr:uid="{00000000-0005-0000-0000-000035090000}"/>
    <cellStyle name="Comma 4 3 2 2 4 3 2" xfId="13887" xr:uid="{12282EEA-644A-413F-9377-C902C04D05AA}"/>
    <cellStyle name="Comma 4 3 2 2 4 4" xfId="9669" xr:uid="{2E3C2323-595E-4500-8C6B-E93B0728469B}"/>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AC7A676E-B62B-4A61-9084-83A83F9E30ED}"/>
    <cellStyle name="Comma 4 3 2 2 5 2 3" xfId="12227" xr:uid="{C2406B82-757E-4187-8FF9-D9D79312ED75}"/>
    <cellStyle name="Comma 4 3 2 2 5 3" xfId="5858" xr:uid="{00000000-0005-0000-0000-000039090000}"/>
    <cellStyle name="Comma 4 3 2 2 5 3 2" xfId="14300" xr:uid="{CD33E6AB-E846-4AC0-A250-6B8F61DDFDCD}"/>
    <cellStyle name="Comma 4 3 2 2 5 4" xfId="10082" xr:uid="{6F931DD7-0F68-4EF9-98AA-3D12E1110E5B}"/>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CE4CA226-F370-4F9A-BDF0-657C14B57000}"/>
    <cellStyle name="Comma 4 3 2 2 6 2 3" xfId="12640" xr:uid="{4207766F-DBDB-4206-B5A4-AB15631DC0A6}"/>
    <cellStyle name="Comma 4 3 2 2 6 3" xfId="6271" xr:uid="{00000000-0005-0000-0000-00003D090000}"/>
    <cellStyle name="Comma 4 3 2 2 6 3 2" xfId="14713" xr:uid="{50226DC6-940F-4717-8E0D-335DB30EFCA1}"/>
    <cellStyle name="Comma 4 3 2 2 6 4" xfId="10495" xr:uid="{A8FF656D-82AD-47B8-9981-B240D01A5EE1}"/>
    <cellStyle name="Comma 4 3 2 2 7" xfId="2399" xr:uid="{00000000-0005-0000-0000-00003E090000}"/>
    <cellStyle name="Comma 4 3 2 2 7 2" xfId="6684" xr:uid="{00000000-0005-0000-0000-00003F090000}"/>
    <cellStyle name="Comma 4 3 2 2 7 2 2" xfId="15126" xr:uid="{6AB36FA1-AB55-467F-8DCE-26C4E61E8405}"/>
    <cellStyle name="Comma 4 3 2 2 7 3" xfId="10908" xr:uid="{5D9532C9-0AC1-44C5-A69F-BAF9A372C8CF}"/>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C3507BB4-7F08-4713-BF45-861DC77FC3FC}"/>
    <cellStyle name="Comma 4 3 2 2 9 3" xfId="11225" xr:uid="{48EAAFE0-E526-44BE-9F11-AA5ECEE74449}"/>
    <cellStyle name="Comma 4 3 2 3" xfId="148" xr:uid="{00000000-0005-0000-0000-000043090000}"/>
    <cellStyle name="Comma 4 3 2 3 10" xfId="8844" xr:uid="{6CE2F822-98C0-4C47-8FA8-078C0B2CDF0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C99851B4-ACC6-431F-95E9-24D103A4BB90}"/>
    <cellStyle name="Comma 4 3 2 3 2 2 3" xfId="11403" xr:uid="{1DEDFE7A-1AC6-41C0-AD9F-FEC9C7242B9E}"/>
    <cellStyle name="Comma 4 3 2 3 2 3" xfId="5034" xr:uid="{00000000-0005-0000-0000-000047090000}"/>
    <cellStyle name="Comma 4 3 2 3 2 3 2" xfId="13476" xr:uid="{FA87B3BF-0514-43BA-AE5A-E9FE9427F5FD}"/>
    <cellStyle name="Comma 4 3 2 3 2 4" xfId="9258" xr:uid="{5AF07BF5-DF46-48DD-A5B7-D3CC5F6F452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E08F2B7C-689B-49D0-A35A-27DF8502D080}"/>
    <cellStyle name="Comma 4 3 2 3 3 2 3" xfId="11816" xr:uid="{74A7394F-0700-4EBF-9810-D3F5B4482C76}"/>
    <cellStyle name="Comma 4 3 2 3 3 3" xfId="5447" xr:uid="{00000000-0005-0000-0000-00004B090000}"/>
    <cellStyle name="Comma 4 3 2 3 3 3 2" xfId="13889" xr:uid="{46EEEDF0-0195-4D4A-9F7D-F859C467A610}"/>
    <cellStyle name="Comma 4 3 2 3 3 4" xfId="9671" xr:uid="{0D854276-4FDE-4F67-91AA-935EEC8EAAF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BE6ED39-9FAE-47C2-9787-B05A7D2214C8}"/>
    <cellStyle name="Comma 4 3 2 3 4 2 3" xfId="12229" xr:uid="{ED3400A4-6EE1-49E9-B6FF-7BF35D32EB73}"/>
    <cellStyle name="Comma 4 3 2 3 4 3" xfId="5860" xr:uid="{00000000-0005-0000-0000-00004F090000}"/>
    <cellStyle name="Comma 4 3 2 3 4 3 2" xfId="14302" xr:uid="{6762CB7D-4867-45A5-A8CA-71CF19555BEF}"/>
    <cellStyle name="Comma 4 3 2 3 4 4" xfId="10084" xr:uid="{9E058085-D3BD-44C6-AACB-53064E029506}"/>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FF454501-456E-47C6-A169-9C58ECD56BB8}"/>
    <cellStyle name="Comma 4 3 2 3 5 2 3" xfId="12642" xr:uid="{8831A740-F060-4736-B9E0-8721849D7A5F}"/>
    <cellStyle name="Comma 4 3 2 3 5 3" xfId="6273" xr:uid="{00000000-0005-0000-0000-000053090000}"/>
    <cellStyle name="Comma 4 3 2 3 5 3 2" xfId="14715" xr:uid="{05A5F328-3564-4731-BCEF-320B3F7122A9}"/>
    <cellStyle name="Comma 4 3 2 3 5 4" xfId="10497" xr:uid="{9C829172-37BE-4902-8F01-2E8F57F4E56E}"/>
    <cellStyle name="Comma 4 3 2 3 6" xfId="2401" xr:uid="{00000000-0005-0000-0000-000054090000}"/>
    <cellStyle name="Comma 4 3 2 3 6 2" xfId="6686" xr:uid="{00000000-0005-0000-0000-000055090000}"/>
    <cellStyle name="Comma 4 3 2 3 6 2 2" xfId="15128" xr:uid="{8963677F-C4B8-4376-B6F3-49E5313CE6F9}"/>
    <cellStyle name="Comma 4 3 2 3 6 3" xfId="10910" xr:uid="{AAB5DBB8-F938-4482-9142-D2F6E4774E23}"/>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5511C88E-E0C3-425E-B3BA-5E6134F76AD9}"/>
    <cellStyle name="Comma 4 3 2 3 8 3" xfId="11227" xr:uid="{4A6CC37B-9DA3-4FD9-B9B1-49E2679B5C29}"/>
    <cellStyle name="Comma 4 3 2 3 9" xfId="4620" xr:uid="{00000000-0005-0000-0000-000059090000}"/>
    <cellStyle name="Comma 4 3 2 3 9 2" xfId="13062" xr:uid="{249BD3BA-DCDD-4C20-95EC-979922912ED3}"/>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5FDB4DFD-0AD5-4B2E-9DE2-6C09BCD1D285}"/>
    <cellStyle name="Comma 4 3 2 4 2 3" xfId="11400" xr:uid="{1BB680AE-EB3C-4583-ABB9-48130B24D1A4}"/>
    <cellStyle name="Comma 4 3 2 4 3" xfId="5031" xr:uid="{00000000-0005-0000-0000-00005D090000}"/>
    <cellStyle name="Comma 4 3 2 4 3 2" xfId="13473" xr:uid="{44318B84-ADE0-43E5-9575-0D1B5F5D5472}"/>
    <cellStyle name="Comma 4 3 2 4 4" xfId="9255" xr:uid="{EE0F7130-B1FA-49FD-9441-3D8930653DFA}"/>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65652465-8FB6-4174-AA63-0E35E32BDD51}"/>
    <cellStyle name="Comma 4 3 2 5 2 3" xfId="11813" xr:uid="{61973240-5061-44A8-B6B1-CFE4A66561DC}"/>
    <cellStyle name="Comma 4 3 2 5 3" xfId="5444" xr:uid="{00000000-0005-0000-0000-000061090000}"/>
    <cellStyle name="Comma 4 3 2 5 3 2" xfId="13886" xr:uid="{F0475F1C-C9C6-4B59-8DD4-E9B0D3A0822D}"/>
    <cellStyle name="Comma 4 3 2 5 4" xfId="9668" xr:uid="{FF7BFB46-5F66-468D-A3AE-0B22CEACED75}"/>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2B48995F-CBE8-448F-8280-AF3EDFA86C9E}"/>
    <cellStyle name="Comma 4 3 2 6 2 3" xfId="12226" xr:uid="{A0B30F96-C4B2-4136-8277-29C712D10CE6}"/>
    <cellStyle name="Comma 4 3 2 6 3" xfId="5857" xr:uid="{00000000-0005-0000-0000-000065090000}"/>
    <cellStyle name="Comma 4 3 2 6 3 2" xfId="14299" xr:uid="{3B0FA392-0C65-411D-9DBB-F561C6762308}"/>
    <cellStyle name="Comma 4 3 2 6 4" xfId="10081" xr:uid="{35FB8FD1-90F0-44AF-B098-0A4AF9FF6129}"/>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197A3C92-2A60-4354-8BC1-EB2E907A2DDE}"/>
    <cellStyle name="Comma 4 3 2 7 2 3" xfId="12639" xr:uid="{F5875F1A-3153-4EA8-9850-AE7985F9958F}"/>
    <cellStyle name="Comma 4 3 2 7 3" xfId="6270" xr:uid="{00000000-0005-0000-0000-000069090000}"/>
    <cellStyle name="Comma 4 3 2 7 3 2" xfId="14712" xr:uid="{2D6216B6-214B-4DA3-9DFA-B9E863904280}"/>
    <cellStyle name="Comma 4 3 2 7 4" xfId="10494" xr:uid="{5AE4636B-042B-4182-A0B2-5733B88AF74F}"/>
    <cellStyle name="Comma 4 3 2 8" xfId="2398" xr:uid="{00000000-0005-0000-0000-00006A090000}"/>
    <cellStyle name="Comma 4 3 2 8 2" xfId="6683" xr:uid="{00000000-0005-0000-0000-00006B090000}"/>
    <cellStyle name="Comma 4 3 2 8 2 2" xfId="15125" xr:uid="{810ACAEB-53DD-489F-B70D-518F417375F7}"/>
    <cellStyle name="Comma 4 3 2 8 3" xfId="10907" xr:uid="{DAAD1B58-3714-4C3B-9A2F-0CF1E77D82D6}"/>
    <cellStyle name="Comma 4 3 2 9" xfId="2365" xr:uid="{00000000-0005-0000-0000-00006C090000}"/>
    <cellStyle name="Comma 4 3 3" xfId="149" xr:uid="{00000000-0005-0000-0000-00006D090000}"/>
    <cellStyle name="Comma 4 3 3 10" xfId="4621" xr:uid="{00000000-0005-0000-0000-00006E090000}"/>
    <cellStyle name="Comma 4 3 3 10 2" xfId="13063" xr:uid="{B2526408-8E55-4FBC-988C-4BCD96AC563B}"/>
    <cellStyle name="Comma 4 3 3 11" xfId="8845" xr:uid="{1044662F-37AC-437D-9F37-A0356E1B0D1C}"/>
    <cellStyle name="Comma 4 3 3 2" xfId="150" xr:uid="{00000000-0005-0000-0000-00006F090000}"/>
    <cellStyle name="Comma 4 3 3 2 10" xfId="8846" xr:uid="{12B3D9B7-6578-4BEB-88B3-78D9C5ADF229}"/>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5C6E605B-A09F-4A06-83D6-B9995D896E7F}"/>
    <cellStyle name="Comma 4 3 3 2 2 2 3" xfId="11405" xr:uid="{74D780B7-CB0F-41C9-A717-7B9CCAE5B544}"/>
    <cellStyle name="Comma 4 3 3 2 2 3" xfId="5036" xr:uid="{00000000-0005-0000-0000-000073090000}"/>
    <cellStyle name="Comma 4 3 3 2 2 3 2" xfId="13478" xr:uid="{E3CA5F87-C34E-4378-8079-2B592AEE39FE}"/>
    <cellStyle name="Comma 4 3 3 2 2 4" xfId="9260" xr:uid="{07E6D4B6-24D0-4CDE-B3F9-5D963BAC5D5F}"/>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E6003C23-5577-43F8-BE7B-3AEBA9E62CE2}"/>
    <cellStyle name="Comma 4 3 3 2 3 2 3" xfId="11818" xr:uid="{9285CE13-D1D7-4B25-8ECF-1925F6B5B8FD}"/>
    <cellStyle name="Comma 4 3 3 2 3 3" xfId="5449" xr:uid="{00000000-0005-0000-0000-000077090000}"/>
    <cellStyle name="Comma 4 3 3 2 3 3 2" xfId="13891" xr:uid="{17AC067A-3A6D-44FD-9E87-8D22965AB1FA}"/>
    <cellStyle name="Comma 4 3 3 2 3 4" xfId="9673" xr:uid="{2A26445C-7E94-4F60-A490-4A315056ED36}"/>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8AFD4CAE-52D9-4384-9187-74F1A07E7C8D}"/>
    <cellStyle name="Comma 4 3 3 2 4 2 3" xfId="12231" xr:uid="{7837DFD7-F35C-4FC1-AD91-258FAC4BC87F}"/>
    <cellStyle name="Comma 4 3 3 2 4 3" xfId="5862" xr:uid="{00000000-0005-0000-0000-00007B090000}"/>
    <cellStyle name="Comma 4 3 3 2 4 3 2" xfId="14304" xr:uid="{4B6D8268-60B4-4EAA-A302-A39E061DDF56}"/>
    <cellStyle name="Comma 4 3 3 2 4 4" xfId="10086" xr:uid="{0AF2A7AD-A5E7-42DF-8FCD-FE6FAF4BF4CF}"/>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8BE748E9-264A-4E07-960B-C6CED43E3E74}"/>
    <cellStyle name="Comma 4 3 3 2 5 2 3" xfId="12644" xr:uid="{358C4743-7B31-41F4-BD29-759A0820975C}"/>
    <cellStyle name="Comma 4 3 3 2 5 3" xfId="6275" xr:uid="{00000000-0005-0000-0000-00007F090000}"/>
    <cellStyle name="Comma 4 3 3 2 5 3 2" xfId="14717" xr:uid="{AFCE14D0-12D1-4D68-B7B8-947F22268245}"/>
    <cellStyle name="Comma 4 3 3 2 5 4" xfId="10499" xr:uid="{90FAC2B8-1EA8-4EA0-ADB1-FB74FEF4DED8}"/>
    <cellStyle name="Comma 4 3 3 2 6" xfId="2403" xr:uid="{00000000-0005-0000-0000-000080090000}"/>
    <cellStyle name="Comma 4 3 3 2 6 2" xfId="6688" xr:uid="{00000000-0005-0000-0000-000081090000}"/>
    <cellStyle name="Comma 4 3 3 2 6 2 2" xfId="15130" xr:uid="{8A48CA59-7166-465D-A567-144C2897D69B}"/>
    <cellStyle name="Comma 4 3 3 2 6 3" xfId="10912" xr:uid="{A26EE5EB-1730-478A-9FA4-EF518EF585A7}"/>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20992121-EF18-4802-BCD0-4BC51A97D57D}"/>
    <cellStyle name="Comma 4 3 3 2 8 3" xfId="11229" xr:uid="{DC3FADA0-01B7-49F9-85DC-40DF37782FD8}"/>
    <cellStyle name="Comma 4 3 3 2 9" xfId="4622" xr:uid="{00000000-0005-0000-0000-000085090000}"/>
    <cellStyle name="Comma 4 3 3 2 9 2" xfId="13064" xr:uid="{8F2160CC-1569-4AB2-A0C7-B06A47A04CF8}"/>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4AC492DD-3FA6-4CE8-A3A3-E89B645170B5}"/>
    <cellStyle name="Comma 4 3 3 3 2 3" xfId="11404" xr:uid="{A4F38185-B7E7-4922-8945-79D2ED8B57A1}"/>
    <cellStyle name="Comma 4 3 3 3 3" xfId="5035" xr:uid="{00000000-0005-0000-0000-000089090000}"/>
    <cellStyle name="Comma 4 3 3 3 3 2" xfId="13477" xr:uid="{538202C5-DDBD-48E1-AC37-03574BBFAA4B}"/>
    <cellStyle name="Comma 4 3 3 3 4" xfId="9259" xr:uid="{1092BEDA-5DEA-42AD-BCD2-C0B485663801}"/>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AC6AFA4C-11E1-4D4C-BAF5-1D7BFF77D8C8}"/>
    <cellStyle name="Comma 4 3 3 4 2 3" xfId="11817" xr:uid="{3D494260-59E2-430A-8B1B-6ECB8E3DC84F}"/>
    <cellStyle name="Comma 4 3 3 4 3" xfId="5448" xr:uid="{00000000-0005-0000-0000-00008D090000}"/>
    <cellStyle name="Comma 4 3 3 4 3 2" xfId="13890" xr:uid="{8BD4AB9A-C834-4657-89C0-47690C0331CD}"/>
    <cellStyle name="Comma 4 3 3 4 4" xfId="9672" xr:uid="{7D7A449C-5E90-4DCD-9046-E031C3A53F69}"/>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4F46009-021A-4531-83B5-B3751182E91C}"/>
    <cellStyle name="Comma 4 3 3 5 2 3" xfId="12230" xr:uid="{4048F6FD-D069-4913-B178-498DFEA4F848}"/>
    <cellStyle name="Comma 4 3 3 5 3" xfId="5861" xr:uid="{00000000-0005-0000-0000-000091090000}"/>
    <cellStyle name="Comma 4 3 3 5 3 2" xfId="14303" xr:uid="{3BF80C08-1A97-4A8F-B128-4E4EDEB50C45}"/>
    <cellStyle name="Comma 4 3 3 5 4" xfId="10085" xr:uid="{B88DFAD1-0F65-469F-8E8A-76A417AD0D42}"/>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AC9F6611-3652-4266-98B6-51BACA03B7E7}"/>
    <cellStyle name="Comma 4 3 3 6 2 3" xfId="12643" xr:uid="{CB79BB9F-DB54-4D4C-A4AF-A1252260AD27}"/>
    <cellStyle name="Comma 4 3 3 6 3" xfId="6274" xr:uid="{00000000-0005-0000-0000-000095090000}"/>
    <cellStyle name="Comma 4 3 3 6 3 2" xfId="14716" xr:uid="{EAD638FD-4258-4B6B-80AD-6A166DCD05B5}"/>
    <cellStyle name="Comma 4 3 3 6 4" xfId="10498" xr:uid="{7BE55548-3D7C-4A3F-AAFA-11765550307C}"/>
    <cellStyle name="Comma 4 3 3 7" xfId="2402" xr:uid="{00000000-0005-0000-0000-000096090000}"/>
    <cellStyle name="Comma 4 3 3 7 2" xfId="6687" xr:uid="{00000000-0005-0000-0000-000097090000}"/>
    <cellStyle name="Comma 4 3 3 7 2 2" xfId="15129" xr:uid="{62470261-1B34-4F37-B664-2F90BCEE0CFE}"/>
    <cellStyle name="Comma 4 3 3 7 3" xfId="10911" xr:uid="{BFB47246-E164-4ED0-903C-D3AFE254DDA9}"/>
    <cellStyle name="Comma 4 3 3 8" xfId="2361" xr:uid="{00000000-0005-0000-0000-000098090000}"/>
    <cellStyle name="Comma 4 3 3 9" xfId="2780" xr:uid="{00000000-0005-0000-0000-000099090000}"/>
    <cellStyle name="Comma 4 3 3 9 2" xfId="7004" xr:uid="{00000000-0005-0000-0000-00009A090000}"/>
    <cellStyle name="Comma 4 3 3 9 2 2" xfId="15446" xr:uid="{49053F22-5D9F-44CD-9024-77115B837DD3}"/>
    <cellStyle name="Comma 4 3 3 9 3" xfId="11228" xr:uid="{37ACE100-518B-4E58-B564-5BF871157D99}"/>
    <cellStyle name="Comma 4 3 4" xfId="151" xr:uid="{00000000-0005-0000-0000-00009B090000}"/>
    <cellStyle name="Comma 4 3 4 10" xfId="8847" xr:uid="{5C118F69-9C58-42D5-83FA-DDB067423D76}"/>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06AADFA6-D74E-4D2E-90DE-D0795EF20B82}"/>
    <cellStyle name="Comma 4 3 4 2 2 3" xfId="11406" xr:uid="{64E42DD9-9940-44BD-8A21-908252B2B553}"/>
    <cellStyle name="Comma 4 3 4 2 3" xfId="5037" xr:uid="{00000000-0005-0000-0000-00009F090000}"/>
    <cellStyle name="Comma 4 3 4 2 3 2" xfId="13479" xr:uid="{3C838944-DA9C-491B-B487-BCA7FE4D4B25}"/>
    <cellStyle name="Comma 4 3 4 2 4" xfId="9261" xr:uid="{16E6ACEC-EFDB-4C50-A0A7-C41080ABADF7}"/>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D6D04A9C-4AC5-4F4D-A60F-EA0684FEC768}"/>
    <cellStyle name="Comma 4 3 4 3 2 3" xfId="11819" xr:uid="{3A51D777-A626-418E-A4EC-BCB2B43DE506}"/>
    <cellStyle name="Comma 4 3 4 3 3" xfId="5450" xr:uid="{00000000-0005-0000-0000-0000A3090000}"/>
    <cellStyle name="Comma 4 3 4 3 3 2" xfId="13892" xr:uid="{D3A48EAF-F1D9-4F47-B350-97E59D11139C}"/>
    <cellStyle name="Comma 4 3 4 3 4" xfId="9674" xr:uid="{CC85C3D4-2B06-469C-8A29-1408DFA71F03}"/>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DB3CCCB5-A55A-4D66-A178-330D24E06937}"/>
    <cellStyle name="Comma 4 3 4 4 2 3" xfId="12232" xr:uid="{13455277-216F-4DC0-8197-9FC4C6D6B6B7}"/>
    <cellStyle name="Comma 4 3 4 4 3" xfId="5863" xr:uid="{00000000-0005-0000-0000-0000A7090000}"/>
    <cellStyle name="Comma 4 3 4 4 3 2" xfId="14305" xr:uid="{604B1BDB-8D5B-42CC-8099-6477F76F9244}"/>
    <cellStyle name="Comma 4 3 4 4 4" xfId="10087" xr:uid="{FF6B67FB-4622-4325-B9DF-2093935B0F2C}"/>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14CCD855-8BDB-4E91-AB53-AD9DB3151710}"/>
    <cellStyle name="Comma 4 3 4 5 2 3" xfId="12645" xr:uid="{C482C78C-98FB-4086-8E38-4AD9F013E745}"/>
    <cellStyle name="Comma 4 3 4 5 3" xfId="6276" xr:uid="{00000000-0005-0000-0000-0000AB090000}"/>
    <cellStyle name="Comma 4 3 4 5 3 2" xfId="14718" xr:uid="{F0B3137E-8AAC-438D-A056-62093DEDAC03}"/>
    <cellStyle name="Comma 4 3 4 5 4" xfId="10500" xr:uid="{ECCDFE1D-2576-4798-89B9-69820F791FC2}"/>
    <cellStyle name="Comma 4 3 4 6" xfId="2404" xr:uid="{00000000-0005-0000-0000-0000AC090000}"/>
    <cellStyle name="Comma 4 3 4 6 2" xfId="6689" xr:uid="{00000000-0005-0000-0000-0000AD090000}"/>
    <cellStyle name="Comma 4 3 4 6 2 2" xfId="15131" xr:uid="{D7E273B6-6109-4F5B-AFCB-69470CCBC914}"/>
    <cellStyle name="Comma 4 3 4 6 3" xfId="10913" xr:uid="{72C2FC34-00D6-4721-A20D-9DFDE46935B8}"/>
    <cellStyle name="Comma 4 3 4 7" xfId="2700" xr:uid="{00000000-0005-0000-0000-0000AE090000}"/>
    <cellStyle name="Comma 4 3 4 8" xfId="2782" xr:uid="{00000000-0005-0000-0000-0000AF090000}"/>
    <cellStyle name="Comma 4 3 4 8 2" xfId="7006" xr:uid="{00000000-0005-0000-0000-0000B0090000}"/>
    <cellStyle name="Comma 4 3 4 8 2 2" xfId="15448" xr:uid="{1109433A-D036-42D2-9530-63298B5D5D48}"/>
    <cellStyle name="Comma 4 3 4 8 3" xfId="11230" xr:uid="{CFBC8565-F3EB-417D-89EB-AD3A2CA98B28}"/>
    <cellStyle name="Comma 4 3 4 9" xfId="4623" xr:uid="{00000000-0005-0000-0000-0000B1090000}"/>
    <cellStyle name="Comma 4 3 4 9 2" xfId="13065" xr:uid="{4DE2B9DF-D6EC-40E3-9B16-0DE48ECA2636}"/>
    <cellStyle name="Comma 4 3 5" xfId="152" xr:uid="{00000000-0005-0000-0000-0000B2090000}"/>
    <cellStyle name="Comma 4 3 5 10" xfId="8848" xr:uid="{C4109E3A-867B-4A8F-B099-768BE6DCE912}"/>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114D3F2F-298A-4D2B-AB6E-0612BA03ADB0}"/>
    <cellStyle name="Comma 4 3 5 2 2 3" xfId="11407" xr:uid="{96D02897-5BD8-4D04-BD40-2B22AEB321B2}"/>
    <cellStyle name="Comma 4 3 5 2 3" xfId="5038" xr:uid="{00000000-0005-0000-0000-0000B6090000}"/>
    <cellStyle name="Comma 4 3 5 2 3 2" xfId="13480" xr:uid="{981543FE-8F1C-4F71-A383-7C0BA1F3C404}"/>
    <cellStyle name="Comma 4 3 5 2 4" xfId="9262" xr:uid="{96FD03DC-927D-4EF9-9FFA-5433D665F34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DAA59494-5D7A-4627-BD75-BEDA70AA033E}"/>
    <cellStyle name="Comma 4 3 5 3 2 3" xfId="11820" xr:uid="{CC78FDC3-91B9-4A21-87E9-32053F668392}"/>
    <cellStyle name="Comma 4 3 5 3 3" xfId="5451" xr:uid="{00000000-0005-0000-0000-0000BA090000}"/>
    <cellStyle name="Comma 4 3 5 3 3 2" xfId="13893" xr:uid="{82FE45EB-37BB-48D8-B19D-A55289738ABC}"/>
    <cellStyle name="Comma 4 3 5 3 4" xfId="9675" xr:uid="{F9669CD0-7CFD-48A2-BF9B-5B8E41E62DA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A0CD1268-E821-4234-9F2B-65CCDAD8789E}"/>
    <cellStyle name="Comma 4 3 5 4 2 3" xfId="12233" xr:uid="{922B0DA1-61D6-4607-886E-BDDA14669D14}"/>
    <cellStyle name="Comma 4 3 5 4 3" xfId="5864" xr:uid="{00000000-0005-0000-0000-0000BE090000}"/>
    <cellStyle name="Comma 4 3 5 4 3 2" xfId="14306" xr:uid="{8792EE20-1411-4074-A7CA-6C12F2CE3C83}"/>
    <cellStyle name="Comma 4 3 5 4 4" xfId="10088" xr:uid="{53E9936E-0D13-4F07-8899-B1744E5EE9C1}"/>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48D87184-2319-4B72-9740-17FA43B5C731}"/>
    <cellStyle name="Comma 4 3 5 5 2 3" xfId="12646" xr:uid="{A30A5C57-12B2-4306-AF54-EFCE57416265}"/>
    <cellStyle name="Comma 4 3 5 5 3" xfId="6277" xr:uid="{00000000-0005-0000-0000-0000C2090000}"/>
    <cellStyle name="Comma 4 3 5 5 3 2" xfId="14719" xr:uid="{74AB73E0-1787-411E-927F-10FC0BF62040}"/>
    <cellStyle name="Comma 4 3 5 5 4" xfId="10501" xr:uid="{7850C968-DA79-40F8-8AD1-F15CBB0D9D7B}"/>
    <cellStyle name="Comma 4 3 5 6" xfId="2405" xr:uid="{00000000-0005-0000-0000-0000C3090000}"/>
    <cellStyle name="Comma 4 3 5 6 2" xfId="6690" xr:uid="{00000000-0005-0000-0000-0000C4090000}"/>
    <cellStyle name="Comma 4 3 5 6 2 2" xfId="15132" xr:uid="{97CBE862-11D0-4BFB-B097-7F20D86E6AA5}"/>
    <cellStyle name="Comma 4 3 5 6 3" xfId="10914" xr:uid="{924BCC08-56A6-4BD7-8013-85D270F3666F}"/>
    <cellStyle name="Comma 4 3 5 7" xfId="2701" xr:uid="{00000000-0005-0000-0000-0000C5090000}"/>
    <cellStyle name="Comma 4 3 5 8" xfId="2783" xr:uid="{00000000-0005-0000-0000-0000C6090000}"/>
    <cellStyle name="Comma 4 3 5 8 2" xfId="7007" xr:uid="{00000000-0005-0000-0000-0000C7090000}"/>
    <cellStyle name="Comma 4 3 5 8 2 2" xfId="15449" xr:uid="{1E64EF18-AE38-40A7-8A94-3D677ABCEC8B}"/>
    <cellStyle name="Comma 4 3 5 8 3" xfId="11231" xr:uid="{90F5CBE5-C511-457C-B494-E076AE1B3B5C}"/>
    <cellStyle name="Comma 4 3 5 9" xfId="4624" xr:uid="{00000000-0005-0000-0000-0000C8090000}"/>
    <cellStyle name="Comma 4 3 5 9 2" xfId="13066" xr:uid="{EBD58F43-AD41-4EC9-A550-0B7009ACA229}"/>
    <cellStyle name="Comma 4 4" xfId="153" xr:uid="{00000000-0005-0000-0000-0000C9090000}"/>
    <cellStyle name="Comma 4 4 10" xfId="2784" xr:uid="{00000000-0005-0000-0000-0000CA090000}"/>
    <cellStyle name="Comma 4 4 10 2" xfId="7008" xr:uid="{00000000-0005-0000-0000-0000CB090000}"/>
    <cellStyle name="Comma 4 4 10 2 2" xfId="15450" xr:uid="{2B9F6EE8-2C4E-4F80-837C-B7AAEDE548DF}"/>
    <cellStyle name="Comma 4 4 10 3" xfId="11232" xr:uid="{C5C8580F-6CB3-4723-8F98-D68BBC32C893}"/>
    <cellStyle name="Comma 4 4 11" xfId="4625" xr:uid="{00000000-0005-0000-0000-0000CC090000}"/>
    <cellStyle name="Comma 4 4 11 2" xfId="13067" xr:uid="{11B54125-61DF-48AD-9550-A72D243F7497}"/>
    <cellStyle name="Comma 4 4 12" xfId="8849" xr:uid="{CA89269C-7B94-49B6-BC23-8CD546EF2B06}"/>
    <cellStyle name="Comma 4 4 2" xfId="154" xr:uid="{00000000-0005-0000-0000-0000CD090000}"/>
    <cellStyle name="Comma 4 4 2 10" xfId="4626" xr:uid="{00000000-0005-0000-0000-0000CE090000}"/>
    <cellStyle name="Comma 4 4 2 10 2" xfId="13068" xr:uid="{3EEB8195-8B1C-4005-9973-70BA43509A4F}"/>
    <cellStyle name="Comma 4 4 2 11" xfId="8850" xr:uid="{1625BF6F-1DF7-45E8-9544-FD0C6E0A9899}"/>
    <cellStyle name="Comma 4 4 2 2" xfId="155" xr:uid="{00000000-0005-0000-0000-0000CF090000}"/>
    <cellStyle name="Comma 4 4 2 2 10" xfId="8851" xr:uid="{C1995A58-FF45-47AB-8750-A8B0B5746DA8}"/>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9C295255-5DE4-42F4-B298-927E4C0B5F95}"/>
    <cellStyle name="Comma 4 4 2 2 2 2 3" xfId="11410" xr:uid="{31927AA2-12EF-409F-B043-98756BD5F0F4}"/>
    <cellStyle name="Comma 4 4 2 2 2 3" xfId="5041" xr:uid="{00000000-0005-0000-0000-0000D3090000}"/>
    <cellStyle name="Comma 4 4 2 2 2 3 2" xfId="13483" xr:uid="{A3DD73CC-F32D-4499-B8BB-E0217F5E0192}"/>
    <cellStyle name="Comma 4 4 2 2 2 4" xfId="9265" xr:uid="{67A21E4E-EA55-448D-BA15-144FDA9D66D3}"/>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57DA7FE4-782F-43FA-BC86-432AB030545A}"/>
    <cellStyle name="Comma 4 4 2 2 3 2 3" xfId="11823" xr:uid="{9AA06BE2-895D-4335-875C-514D93685C10}"/>
    <cellStyle name="Comma 4 4 2 2 3 3" xfId="5454" xr:uid="{00000000-0005-0000-0000-0000D7090000}"/>
    <cellStyle name="Comma 4 4 2 2 3 3 2" xfId="13896" xr:uid="{858EB1B1-6000-4FAA-BF07-EC42E4560CE6}"/>
    <cellStyle name="Comma 4 4 2 2 3 4" xfId="9678" xr:uid="{9CE9F95E-4D10-4F3F-9FF3-9E889AFFC5F8}"/>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24DF7847-1E10-4F29-90B2-6C7EA8456A37}"/>
    <cellStyle name="Comma 4 4 2 2 4 2 3" xfId="12236" xr:uid="{B5866F45-4D50-4070-91C0-6516512AF536}"/>
    <cellStyle name="Comma 4 4 2 2 4 3" xfId="5867" xr:uid="{00000000-0005-0000-0000-0000DB090000}"/>
    <cellStyle name="Comma 4 4 2 2 4 3 2" xfId="14309" xr:uid="{B88FF1E2-B863-406F-A167-F4B2B15FCC90}"/>
    <cellStyle name="Comma 4 4 2 2 4 4" xfId="10091" xr:uid="{0546735C-2C98-42E6-B116-9B7FE1BFA71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8EBD23CB-ACD1-416A-96C1-AAD01ECD1D08}"/>
    <cellStyle name="Comma 4 4 2 2 5 2 3" xfId="12649" xr:uid="{69F44874-D15F-4A76-A5D1-6FF65C8D8E13}"/>
    <cellStyle name="Comma 4 4 2 2 5 3" xfId="6280" xr:uid="{00000000-0005-0000-0000-0000DF090000}"/>
    <cellStyle name="Comma 4 4 2 2 5 3 2" xfId="14722" xr:uid="{5AC075E4-445B-4D15-9622-7449DBA511F0}"/>
    <cellStyle name="Comma 4 4 2 2 5 4" xfId="10504" xr:uid="{D779CCD1-7B22-4E47-8AFE-47BC7AF2FF8D}"/>
    <cellStyle name="Comma 4 4 2 2 6" xfId="2408" xr:uid="{00000000-0005-0000-0000-0000E0090000}"/>
    <cellStyle name="Comma 4 4 2 2 6 2" xfId="6693" xr:uid="{00000000-0005-0000-0000-0000E1090000}"/>
    <cellStyle name="Comma 4 4 2 2 6 2 2" xfId="15135" xr:uid="{E82C840F-1C1D-437D-B82E-57DD7D9E9362}"/>
    <cellStyle name="Comma 4 4 2 2 6 3" xfId="10917" xr:uid="{3C51ABA8-0342-4012-9067-713229CBDC08}"/>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76A2385B-3D66-46F9-B6D2-E6960EF30F8A}"/>
    <cellStyle name="Comma 4 4 2 2 8 3" xfId="11234" xr:uid="{0F4F4F30-5098-4206-A7BF-C2C2D21A07BF}"/>
    <cellStyle name="Comma 4 4 2 2 9" xfId="4627" xr:uid="{00000000-0005-0000-0000-0000E5090000}"/>
    <cellStyle name="Comma 4 4 2 2 9 2" xfId="13069" xr:uid="{57A6EC6A-EC80-42A7-B5D4-732F4FE1B5F3}"/>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3C437B4D-6E39-437D-941A-1E9406EC0D73}"/>
    <cellStyle name="Comma 4 4 2 3 2 3" xfId="11409" xr:uid="{58DED802-7496-4513-AFF4-AAC70CC36A3D}"/>
    <cellStyle name="Comma 4 4 2 3 3" xfId="5040" xr:uid="{00000000-0005-0000-0000-0000E9090000}"/>
    <cellStyle name="Comma 4 4 2 3 3 2" xfId="13482" xr:uid="{17AC3297-AE9F-4F52-A0C0-AC994235419B}"/>
    <cellStyle name="Comma 4 4 2 3 4" xfId="9264" xr:uid="{48D6E13E-66E9-4E84-AB29-39F0C42F0D15}"/>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07886F83-B5AB-4032-B9E8-47876A9AAB25}"/>
    <cellStyle name="Comma 4 4 2 4 2 3" xfId="11822" xr:uid="{4E9148A8-F5BF-4B7F-B64F-94EFEB38CD7B}"/>
    <cellStyle name="Comma 4 4 2 4 3" xfId="5453" xr:uid="{00000000-0005-0000-0000-0000ED090000}"/>
    <cellStyle name="Comma 4 4 2 4 3 2" xfId="13895" xr:uid="{37059CC0-1E98-4566-9A44-71C7C027BDA3}"/>
    <cellStyle name="Comma 4 4 2 4 4" xfId="9677" xr:uid="{35CC0002-DC58-4A87-8244-F00845C589C7}"/>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B8A03FBB-4FAD-4E4F-B46F-DBB51F92FB44}"/>
    <cellStyle name="Comma 4 4 2 5 2 3" xfId="12235" xr:uid="{3F4C3599-5BA7-4179-A222-E609C8297B47}"/>
    <cellStyle name="Comma 4 4 2 5 3" xfId="5866" xr:uid="{00000000-0005-0000-0000-0000F1090000}"/>
    <cellStyle name="Comma 4 4 2 5 3 2" xfId="14308" xr:uid="{BDAF1B03-8541-4001-A8DB-45F8B3EFC067}"/>
    <cellStyle name="Comma 4 4 2 5 4" xfId="10090" xr:uid="{8D166F77-576B-430D-BB70-99576658E893}"/>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CAA080F7-7D46-4753-B565-E97521E3FED0}"/>
    <cellStyle name="Comma 4 4 2 6 2 3" xfId="12648" xr:uid="{E95543BA-52F0-4F8F-8232-7EE4492F9ED6}"/>
    <cellStyle name="Comma 4 4 2 6 3" xfId="6279" xr:uid="{00000000-0005-0000-0000-0000F5090000}"/>
    <cellStyle name="Comma 4 4 2 6 3 2" xfId="14721" xr:uid="{B2E0ED67-E4E2-4A66-B2AE-AA30685A4B27}"/>
    <cellStyle name="Comma 4 4 2 6 4" xfId="10503" xr:uid="{F4669123-34A5-4900-86FD-FF550E787547}"/>
    <cellStyle name="Comma 4 4 2 7" xfId="2407" xr:uid="{00000000-0005-0000-0000-0000F6090000}"/>
    <cellStyle name="Comma 4 4 2 7 2" xfId="6692" xr:uid="{00000000-0005-0000-0000-0000F7090000}"/>
    <cellStyle name="Comma 4 4 2 7 2 2" xfId="15134" xr:uid="{0F20D88A-6135-4174-ADBA-CD5EBFEEE015}"/>
    <cellStyle name="Comma 4 4 2 7 3" xfId="10916" xr:uid="{6C17CE0F-A9F8-4243-966D-EDAD8FFA342E}"/>
    <cellStyle name="Comma 4 4 2 8" xfId="2703" xr:uid="{00000000-0005-0000-0000-0000F8090000}"/>
    <cellStyle name="Comma 4 4 2 9" xfId="2785" xr:uid="{00000000-0005-0000-0000-0000F9090000}"/>
    <cellStyle name="Comma 4 4 2 9 2" xfId="7009" xr:uid="{00000000-0005-0000-0000-0000FA090000}"/>
    <cellStyle name="Comma 4 4 2 9 2 2" xfId="15451" xr:uid="{9DD68814-98F0-4F63-A6CC-418C898EF85D}"/>
    <cellStyle name="Comma 4 4 2 9 3" xfId="11233" xr:uid="{D4ACC7F3-0E49-4C06-8F50-F66B175AAF16}"/>
    <cellStyle name="Comma 4 4 3" xfId="156" xr:uid="{00000000-0005-0000-0000-0000FB090000}"/>
    <cellStyle name="Comma 4 4 3 10" xfId="8852" xr:uid="{3BE992F0-5F11-4837-9269-DCB729935450}"/>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55F94C4B-858B-48FE-8C2A-26F12B16C5C5}"/>
    <cellStyle name="Comma 4 4 3 2 2 3" xfId="11411" xr:uid="{244E317E-97B7-4D56-BE8C-9533779A8A71}"/>
    <cellStyle name="Comma 4 4 3 2 3" xfId="5042" xr:uid="{00000000-0005-0000-0000-0000FF090000}"/>
    <cellStyle name="Comma 4 4 3 2 3 2" xfId="13484" xr:uid="{1EFCBD13-37B5-4C18-929A-C4669DD4C12E}"/>
    <cellStyle name="Comma 4 4 3 2 4" xfId="9266" xr:uid="{B3635FDE-4492-498F-8B24-6FF6352D5BA8}"/>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88C570BD-90FA-451C-AB35-71BAD88C5992}"/>
    <cellStyle name="Comma 4 4 3 3 2 3" xfId="11824" xr:uid="{369A2C6E-D7AD-4634-8F7A-7C2F441BF000}"/>
    <cellStyle name="Comma 4 4 3 3 3" xfId="5455" xr:uid="{00000000-0005-0000-0000-0000030A0000}"/>
    <cellStyle name="Comma 4 4 3 3 3 2" xfId="13897" xr:uid="{03D18807-39D8-44CB-8749-43CC8BC82150}"/>
    <cellStyle name="Comma 4 4 3 3 4" xfId="9679" xr:uid="{1228632E-CF8A-4967-8CBA-1E2E7429F922}"/>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EFE7CDF1-7F0C-4A3D-ABCF-CD74C4FCAC2F}"/>
    <cellStyle name="Comma 4 4 3 4 2 3" xfId="12237" xr:uid="{72B99632-717D-481E-B85B-B57F30C049F0}"/>
    <cellStyle name="Comma 4 4 3 4 3" xfId="5868" xr:uid="{00000000-0005-0000-0000-0000070A0000}"/>
    <cellStyle name="Comma 4 4 3 4 3 2" xfId="14310" xr:uid="{2972DFA2-E729-432C-A6F4-21EDE148D67B}"/>
    <cellStyle name="Comma 4 4 3 4 4" xfId="10092" xr:uid="{0835679F-7CC1-443F-A175-691BB0800FF0}"/>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C47EB9E9-DCB2-41D9-BC12-C9928A6BCB9C}"/>
    <cellStyle name="Comma 4 4 3 5 2 3" xfId="12650" xr:uid="{4718A896-5A84-4AC5-B597-4558D149DC72}"/>
    <cellStyle name="Comma 4 4 3 5 3" xfId="6281" xr:uid="{00000000-0005-0000-0000-00000B0A0000}"/>
    <cellStyle name="Comma 4 4 3 5 3 2" xfId="14723" xr:uid="{46B8E4E6-E130-4F6D-99E6-2692A873C17A}"/>
    <cellStyle name="Comma 4 4 3 5 4" xfId="10505" xr:uid="{89697E24-BAAF-42E6-9D77-FE732895FAC3}"/>
    <cellStyle name="Comma 4 4 3 6" xfId="2409" xr:uid="{00000000-0005-0000-0000-00000C0A0000}"/>
    <cellStyle name="Comma 4 4 3 6 2" xfId="6694" xr:uid="{00000000-0005-0000-0000-00000D0A0000}"/>
    <cellStyle name="Comma 4 4 3 6 2 2" xfId="15136" xr:uid="{AC6E9CFC-7517-4AB2-9089-4539B64AC995}"/>
    <cellStyle name="Comma 4 4 3 6 3" xfId="10918" xr:uid="{1A03EE99-EE8B-41C6-8881-538D9F3A87B9}"/>
    <cellStyle name="Comma 4 4 3 7" xfId="2705" xr:uid="{00000000-0005-0000-0000-00000E0A0000}"/>
    <cellStyle name="Comma 4 4 3 8" xfId="2787" xr:uid="{00000000-0005-0000-0000-00000F0A0000}"/>
    <cellStyle name="Comma 4 4 3 8 2" xfId="7011" xr:uid="{00000000-0005-0000-0000-0000100A0000}"/>
    <cellStyle name="Comma 4 4 3 8 2 2" xfId="15453" xr:uid="{2ABA98D4-99B3-45D1-9457-E4719816145C}"/>
    <cellStyle name="Comma 4 4 3 8 3" xfId="11235" xr:uid="{9F9CC13F-8A22-434C-9225-A7AE26790E24}"/>
    <cellStyle name="Comma 4 4 3 9" xfId="4628" xr:uid="{00000000-0005-0000-0000-0000110A0000}"/>
    <cellStyle name="Comma 4 4 3 9 2" xfId="13070" xr:uid="{FED5A4C2-3803-484F-B9B2-71462A0B7E28}"/>
    <cellStyle name="Comma 4 4 4" xfId="690" xr:uid="{00000000-0005-0000-0000-0000120A0000}"/>
    <cellStyle name="Comma 4 4 4 2" xfId="2961" xr:uid="{00000000-0005-0000-0000-0000130A0000}"/>
    <cellStyle name="Comma 4 4 4 2 2" xfId="7184" xr:uid="{00000000-0005-0000-0000-0000140A0000}"/>
    <cellStyle name="Comma 4 4 4 2 2 2" xfId="15626" xr:uid="{C9FF9A6E-D830-4C5B-9547-25A781463F86}"/>
    <cellStyle name="Comma 4 4 4 2 3" xfId="11408" xr:uid="{6FA498DD-E486-46DD-BCC6-A78D4D17E35F}"/>
    <cellStyle name="Comma 4 4 4 3" xfId="5039" xr:uid="{00000000-0005-0000-0000-0000150A0000}"/>
    <cellStyle name="Comma 4 4 4 3 2" xfId="13481" xr:uid="{2323B8AC-58F8-416A-AB90-EA9B75C86783}"/>
    <cellStyle name="Comma 4 4 4 4" xfId="9263" xr:uid="{EF2E89AF-0036-4B7F-A43E-42008D2CAE08}"/>
    <cellStyle name="Comma 4 4 5" xfId="1143" xr:uid="{00000000-0005-0000-0000-0000160A0000}"/>
    <cellStyle name="Comma 4 4 5 2" xfId="3374" xr:uid="{00000000-0005-0000-0000-0000170A0000}"/>
    <cellStyle name="Comma 4 4 5 2 2" xfId="7597" xr:uid="{00000000-0005-0000-0000-0000180A0000}"/>
    <cellStyle name="Comma 4 4 5 2 2 2" xfId="16039" xr:uid="{8BEF974C-E886-4B3A-A49A-1AA88F87638F}"/>
    <cellStyle name="Comma 4 4 5 2 3" xfId="11821" xr:uid="{FF261796-44E5-4414-8594-8D6454CBB296}"/>
    <cellStyle name="Comma 4 4 5 3" xfId="5452" xr:uid="{00000000-0005-0000-0000-0000190A0000}"/>
    <cellStyle name="Comma 4 4 5 3 2" xfId="13894" xr:uid="{2D9CE4EF-5FD2-4BE6-B178-9CAF4A470960}"/>
    <cellStyle name="Comma 4 4 5 4" xfId="9676" xr:uid="{3EDC154E-6EFA-4F94-A8D4-F3E583BD7773}"/>
    <cellStyle name="Comma 4 4 6" xfId="1557" xr:uid="{00000000-0005-0000-0000-00001A0A0000}"/>
    <cellStyle name="Comma 4 4 6 2" xfId="3787" xr:uid="{00000000-0005-0000-0000-00001B0A0000}"/>
    <cellStyle name="Comma 4 4 6 2 2" xfId="8010" xr:uid="{00000000-0005-0000-0000-00001C0A0000}"/>
    <cellStyle name="Comma 4 4 6 2 2 2" xfId="16452" xr:uid="{37D6FCEC-5ECB-4061-BE60-9882628D2897}"/>
    <cellStyle name="Comma 4 4 6 2 3" xfId="12234" xr:uid="{45844342-2A3C-4AD6-A06E-2B8831D0A916}"/>
    <cellStyle name="Comma 4 4 6 3" xfId="5865" xr:uid="{00000000-0005-0000-0000-00001D0A0000}"/>
    <cellStyle name="Comma 4 4 6 3 2" xfId="14307" xr:uid="{AE800608-87D8-4A91-89C7-9C355A045D3D}"/>
    <cellStyle name="Comma 4 4 6 4" xfId="10089" xr:uid="{AA170D0E-3629-49E7-B194-5CEA346C33A9}"/>
    <cellStyle name="Comma 4 4 7" xfId="1971" xr:uid="{00000000-0005-0000-0000-00001E0A0000}"/>
    <cellStyle name="Comma 4 4 7 2" xfId="4200" xr:uid="{00000000-0005-0000-0000-00001F0A0000}"/>
    <cellStyle name="Comma 4 4 7 2 2" xfId="8423" xr:uid="{00000000-0005-0000-0000-0000200A0000}"/>
    <cellStyle name="Comma 4 4 7 2 2 2" xfId="16865" xr:uid="{725A418E-A386-4C51-AC99-CFA41B84E1A9}"/>
    <cellStyle name="Comma 4 4 7 2 3" xfId="12647" xr:uid="{29AA62CB-E782-4E77-B950-95DE6228D25D}"/>
    <cellStyle name="Comma 4 4 7 3" xfId="6278" xr:uid="{00000000-0005-0000-0000-0000210A0000}"/>
    <cellStyle name="Comma 4 4 7 3 2" xfId="14720" xr:uid="{07B78174-0958-4FC2-BB28-42E68E8FF051}"/>
    <cellStyle name="Comma 4 4 7 4" xfId="10502" xr:uid="{D14AAF46-B465-4399-BEAB-9CF9E4D2A0D7}"/>
    <cellStyle name="Comma 4 4 8" xfId="2406" xr:uid="{00000000-0005-0000-0000-0000220A0000}"/>
    <cellStyle name="Comma 4 4 8 2" xfId="6691" xr:uid="{00000000-0005-0000-0000-0000230A0000}"/>
    <cellStyle name="Comma 4 4 8 2 2" xfId="15133" xr:uid="{5D84C413-3AFA-4247-A04C-AFFD98828BAB}"/>
    <cellStyle name="Comma 4 4 8 3" xfId="10915" xr:uid="{AFD24D39-B521-4110-936A-A02DDCD61166}"/>
    <cellStyle name="Comma 4 4 9" xfId="2702" xr:uid="{00000000-0005-0000-0000-0000240A0000}"/>
    <cellStyle name="Comma 4 5" xfId="157" xr:uid="{00000000-0005-0000-0000-0000250A0000}"/>
    <cellStyle name="Comma 4 5 10" xfId="4629" xr:uid="{00000000-0005-0000-0000-0000260A0000}"/>
    <cellStyle name="Comma 4 5 10 2" xfId="13071" xr:uid="{7FA2F1DB-3984-455D-848E-A75570630CAD}"/>
    <cellStyle name="Comma 4 5 11" xfId="8853" xr:uid="{8DE43060-D874-4C8D-8D6E-F9A8004A9CC3}"/>
    <cellStyle name="Comma 4 5 2" xfId="158" xr:uid="{00000000-0005-0000-0000-0000270A0000}"/>
    <cellStyle name="Comma 4 5 2 10" xfId="8854" xr:uid="{A7317BF5-6998-42B0-BC77-FD8B59662B56}"/>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40DAF51-E342-4F46-9492-B4CD935A9D5D}"/>
    <cellStyle name="Comma 4 5 2 2 2 3" xfId="11413" xr:uid="{29B4F5D5-6077-4283-9123-946D98AB52EF}"/>
    <cellStyle name="Comma 4 5 2 2 3" xfId="5044" xr:uid="{00000000-0005-0000-0000-00002B0A0000}"/>
    <cellStyle name="Comma 4 5 2 2 3 2" xfId="13486" xr:uid="{DE71A993-14D2-458D-B785-21E639512462}"/>
    <cellStyle name="Comma 4 5 2 2 4" xfId="9268" xr:uid="{F73BE97A-5704-4F46-A73A-ECABCA2732E0}"/>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65A6DD3D-8AEB-4685-BA79-FC92D6D9FC5F}"/>
    <cellStyle name="Comma 4 5 2 3 2 3" xfId="11826" xr:uid="{67F47A5C-D2C9-4160-8CB9-AC669B3ECB3E}"/>
    <cellStyle name="Comma 4 5 2 3 3" xfId="5457" xr:uid="{00000000-0005-0000-0000-00002F0A0000}"/>
    <cellStyle name="Comma 4 5 2 3 3 2" xfId="13899" xr:uid="{340D8D9C-ED3A-427B-9C02-C5C424F87881}"/>
    <cellStyle name="Comma 4 5 2 3 4" xfId="9681" xr:uid="{59167212-5E65-44D5-B7C9-7977E6BE3D23}"/>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12EF6F84-B9F8-484D-88CA-C49376F6CD8E}"/>
    <cellStyle name="Comma 4 5 2 4 2 3" xfId="12239" xr:uid="{5E209671-C8CE-4CBE-9B8B-67648BE0B69D}"/>
    <cellStyle name="Comma 4 5 2 4 3" xfId="5870" xr:uid="{00000000-0005-0000-0000-0000330A0000}"/>
    <cellStyle name="Comma 4 5 2 4 3 2" xfId="14312" xr:uid="{2813F203-BC77-4EA3-B820-EB3200DFCF41}"/>
    <cellStyle name="Comma 4 5 2 4 4" xfId="10094" xr:uid="{44E5EB1E-C655-4ED9-9FF9-6CA78D5AA2D8}"/>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744DF33C-81BA-4822-BD8E-46B369FC8767}"/>
    <cellStyle name="Comma 4 5 2 5 2 3" xfId="12652" xr:uid="{45BF94D1-0127-42C8-9C33-5A4AD7F644FA}"/>
    <cellStyle name="Comma 4 5 2 5 3" xfId="6283" xr:uid="{00000000-0005-0000-0000-0000370A0000}"/>
    <cellStyle name="Comma 4 5 2 5 3 2" xfId="14725" xr:uid="{8155D68D-719A-4641-9E4E-BC2ACB63BCCA}"/>
    <cellStyle name="Comma 4 5 2 5 4" xfId="10507" xr:uid="{D3C502E8-8683-425F-B27C-6AEDA598BF54}"/>
    <cellStyle name="Comma 4 5 2 6" xfId="2411" xr:uid="{00000000-0005-0000-0000-0000380A0000}"/>
    <cellStyle name="Comma 4 5 2 6 2" xfId="6696" xr:uid="{00000000-0005-0000-0000-0000390A0000}"/>
    <cellStyle name="Comma 4 5 2 6 2 2" xfId="15138" xr:uid="{C2111774-7D13-4BE7-BB5B-5F1E0F759E38}"/>
    <cellStyle name="Comma 4 5 2 6 3" xfId="10920" xr:uid="{5DDC7285-3480-44D9-AE25-4A950980A2F9}"/>
    <cellStyle name="Comma 4 5 2 7" xfId="2707" xr:uid="{00000000-0005-0000-0000-00003A0A0000}"/>
    <cellStyle name="Comma 4 5 2 8" xfId="2789" xr:uid="{00000000-0005-0000-0000-00003B0A0000}"/>
    <cellStyle name="Comma 4 5 2 8 2" xfId="7013" xr:uid="{00000000-0005-0000-0000-00003C0A0000}"/>
    <cellStyle name="Comma 4 5 2 8 2 2" xfId="15455" xr:uid="{7EAC6F6E-71A9-4E1F-8D2A-757D714B813B}"/>
    <cellStyle name="Comma 4 5 2 8 3" xfId="11237" xr:uid="{B7CCA40C-4F43-4D8D-8649-A143D5DD12BB}"/>
    <cellStyle name="Comma 4 5 2 9" xfId="4630" xr:uid="{00000000-0005-0000-0000-00003D0A0000}"/>
    <cellStyle name="Comma 4 5 2 9 2" xfId="13072" xr:uid="{11270BF9-9DDE-4AD1-BAF7-734A43B62498}"/>
    <cellStyle name="Comma 4 5 3" xfId="694" xr:uid="{00000000-0005-0000-0000-00003E0A0000}"/>
    <cellStyle name="Comma 4 5 3 2" xfId="2965" xr:uid="{00000000-0005-0000-0000-00003F0A0000}"/>
    <cellStyle name="Comma 4 5 3 2 2" xfId="7188" xr:uid="{00000000-0005-0000-0000-0000400A0000}"/>
    <cellStyle name="Comma 4 5 3 2 2 2" xfId="15630" xr:uid="{21E359D0-EB7A-4811-9F0C-6974ACA827AC}"/>
    <cellStyle name="Comma 4 5 3 2 3" xfId="11412" xr:uid="{8FA21DEB-F6E5-439D-B67E-55CECD8D2AF4}"/>
    <cellStyle name="Comma 4 5 3 3" xfId="5043" xr:uid="{00000000-0005-0000-0000-0000410A0000}"/>
    <cellStyle name="Comma 4 5 3 3 2" xfId="13485" xr:uid="{12666D61-2594-4530-AFE4-24A1CD315425}"/>
    <cellStyle name="Comma 4 5 3 4" xfId="9267" xr:uid="{C8B024E3-D3A4-4B81-AFF2-974A606F87A9}"/>
    <cellStyle name="Comma 4 5 4" xfId="1147" xr:uid="{00000000-0005-0000-0000-0000420A0000}"/>
    <cellStyle name="Comma 4 5 4 2" xfId="3378" xr:uid="{00000000-0005-0000-0000-0000430A0000}"/>
    <cellStyle name="Comma 4 5 4 2 2" xfId="7601" xr:uid="{00000000-0005-0000-0000-0000440A0000}"/>
    <cellStyle name="Comma 4 5 4 2 2 2" xfId="16043" xr:uid="{D7FC37FF-01C5-4EAC-AA6D-E2F49F9FF36F}"/>
    <cellStyle name="Comma 4 5 4 2 3" xfId="11825" xr:uid="{C136E9E1-839A-499A-9A42-180D2697CF63}"/>
    <cellStyle name="Comma 4 5 4 3" xfId="5456" xr:uid="{00000000-0005-0000-0000-0000450A0000}"/>
    <cellStyle name="Comma 4 5 4 3 2" xfId="13898" xr:uid="{CFD0332A-1F74-407A-87FE-067D95A15FEF}"/>
    <cellStyle name="Comma 4 5 4 4" xfId="9680" xr:uid="{1029C645-593B-44F4-BE8E-652F45E439B7}"/>
    <cellStyle name="Comma 4 5 5" xfId="1561" xr:uid="{00000000-0005-0000-0000-0000460A0000}"/>
    <cellStyle name="Comma 4 5 5 2" xfId="3791" xr:uid="{00000000-0005-0000-0000-0000470A0000}"/>
    <cellStyle name="Comma 4 5 5 2 2" xfId="8014" xr:uid="{00000000-0005-0000-0000-0000480A0000}"/>
    <cellStyle name="Comma 4 5 5 2 2 2" xfId="16456" xr:uid="{35E248EE-B72C-479B-9931-9B270662EBC6}"/>
    <cellStyle name="Comma 4 5 5 2 3" xfId="12238" xr:uid="{4054754F-BA85-4017-8D14-707CE112B343}"/>
    <cellStyle name="Comma 4 5 5 3" xfId="5869" xr:uid="{00000000-0005-0000-0000-0000490A0000}"/>
    <cellStyle name="Comma 4 5 5 3 2" xfId="14311" xr:uid="{7DD9BCAE-8224-4CED-A76D-5933233E7CF7}"/>
    <cellStyle name="Comma 4 5 5 4" xfId="10093" xr:uid="{9DD50903-0217-4999-9CB5-D953B93F6D2E}"/>
    <cellStyle name="Comma 4 5 6" xfId="1975" xr:uid="{00000000-0005-0000-0000-00004A0A0000}"/>
    <cellStyle name="Comma 4 5 6 2" xfId="4204" xr:uid="{00000000-0005-0000-0000-00004B0A0000}"/>
    <cellStyle name="Comma 4 5 6 2 2" xfId="8427" xr:uid="{00000000-0005-0000-0000-00004C0A0000}"/>
    <cellStyle name="Comma 4 5 6 2 2 2" xfId="16869" xr:uid="{8F6A6EF4-7D9A-4DD5-A2B1-9E26C614E8DB}"/>
    <cellStyle name="Comma 4 5 6 2 3" xfId="12651" xr:uid="{037F6D44-72BC-4967-8EC0-D555CC685FC9}"/>
    <cellStyle name="Comma 4 5 6 3" xfId="6282" xr:uid="{00000000-0005-0000-0000-00004D0A0000}"/>
    <cellStyle name="Comma 4 5 6 3 2" xfId="14724" xr:uid="{201F984D-1E22-42F5-B3E0-94CFAB77A23F}"/>
    <cellStyle name="Comma 4 5 6 4" xfId="10506" xr:uid="{EC07245D-DE77-4700-ABC1-791541D0B14D}"/>
    <cellStyle name="Comma 4 5 7" xfId="2410" xr:uid="{00000000-0005-0000-0000-00004E0A0000}"/>
    <cellStyle name="Comma 4 5 7 2" xfId="6695" xr:uid="{00000000-0005-0000-0000-00004F0A0000}"/>
    <cellStyle name="Comma 4 5 7 2 2" xfId="15137" xr:uid="{71D25470-AED0-419D-9864-4A6DE437BD0B}"/>
    <cellStyle name="Comma 4 5 7 3" xfId="10919" xr:uid="{85CC24E0-2272-45B2-B6C3-885A6D07C70E}"/>
    <cellStyle name="Comma 4 5 8" xfId="2706" xr:uid="{00000000-0005-0000-0000-0000500A0000}"/>
    <cellStyle name="Comma 4 5 9" xfId="2788" xr:uid="{00000000-0005-0000-0000-0000510A0000}"/>
    <cellStyle name="Comma 4 5 9 2" xfId="7012" xr:uid="{00000000-0005-0000-0000-0000520A0000}"/>
    <cellStyle name="Comma 4 5 9 2 2" xfId="15454" xr:uid="{C1321A4A-09ED-497D-BDC9-CDACC14AD21E}"/>
    <cellStyle name="Comma 4 5 9 3" xfId="11236" xr:uid="{A5137304-E06C-47C5-99B6-B02B2C085EA5}"/>
    <cellStyle name="Comma 4 6" xfId="159" xr:uid="{00000000-0005-0000-0000-0000530A0000}"/>
    <cellStyle name="Comma 4 6 10" xfId="8855" xr:uid="{F6F7DECC-BB4B-43A7-A822-55782ABA0A2D}"/>
    <cellStyle name="Comma 4 6 2" xfId="696" xr:uid="{00000000-0005-0000-0000-0000540A0000}"/>
    <cellStyle name="Comma 4 6 2 2" xfId="2967" xr:uid="{00000000-0005-0000-0000-0000550A0000}"/>
    <cellStyle name="Comma 4 6 2 2 2" xfId="7190" xr:uid="{00000000-0005-0000-0000-0000560A0000}"/>
    <cellStyle name="Comma 4 6 2 2 2 2" xfId="15632" xr:uid="{FEC8062D-36D5-49B4-8936-0706F30084C1}"/>
    <cellStyle name="Comma 4 6 2 2 3" xfId="11414" xr:uid="{54C22163-7757-49FA-BCC1-2F857AFDE292}"/>
    <cellStyle name="Comma 4 6 2 3" xfId="5045" xr:uid="{00000000-0005-0000-0000-0000570A0000}"/>
    <cellStyle name="Comma 4 6 2 3 2" xfId="13487" xr:uid="{0DF3706E-8026-47CE-9717-E443D48F606D}"/>
    <cellStyle name="Comma 4 6 2 4" xfId="9269" xr:uid="{83BC053B-3362-44DF-AB0A-106F947D5FFD}"/>
    <cellStyle name="Comma 4 6 3" xfId="1149" xr:uid="{00000000-0005-0000-0000-0000580A0000}"/>
    <cellStyle name="Comma 4 6 3 2" xfId="3380" xr:uid="{00000000-0005-0000-0000-0000590A0000}"/>
    <cellStyle name="Comma 4 6 3 2 2" xfId="7603" xr:uid="{00000000-0005-0000-0000-00005A0A0000}"/>
    <cellStyle name="Comma 4 6 3 2 2 2" xfId="16045" xr:uid="{3D0D5C9B-3338-4DBB-B9DC-DE7094AA0F1E}"/>
    <cellStyle name="Comma 4 6 3 2 3" xfId="11827" xr:uid="{1B730058-19B1-4003-BF60-F32B8DB1EA81}"/>
    <cellStyle name="Comma 4 6 3 3" xfId="5458" xr:uid="{00000000-0005-0000-0000-00005B0A0000}"/>
    <cellStyle name="Comma 4 6 3 3 2" xfId="13900" xr:uid="{1EB1ABB4-71C7-4D51-B718-394A2BB1D084}"/>
    <cellStyle name="Comma 4 6 3 4" xfId="9682" xr:uid="{91FDC5F6-618F-429D-A7B1-991A6BA368D1}"/>
    <cellStyle name="Comma 4 6 4" xfId="1563" xr:uid="{00000000-0005-0000-0000-00005C0A0000}"/>
    <cellStyle name="Comma 4 6 4 2" xfId="3793" xr:uid="{00000000-0005-0000-0000-00005D0A0000}"/>
    <cellStyle name="Comma 4 6 4 2 2" xfId="8016" xr:uid="{00000000-0005-0000-0000-00005E0A0000}"/>
    <cellStyle name="Comma 4 6 4 2 2 2" xfId="16458" xr:uid="{B7308F88-7A70-45AC-8935-73396E0F64AA}"/>
    <cellStyle name="Comma 4 6 4 2 3" xfId="12240" xr:uid="{862868CA-1AEC-49AF-8343-66DEBBA91A03}"/>
    <cellStyle name="Comma 4 6 4 3" xfId="5871" xr:uid="{00000000-0005-0000-0000-00005F0A0000}"/>
    <cellStyle name="Comma 4 6 4 3 2" xfId="14313" xr:uid="{0B9C1C43-BAA4-437C-9A5A-27D7CEA7EB01}"/>
    <cellStyle name="Comma 4 6 4 4" xfId="10095" xr:uid="{47DA9608-4DCD-4965-A5A8-629600C7944B}"/>
    <cellStyle name="Comma 4 6 5" xfId="1977" xr:uid="{00000000-0005-0000-0000-0000600A0000}"/>
    <cellStyle name="Comma 4 6 5 2" xfId="4206" xr:uid="{00000000-0005-0000-0000-0000610A0000}"/>
    <cellStyle name="Comma 4 6 5 2 2" xfId="8429" xr:uid="{00000000-0005-0000-0000-0000620A0000}"/>
    <cellStyle name="Comma 4 6 5 2 2 2" xfId="16871" xr:uid="{09B284A7-DDB6-41E0-8D3F-47E774D43D45}"/>
    <cellStyle name="Comma 4 6 5 2 3" xfId="12653" xr:uid="{225D589A-D608-4D3D-9685-F0611A48DF8D}"/>
    <cellStyle name="Comma 4 6 5 3" xfId="6284" xr:uid="{00000000-0005-0000-0000-0000630A0000}"/>
    <cellStyle name="Comma 4 6 5 3 2" xfId="14726" xr:uid="{CA28C44E-BC28-44F5-A7BE-B6078B1AC288}"/>
    <cellStyle name="Comma 4 6 5 4" xfId="10508" xr:uid="{21D7B265-A20C-4675-9A73-5E79244ACF15}"/>
    <cellStyle name="Comma 4 6 6" xfId="2412" xr:uid="{00000000-0005-0000-0000-0000640A0000}"/>
    <cellStyle name="Comma 4 6 6 2" xfId="6697" xr:uid="{00000000-0005-0000-0000-0000650A0000}"/>
    <cellStyle name="Comma 4 6 6 2 2" xfId="15139" xr:uid="{0709A283-A0A2-47CD-BB78-520C562155EC}"/>
    <cellStyle name="Comma 4 6 6 3" xfId="10921" xr:uid="{1F4958F0-7386-4062-AD45-2AB2C08945AF}"/>
    <cellStyle name="Comma 4 6 7" xfId="2708" xr:uid="{00000000-0005-0000-0000-0000660A0000}"/>
    <cellStyle name="Comma 4 6 8" xfId="2790" xr:uid="{00000000-0005-0000-0000-0000670A0000}"/>
    <cellStyle name="Comma 4 6 8 2" xfId="7014" xr:uid="{00000000-0005-0000-0000-0000680A0000}"/>
    <cellStyle name="Comma 4 6 8 2 2" xfId="15456" xr:uid="{7703944F-874C-46C6-BE13-CA2ECB6E1B5D}"/>
    <cellStyle name="Comma 4 6 8 3" xfId="11238" xr:uid="{411CA767-2998-4CFC-9C85-83AD7D39F532}"/>
    <cellStyle name="Comma 4 6 9" xfId="4631" xr:uid="{00000000-0005-0000-0000-0000690A0000}"/>
    <cellStyle name="Comma 4 6 9 2" xfId="13073" xr:uid="{14696ECE-5BB4-4F36-8B62-0374AA7F36EE}"/>
    <cellStyle name="Comma 4 7" xfId="160" xr:uid="{00000000-0005-0000-0000-00006A0A0000}"/>
    <cellStyle name="Comma 4 7 10" xfId="8856" xr:uid="{5812883B-D348-453F-BA71-92DB7BE713A5}"/>
    <cellStyle name="Comma 4 7 2" xfId="697" xr:uid="{00000000-0005-0000-0000-00006B0A0000}"/>
    <cellStyle name="Comma 4 7 2 2" xfId="2968" xr:uid="{00000000-0005-0000-0000-00006C0A0000}"/>
    <cellStyle name="Comma 4 7 2 2 2" xfId="7191" xr:uid="{00000000-0005-0000-0000-00006D0A0000}"/>
    <cellStyle name="Comma 4 7 2 2 2 2" xfId="15633" xr:uid="{DCE3BD8C-AEC1-4F75-8DAC-C71FC4BF5A8C}"/>
    <cellStyle name="Comma 4 7 2 2 3" xfId="11415" xr:uid="{D904DA9D-7DD9-4D74-8F55-650EA2621E0A}"/>
    <cellStyle name="Comma 4 7 2 3" xfId="5046" xr:uid="{00000000-0005-0000-0000-00006E0A0000}"/>
    <cellStyle name="Comma 4 7 2 3 2" xfId="13488" xr:uid="{5EC2EE45-EA82-4122-9979-2E0C7812CD2B}"/>
    <cellStyle name="Comma 4 7 2 4" xfId="9270" xr:uid="{FC421208-083B-48D9-80D9-E0C0CE76799B}"/>
    <cellStyle name="Comma 4 7 3" xfId="1150" xr:uid="{00000000-0005-0000-0000-00006F0A0000}"/>
    <cellStyle name="Comma 4 7 3 2" xfId="3381" xr:uid="{00000000-0005-0000-0000-0000700A0000}"/>
    <cellStyle name="Comma 4 7 3 2 2" xfId="7604" xr:uid="{00000000-0005-0000-0000-0000710A0000}"/>
    <cellStyle name="Comma 4 7 3 2 2 2" xfId="16046" xr:uid="{722745B8-308E-4662-B793-4699277E3114}"/>
    <cellStyle name="Comma 4 7 3 2 3" xfId="11828" xr:uid="{DEAA2928-99B0-4F7F-AA23-EF78C8660129}"/>
    <cellStyle name="Comma 4 7 3 3" xfId="5459" xr:uid="{00000000-0005-0000-0000-0000720A0000}"/>
    <cellStyle name="Comma 4 7 3 3 2" xfId="13901" xr:uid="{619F7CC4-A186-494A-BC7A-BEB50697DE1D}"/>
    <cellStyle name="Comma 4 7 3 4" xfId="9683" xr:uid="{B5D19277-FE22-4C22-B103-6067C2F89CD6}"/>
    <cellStyle name="Comma 4 7 4" xfId="1564" xr:uid="{00000000-0005-0000-0000-0000730A0000}"/>
    <cellStyle name="Comma 4 7 4 2" xfId="3794" xr:uid="{00000000-0005-0000-0000-0000740A0000}"/>
    <cellStyle name="Comma 4 7 4 2 2" xfId="8017" xr:uid="{00000000-0005-0000-0000-0000750A0000}"/>
    <cellStyle name="Comma 4 7 4 2 2 2" xfId="16459" xr:uid="{0002BFD1-B976-48A4-BB27-E960DBF22781}"/>
    <cellStyle name="Comma 4 7 4 2 3" xfId="12241" xr:uid="{91A499DE-6834-4F56-8457-DD0D1F217403}"/>
    <cellStyle name="Comma 4 7 4 3" xfId="5872" xr:uid="{00000000-0005-0000-0000-0000760A0000}"/>
    <cellStyle name="Comma 4 7 4 3 2" xfId="14314" xr:uid="{33F1AF77-8EF9-4B5D-8162-53CD3E86281E}"/>
    <cellStyle name="Comma 4 7 4 4" xfId="10096" xr:uid="{8A76F58E-5716-4FE1-9945-5862461BFBEB}"/>
    <cellStyle name="Comma 4 7 5" xfId="1978" xr:uid="{00000000-0005-0000-0000-0000770A0000}"/>
    <cellStyle name="Comma 4 7 5 2" xfId="4207" xr:uid="{00000000-0005-0000-0000-0000780A0000}"/>
    <cellStyle name="Comma 4 7 5 2 2" xfId="8430" xr:uid="{00000000-0005-0000-0000-0000790A0000}"/>
    <cellStyle name="Comma 4 7 5 2 2 2" xfId="16872" xr:uid="{CCD70D9E-1D22-4A81-A417-99D169553421}"/>
    <cellStyle name="Comma 4 7 5 2 3" xfId="12654" xr:uid="{6BDD2039-07B7-4E73-9D49-1A6A0455BBF7}"/>
    <cellStyle name="Comma 4 7 5 3" xfId="6285" xr:uid="{00000000-0005-0000-0000-00007A0A0000}"/>
    <cellStyle name="Comma 4 7 5 3 2" xfId="14727" xr:uid="{D0196BB9-FFDD-4E26-839D-79C7D0B71FF0}"/>
    <cellStyle name="Comma 4 7 5 4" xfId="10509" xr:uid="{F06550AC-CBDF-4C43-9B87-0C4314F46512}"/>
    <cellStyle name="Comma 4 7 6" xfId="2413" xr:uid="{00000000-0005-0000-0000-00007B0A0000}"/>
    <cellStyle name="Comma 4 7 6 2" xfId="6698" xr:uid="{00000000-0005-0000-0000-00007C0A0000}"/>
    <cellStyle name="Comma 4 7 6 2 2" xfId="15140" xr:uid="{42E7732C-9CC8-4431-88FC-2C13442E517E}"/>
    <cellStyle name="Comma 4 7 6 3" xfId="10922" xr:uid="{A7E6FD0E-EDD2-4BA6-B23C-806175734745}"/>
    <cellStyle name="Comma 4 7 7" xfId="2709" xr:uid="{00000000-0005-0000-0000-00007D0A0000}"/>
    <cellStyle name="Comma 4 7 8" xfId="2791" xr:uid="{00000000-0005-0000-0000-00007E0A0000}"/>
    <cellStyle name="Comma 4 7 8 2" xfId="7015" xr:uid="{00000000-0005-0000-0000-00007F0A0000}"/>
    <cellStyle name="Comma 4 7 8 2 2" xfId="15457" xr:uid="{1FBF1247-27F5-4630-8EC3-C27926575B0F}"/>
    <cellStyle name="Comma 4 7 8 3" xfId="11239" xr:uid="{57BC4EFA-E751-4B05-B9CF-82B8FBD19902}"/>
    <cellStyle name="Comma 4 7 9" xfId="4632" xr:uid="{00000000-0005-0000-0000-0000800A0000}"/>
    <cellStyle name="Comma 4 7 9 2" xfId="13074" xr:uid="{869E51C9-AC11-4C1B-8723-6A1EC0830847}"/>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C8BB3E6F-A3DE-4BD9-9082-B4A58CD9DBEB}"/>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1E8DEF7C-B885-454B-BEA9-6987F0258003}"/>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AD507E36-4BD1-4F7F-B779-4A0A33165FAF}"/>
    <cellStyle name="Currency 14 3 2 3" xfId="17165" xr:uid="{3575B155-67C0-4346-BF51-E8E0AB8E82C8}"/>
    <cellStyle name="Currency 14 3 3" xfId="17162" xr:uid="{50027C56-2B88-4725-BBDE-6FD8A2928DDF}"/>
    <cellStyle name="Currency 14 4" xfId="12945" xr:uid="{A477D9AE-81B8-4FDD-A46C-BEAB8F9FAEC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CCB1836D-EBB2-4DA4-BDC6-1C6745182ED2}"/>
    <cellStyle name="Currency 3 2 2 10 3" xfId="11240" xr:uid="{903C55DF-195E-4AE1-82E8-CE4465B21BE1}"/>
    <cellStyle name="Currency 3 2 2 11" xfId="4633" xr:uid="{00000000-0005-0000-0000-0000A50A0000}"/>
    <cellStyle name="Currency 3 2 2 11 2" xfId="13075" xr:uid="{3DE8DE7B-FAF8-43AF-84D8-207A10D38B9E}"/>
    <cellStyle name="Currency 3 2 2 12" xfId="8857" xr:uid="{CF9ABA1C-2AD2-4C57-80D6-9A9975FEFB17}"/>
    <cellStyle name="Currency 3 2 2 2" xfId="179" xr:uid="{00000000-0005-0000-0000-0000A60A0000}"/>
    <cellStyle name="Currency 3 2 2 2 10" xfId="4634" xr:uid="{00000000-0005-0000-0000-0000A70A0000}"/>
    <cellStyle name="Currency 3 2 2 2 10 2" xfId="13076" xr:uid="{40F81D20-0A17-45D8-B8A4-D695F7F277EC}"/>
    <cellStyle name="Currency 3 2 2 2 11" xfId="8858" xr:uid="{9A5269A5-8A5D-4882-AD46-DDD4A466E175}"/>
    <cellStyle name="Currency 3 2 2 2 2" xfId="180" xr:uid="{00000000-0005-0000-0000-0000A80A0000}"/>
    <cellStyle name="Currency 3 2 2 2 2 10" xfId="8859" xr:uid="{407DF5AB-745F-420C-89E5-385F2AD21F88}"/>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E5B6B57D-1EC2-4165-BCD4-862AAC9FA888}"/>
    <cellStyle name="Currency 3 2 2 2 2 2 2 3" xfId="11418" xr:uid="{BB741724-B7DE-48C2-87B1-FE585396DA73}"/>
    <cellStyle name="Currency 3 2 2 2 2 2 3" xfId="5049" xr:uid="{00000000-0005-0000-0000-0000AC0A0000}"/>
    <cellStyle name="Currency 3 2 2 2 2 2 3 2" xfId="13491" xr:uid="{8C0CB12B-756E-44F6-82FF-44349FCF9ED0}"/>
    <cellStyle name="Currency 3 2 2 2 2 2 4" xfId="9273" xr:uid="{BA860659-BD1A-4EB6-B2D7-803E934A47C8}"/>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DD68717B-E4D6-4F97-9D9C-AD9BAE0A499D}"/>
    <cellStyle name="Currency 3 2 2 2 2 3 2 3" xfId="11831" xr:uid="{E21AAF4D-2F46-458A-AEB1-5BB00D9A34F5}"/>
    <cellStyle name="Currency 3 2 2 2 2 3 3" xfId="5462" xr:uid="{00000000-0005-0000-0000-0000B00A0000}"/>
    <cellStyle name="Currency 3 2 2 2 2 3 3 2" xfId="13904" xr:uid="{DE227950-70AF-483A-A9E5-19FFCC1E9C54}"/>
    <cellStyle name="Currency 3 2 2 2 2 3 4" xfId="9686" xr:uid="{ADEB0BC8-9D47-40D7-9C26-2E0FA105DB83}"/>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5CB99A44-1B63-4E1A-BB6A-F41F28010E73}"/>
    <cellStyle name="Currency 3 2 2 2 2 4 2 3" xfId="12244" xr:uid="{1A58F6AF-7205-46CD-8879-67156C651A44}"/>
    <cellStyle name="Currency 3 2 2 2 2 4 3" xfId="5875" xr:uid="{00000000-0005-0000-0000-0000B40A0000}"/>
    <cellStyle name="Currency 3 2 2 2 2 4 3 2" xfId="14317" xr:uid="{7374AFA3-DED1-4989-9D2E-DB7D32785E0C}"/>
    <cellStyle name="Currency 3 2 2 2 2 4 4" xfId="10099" xr:uid="{24B3DCAB-887B-4850-A052-8C36CC3042A2}"/>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A0E7B8AF-F6C8-4B9F-A100-145B21D58697}"/>
    <cellStyle name="Currency 3 2 2 2 2 5 2 3" xfId="12657" xr:uid="{0D79F82E-FA3D-4032-A276-9FCFCB21BC9F}"/>
    <cellStyle name="Currency 3 2 2 2 2 5 3" xfId="6288" xr:uid="{00000000-0005-0000-0000-0000B80A0000}"/>
    <cellStyle name="Currency 3 2 2 2 2 5 3 2" xfId="14730" xr:uid="{44E05908-1016-47B4-8644-8163754BEE5E}"/>
    <cellStyle name="Currency 3 2 2 2 2 5 4" xfId="10512" xr:uid="{AA629262-C300-4079-8DCD-DAE7B1B800DA}"/>
    <cellStyle name="Currency 3 2 2 2 2 6" xfId="2416" xr:uid="{00000000-0005-0000-0000-0000B90A0000}"/>
    <cellStyle name="Currency 3 2 2 2 2 6 2" xfId="6701" xr:uid="{00000000-0005-0000-0000-0000BA0A0000}"/>
    <cellStyle name="Currency 3 2 2 2 2 6 2 2" xfId="15143" xr:uid="{1B24A14A-CAC0-485C-84E8-3EB76A8094D3}"/>
    <cellStyle name="Currency 3 2 2 2 2 6 3" xfId="10925" xr:uid="{D0464A2A-E826-4643-90BD-00CF885B0171}"/>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7046EC20-777D-4A38-AB2D-077DCA306135}"/>
    <cellStyle name="Currency 3 2 2 2 2 8 3" xfId="11242" xr:uid="{FD13BC3A-0CE5-4C46-80FD-79BDFDE84B8B}"/>
    <cellStyle name="Currency 3 2 2 2 2 9" xfId="4635" xr:uid="{00000000-0005-0000-0000-0000BE0A0000}"/>
    <cellStyle name="Currency 3 2 2 2 2 9 2" xfId="13077" xr:uid="{C98253C5-F80A-4747-95FC-ADA7A5B09B8C}"/>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68BB2CD8-D145-42D4-981B-953DC99CEB76}"/>
    <cellStyle name="Currency 3 2 2 2 3 2 3" xfId="11417" xr:uid="{0895275A-BCD3-4050-ACC2-CB2F10EF72B8}"/>
    <cellStyle name="Currency 3 2 2 2 3 3" xfId="5048" xr:uid="{00000000-0005-0000-0000-0000C20A0000}"/>
    <cellStyle name="Currency 3 2 2 2 3 3 2" xfId="13490" xr:uid="{EF3CB455-C534-489D-80EF-4D278E20F7E9}"/>
    <cellStyle name="Currency 3 2 2 2 3 4" xfId="9272" xr:uid="{8033B70F-CE75-4D32-992B-E9DC36E2519B}"/>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68AB1D91-FBDC-4A50-85C9-D6C515937C49}"/>
    <cellStyle name="Currency 3 2 2 2 4 2 3" xfId="11830" xr:uid="{E902368F-1D0E-4152-B22F-081C45E9B66E}"/>
    <cellStyle name="Currency 3 2 2 2 4 3" xfId="5461" xr:uid="{00000000-0005-0000-0000-0000C60A0000}"/>
    <cellStyle name="Currency 3 2 2 2 4 3 2" xfId="13903" xr:uid="{FA2BFF33-8C76-472E-8B7B-C978B18DB58F}"/>
    <cellStyle name="Currency 3 2 2 2 4 4" xfId="9685" xr:uid="{C50489E5-628F-4C3D-A2B9-9558A10E7208}"/>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9C736217-7EAE-49F6-B0A0-6F8C2CC2ACA6}"/>
    <cellStyle name="Currency 3 2 2 2 5 2 3" xfId="12243" xr:uid="{E2E0908C-45FB-45E4-9BA1-BA0DD201846A}"/>
    <cellStyle name="Currency 3 2 2 2 5 3" xfId="5874" xr:uid="{00000000-0005-0000-0000-0000CA0A0000}"/>
    <cellStyle name="Currency 3 2 2 2 5 3 2" xfId="14316" xr:uid="{311BC346-3D6D-40A8-98A8-33ECE3840096}"/>
    <cellStyle name="Currency 3 2 2 2 5 4" xfId="10098" xr:uid="{3A3B62E8-095F-4EFC-9BD1-FACA2F63DD3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D317279C-C473-480C-802C-8404B928EE0B}"/>
    <cellStyle name="Currency 3 2 2 2 6 2 3" xfId="12656" xr:uid="{EC51700D-9943-4B4D-A0A0-AF72344915B7}"/>
    <cellStyle name="Currency 3 2 2 2 6 3" xfId="6287" xr:uid="{00000000-0005-0000-0000-0000CE0A0000}"/>
    <cellStyle name="Currency 3 2 2 2 6 3 2" xfId="14729" xr:uid="{446953E1-6ACC-4DAA-A9AD-607F3A726116}"/>
    <cellStyle name="Currency 3 2 2 2 6 4" xfId="10511" xr:uid="{6E5F239C-FB69-41C2-9BE4-54BC7E7B4F45}"/>
    <cellStyle name="Currency 3 2 2 2 7" xfId="2415" xr:uid="{00000000-0005-0000-0000-0000CF0A0000}"/>
    <cellStyle name="Currency 3 2 2 2 7 2" xfId="6700" xr:uid="{00000000-0005-0000-0000-0000D00A0000}"/>
    <cellStyle name="Currency 3 2 2 2 7 2 2" xfId="15142" xr:uid="{C3701DFA-8751-4DC3-8AB7-991BB75D8CAF}"/>
    <cellStyle name="Currency 3 2 2 2 7 3" xfId="10924" xr:uid="{A5D175BA-1FCB-4ECF-AFCF-7B25D14983A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DB3FC2DD-68CE-453A-8EC6-09922E1A6E34}"/>
    <cellStyle name="Currency 3 2 2 2 9 3" xfId="11241" xr:uid="{445FE47A-9291-4EDF-9E0E-AA3455AE604F}"/>
    <cellStyle name="Currency 3 2 2 3" xfId="181" xr:uid="{00000000-0005-0000-0000-0000D40A0000}"/>
    <cellStyle name="Currency 3 2 2 3 10" xfId="8860" xr:uid="{D4953075-BBA9-4451-B11F-DC84B308DB6D}"/>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2419EDD1-47C4-433B-84AF-1174AD8BC024}"/>
    <cellStyle name="Currency 3 2 2 3 2 2 3" xfId="11419" xr:uid="{0F18DCB8-FB8F-460D-A865-552F0FD8E4C6}"/>
    <cellStyle name="Currency 3 2 2 3 2 3" xfId="5050" xr:uid="{00000000-0005-0000-0000-0000D80A0000}"/>
    <cellStyle name="Currency 3 2 2 3 2 3 2" xfId="13492" xr:uid="{29F5297A-D6FE-474E-8CC6-0C9E1DE30CD7}"/>
    <cellStyle name="Currency 3 2 2 3 2 4" xfId="9274" xr:uid="{3776183B-59D3-45D3-892D-B837CC8DAA8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FA19B4C0-D596-4EB7-B4A8-E7854561FAC4}"/>
    <cellStyle name="Currency 3 2 2 3 3 2 3" xfId="11832" xr:uid="{F979DD76-77CE-4B3E-BEA4-81FE6BFB7A6B}"/>
    <cellStyle name="Currency 3 2 2 3 3 3" xfId="5463" xr:uid="{00000000-0005-0000-0000-0000DC0A0000}"/>
    <cellStyle name="Currency 3 2 2 3 3 3 2" xfId="13905" xr:uid="{71921AB1-BB4E-4289-89E1-A4BF08BDADA9}"/>
    <cellStyle name="Currency 3 2 2 3 3 4" xfId="9687" xr:uid="{A23B251B-B65F-4184-8DCD-2434D0044FB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07709E97-1954-423E-B138-676F85F82C5E}"/>
    <cellStyle name="Currency 3 2 2 3 4 2 3" xfId="12245" xr:uid="{0B6E60BA-CDBE-4D6F-9F71-0EDD32418FAF}"/>
    <cellStyle name="Currency 3 2 2 3 4 3" xfId="5876" xr:uid="{00000000-0005-0000-0000-0000E00A0000}"/>
    <cellStyle name="Currency 3 2 2 3 4 3 2" xfId="14318" xr:uid="{63E6BA2D-51EE-4061-A338-D278A33A216E}"/>
    <cellStyle name="Currency 3 2 2 3 4 4" xfId="10100" xr:uid="{5D428C19-33AC-4020-890A-58F92C51DC3F}"/>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E1D5979-028B-4276-B3CD-FDDBDE166153}"/>
    <cellStyle name="Currency 3 2 2 3 5 2 3" xfId="12658" xr:uid="{04511178-594D-4624-9457-8C5D781BF789}"/>
    <cellStyle name="Currency 3 2 2 3 5 3" xfId="6289" xr:uid="{00000000-0005-0000-0000-0000E40A0000}"/>
    <cellStyle name="Currency 3 2 2 3 5 3 2" xfId="14731" xr:uid="{01045688-4F88-4C79-95FC-823717DE9D17}"/>
    <cellStyle name="Currency 3 2 2 3 5 4" xfId="10513" xr:uid="{04D93D8B-12EC-42D4-8FB1-AD5F9AD04891}"/>
    <cellStyle name="Currency 3 2 2 3 6" xfId="2417" xr:uid="{00000000-0005-0000-0000-0000E50A0000}"/>
    <cellStyle name="Currency 3 2 2 3 6 2" xfId="6702" xr:uid="{00000000-0005-0000-0000-0000E60A0000}"/>
    <cellStyle name="Currency 3 2 2 3 6 2 2" xfId="15144" xr:uid="{997BC4B0-180E-4E05-B737-CA0C1350FD2A}"/>
    <cellStyle name="Currency 3 2 2 3 6 3" xfId="10926" xr:uid="{39942650-3EB3-4AF7-9753-6DFA60C2AE5B}"/>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19AA5B7B-7D39-497E-8383-E0AA06AA3F19}"/>
    <cellStyle name="Currency 3 2 2 3 8 3" xfId="11243" xr:uid="{00B3BD88-27D5-4428-A091-DD38E43A5405}"/>
    <cellStyle name="Currency 3 2 2 3 9" xfId="4636" xr:uid="{00000000-0005-0000-0000-0000EA0A0000}"/>
    <cellStyle name="Currency 3 2 2 3 9 2" xfId="13078" xr:uid="{C2D6EFE4-8668-4EE5-A7AC-51522B0EAEBD}"/>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FA42CCD8-4293-409C-BD79-8CC3647F545E}"/>
    <cellStyle name="Currency 3 2 2 4 2 3" xfId="11416" xr:uid="{2ED1F5CF-0F32-45B2-B292-B5B9E553C49C}"/>
    <cellStyle name="Currency 3 2 2 4 3" xfId="5047" xr:uid="{00000000-0005-0000-0000-0000EE0A0000}"/>
    <cellStyle name="Currency 3 2 2 4 3 2" xfId="13489" xr:uid="{33E0D5AA-F182-401B-B1D9-405DED0C5597}"/>
    <cellStyle name="Currency 3 2 2 4 4" xfId="9271" xr:uid="{47AE3A65-7D79-4AF6-A001-87E408AEC4F8}"/>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FC55387D-1A56-4C6E-9182-42111338F3A8}"/>
    <cellStyle name="Currency 3 2 2 5 2 3" xfId="11829" xr:uid="{201F0201-BF3F-4BDA-84B5-11B74AFF21D7}"/>
    <cellStyle name="Currency 3 2 2 5 3" xfId="5460" xr:uid="{00000000-0005-0000-0000-0000F20A0000}"/>
    <cellStyle name="Currency 3 2 2 5 3 2" xfId="13902" xr:uid="{5BB3ADF6-2BB2-4C5D-A824-E009620626E6}"/>
    <cellStyle name="Currency 3 2 2 5 4" xfId="9684" xr:uid="{345706AD-6F41-40EF-9BF8-748FE35A84E6}"/>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D03322E6-EC7B-42A8-94BB-3D760217DAF9}"/>
    <cellStyle name="Currency 3 2 2 6 2 3" xfId="12242" xr:uid="{21F68D1B-FA59-4F80-AB51-779FA3598E95}"/>
    <cellStyle name="Currency 3 2 2 6 3" xfId="5873" xr:uid="{00000000-0005-0000-0000-0000F60A0000}"/>
    <cellStyle name="Currency 3 2 2 6 3 2" xfId="14315" xr:uid="{660C05E4-E8CA-41FA-A3A0-93446DEB40A7}"/>
    <cellStyle name="Currency 3 2 2 6 4" xfId="10097" xr:uid="{92641DA5-894B-4EFC-A020-6DBC8CAC3D79}"/>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F67BA733-F3F6-4C4C-B208-A2B2A626D158}"/>
    <cellStyle name="Currency 3 2 2 7 2 3" xfId="12655" xr:uid="{35924D9F-E082-481E-9DB8-D18A50F75DB6}"/>
    <cellStyle name="Currency 3 2 2 7 3" xfId="6286" xr:uid="{00000000-0005-0000-0000-0000FA0A0000}"/>
    <cellStyle name="Currency 3 2 2 7 3 2" xfId="14728" xr:uid="{30C5B6C6-E50A-46F0-A6D5-1DC9C57D491E}"/>
    <cellStyle name="Currency 3 2 2 7 4" xfId="10510" xr:uid="{BEF8B0A9-77FC-47AD-BD08-92B882A1DFCF}"/>
    <cellStyle name="Currency 3 2 2 8" xfId="2414" xr:uid="{00000000-0005-0000-0000-0000FB0A0000}"/>
    <cellStyle name="Currency 3 2 2 8 2" xfId="6699" xr:uid="{00000000-0005-0000-0000-0000FC0A0000}"/>
    <cellStyle name="Currency 3 2 2 8 2 2" xfId="15141" xr:uid="{4550CBEE-28EB-4FF6-B89E-6CD93AC9099F}"/>
    <cellStyle name="Currency 3 2 2 8 3" xfId="10923" xr:uid="{BDBC356B-BD4C-4418-BB69-0750922EC37F}"/>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D1251488-F84E-4277-8799-12041B507B34}"/>
    <cellStyle name="Currency 3 2 3 11" xfId="8861" xr:uid="{50AA372E-E986-42A6-B83C-8778163F45CB}"/>
    <cellStyle name="Currency 3 2 3 2" xfId="183" xr:uid="{00000000-0005-0000-0000-0000000B0000}"/>
    <cellStyle name="Currency 3 2 3 2 10" xfId="8862" xr:uid="{2BF8232F-390B-4713-ACED-DE54E0C09F81}"/>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BE13C1F8-83B4-497C-9AF1-93598DC40A9C}"/>
    <cellStyle name="Currency 3 2 3 2 2 2 3" xfId="11421" xr:uid="{DB5ADEC0-B3CB-4DBA-B151-68ACBEB39AD7}"/>
    <cellStyle name="Currency 3 2 3 2 2 3" xfId="5052" xr:uid="{00000000-0005-0000-0000-0000040B0000}"/>
    <cellStyle name="Currency 3 2 3 2 2 3 2" xfId="13494" xr:uid="{D400CDCD-978B-4116-A727-1F0D5D6A589B}"/>
    <cellStyle name="Currency 3 2 3 2 2 4" xfId="9276" xr:uid="{ED03369C-E98E-4856-81C5-AE9CB7F34E4F}"/>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E6B550E8-8241-46C8-9A56-1BD57B10D8B8}"/>
    <cellStyle name="Currency 3 2 3 2 3 2 3" xfId="11834" xr:uid="{615B179F-E4A7-4C3A-A735-47E0C8DDD207}"/>
    <cellStyle name="Currency 3 2 3 2 3 3" xfId="5465" xr:uid="{00000000-0005-0000-0000-0000080B0000}"/>
    <cellStyle name="Currency 3 2 3 2 3 3 2" xfId="13907" xr:uid="{3977FD9E-CA15-464B-B59A-CC86CA4E82DB}"/>
    <cellStyle name="Currency 3 2 3 2 3 4" xfId="9689" xr:uid="{7A19E14D-1665-4F32-8D72-DCE3AE2FF418}"/>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756DF93A-C362-40B4-A914-8F9EDB59FB0A}"/>
    <cellStyle name="Currency 3 2 3 2 4 2 3" xfId="12247" xr:uid="{FA6CC8D5-A1DB-41BD-AB64-0ACDE3245A84}"/>
    <cellStyle name="Currency 3 2 3 2 4 3" xfId="5878" xr:uid="{00000000-0005-0000-0000-00000C0B0000}"/>
    <cellStyle name="Currency 3 2 3 2 4 3 2" xfId="14320" xr:uid="{C15E8EB7-9672-4E4B-AD55-86BCC7123299}"/>
    <cellStyle name="Currency 3 2 3 2 4 4" xfId="10102" xr:uid="{12133039-FF1E-4F63-A9E6-9B2ECC1D098B}"/>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0E610814-B6EB-4713-BD01-75FF59F589A7}"/>
    <cellStyle name="Currency 3 2 3 2 5 2 3" xfId="12660" xr:uid="{C7E09F36-8842-4899-880F-1B68AC7BE4D9}"/>
    <cellStyle name="Currency 3 2 3 2 5 3" xfId="6291" xr:uid="{00000000-0005-0000-0000-0000100B0000}"/>
    <cellStyle name="Currency 3 2 3 2 5 3 2" xfId="14733" xr:uid="{007C9176-0C3D-4166-8DA2-D06077E3FE1B}"/>
    <cellStyle name="Currency 3 2 3 2 5 4" xfId="10515" xr:uid="{2F406F45-6BC4-4E3F-A550-BDF4E0E2B89D}"/>
    <cellStyle name="Currency 3 2 3 2 6" xfId="2419" xr:uid="{00000000-0005-0000-0000-0000110B0000}"/>
    <cellStyle name="Currency 3 2 3 2 6 2" xfId="6704" xr:uid="{00000000-0005-0000-0000-0000120B0000}"/>
    <cellStyle name="Currency 3 2 3 2 6 2 2" xfId="15146" xr:uid="{20257CBF-EEC1-4DFC-AB22-8E432E29AB25}"/>
    <cellStyle name="Currency 3 2 3 2 6 3" xfId="10928" xr:uid="{0DAF077E-34F1-467B-B474-ED19E55D2A4F}"/>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A3E6ECFC-0B8F-4301-B63A-3CBFB5C73D89}"/>
    <cellStyle name="Currency 3 2 3 2 8 3" xfId="11245" xr:uid="{826C903B-D6A9-4D2D-B8A6-05592E4FE8FC}"/>
    <cellStyle name="Currency 3 2 3 2 9" xfId="4638" xr:uid="{00000000-0005-0000-0000-0000160B0000}"/>
    <cellStyle name="Currency 3 2 3 2 9 2" xfId="13080" xr:uid="{50A1D021-1374-40D8-88AB-8840B316DE22}"/>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67BE03AB-A5EC-4331-92DE-5BACB6592DCD}"/>
    <cellStyle name="Currency 3 2 3 3 2 3" xfId="11420" xr:uid="{EB9F15A8-2721-4222-B186-C26F39E1108F}"/>
    <cellStyle name="Currency 3 2 3 3 3" xfId="5051" xr:uid="{00000000-0005-0000-0000-00001A0B0000}"/>
    <cellStyle name="Currency 3 2 3 3 3 2" xfId="13493" xr:uid="{1B2AC029-8495-49F1-81AF-07044026158F}"/>
    <cellStyle name="Currency 3 2 3 3 4" xfId="9275" xr:uid="{BDD392A3-B629-4E7C-993B-CEEC392AA07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E08C1B03-1453-426D-BC99-BFE76508F504}"/>
    <cellStyle name="Currency 3 2 3 4 2 3" xfId="11833" xr:uid="{C60BBC1C-2328-4C06-BEA8-A8B992C4A89B}"/>
    <cellStyle name="Currency 3 2 3 4 3" xfId="5464" xr:uid="{00000000-0005-0000-0000-00001E0B0000}"/>
    <cellStyle name="Currency 3 2 3 4 3 2" xfId="13906" xr:uid="{6A56C97C-1972-4774-A950-8BC2B1202663}"/>
    <cellStyle name="Currency 3 2 3 4 4" xfId="9688" xr:uid="{023D3041-6C7B-424F-85AD-C8CBBE910B77}"/>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FEAB58B9-E60E-4EC3-9912-66C5B99312E4}"/>
    <cellStyle name="Currency 3 2 3 5 2 3" xfId="12246" xr:uid="{1542CE7F-BBC2-4820-8E85-3EEC19E26C07}"/>
    <cellStyle name="Currency 3 2 3 5 3" xfId="5877" xr:uid="{00000000-0005-0000-0000-0000220B0000}"/>
    <cellStyle name="Currency 3 2 3 5 3 2" xfId="14319" xr:uid="{AEAFA07C-2D6C-4709-BC08-C5CC98C34409}"/>
    <cellStyle name="Currency 3 2 3 5 4" xfId="10101" xr:uid="{1520EBE3-F6CD-459E-8AC6-2D65F0DEEB9D}"/>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294F873C-445C-46D2-8286-7FC5298F6941}"/>
    <cellStyle name="Currency 3 2 3 6 2 3" xfId="12659" xr:uid="{34E2C812-603C-4BE3-B628-941F7FA7257A}"/>
    <cellStyle name="Currency 3 2 3 6 3" xfId="6290" xr:uid="{00000000-0005-0000-0000-0000260B0000}"/>
    <cellStyle name="Currency 3 2 3 6 3 2" xfId="14732" xr:uid="{1808B9B8-3CA0-49AD-8A79-618E6AEA073E}"/>
    <cellStyle name="Currency 3 2 3 6 4" xfId="10514" xr:uid="{BA5EBF87-7A0B-4C36-9292-1D01B55155DE}"/>
    <cellStyle name="Currency 3 2 3 7" xfId="2418" xr:uid="{00000000-0005-0000-0000-0000270B0000}"/>
    <cellStyle name="Currency 3 2 3 7 2" xfId="6703" xr:uid="{00000000-0005-0000-0000-0000280B0000}"/>
    <cellStyle name="Currency 3 2 3 7 2 2" xfId="15145" xr:uid="{37E5CF48-001C-49CF-83A8-023AC283A1F0}"/>
    <cellStyle name="Currency 3 2 3 7 3" xfId="10927" xr:uid="{3103EE4F-FD15-473A-877B-8F311A80EFD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7384132B-9C79-45A7-B5F4-3F0212B7AEC5}"/>
    <cellStyle name="Currency 3 2 3 9 3" xfId="11244" xr:uid="{395F9012-B30C-45C8-A66A-8BE3E1665D7C}"/>
    <cellStyle name="Currency 3 2 4" xfId="184" xr:uid="{00000000-0005-0000-0000-00002C0B0000}"/>
    <cellStyle name="Currency 3 2 4 10" xfId="8863" xr:uid="{828BD9C4-DE80-4245-B19D-D73F806B62CD}"/>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437A4B6C-4477-471B-A31F-D6A1C4C971BF}"/>
    <cellStyle name="Currency 3 2 4 2 2 3" xfId="11422" xr:uid="{DB30EB52-C2AD-4BE9-AB2B-124E3D3F83B0}"/>
    <cellStyle name="Currency 3 2 4 2 3" xfId="5053" xr:uid="{00000000-0005-0000-0000-0000300B0000}"/>
    <cellStyle name="Currency 3 2 4 2 3 2" xfId="13495" xr:uid="{0FDA65DE-6B80-4E07-9021-42C364ED3137}"/>
    <cellStyle name="Currency 3 2 4 2 4" xfId="9277" xr:uid="{CDD1C9E2-DE9B-4BBC-90AC-66B965CB4BDC}"/>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FB61DFCB-752E-4208-BC78-99CE0577E956}"/>
    <cellStyle name="Currency 3 2 4 3 2 3" xfId="11835" xr:uid="{F746D66F-11AF-4592-A960-DF089B24319C}"/>
    <cellStyle name="Currency 3 2 4 3 3" xfId="5466" xr:uid="{00000000-0005-0000-0000-0000340B0000}"/>
    <cellStyle name="Currency 3 2 4 3 3 2" xfId="13908" xr:uid="{7CA9DDA1-CC81-45B3-B2CB-C772F9B4BD4A}"/>
    <cellStyle name="Currency 3 2 4 3 4" xfId="9690" xr:uid="{E13A00F2-F883-4382-BCCF-467EFEDBF901}"/>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DED05EF1-63CD-4491-8363-F25515A2C967}"/>
    <cellStyle name="Currency 3 2 4 4 2 3" xfId="12248" xr:uid="{7EE3A568-48EE-4642-BACC-A0749F706954}"/>
    <cellStyle name="Currency 3 2 4 4 3" xfId="5879" xr:uid="{00000000-0005-0000-0000-0000380B0000}"/>
    <cellStyle name="Currency 3 2 4 4 3 2" xfId="14321" xr:uid="{8251AB6E-5E61-4ACB-9C4C-99C8A6A50CC8}"/>
    <cellStyle name="Currency 3 2 4 4 4" xfId="10103" xr:uid="{15654013-8274-4E86-8394-4603EAD3B148}"/>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CE36FF22-64DC-4184-9046-D82905E679B2}"/>
    <cellStyle name="Currency 3 2 4 5 2 3" xfId="12661" xr:uid="{CB059CF3-5C12-4093-923A-212078FD4013}"/>
    <cellStyle name="Currency 3 2 4 5 3" xfId="6292" xr:uid="{00000000-0005-0000-0000-00003C0B0000}"/>
    <cellStyle name="Currency 3 2 4 5 3 2" xfId="14734" xr:uid="{C1AE63EE-A94F-4735-8151-10414D4706BB}"/>
    <cellStyle name="Currency 3 2 4 5 4" xfId="10516" xr:uid="{13DF56AD-410F-495F-B07D-DA562B1525E7}"/>
    <cellStyle name="Currency 3 2 4 6" xfId="2420" xr:uid="{00000000-0005-0000-0000-00003D0B0000}"/>
    <cellStyle name="Currency 3 2 4 6 2" xfId="6705" xr:uid="{00000000-0005-0000-0000-00003E0B0000}"/>
    <cellStyle name="Currency 3 2 4 6 2 2" xfId="15147" xr:uid="{E82CEEF4-9C31-4B56-B7C2-12B11C3CFB62}"/>
    <cellStyle name="Currency 3 2 4 6 3" xfId="10929" xr:uid="{C468872F-E019-45CF-84D2-728A74FF1D09}"/>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EDE98A98-ADD7-45F3-85EE-9CAE08FE4EB8}"/>
    <cellStyle name="Currency 3 2 4 8 3" xfId="11246" xr:uid="{5CBF6B18-977C-4C7C-9E98-3EF99A6EBADE}"/>
    <cellStyle name="Currency 3 2 4 9" xfId="4639" xr:uid="{00000000-0005-0000-0000-0000420B0000}"/>
    <cellStyle name="Currency 3 2 4 9 2" xfId="13081" xr:uid="{08AA1EE8-8CF0-463B-B74A-4BE1B3A4C243}"/>
    <cellStyle name="Currency 3 2 5" xfId="185" xr:uid="{00000000-0005-0000-0000-0000430B0000}"/>
    <cellStyle name="Currency 3 2 5 10" xfId="8864" xr:uid="{B235FBF9-825E-4131-B86E-7BFD51BD1060}"/>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4C1A97FE-7D8E-4999-998B-0C2D68D70B3F}"/>
    <cellStyle name="Currency 3 2 5 2 2 3" xfId="11423" xr:uid="{A4ED1B37-1A93-4F3F-9B89-835DC75C1714}"/>
    <cellStyle name="Currency 3 2 5 2 3" xfId="5054" xr:uid="{00000000-0005-0000-0000-0000470B0000}"/>
    <cellStyle name="Currency 3 2 5 2 3 2" xfId="13496" xr:uid="{3F10FCB4-2CAE-4D7B-82EA-5534F4F400C9}"/>
    <cellStyle name="Currency 3 2 5 2 4" xfId="9278" xr:uid="{30623693-C01C-4A4D-9DD7-0F08A63EE0A3}"/>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B33AE8A8-25C6-4B97-ABC0-37CC29EBACF0}"/>
    <cellStyle name="Currency 3 2 5 3 2 3" xfId="11836" xr:uid="{5E964229-F939-4262-B47D-EA263200EC6F}"/>
    <cellStyle name="Currency 3 2 5 3 3" xfId="5467" xr:uid="{00000000-0005-0000-0000-00004B0B0000}"/>
    <cellStyle name="Currency 3 2 5 3 3 2" xfId="13909" xr:uid="{16E91E87-0ECA-44B4-A7CE-1CBACC278316}"/>
    <cellStyle name="Currency 3 2 5 3 4" xfId="9691" xr:uid="{5EB31DBC-758C-46AE-B374-A8060A8E61D6}"/>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E92531BC-48F0-49DA-8137-C274960FF921}"/>
    <cellStyle name="Currency 3 2 5 4 2 3" xfId="12249" xr:uid="{5321F5A8-A8E6-49B4-8CA7-7AD51AD54D5E}"/>
    <cellStyle name="Currency 3 2 5 4 3" xfId="5880" xr:uid="{00000000-0005-0000-0000-00004F0B0000}"/>
    <cellStyle name="Currency 3 2 5 4 3 2" xfId="14322" xr:uid="{563E0E99-EB19-4C6B-8A4A-EE42BF1BB625}"/>
    <cellStyle name="Currency 3 2 5 4 4" xfId="10104" xr:uid="{3C99B260-2BA3-4700-94C4-C26DFD1FEA99}"/>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683B4783-B3DE-4510-8F83-1A968F469C1C}"/>
    <cellStyle name="Currency 3 2 5 5 2 3" xfId="12662" xr:uid="{E0A3844E-0CD4-40D9-8302-BDC10E7B6DE3}"/>
    <cellStyle name="Currency 3 2 5 5 3" xfId="6293" xr:uid="{00000000-0005-0000-0000-0000530B0000}"/>
    <cellStyle name="Currency 3 2 5 5 3 2" xfId="14735" xr:uid="{E64CD92C-43D3-4EB1-9AA8-5988F60DBA41}"/>
    <cellStyle name="Currency 3 2 5 5 4" xfId="10517" xr:uid="{18EAAC90-0E21-4314-A404-BDA6E4A3EE2F}"/>
    <cellStyle name="Currency 3 2 5 6" xfId="2421" xr:uid="{00000000-0005-0000-0000-0000540B0000}"/>
    <cellStyle name="Currency 3 2 5 6 2" xfId="6706" xr:uid="{00000000-0005-0000-0000-0000550B0000}"/>
    <cellStyle name="Currency 3 2 5 6 2 2" xfId="15148" xr:uid="{D7E27D57-ACAD-4F3C-8CC6-D31A7D4869EF}"/>
    <cellStyle name="Currency 3 2 5 6 3" xfId="10930" xr:uid="{11CED9C9-5D75-4487-AA41-8B4781E31E3E}"/>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4488FD72-B534-4D80-A1A7-A64AF9EC1FF2}"/>
    <cellStyle name="Currency 3 2 5 8 3" xfId="11247" xr:uid="{1B1D63D8-EB43-476F-A356-08705C61A8FC}"/>
    <cellStyle name="Currency 3 2 5 9" xfId="4640" xr:uid="{00000000-0005-0000-0000-0000590B0000}"/>
    <cellStyle name="Currency 3 2 5 9 2" xfId="13082" xr:uid="{206180AF-840F-4309-98BD-60304E8F8CD2}"/>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30B96599-2786-4696-AC74-F0417B4DC52A}"/>
    <cellStyle name="Currency 5 2 2 2 10 3" xfId="11248" xr:uid="{25E181A7-471C-4F6D-B733-FF7D4B5974A8}"/>
    <cellStyle name="Currency 5 2 2 2 11" xfId="4641" xr:uid="{00000000-0005-0000-0000-00006C0B0000}"/>
    <cellStyle name="Currency 5 2 2 2 11 2" xfId="13083" xr:uid="{5B31B5DD-3C27-457F-8B50-26B70875E670}"/>
    <cellStyle name="Currency 5 2 2 2 12" xfId="8865" xr:uid="{6BA7904E-F0E6-4052-957C-69A5E45AF1DC}"/>
    <cellStyle name="Currency 5 2 2 2 2" xfId="197" xr:uid="{00000000-0005-0000-0000-00006D0B0000}"/>
    <cellStyle name="Currency 5 2 2 2 2 10" xfId="4642" xr:uid="{00000000-0005-0000-0000-00006E0B0000}"/>
    <cellStyle name="Currency 5 2 2 2 2 10 2" xfId="13084" xr:uid="{62557BCC-F461-42B6-954D-722AE823DDBC}"/>
    <cellStyle name="Currency 5 2 2 2 2 11" xfId="8866" xr:uid="{7C966D6C-8B20-41C2-8BE2-8D41BAA82ABE}"/>
    <cellStyle name="Currency 5 2 2 2 2 2" xfId="198" xr:uid="{00000000-0005-0000-0000-00006F0B0000}"/>
    <cellStyle name="Currency 5 2 2 2 2 2 10" xfId="8867" xr:uid="{D63F8F40-CC12-4BAB-A6B7-A7F1621A518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1D59FFB1-9330-4CDC-AD8C-CE31B9B2F37D}"/>
    <cellStyle name="Currency 5 2 2 2 2 2 2 2 3" xfId="11426" xr:uid="{31224FC3-C783-41EB-B672-0F67AD7D22E1}"/>
    <cellStyle name="Currency 5 2 2 2 2 2 2 3" xfId="5057" xr:uid="{00000000-0005-0000-0000-0000730B0000}"/>
    <cellStyle name="Currency 5 2 2 2 2 2 2 3 2" xfId="13499" xr:uid="{69FE3096-79E0-4936-9874-954B3772321A}"/>
    <cellStyle name="Currency 5 2 2 2 2 2 2 4" xfId="9281" xr:uid="{E71CCE5B-6810-4F50-9FA3-3E79AED58C86}"/>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5FE4B807-BEC6-456C-AD9D-AE3CCDD91616}"/>
    <cellStyle name="Currency 5 2 2 2 2 2 3 2 3" xfId="11839" xr:uid="{1C583788-C82D-46DA-A256-738A9479DBFF}"/>
    <cellStyle name="Currency 5 2 2 2 2 2 3 3" xfId="5470" xr:uid="{00000000-0005-0000-0000-0000770B0000}"/>
    <cellStyle name="Currency 5 2 2 2 2 2 3 3 2" xfId="13912" xr:uid="{11F39153-84F2-40E5-8361-3AEAEA3A4555}"/>
    <cellStyle name="Currency 5 2 2 2 2 2 3 4" xfId="9694" xr:uid="{A87D1EDD-E68A-4D1F-978F-DD87FBB7E197}"/>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22F17598-3958-4B4B-9D9D-3BC003F582C3}"/>
    <cellStyle name="Currency 5 2 2 2 2 2 4 2 3" xfId="12252" xr:uid="{2279B26B-5089-4C5C-9BAC-AD1EA488C4C5}"/>
    <cellStyle name="Currency 5 2 2 2 2 2 4 3" xfId="5883" xr:uid="{00000000-0005-0000-0000-00007B0B0000}"/>
    <cellStyle name="Currency 5 2 2 2 2 2 4 3 2" xfId="14325" xr:uid="{41BCAB1B-21D2-406E-AF1C-5C0B4E2A54F0}"/>
    <cellStyle name="Currency 5 2 2 2 2 2 4 4" xfId="10107" xr:uid="{30514A77-C814-4EFE-AF47-6356FDFF991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BC7E18D5-8C68-4A7B-A9D6-9EBB5314CD94}"/>
    <cellStyle name="Currency 5 2 2 2 2 2 5 2 3" xfId="12665" xr:uid="{429879A5-B310-45FB-AD5E-4829CC152B43}"/>
    <cellStyle name="Currency 5 2 2 2 2 2 5 3" xfId="6296" xr:uid="{00000000-0005-0000-0000-00007F0B0000}"/>
    <cellStyle name="Currency 5 2 2 2 2 2 5 3 2" xfId="14738" xr:uid="{7E831560-F7EB-41E9-9967-DAF7692FA80F}"/>
    <cellStyle name="Currency 5 2 2 2 2 2 5 4" xfId="10520" xr:uid="{A997A58E-DF73-49D4-AF94-4439DD09D41B}"/>
    <cellStyle name="Currency 5 2 2 2 2 2 6" xfId="2424" xr:uid="{00000000-0005-0000-0000-0000800B0000}"/>
    <cellStyle name="Currency 5 2 2 2 2 2 6 2" xfId="6709" xr:uid="{00000000-0005-0000-0000-0000810B0000}"/>
    <cellStyle name="Currency 5 2 2 2 2 2 6 2 2" xfId="15151" xr:uid="{1FF441EA-08D6-47F5-9F5D-B3DEA6BDFF7C}"/>
    <cellStyle name="Currency 5 2 2 2 2 2 6 3" xfId="10933" xr:uid="{2145C2E5-5467-42F1-A714-69F0D40EA42B}"/>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8D66D6EF-D549-46DE-8071-A9F50D3C8C66}"/>
    <cellStyle name="Currency 5 2 2 2 2 2 8 3" xfId="11250" xr:uid="{379AACA9-4D93-4467-A9E1-E5A77CB681A4}"/>
    <cellStyle name="Currency 5 2 2 2 2 2 9" xfId="4643" xr:uid="{00000000-0005-0000-0000-0000850B0000}"/>
    <cellStyle name="Currency 5 2 2 2 2 2 9 2" xfId="13085" xr:uid="{52391B8E-F18B-4B78-B2CA-C2CB76303D09}"/>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31451C2B-3C6E-47E3-AC25-48258F126321}"/>
    <cellStyle name="Currency 5 2 2 2 2 3 2 3" xfId="11425" xr:uid="{C4C0DBB2-91DE-4D4B-8F2D-8093B2FC53F9}"/>
    <cellStyle name="Currency 5 2 2 2 2 3 3" xfId="5056" xr:uid="{00000000-0005-0000-0000-0000890B0000}"/>
    <cellStyle name="Currency 5 2 2 2 2 3 3 2" xfId="13498" xr:uid="{7F9DBC3C-29E5-4CDC-B991-E6DCFDBC456F}"/>
    <cellStyle name="Currency 5 2 2 2 2 3 4" xfId="9280" xr:uid="{082481D7-EBBC-4A75-B1BA-E69F45A36313}"/>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3593613F-16EB-42F9-A247-F0D2C4FD5E60}"/>
    <cellStyle name="Currency 5 2 2 2 2 4 2 3" xfId="11838" xr:uid="{F63881DC-2C0D-4B39-A92C-EE07F7328656}"/>
    <cellStyle name="Currency 5 2 2 2 2 4 3" xfId="5469" xr:uid="{00000000-0005-0000-0000-00008D0B0000}"/>
    <cellStyle name="Currency 5 2 2 2 2 4 3 2" xfId="13911" xr:uid="{359CCE53-401C-4010-B64F-BB955CF4D0FD}"/>
    <cellStyle name="Currency 5 2 2 2 2 4 4" xfId="9693" xr:uid="{0F15B988-C517-4897-BEED-1511058F5418}"/>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BD4ACC0E-758D-4651-855C-2DDC82BA2EA1}"/>
    <cellStyle name="Currency 5 2 2 2 2 5 2 3" xfId="12251" xr:uid="{F8B88F4E-37E6-48F2-8489-49037CF242CF}"/>
    <cellStyle name="Currency 5 2 2 2 2 5 3" xfId="5882" xr:uid="{00000000-0005-0000-0000-0000910B0000}"/>
    <cellStyle name="Currency 5 2 2 2 2 5 3 2" xfId="14324" xr:uid="{B7CBA676-C74C-4B6F-9BCE-C345F000A744}"/>
    <cellStyle name="Currency 5 2 2 2 2 5 4" xfId="10106" xr:uid="{48E63D82-3D5E-402C-9B4C-434EAC9234B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D2EAC5ED-85F6-4F62-822F-44FEB9754EF8}"/>
    <cellStyle name="Currency 5 2 2 2 2 6 2 3" xfId="12664" xr:uid="{1253DE45-A946-416D-90FF-8F2959D4F162}"/>
    <cellStyle name="Currency 5 2 2 2 2 6 3" xfId="6295" xr:uid="{00000000-0005-0000-0000-0000950B0000}"/>
    <cellStyle name="Currency 5 2 2 2 2 6 3 2" xfId="14737" xr:uid="{DE5E3AE6-82A0-4BE6-AB5E-DF8A828AAD94}"/>
    <cellStyle name="Currency 5 2 2 2 2 6 4" xfId="10519" xr:uid="{4EDFBD35-EBE9-4E9C-AB4E-AF5E32AE63CD}"/>
    <cellStyle name="Currency 5 2 2 2 2 7" xfId="2423" xr:uid="{00000000-0005-0000-0000-0000960B0000}"/>
    <cellStyle name="Currency 5 2 2 2 2 7 2" xfId="6708" xr:uid="{00000000-0005-0000-0000-0000970B0000}"/>
    <cellStyle name="Currency 5 2 2 2 2 7 2 2" xfId="15150" xr:uid="{A3ED5EAE-7107-46C8-BD27-A78DC99746BA}"/>
    <cellStyle name="Currency 5 2 2 2 2 7 3" xfId="10932" xr:uid="{46CA7C86-739A-4B71-AEDA-AEB52CEE3485}"/>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BF13320D-1A7D-470F-AE6C-8EC5AD5421DA}"/>
    <cellStyle name="Currency 5 2 2 2 2 9 3" xfId="11249" xr:uid="{61CDC817-3BAA-4453-9A46-4BA991653772}"/>
    <cellStyle name="Currency 5 2 2 2 3" xfId="199" xr:uid="{00000000-0005-0000-0000-00009B0B0000}"/>
    <cellStyle name="Currency 5 2 2 2 3 10" xfId="8868" xr:uid="{B50EC4E7-6627-4CB8-A6B7-AA0FEA4AF30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1333970A-7DB1-4101-A28A-54EE9B54D1F3}"/>
    <cellStyle name="Currency 5 2 2 2 3 2 2 3" xfId="11427" xr:uid="{9240B39F-BD9E-4AF5-A7EC-83C08ACCD8A8}"/>
    <cellStyle name="Currency 5 2 2 2 3 2 3" xfId="5058" xr:uid="{00000000-0005-0000-0000-00009F0B0000}"/>
    <cellStyle name="Currency 5 2 2 2 3 2 3 2" xfId="13500" xr:uid="{35C4C9DE-75F1-4A92-8766-B796BCB6AD8A}"/>
    <cellStyle name="Currency 5 2 2 2 3 2 4" xfId="9282" xr:uid="{EDD3F9C2-8FC0-4994-BBBC-34429964B5CE}"/>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023A34EC-7AAC-4A02-9AE0-16C491EF4EE0}"/>
    <cellStyle name="Currency 5 2 2 2 3 3 2 3" xfId="11840" xr:uid="{10B3B34B-E7C7-477E-9A68-6C8B6A3EA671}"/>
    <cellStyle name="Currency 5 2 2 2 3 3 3" xfId="5471" xr:uid="{00000000-0005-0000-0000-0000A30B0000}"/>
    <cellStyle name="Currency 5 2 2 2 3 3 3 2" xfId="13913" xr:uid="{E6C5B27A-0843-4AD5-AF17-865ED8F311FA}"/>
    <cellStyle name="Currency 5 2 2 2 3 3 4" xfId="9695" xr:uid="{3103AC0E-E397-43FE-9484-ABBD72A6BC3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22E05168-0ACD-47AD-9FEA-82DA6AFF155B}"/>
    <cellStyle name="Currency 5 2 2 2 3 4 2 3" xfId="12253" xr:uid="{DCC389F7-A568-49F2-9121-609C37413A90}"/>
    <cellStyle name="Currency 5 2 2 2 3 4 3" xfId="5884" xr:uid="{00000000-0005-0000-0000-0000A70B0000}"/>
    <cellStyle name="Currency 5 2 2 2 3 4 3 2" xfId="14326" xr:uid="{158874CB-C692-4257-9BFC-3B8B2BFF2DBD}"/>
    <cellStyle name="Currency 5 2 2 2 3 4 4" xfId="10108" xr:uid="{4474F91F-BD00-4977-84D9-C61131B628BC}"/>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F988FD5-3735-410E-AFA0-13E41CF1128D}"/>
    <cellStyle name="Currency 5 2 2 2 3 5 2 3" xfId="12666" xr:uid="{2E39EBC8-0B47-4841-81A7-743F3D450FDC}"/>
    <cellStyle name="Currency 5 2 2 2 3 5 3" xfId="6297" xr:uid="{00000000-0005-0000-0000-0000AB0B0000}"/>
    <cellStyle name="Currency 5 2 2 2 3 5 3 2" xfId="14739" xr:uid="{F89DE1E2-2FE5-4451-ADFB-9AEEA732387D}"/>
    <cellStyle name="Currency 5 2 2 2 3 5 4" xfId="10521" xr:uid="{95E06220-5509-4EED-B243-3BA19A851793}"/>
    <cellStyle name="Currency 5 2 2 2 3 6" xfId="2425" xr:uid="{00000000-0005-0000-0000-0000AC0B0000}"/>
    <cellStyle name="Currency 5 2 2 2 3 6 2" xfId="6710" xr:uid="{00000000-0005-0000-0000-0000AD0B0000}"/>
    <cellStyle name="Currency 5 2 2 2 3 6 2 2" xfId="15152" xr:uid="{7BB597B6-C13F-4B33-A274-5915FA7195D7}"/>
    <cellStyle name="Currency 5 2 2 2 3 6 3" xfId="10934" xr:uid="{D5BCA8DC-4697-4EA3-AD89-54A7A0CA6D45}"/>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13B957C4-F58D-4FC3-8916-156ED186E7B1}"/>
    <cellStyle name="Currency 5 2 2 2 3 8 3" xfId="11251" xr:uid="{C974C05F-07CD-4A9B-84F8-1845CBB9B7CF}"/>
    <cellStyle name="Currency 5 2 2 2 3 9" xfId="4644" xr:uid="{00000000-0005-0000-0000-0000B10B0000}"/>
    <cellStyle name="Currency 5 2 2 2 3 9 2" xfId="13086" xr:uid="{B2ABC41C-A933-49FA-B6C6-191DC44E3777}"/>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D27E016E-CFB3-42D6-BBF4-7D8784D4FAA5}"/>
    <cellStyle name="Currency 5 2 2 2 4 2 3" xfId="11424" xr:uid="{08C99786-611B-4808-9867-1D1E7A636CC1}"/>
    <cellStyle name="Currency 5 2 2 2 4 3" xfId="5055" xr:uid="{00000000-0005-0000-0000-0000B50B0000}"/>
    <cellStyle name="Currency 5 2 2 2 4 3 2" xfId="13497" xr:uid="{ACA8120B-B79F-4B70-8D7B-61ED9B0D3D58}"/>
    <cellStyle name="Currency 5 2 2 2 4 4" xfId="9279" xr:uid="{2F15980E-9780-4E5F-8EF7-E13722381915}"/>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6878BDC6-E79A-46FC-A3B8-50ACA8A65E9C}"/>
    <cellStyle name="Currency 5 2 2 2 5 2 3" xfId="11837" xr:uid="{236FCEC7-4F66-42C2-92C6-13FC9AB967D2}"/>
    <cellStyle name="Currency 5 2 2 2 5 3" xfId="5468" xr:uid="{00000000-0005-0000-0000-0000B90B0000}"/>
    <cellStyle name="Currency 5 2 2 2 5 3 2" xfId="13910" xr:uid="{5DDF679C-D7D9-4853-8E35-F63874167811}"/>
    <cellStyle name="Currency 5 2 2 2 5 4" xfId="9692" xr:uid="{FA45EE53-3FF3-4CF7-9B41-45A7B02A5626}"/>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4BCA675A-5655-4666-A393-F24B061E2E95}"/>
    <cellStyle name="Currency 5 2 2 2 6 2 3" xfId="12250" xr:uid="{7644FA0D-8D18-4476-A4DE-D93A0B5FE82D}"/>
    <cellStyle name="Currency 5 2 2 2 6 3" xfId="5881" xr:uid="{00000000-0005-0000-0000-0000BD0B0000}"/>
    <cellStyle name="Currency 5 2 2 2 6 3 2" xfId="14323" xr:uid="{B3D98844-C4CB-4D93-A251-FF8E644415D4}"/>
    <cellStyle name="Currency 5 2 2 2 6 4" xfId="10105" xr:uid="{7F98941C-34F5-4F4B-9EC9-BE17BB89E26E}"/>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705D3FD9-FC4B-446B-9B4C-0B028B957DF2}"/>
    <cellStyle name="Currency 5 2 2 2 7 2 3" xfId="12663" xr:uid="{F605CF17-C60B-4B61-B1CC-85977E961E71}"/>
    <cellStyle name="Currency 5 2 2 2 7 3" xfId="6294" xr:uid="{00000000-0005-0000-0000-0000C10B0000}"/>
    <cellStyle name="Currency 5 2 2 2 7 3 2" xfId="14736" xr:uid="{0E38D06C-0414-4045-A6C3-4F6E87B44A36}"/>
    <cellStyle name="Currency 5 2 2 2 7 4" xfId="10518" xr:uid="{D75AABC8-3436-4FD6-989E-ED7D6D1F2C66}"/>
    <cellStyle name="Currency 5 2 2 2 8" xfId="2422" xr:uid="{00000000-0005-0000-0000-0000C20B0000}"/>
    <cellStyle name="Currency 5 2 2 2 8 2" xfId="6707" xr:uid="{00000000-0005-0000-0000-0000C30B0000}"/>
    <cellStyle name="Currency 5 2 2 2 8 2 2" xfId="15149" xr:uid="{1F3FB681-5CFB-455A-8A58-8F6550649AE6}"/>
    <cellStyle name="Currency 5 2 2 2 8 3" xfId="10931" xr:uid="{4741FF6A-1675-4968-ABA9-299B99790773}"/>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4A433E85-D5AF-40BF-8744-4E664A7688FC}"/>
    <cellStyle name="Currency 5 2 2 3 11" xfId="8869" xr:uid="{C2C8C349-47F9-42FD-B6E0-415493BF249F}"/>
    <cellStyle name="Currency 5 2 2 3 2" xfId="201" xr:uid="{00000000-0005-0000-0000-0000C70B0000}"/>
    <cellStyle name="Currency 5 2 2 3 2 10" xfId="8870" xr:uid="{510052C7-225D-4921-A236-761824141DFF}"/>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3150E393-2368-4B5F-B000-E5CE44248B2A}"/>
    <cellStyle name="Currency 5 2 2 3 2 2 2 3" xfId="11429" xr:uid="{0DDB961C-B0B1-4B39-BE6F-BBDD62AD9E6D}"/>
    <cellStyle name="Currency 5 2 2 3 2 2 3" xfId="5060" xr:uid="{00000000-0005-0000-0000-0000CB0B0000}"/>
    <cellStyle name="Currency 5 2 2 3 2 2 3 2" xfId="13502" xr:uid="{623A597E-CA4F-4914-A887-A19C2D6E6E20}"/>
    <cellStyle name="Currency 5 2 2 3 2 2 4" xfId="9284" xr:uid="{553F034E-F60F-4654-B490-DEB55CCAFBFA}"/>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5602A8A2-A4CC-4C6D-B75B-3293178F6973}"/>
    <cellStyle name="Currency 5 2 2 3 2 3 2 3" xfId="11842" xr:uid="{82D7501B-7879-498A-81CC-69366A03E0A2}"/>
    <cellStyle name="Currency 5 2 2 3 2 3 3" xfId="5473" xr:uid="{00000000-0005-0000-0000-0000CF0B0000}"/>
    <cellStyle name="Currency 5 2 2 3 2 3 3 2" xfId="13915" xr:uid="{21AEC13C-29A8-400A-AF72-434237323BD9}"/>
    <cellStyle name="Currency 5 2 2 3 2 3 4" xfId="9697" xr:uid="{CAC30627-64BA-4144-9807-47F351D8574E}"/>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47ADC490-15F4-464F-80AF-9CFF4D1FAB24}"/>
    <cellStyle name="Currency 5 2 2 3 2 4 2 3" xfId="12255" xr:uid="{DC19CD50-F28A-459F-B32F-54934A7991BE}"/>
    <cellStyle name="Currency 5 2 2 3 2 4 3" xfId="5886" xr:uid="{00000000-0005-0000-0000-0000D30B0000}"/>
    <cellStyle name="Currency 5 2 2 3 2 4 3 2" xfId="14328" xr:uid="{713B787B-DBC3-4A89-BD70-EF5B9FDA0F2B}"/>
    <cellStyle name="Currency 5 2 2 3 2 4 4" xfId="10110" xr:uid="{D7226CBB-7B41-49E3-B261-E9A811CA2437}"/>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82A3A24A-6B6E-4514-879E-D9AE90A1D556}"/>
    <cellStyle name="Currency 5 2 2 3 2 5 2 3" xfId="12668" xr:uid="{D51C311C-D46B-4588-9FA3-A31878EA96DE}"/>
    <cellStyle name="Currency 5 2 2 3 2 5 3" xfId="6299" xr:uid="{00000000-0005-0000-0000-0000D70B0000}"/>
    <cellStyle name="Currency 5 2 2 3 2 5 3 2" xfId="14741" xr:uid="{80FF7774-C5FD-4F5E-B81F-906B73FB0CC4}"/>
    <cellStyle name="Currency 5 2 2 3 2 5 4" xfId="10523" xr:uid="{DA471045-2F74-4204-9BE2-4E21AC281BAE}"/>
    <cellStyle name="Currency 5 2 2 3 2 6" xfId="2427" xr:uid="{00000000-0005-0000-0000-0000D80B0000}"/>
    <cellStyle name="Currency 5 2 2 3 2 6 2" xfId="6712" xr:uid="{00000000-0005-0000-0000-0000D90B0000}"/>
    <cellStyle name="Currency 5 2 2 3 2 6 2 2" xfId="15154" xr:uid="{E466F39C-8250-4461-94B0-99D601B495CB}"/>
    <cellStyle name="Currency 5 2 2 3 2 6 3" xfId="10936" xr:uid="{7D9ED224-9FAC-4F73-AA19-8030964C76AA}"/>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C1E0651F-B652-4FF1-B11D-408FE493D823}"/>
    <cellStyle name="Currency 5 2 2 3 2 8 3" xfId="11253" xr:uid="{1F3E0ECA-CCD4-4ABC-B4A4-743C4CF1D97F}"/>
    <cellStyle name="Currency 5 2 2 3 2 9" xfId="4646" xr:uid="{00000000-0005-0000-0000-0000DD0B0000}"/>
    <cellStyle name="Currency 5 2 2 3 2 9 2" xfId="13088" xr:uid="{D64EC9E7-533B-495C-846C-5EE18BFF4263}"/>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B2BCA55A-2FCC-4519-AF1D-404CBD691053}"/>
    <cellStyle name="Currency 5 2 2 3 3 2 3" xfId="11428" xr:uid="{D20D5673-6866-4C77-B75F-0C9C24E8237E}"/>
    <cellStyle name="Currency 5 2 2 3 3 3" xfId="5059" xr:uid="{00000000-0005-0000-0000-0000E10B0000}"/>
    <cellStyle name="Currency 5 2 2 3 3 3 2" xfId="13501" xr:uid="{A0877144-2741-4021-A0CF-93EFA632C2A1}"/>
    <cellStyle name="Currency 5 2 2 3 3 4" xfId="9283" xr:uid="{0E339ACB-C295-426D-A77F-5866539DA14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2A29FAF8-8F85-4C36-AA8D-865760608619}"/>
    <cellStyle name="Currency 5 2 2 3 4 2 3" xfId="11841" xr:uid="{F1AB5082-06FF-4D45-B391-4421BD781784}"/>
    <cellStyle name="Currency 5 2 2 3 4 3" xfId="5472" xr:uid="{00000000-0005-0000-0000-0000E50B0000}"/>
    <cellStyle name="Currency 5 2 2 3 4 3 2" xfId="13914" xr:uid="{530763C0-C60E-4EC2-AD60-5881FBCFD8E7}"/>
    <cellStyle name="Currency 5 2 2 3 4 4" xfId="9696" xr:uid="{29253D51-E674-46A3-9568-3C379541F52F}"/>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27039B8E-42D4-4DC0-BDD7-22BBFB0FDA12}"/>
    <cellStyle name="Currency 5 2 2 3 5 2 3" xfId="12254" xr:uid="{3F62C6A8-84C9-4B03-8C76-ED3D621A80FF}"/>
    <cellStyle name="Currency 5 2 2 3 5 3" xfId="5885" xr:uid="{00000000-0005-0000-0000-0000E90B0000}"/>
    <cellStyle name="Currency 5 2 2 3 5 3 2" xfId="14327" xr:uid="{33EC04BC-E699-400C-8E9C-394FAFFA4AC6}"/>
    <cellStyle name="Currency 5 2 2 3 5 4" xfId="10109" xr:uid="{95191C03-F954-4B5B-BE8B-F0E44F2A1659}"/>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13F1600F-A3CE-4066-8E90-3276756AA438}"/>
    <cellStyle name="Currency 5 2 2 3 6 2 3" xfId="12667" xr:uid="{53621229-A8E3-44F2-83FF-9DE8292C4ACE}"/>
    <cellStyle name="Currency 5 2 2 3 6 3" xfId="6298" xr:uid="{00000000-0005-0000-0000-0000ED0B0000}"/>
    <cellStyle name="Currency 5 2 2 3 6 3 2" xfId="14740" xr:uid="{414D71B7-CA14-48D1-A96F-A0A7C2117F19}"/>
    <cellStyle name="Currency 5 2 2 3 6 4" xfId="10522" xr:uid="{9EC9E2FA-BA21-4008-83F5-EACCFED57C84}"/>
    <cellStyle name="Currency 5 2 2 3 7" xfId="2426" xr:uid="{00000000-0005-0000-0000-0000EE0B0000}"/>
    <cellStyle name="Currency 5 2 2 3 7 2" xfId="6711" xr:uid="{00000000-0005-0000-0000-0000EF0B0000}"/>
    <cellStyle name="Currency 5 2 2 3 7 2 2" xfId="15153" xr:uid="{AC192425-A6A7-4CBF-804B-1E3B78163952}"/>
    <cellStyle name="Currency 5 2 2 3 7 3" xfId="10935" xr:uid="{CA6EAC4E-5662-4212-B2ED-B176DACEA8F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165DD16A-94F8-4593-8FA1-BFF68A5F1F3E}"/>
    <cellStyle name="Currency 5 2 2 3 9 3" xfId="11252" xr:uid="{F0D27198-971F-4F9B-A1BD-1EDDFA11F3DA}"/>
    <cellStyle name="Currency 5 2 2 4" xfId="202" xr:uid="{00000000-0005-0000-0000-0000F30B0000}"/>
    <cellStyle name="Currency 5 2 2 4 10" xfId="8871" xr:uid="{B98CDC28-F563-4FB0-888F-979DE41339BB}"/>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3A068A83-7F9C-4D4B-AD61-395ECD617C64}"/>
    <cellStyle name="Currency 5 2 2 4 2 2 3" xfId="11430" xr:uid="{22C8D978-1416-4FED-AF55-2A5AD73A0182}"/>
    <cellStyle name="Currency 5 2 2 4 2 3" xfId="5061" xr:uid="{00000000-0005-0000-0000-0000F70B0000}"/>
    <cellStyle name="Currency 5 2 2 4 2 3 2" xfId="13503" xr:uid="{DA164BBA-EDD2-48D6-BDB2-4442B26EDB97}"/>
    <cellStyle name="Currency 5 2 2 4 2 4" xfId="9285" xr:uid="{6A5FA3B7-A4E3-4289-88B5-5668E9644737}"/>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F6E7D9E4-4494-493E-B2EB-5CCE940F77DF}"/>
    <cellStyle name="Currency 5 2 2 4 3 2 3" xfId="11843" xr:uid="{20E565B0-CF40-464D-A92E-65F27355CCD9}"/>
    <cellStyle name="Currency 5 2 2 4 3 3" xfId="5474" xr:uid="{00000000-0005-0000-0000-0000FB0B0000}"/>
    <cellStyle name="Currency 5 2 2 4 3 3 2" xfId="13916" xr:uid="{488029E0-7A98-4B74-A341-AC611C7DFE56}"/>
    <cellStyle name="Currency 5 2 2 4 3 4" xfId="9698" xr:uid="{11AA203E-5474-4ED5-8A01-046D24DB9A6A}"/>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69A14C02-4F86-47B3-9810-35405061B839}"/>
    <cellStyle name="Currency 5 2 2 4 4 2 3" xfId="12256" xr:uid="{74776952-2C02-49C7-A169-CFA688C6BAFF}"/>
    <cellStyle name="Currency 5 2 2 4 4 3" xfId="5887" xr:uid="{00000000-0005-0000-0000-0000FF0B0000}"/>
    <cellStyle name="Currency 5 2 2 4 4 3 2" xfId="14329" xr:uid="{ECB7636D-1F7B-4E24-A78F-E5729B424111}"/>
    <cellStyle name="Currency 5 2 2 4 4 4" xfId="10111" xr:uid="{34CC8265-CAAE-4C79-8A73-49F6CD59073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0116E026-11E7-4F68-A351-A2E172422371}"/>
    <cellStyle name="Currency 5 2 2 4 5 2 3" xfId="12669" xr:uid="{930FA4B3-7758-4569-A11D-CB098251F161}"/>
    <cellStyle name="Currency 5 2 2 4 5 3" xfId="6300" xr:uid="{00000000-0005-0000-0000-0000030C0000}"/>
    <cellStyle name="Currency 5 2 2 4 5 3 2" xfId="14742" xr:uid="{BFF3FCF4-360B-4749-8B8B-834ED0F881B5}"/>
    <cellStyle name="Currency 5 2 2 4 5 4" xfId="10524" xr:uid="{7CDC4D80-4CE5-4E94-8706-51B70026EE91}"/>
    <cellStyle name="Currency 5 2 2 4 6" xfId="2428" xr:uid="{00000000-0005-0000-0000-0000040C0000}"/>
    <cellStyle name="Currency 5 2 2 4 6 2" xfId="6713" xr:uid="{00000000-0005-0000-0000-0000050C0000}"/>
    <cellStyle name="Currency 5 2 2 4 6 2 2" xfId="15155" xr:uid="{B193C868-3CBE-4FD0-B176-70D94A5CF682}"/>
    <cellStyle name="Currency 5 2 2 4 6 3" xfId="10937" xr:uid="{C6E9B2E8-DBB2-4E57-9A2E-5C392CCE5A1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81A0C339-5B44-4CE8-A05C-37314E454A3C}"/>
    <cellStyle name="Currency 5 2 2 4 8 3" xfId="11254" xr:uid="{0040C84C-D796-42DC-8D85-472332C118D8}"/>
    <cellStyle name="Currency 5 2 2 4 9" xfId="4647" xr:uid="{00000000-0005-0000-0000-0000090C0000}"/>
    <cellStyle name="Currency 5 2 2 4 9 2" xfId="13089" xr:uid="{B81C3636-6094-4ABE-9C84-472E4C877DB9}"/>
    <cellStyle name="Currency 5 2 2 5" xfId="203" xr:uid="{00000000-0005-0000-0000-00000A0C0000}"/>
    <cellStyle name="Currency 5 2 2 5 10" xfId="8872" xr:uid="{FAE23AF1-5BE9-46FE-8167-D98BBA0DF4EC}"/>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213744DC-2BEF-48F4-BB13-9011C2065DDD}"/>
    <cellStyle name="Currency 5 2 2 5 2 2 3" xfId="11431" xr:uid="{B536EAFF-43AE-4B0C-B631-75CDEC733648}"/>
    <cellStyle name="Currency 5 2 2 5 2 3" xfId="5062" xr:uid="{00000000-0005-0000-0000-00000E0C0000}"/>
    <cellStyle name="Currency 5 2 2 5 2 3 2" xfId="13504" xr:uid="{51D9B2BC-0AD0-4669-BFCB-128CE523864F}"/>
    <cellStyle name="Currency 5 2 2 5 2 4" xfId="9286" xr:uid="{1C858A9F-DBDF-4E18-B4DB-B534A5E71EC6}"/>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51F5FE91-01BC-409E-AD6B-02D1B1B78E72}"/>
    <cellStyle name="Currency 5 2 2 5 3 2 3" xfId="11844" xr:uid="{6EF1EB4F-D715-4ED4-95CA-6A400F82201B}"/>
    <cellStyle name="Currency 5 2 2 5 3 3" xfId="5475" xr:uid="{00000000-0005-0000-0000-0000120C0000}"/>
    <cellStyle name="Currency 5 2 2 5 3 3 2" xfId="13917" xr:uid="{45D92DBC-3ECE-4196-BDB7-D979C38A1982}"/>
    <cellStyle name="Currency 5 2 2 5 3 4" xfId="9699" xr:uid="{882017C0-B441-4F26-9970-D2A596E6811D}"/>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789654C5-6E44-4230-950A-9E9D39FCBA6D}"/>
    <cellStyle name="Currency 5 2 2 5 4 2 3" xfId="12257" xr:uid="{31EFAD5A-1CAE-446C-AC00-4BDA64C133F7}"/>
    <cellStyle name="Currency 5 2 2 5 4 3" xfId="5888" xr:uid="{00000000-0005-0000-0000-0000160C0000}"/>
    <cellStyle name="Currency 5 2 2 5 4 3 2" xfId="14330" xr:uid="{E20A23A1-162F-4120-8309-E15F6F4F3F47}"/>
    <cellStyle name="Currency 5 2 2 5 4 4" xfId="10112" xr:uid="{CFB8F644-B5F9-4AC7-B4C9-388501489FD5}"/>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B7D2851D-D338-4E27-8B25-CFCEFC7C2EE6}"/>
    <cellStyle name="Currency 5 2 2 5 5 2 3" xfId="12670" xr:uid="{700E497D-4616-4B4A-BE31-73875ADA4C8C}"/>
    <cellStyle name="Currency 5 2 2 5 5 3" xfId="6301" xr:uid="{00000000-0005-0000-0000-00001A0C0000}"/>
    <cellStyle name="Currency 5 2 2 5 5 3 2" xfId="14743" xr:uid="{A10671B1-3C38-4507-9FF0-45829D87F2C7}"/>
    <cellStyle name="Currency 5 2 2 5 5 4" xfId="10525" xr:uid="{8CFAD45E-D923-4EC5-A1C0-9B89862FEF7C}"/>
    <cellStyle name="Currency 5 2 2 5 6" xfId="2429" xr:uid="{00000000-0005-0000-0000-00001B0C0000}"/>
    <cellStyle name="Currency 5 2 2 5 6 2" xfId="6714" xr:uid="{00000000-0005-0000-0000-00001C0C0000}"/>
    <cellStyle name="Currency 5 2 2 5 6 2 2" xfId="15156" xr:uid="{7A48F6F9-7787-4612-901E-29FA98060D8B}"/>
    <cellStyle name="Currency 5 2 2 5 6 3" xfId="10938" xr:uid="{1879F76C-1DDC-45E6-9556-D8A8C5211E28}"/>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C0767EC7-B58C-459D-95B6-1EE28B826A38}"/>
    <cellStyle name="Currency 5 2 2 5 8 3" xfId="11255" xr:uid="{D946BFD2-1D7E-46CE-8288-A86C9356C2CC}"/>
    <cellStyle name="Currency 5 2 2 5 9" xfId="4648" xr:uid="{00000000-0005-0000-0000-0000200C0000}"/>
    <cellStyle name="Currency 5 2 2 5 9 2" xfId="13090" xr:uid="{5683D56F-A530-430E-BBF1-F86314F9CD05}"/>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2200A093-87E4-4131-9C1A-D7356ABC7BC1}"/>
    <cellStyle name="Currency 5 2 4 11" xfId="8873" xr:uid="{9FE74C19-4D37-4AD8-A48E-96859E7C90FA}"/>
    <cellStyle name="Currency 5 2 4 2" xfId="206" xr:uid="{00000000-0005-0000-0000-0000250C0000}"/>
    <cellStyle name="Currency 5 2 4 2 10" xfId="8874" xr:uid="{7F862C06-4C58-43CF-AC66-AAE5F5F1C6AE}"/>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C077A8C-FB7D-4B79-A4FC-8C3BA8FE87E5}"/>
    <cellStyle name="Currency 5 2 4 2 2 2 3" xfId="11433" xr:uid="{900F7A92-A7AA-4FEA-BD8F-8BA718B04E71}"/>
    <cellStyle name="Currency 5 2 4 2 2 3" xfId="5064" xr:uid="{00000000-0005-0000-0000-0000290C0000}"/>
    <cellStyle name="Currency 5 2 4 2 2 3 2" xfId="13506" xr:uid="{F591D031-D0A5-4C66-B5C2-5D71392B83B9}"/>
    <cellStyle name="Currency 5 2 4 2 2 4" xfId="9288" xr:uid="{28060E2D-82AB-47B4-B84B-2621C04486CE}"/>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1F26ACC5-9069-449A-B8D0-A0227F95F650}"/>
    <cellStyle name="Currency 5 2 4 2 3 2 3" xfId="11846" xr:uid="{17A3FF1F-45EB-4D64-9D4D-50DE997F995A}"/>
    <cellStyle name="Currency 5 2 4 2 3 3" xfId="5477" xr:uid="{00000000-0005-0000-0000-00002D0C0000}"/>
    <cellStyle name="Currency 5 2 4 2 3 3 2" xfId="13919" xr:uid="{241F6336-0235-48D2-8BF7-46A04D58316D}"/>
    <cellStyle name="Currency 5 2 4 2 3 4" xfId="9701" xr:uid="{1B006E36-7BED-4DD3-8D47-F4289303DA1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9106894D-57A2-409B-AAEF-2B169A1E8543}"/>
    <cellStyle name="Currency 5 2 4 2 4 2 3" xfId="12259" xr:uid="{67E96CFA-1592-4BB6-B7A7-A28EB5073CE8}"/>
    <cellStyle name="Currency 5 2 4 2 4 3" xfId="5890" xr:uid="{00000000-0005-0000-0000-0000310C0000}"/>
    <cellStyle name="Currency 5 2 4 2 4 3 2" xfId="14332" xr:uid="{C9E23693-A8F9-4A22-ACE5-A28C8888EE86}"/>
    <cellStyle name="Currency 5 2 4 2 4 4" xfId="10114" xr:uid="{AC37DEAE-51A5-44BB-9E39-393B934EF53F}"/>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BA79C3BE-12E8-4901-9CE6-A2B219F92EA8}"/>
    <cellStyle name="Currency 5 2 4 2 5 2 3" xfId="12672" xr:uid="{A9AB3430-7A3B-43D4-A748-45FAE23C967E}"/>
    <cellStyle name="Currency 5 2 4 2 5 3" xfId="6303" xr:uid="{00000000-0005-0000-0000-0000350C0000}"/>
    <cellStyle name="Currency 5 2 4 2 5 3 2" xfId="14745" xr:uid="{38E1F2B6-A290-4894-8FC1-2DC3FBBD586A}"/>
    <cellStyle name="Currency 5 2 4 2 5 4" xfId="10527" xr:uid="{790BC43D-8984-492C-9EA0-B0749B126DE1}"/>
    <cellStyle name="Currency 5 2 4 2 6" xfId="2431" xr:uid="{00000000-0005-0000-0000-0000360C0000}"/>
    <cellStyle name="Currency 5 2 4 2 6 2" xfId="6716" xr:uid="{00000000-0005-0000-0000-0000370C0000}"/>
    <cellStyle name="Currency 5 2 4 2 6 2 2" xfId="15158" xr:uid="{2082A928-D094-411E-B83F-A2D26A487919}"/>
    <cellStyle name="Currency 5 2 4 2 6 3" xfId="10940" xr:uid="{A3C8521B-B355-47AD-9103-DB666485A89B}"/>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46B78633-E54F-4A2C-9779-7BC99AED76C9}"/>
    <cellStyle name="Currency 5 2 4 2 8 3" xfId="11257" xr:uid="{C5018751-EF41-42F1-81D0-303C3458C795}"/>
    <cellStyle name="Currency 5 2 4 2 9" xfId="4650" xr:uid="{00000000-0005-0000-0000-00003B0C0000}"/>
    <cellStyle name="Currency 5 2 4 2 9 2" xfId="13092" xr:uid="{721C08E8-593B-43FD-8CC6-6244A2BD827C}"/>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F784EAD-C55D-4CB9-836B-91C851C11E06}"/>
    <cellStyle name="Currency 5 2 4 3 2 3" xfId="11432" xr:uid="{37C98371-97BF-4398-AD78-020424078AA0}"/>
    <cellStyle name="Currency 5 2 4 3 3" xfId="5063" xr:uid="{00000000-0005-0000-0000-00003F0C0000}"/>
    <cellStyle name="Currency 5 2 4 3 3 2" xfId="13505" xr:uid="{97659EE2-1EB2-4046-BE53-515E5D396C4A}"/>
    <cellStyle name="Currency 5 2 4 3 4" xfId="9287" xr:uid="{6E4B4812-5BD2-4DDB-BCE7-FF0A356ABF86}"/>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3A1349F0-69C3-402E-B485-1A40B0A40DB6}"/>
    <cellStyle name="Currency 5 2 4 4 2 3" xfId="11845" xr:uid="{C7821308-F0F1-4B3D-880B-594526C46D11}"/>
    <cellStyle name="Currency 5 2 4 4 3" xfId="5476" xr:uid="{00000000-0005-0000-0000-0000430C0000}"/>
    <cellStyle name="Currency 5 2 4 4 3 2" xfId="13918" xr:uid="{68E87721-3B6A-41C7-8970-1B579691346C}"/>
    <cellStyle name="Currency 5 2 4 4 4" xfId="9700" xr:uid="{10D2B9E2-861E-49C2-A31A-98CA9478043B}"/>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42389ABF-7F0C-4C3F-9404-4F4D1DAC5FFC}"/>
    <cellStyle name="Currency 5 2 4 5 2 3" xfId="12258" xr:uid="{682B2A10-2254-4FC5-9696-7573F56406B7}"/>
    <cellStyle name="Currency 5 2 4 5 3" xfId="5889" xr:uid="{00000000-0005-0000-0000-0000470C0000}"/>
    <cellStyle name="Currency 5 2 4 5 3 2" xfId="14331" xr:uid="{4D943AF1-ED0A-4796-AF6D-9227176A076F}"/>
    <cellStyle name="Currency 5 2 4 5 4" xfId="10113" xr:uid="{3F38601B-5AFC-402F-B2A8-F7FF6C280501}"/>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E97B881F-7C38-4740-8F58-5685330AA3FE}"/>
    <cellStyle name="Currency 5 2 4 6 2 3" xfId="12671" xr:uid="{8034B99D-E0F5-40CE-90A3-26CFAE738C6F}"/>
    <cellStyle name="Currency 5 2 4 6 3" xfId="6302" xr:uid="{00000000-0005-0000-0000-00004B0C0000}"/>
    <cellStyle name="Currency 5 2 4 6 3 2" xfId="14744" xr:uid="{8CF3C261-26CD-4629-AF4F-3D07B66A336E}"/>
    <cellStyle name="Currency 5 2 4 6 4" xfId="10526" xr:uid="{317167D3-3B03-4155-9F2C-45B2F3903B4F}"/>
    <cellStyle name="Currency 5 2 4 7" xfId="2430" xr:uid="{00000000-0005-0000-0000-00004C0C0000}"/>
    <cellStyle name="Currency 5 2 4 7 2" xfId="6715" xr:uid="{00000000-0005-0000-0000-00004D0C0000}"/>
    <cellStyle name="Currency 5 2 4 7 2 2" xfId="15157" xr:uid="{29A7F668-5B18-4F8E-A828-B92BA4D21A51}"/>
    <cellStyle name="Currency 5 2 4 7 3" xfId="10939" xr:uid="{0B7D2A16-0A52-453B-94A6-04F1B2657158}"/>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ED20F73B-B292-483F-9F9C-077D93C870F5}"/>
    <cellStyle name="Currency 5 2 4 9 3" xfId="11256" xr:uid="{38007B9B-DBBA-4BFA-8A38-ED9E64F9F1CB}"/>
    <cellStyle name="Currency 5 2 5" xfId="207" xr:uid="{00000000-0005-0000-0000-0000510C0000}"/>
    <cellStyle name="Currency 5 2 5 10" xfId="8875" xr:uid="{1875510C-7713-4D8A-8521-09AAFF82886E}"/>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FA6171D5-6EFC-4ECC-8026-8FCB268A1D2A}"/>
    <cellStyle name="Currency 5 2 5 2 2 3" xfId="11434" xr:uid="{E72C768B-0CA1-47E2-8256-4B1E0DFC8B4F}"/>
    <cellStyle name="Currency 5 2 5 2 3" xfId="5065" xr:uid="{00000000-0005-0000-0000-0000550C0000}"/>
    <cellStyle name="Currency 5 2 5 2 3 2" xfId="13507" xr:uid="{B05663FF-E10A-4140-B39F-575117536A9D}"/>
    <cellStyle name="Currency 5 2 5 2 4" xfId="9289" xr:uid="{134EDFB5-6A1E-460C-8DC8-4DDAEC034478}"/>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C6CEC144-6F57-4743-975D-E2EA119747DF}"/>
    <cellStyle name="Currency 5 2 5 3 2 3" xfId="11847" xr:uid="{F7907DCC-38E3-41D0-ADD1-939CDE5D4543}"/>
    <cellStyle name="Currency 5 2 5 3 3" xfId="5478" xr:uid="{00000000-0005-0000-0000-0000590C0000}"/>
    <cellStyle name="Currency 5 2 5 3 3 2" xfId="13920" xr:uid="{6E945966-C95B-4722-9714-547E5F2B204B}"/>
    <cellStyle name="Currency 5 2 5 3 4" xfId="9702" xr:uid="{827F1E77-6566-4B5A-84E3-03052F0DD58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D37186AF-9F8F-4911-A7F3-6C2579687002}"/>
    <cellStyle name="Currency 5 2 5 4 2 3" xfId="12260" xr:uid="{20F7D961-69F9-4391-ACA2-DAF9B5C85BCE}"/>
    <cellStyle name="Currency 5 2 5 4 3" xfId="5891" xr:uid="{00000000-0005-0000-0000-00005D0C0000}"/>
    <cellStyle name="Currency 5 2 5 4 3 2" xfId="14333" xr:uid="{DEAD2D7F-626A-4848-B898-36B5677D8892}"/>
    <cellStyle name="Currency 5 2 5 4 4" xfId="10115" xr:uid="{E83B2E30-940E-4D8F-B158-A9B5093C1BFA}"/>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3ECDAE95-BC33-49A0-913C-2BA3376A8133}"/>
    <cellStyle name="Currency 5 2 5 5 2 3" xfId="12673" xr:uid="{B7DFFE07-A6FB-4BA5-9CE6-F0C06AA43FF7}"/>
    <cellStyle name="Currency 5 2 5 5 3" xfId="6304" xr:uid="{00000000-0005-0000-0000-0000610C0000}"/>
    <cellStyle name="Currency 5 2 5 5 3 2" xfId="14746" xr:uid="{7C9CF5AC-0A8E-47F2-BB2A-2E28F4322BE7}"/>
    <cellStyle name="Currency 5 2 5 5 4" xfId="10528" xr:uid="{8EDA7227-A6A1-4C45-85F0-FEB48350CD04}"/>
    <cellStyle name="Currency 5 2 5 6" xfId="2432" xr:uid="{00000000-0005-0000-0000-0000620C0000}"/>
    <cellStyle name="Currency 5 2 5 6 2" xfId="6717" xr:uid="{00000000-0005-0000-0000-0000630C0000}"/>
    <cellStyle name="Currency 5 2 5 6 2 2" xfId="15159" xr:uid="{C8AAC310-FC7D-4EB4-9114-A2C49078CA3D}"/>
    <cellStyle name="Currency 5 2 5 6 3" xfId="10941" xr:uid="{E685091E-57EC-4A64-BAD7-71A6B5AC9074}"/>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4150224E-C977-4515-8EB9-B758B2D2EFA7}"/>
    <cellStyle name="Currency 5 2 5 8 3" xfId="11258" xr:uid="{45055E44-C79A-4DDF-B73E-9634C62003F0}"/>
    <cellStyle name="Currency 5 2 5 9" xfId="4651" xr:uid="{00000000-0005-0000-0000-0000670C0000}"/>
    <cellStyle name="Currency 5 2 5 9 2" xfId="13093" xr:uid="{ACF25885-8D67-43FE-9B1F-E6C300FC1C1D}"/>
    <cellStyle name="Currency 5 2 6" xfId="208" xr:uid="{00000000-0005-0000-0000-0000680C0000}"/>
    <cellStyle name="Currency 5 2 6 10" xfId="8876" xr:uid="{7C382673-154F-4EA8-9F7F-888A5CCF3DB3}"/>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25419406-DF13-4D11-8754-7D4056CBE9FE}"/>
    <cellStyle name="Currency 5 2 6 2 2 3" xfId="11435" xr:uid="{86A6E0AC-A4EF-4222-BE98-77AB97D9DD1A}"/>
    <cellStyle name="Currency 5 2 6 2 3" xfId="5066" xr:uid="{00000000-0005-0000-0000-00006C0C0000}"/>
    <cellStyle name="Currency 5 2 6 2 3 2" xfId="13508" xr:uid="{BCB876B6-23BF-40D8-9ABE-052A8494CA6D}"/>
    <cellStyle name="Currency 5 2 6 2 4" xfId="9290" xr:uid="{2356D0E2-5CAB-4821-9C14-919E50DC9A90}"/>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3E405953-57CC-4614-ADCA-8E357EBF3BC6}"/>
    <cellStyle name="Currency 5 2 6 3 2 3" xfId="11848" xr:uid="{9F6951CC-E1B0-43AD-84BF-288047339D34}"/>
    <cellStyle name="Currency 5 2 6 3 3" xfId="5479" xr:uid="{00000000-0005-0000-0000-0000700C0000}"/>
    <cellStyle name="Currency 5 2 6 3 3 2" xfId="13921" xr:uid="{DDCFE71C-D0BD-4167-8972-68741F86CCA1}"/>
    <cellStyle name="Currency 5 2 6 3 4" xfId="9703" xr:uid="{CB16DF51-7713-4ED8-88F8-99ADC502AECA}"/>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29E08EB4-958C-481F-90BA-298431488F89}"/>
    <cellStyle name="Currency 5 2 6 4 2 3" xfId="12261" xr:uid="{CD02953D-AD88-40AE-8867-9728C1CA58E4}"/>
    <cellStyle name="Currency 5 2 6 4 3" xfId="5892" xr:uid="{00000000-0005-0000-0000-0000740C0000}"/>
    <cellStyle name="Currency 5 2 6 4 3 2" xfId="14334" xr:uid="{2E7751AE-1AC6-482B-86CD-ABD772F8999F}"/>
    <cellStyle name="Currency 5 2 6 4 4" xfId="10116" xr:uid="{BB683FBF-D91E-4F0F-AADA-D4EB2D7574D1}"/>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21832C6D-5F2E-48C1-A697-D0FA2B7028CF}"/>
    <cellStyle name="Currency 5 2 6 5 2 3" xfId="12674" xr:uid="{BAD8B278-D147-443A-9E5A-8ABFA41B5399}"/>
    <cellStyle name="Currency 5 2 6 5 3" xfId="6305" xr:uid="{00000000-0005-0000-0000-0000780C0000}"/>
    <cellStyle name="Currency 5 2 6 5 3 2" xfId="14747" xr:uid="{477BBF60-D46A-4751-8FB1-8EBCCFB69CED}"/>
    <cellStyle name="Currency 5 2 6 5 4" xfId="10529" xr:uid="{EC74CDC1-5062-4504-868C-A75660D47F7D}"/>
    <cellStyle name="Currency 5 2 6 6" xfId="2433" xr:uid="{00000000-0005-0000-0000-0000790C0000}"/>
    <cellStyle name="Currency 5 2 6 6 2" xfId="6718" xr:uid="{00000000-0005-0000-0000-00007A0C0000}"/>
    <cellStyle name="Currency 5 2 6 6 2 2" xfId="15160" xr:uid="{721CF18D-9298-4AA6-8C72-03ACCF4B59E0}"/>
    <cellStyle name="Currency 5 2 6 6 3" xfId="10942" xr:uid="{DFFAE2CA-8F9A-418E-BFC1-F7C6BC4AB217}"/>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0CC90098-E3C7-410E-85C2-FBA46CBA10E8}"/>
    <cellStyle name="Currency 5 2 6 8 3" xfId="11259" xr:uid="{0A34808F-637E-4202-8D5F-64272070E789}"/>
    <cellStyle name="Currency 5 2 6 9" xfId="4652" xr:uid="{00000000-0005-0000-0000-00007E0C0000}"/>
    <cellStyle name="Currency 5 2 6 9 2" xfId="13094" xr:uid="{4F4173E5-3556-4825-AC8D-B11117AC4F31}"/>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5BF932E3-75AE-481F-BC50-31072E425B14}"/>
    <cellStyle name="Currency 5 3 2 10 3" xfId="11260" xr:uid="{D67E5508-54F1-4AF3-8813-BC233D95E86E}"/>
    <cellStyle name="Currency 5 3 2 11" xfId="4653" xr:uid="{00000000-0005-0000-0000-0000840C0000}"/>
    <cellStyle name="Currency 5 3 2 11 2" xfId="13095" xr:uid="{FDFD3716-82D0-4770-9804-F7602313FB6E}"/>
    <cellStyle name="Currency 5 3 2 12" xfId="8877" xr:uid="{72FA3F37-459B-48B8-9400-F99683713552}"/>
    <cellStyle name="Currency 5 3 2 2" xfId="211" xr:uid="{00000000-0005-0000-0000-0000850C0000}"/>
    <cellStyle name="Currency 5 3 2 2 10" xfId="4654" xr:uid="{00000000-0005-0000-0000-0000860C0000}"/>
    <cellStyle name="Currency 5 3 2 2 10 2" xfId="13096" xr:uid="{C57C2358-9905-4A46-AD2D-99EAE6D8F99D}"/>
    <cellStyle name="Currency 5 3 2 2 11" xfId="8878" xr:uid="{EBE6F5C7-A3C4-421E-A6A1-0D1F600D5663}"/>
    <cellStyle name="Currency 5 3 2 2 2" xfId="212" xr:uid="{00000000-0005-0000-0000-0000870C0000}"/>
    <cellStyle name="Currency 5 3 2 2 2 10" xfId="8879" xr:uid="{73C692C1-F8EA-4073-8E88-57110CA75257}"/>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02D71E81-5D27-42D0-BD11-327259A3FC79}"/>
    <cellStyle name="Currency 5 3 2 2 2 2 2 3" xfId="11438" xr:uid="{9F543269-75B9-47A1-8634-249126C90BDC}"/>
    <cellStyle name="Currency 5 3 2 2 2 2 3" xfId="5069" xr:uid="{00000000-0005-0000-0000-00008B0C0000}"/>
    <cellStyle name="Currency 5 3 2 2 2 2 3 2" xfId="13511" xr:uid="{D9E5C7A9-25C1-4939-9205-BFEB0625C712}"/>
    <cellStyle name="Currency 5 3 2 2 2 2 4" xfId="9293" xr:uid="{8D2F2A9B-AB41-42DC-BCB6-5FF3764EB22B}"/>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00A6909A-8E6F-4950-8E34-EA76092FECB4}"/>
    <cellStyle name="Currency 5 3 2 2 2 3 2 3" xfId="11851" xr:uid="{1981CCE2-841F-44B0-B7D8-1C6379A57A25}"/>
    <cellStyle name="Currency 5 3 2 2 2 3 3" xfId="5482" xr:uid="{00000000-0005-0000-0000-00008F0C0000}"/>
    <cellStyle name="Currency 5 3 2 2 2 3 3 2" xfId="13924" xr:uid="{AE0F9686-BFAC-4DF1-8862-FE97319D7A36}"/>
    <cellStyle name="Currency 5 3 2 2 2 3 4" xfId="9706" xr:uid="{9D32D3F6-ACBF-4ADC-B83C-AC92E07DC878}"/>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2AD85477-972C-4911-A647-9EBD78DE48A3}"/>
    <cellStyle name="Currency 5 3 2 2 2 4 2 3" xfId="12264" xr:uid="{BD0ACC1B-2560-4713-B9D7-07755BF6FEE4}"/>
    <cellStyle name="Currency 5 3 2 2 2 4 3" xfId="5895" xr:uid="{00000000-0005-0000-0000-0000930C0000}"/>
    <cellStyle name="Currency 5 3 2 2 2 4 3 2" xfId="14337" xr:uid="{A59B2CF0-DDAE-4154-89F2-DA81BD3B5721}"/>
    <cellStyle name="Currency 5 3 2 2 2 4 4" xfId="10119" xr:uid="{01C7DA2A-4515-48E1-88D5-A1B22F95D21A}"/>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BB4F2825-554D-492A-B999-92BF7E5657B6}"/>
    <cellStyle name="Currency 5 3 2 2 2 5 2 3" xfId="12677" xr:uid="{3CB87E01-72B5-47E2-A829-AEC5B65942B2}"/>
    <cellStyle name="Currency 5 3 2 2 2 5 3" xfId="6308" xr:uid="{00000000-0005-0000-0000-0000970C0000}"/>
    <cellStyle name="Currency 5 3 2 2 2 5 3 2" xfId="14750" xr:uid="{885FB045-9FB3-4126-B0D0-939D943A951A}"/>
    <cellStyle name="Currency 5 3 2 2 2 5 4" xfId="10532" xr:uid="{E56B11EC-5B7F-40AD-9F14-24AF18DE310E}"/>
    <cellStyle name="Currency 5 3 2 2 2 6" xfId="2436" xr:uid="{00000000-0005-0000-0000-0000980C0000}"/>
    <cellStyle name="Currency 5 3 2 2 2 6 2" xfId="6721" xr:uid="{00000000-0005-0000-0000-0000990C0000}"/>
    <cellStyle name="Currency 5 3 2 2 2 6 2 2" xfId="15163" xr:uid="{31873137-E4EC-4BFE-9C47-805583FA2CD6}"/>
    <cellStyle name="Currency 5 3 2 2 2 6 3" xfId="10945" xr:uid="{ED749F64-B897-4E3F-926A-23775EB3360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CE06FA1A-2875-4771-9BE6-4B6CD4366A95}"/>
    <cellStyle name="Currency 5 3 2 2 2 8 3" xfId="11262" xr:uid="{ACF3533D-A77D-4000-B9E1-E2A72EDC8E68}"/>
    <cellStyle name="Currency 5 3 2 2 2 9" xfId="4655" xr:uid="{00000000-0005-0000-0000-00009D0C0000}"/>
    <cellStyle name="Currency 5 3 2 2 2 9 2" xfId="13097" xr:uid="{DCC4EB4A-4218-41CF-83A7-3B14B2BD849E}"/>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C2C96D23-4641-472D-92C4-13399EB728EC}"/>
    <cellStyle name="Currency 5 3 2 2 3 2 3" xfId="11437" xr:uid="{9D2EA74C-FE71-45E7-AFEE-87B79A79C059}"/>
    <cellStyle name="Currency 5 3 2 2 3 3" xfId="5068" xr:uid="{00000000-0005-0000-0000-0000A10C0000}"/>
    <cellStyle name="Currency 5 3 2 2 3 3 2" xfId="13510" xr:uid="{04BC1F03-6039-49FC-8888-F9475FB91BEB}"/>
    <cellStyle name="Currency 5 3 2 2 3 4" xfId="9292" xr:uid="{91A4BE89-FEA6-453D-AD05-1F7F6F024402}"/>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04987812-26E9-4C84-A644-957F5F5D854B}"/>
    <cellStyle name="Currency 5 3 2 2 4 2 3" xfId="11850" xr:uid="{1D1D4808-D286-4EBE-B7FC-FE94A39127C7}"/>
    <cellStyle name="Currency 5 3 2 2 4 3" xfId="5481" xr:uid="{00000000-0005-0000-0000-0000A50C0000}"/>
    <cellStyle name="Currency 5 3 2 2 4 3 2" xfId="13923" xr:uid="{70C64CA7-B27D-4F81-A460-C515B2023CDD}"/>
    <cellStyle name="Currency 5 3 2 2 4 4" xfId="9705" xr:uid="{52334901-9CAE-49A1-A557-29FFE3F3B658}"/>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E826C44B-BEA2-4BE3-9F7D-9D112D2C2C3D}"/>
    <cellStyle name="Currency 5 3 2 2 5 2 3" xfId="12263" xr:uid="{C2A4CDE4-93AF-4A3D-939D-D6A0CBA6EDF0}"/>
    <cellStyle name="Currency 5 3 2 2 5 3" xfId="5894" xr:uid="{00000000-0005-0000-0000-0000A90C0000}"/>
    <cellStyle name="Currency 5 3 2 2 5 3 2" xfId="14336" xr:uid="{AA73C5CD-B84E-48C9-8CDD-1A31359FD83C}"/>
    <cellStyle name="Currency 5 3 2 2 5 4" xfId="10118" xr:uid="{19D7FB56-FBBF-473D-A5FB-8DEC30710B6D}"/>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6615664C-16DB-4BF1-9350-5F4F5E7FAFAF}"/>
    <cellStyle name="Currency 5 3 2 2 6 2 3" xfId="12676" xr:uid="{A959BFA3-1948-41D3-8333-38FBE6960044}"/>
    <cellStyle name="Currency 5 3 2 2 6 3" xfId="6307" xr:uid="{00000000-0005-0000-0000-0000AD0C0000}"/>
    <cellStyle name="Currency 5 3 2 2 6 3 2" xfId="14749" xr:uid="{1075B790-E0E1-4B58-86D9-A7ABF0719C90}"/>
    <cellStyle name="Currency 5 3 2 2 6 4" xfId="10531" xr:uid="{AB8DAC88-21A7-4E93-B89E-10EC1635B36D}"/>
    <cellStyle name="Currency 5 3 2 2 7" xfId="2435" xr:uid="{00000000-0005-0000-0000-0000AE0C0000}"/>
    <cellStyle name="Currency 5 3 2 2 7 2" xfId="6720" xr:uid="{00000000-0005-0000-0000-0000AF0C0000}"/>
    <cellStyle name="Currency 5 3 2 2 7 2 2" xfId="15162" xr:uid="{D414B0FC-4569-4CFF-BFAF-370A707A1B20}"/>
    <cellStyle name="Currency 5 3 2 2 7 3" xfId="10944" xr:uid="{46F5B25B-E25C-46D0-8019-F62EB5971961}"/>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599EB368-E70F-4195-B874-85875F212A28}"/>
    <cellStyle name="Currency 5 3 2 2 9 3" xfId="11261" xr:uid="{A9B27C84-65F4-427C-89E9-8A4C62979058}"/>
    <cellStyle name="Currency 5 3 2 3" xfId="213" xr:uid="{00000000-0005-0000-0000-0000B30C0000}"/>
    <cellStyle name="Currency 5 3 2 3 10" xfId="8880" xr:uid="{3E367BAD-CB5A-44F0-A861-FC95BC1FBD3B}"/>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9B3B18AD-3CE4-4613-AD27-69340A467294}"/>
    <cellStyle name="Currency 5 3 2 3 2 2 3" xfId="11439" xr:uid="{7AC00FFC-CFAA-4D4F-8881-6546CA1C8EB5}"/>
    <cellStyle name="Currency 5 3 2 3 2 3" xfId="5070" xr:uid="{00000000-0005-0000-0000-0000B70C0000}"/>
    <cellStyle name="Currency 5 3 2 3 2 3 2" xfId="13512" xr:uid="{0DD3A119-FB6D-45DB-BC66-EFCAC9AA4273}"/>
    <cellStyle name="Currency 5 3 2 3 2 4" xfId="9294" xr:uid="{447EA312-8B85-4BBE-A9F4-55A08BB138C6}"/>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581640E5-0A5A-4DDA-9421-F0F7899972B0}"/>
    <cellStyle name="Currency 5 3 2 3 3 2 3" xfId="11852" xr:uid="{EBD56A80-45D9-400D-A788-15E88A997745}"/>
    <cellStyle name="Currency 5 3 2 3 3 3" xfId="5483" xr:uid="{00000000-0005-0000-0000-0000BB0C0000}"/>
    <cellStyle name="Currency 5 3 2 3 3 3 2" xfId="13925" xr:uid="{88E57156-7D79-4DCD-B5E1-3F1C8FB3564D}"/>
    <cellStyle name="Currency 5 3 2 3 3 4" xfId="9707" xr:uid="{780F8CB7-F286-4D0D-A143-EAABF4717A2D}"/>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F4F7EAD8-932A-48A5-9BD7-8C42F151C95A}"/>
    <cellStyle name="Currency 5 3 2 3 4 2 3" xfId="12265" xr:uid="{625954A7-CA2A-4B26-A251-112776A09A0E}"/>
    <cellStyle name="Currency 5 3 2 3 4 3" xfId="5896" xr:uid="{00000000-0005-0000-0000-0000BF0C0000}"/>
    <cellStyle name="Currency 5 3 2 3 4 3 2" xfId="14338" xr:uid="{8FCCA8C3-B240-4EAA-BA1A-4C7DA996973E}"/>
    <cellStyle name="Currency 5 3 2 3 4 4" xfId="10120" xr:uid="{8CC15651-802E-4784-A47F-2FA285C9113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140A0B13-4285-4206-9D56-AD94B8D84681}"/>
    <cellStyle name="Currency 5 3 2 3 5 2 3" xfId="12678" xr:uid="{B8920269-20B2-4EB2-A5A9-774909D9ECD3}"/>
    <cellStyle name="Currency 5 3 2 3 5 3" xfId="6309" xr:uid="{00000000-0005-0000-0000-0000C30C0000}"/>
    <cellStyle name="Currency 5 3 2 3 5 3 2" xfId="14751" xr:uid="{4A2878ED-E3E3-4622-AD97-DFF4E66D491F}"/>
    <cellStyle name="Currency 5 3 2 3 5 4" xfId="10533" xr:uid="{1F6D7368-C617-407B-A6C5-1098037874B1}"/>
    <cellStyle name="Currency 5 3 2 3 6" xfId="2437" xr:uid="{00000000-0005-0000-0000-0000C40C0000}"/>
    <cellStyle name="Currency 5 3 2 3 6 2" xfId="6722" xr:uid="{00000000-0005-0000-0000-0000C50C0000}"/>
    <cellStyle name="Currency 5 3 2 3 6 2 2" xfId="15164" xr:uid="{DFE6CA1A-3E27-43C0-8306-ED6FDB21B3F8}"/>
    <cellStyle name="Currency 5 3 2 3 6 3" xfId="10946" xr:uid="{8A7BBEB4-040E-4D5D-854B-C95AC0D82BFA}"/>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F4A84077-4A0B-4573-8D44-9E7C1AF24F67}"/>
    <cellStyle name="Currency 5 3 2 3 8 3" xfId="11263" xr:uid="{CA47C136-1870-4929-B6C6-1A3B1A4C0008}"/>
    <cellStyle name="Currency 5 3 2 3 9" xfId="4656" xr:uid="{00000000-0005-0000-0000-0000C90C0000}"/>
    <cellStyle name="Currency 5 3 2 3 9 2" xfId="13098" xr:uid="{A9C88A3B-5301-4F41-8FDE-24D34B04B11F}"/>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CB0097BF-3D2F-45D2-BA72-7DDDEC376D46}"/>
    <cellStyle name="Currency 5 3 2 4 2 3" xfId="11436" xr:uid="{57578C11-1DC3-4E44-85E2-7A95FFEE21BC}"/>
    <cellStyle name="Currency 5 3 2 4 3" xfId="5067" xr:uid="{00000000-0005-0000-0000-0000CD0C0000}"/>
    <cellStyle name="Currency 5 3 2 4 3 2" xfId="13509" xr:uid="{8BBBBA35-25BD-41B2-AEAA-EF9FEE779EF9}"/>
    <cellStyle name="Currency 5 3 2 4 4" xfId="9291" xr:uid="{87DA138F-1C5B-4877-A21A-AFB222DDD499}"/>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E3429F40-B3DB-4057-A6A8-041295B65D34}"/>
    <cellStyle name="Currency 5 3 2 5 2 3" xfId="11849" xr:uid="{E1E62376-59FD-4E7C-993B-A3B7813349A2}"/>
    <cellStyle name="Currency 5 3 2 5 3" xfId="5480" xr:uid="{00000000-0005-0000-0000-0000D10C0000}"/>
    <cellStyle name="Currency 5 3 2 5 3 2" xfId="13922" xr:uid="{074ABB67-CDF7-4220-BFE4-AD8C2A4EBB22}"/>
    <cellStyle name="Currency 5 3 2 5 4" xfId="9704" xr:uid="{1E1A6A19-D5AA-4152-A8D5-052A180C1D3C}"/>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1282EB84-63ED-4988-A099-0D277BF4AE36}"/>
    <cellStyle name="Currency 5 3 2 6 2 3" xfId="12262" xr:uid="{0BFC77B1-DE55-4FA0-8F3A-0D84003017F8}"/>
    <cellStyle name="Currency 5 3 2 6 3" xfId="5893" xr:uid="{00000000-0005-0000-0000-0000D50C0000}"/>
    <cellStyle name="Currency 5 3 2 6 3 2" xfId="14335" xr:uid="{190E13A0-396C-474F-9F48-0113B150A73C}"/>
    <cellStyle name="Currency 5 3 2 6 4" xfId="10117" xr:uid="{8510C91D-70B5-4995-807F-956FB5CAC4D7}"/>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2C30C8CD-A5D7-4FEF-A56C-7F1A6957808D}"/>
    <cellStyle name="Currency 5 3 2 7 2 3" xfId="12675" xr:uid="{E7199DC4-3DC3-47E0-A696-4869D5B216A9}"/>
    <cellStyle name="Currency 5 3 2 7 3" xfId="6306" xr:uid="{00000000-0005-0000-0000-0000D90C0000}"/>
    <cellStyle name="Currency 5 3 2 7 3 2" xfId="14748" xr:uid="{F6101558-1252-4E87-B7F2-81F084C3E0D2}"/>
    <cellStyle name="Currency 5 3 2 7 4" xfId="10530" xr:uid="{56C489D0-EAC7-4B02-BF87-E22BF9C4387F}"/>
    <cellStyle name="Currency 5 3 2 8" xfId="2434" xr:uid="{00000000-0005-0000-0000-0000DA0C0000}"/>
    <cellStyle name="Currency 5 3 2 8 2" xfId="6719" xr:uid="{00000000-0005-0000-0000-0000DB0C0000}"/>
    <cellStyle name="Currency 5 3 2 8 2 2" xfId="15161" xr:uid="{5986E009-2B89-4FD6-9E1C-0F8D26EE13AA}"/>
    <cellStyle name="Currency 5 3 2 8 3" xfId="10943" xr:uid="{030E6D11-CA2C-4DE2-8326-BBE063C72835}"/>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A8B46C4D-49D9-43D4-A71F-276EA0850B5D}"/>
    <cellStyle name="Currency 5 3 3 11" xfId="8881" xr:uid="{8BCED80E-52C4-4E2E-A825-BD431A225F10}"/>
    <cellStyle name="Currency 5 3 3 2" xfId="215" xr:uid="{00000000-0005-0000-0000-0000DF0C0000}"/>
    <cellStyle name="Currency 5 3 3 2 10" xfId="8882" xr:uid="{E6D48C17-9FDE-4246-A8F9-ED7F8B035CE6}"/>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E9E5A981-3340-45BC-8598-719F973210C3}"/>
    <cellStyle name="Currency 5 3 3 2 2 2 3" xfId="11441" xr:uid="{3E13374F-CABF-4927-94C1-F9E53DAB6C88}"/>
    <cellStyle name="Currency 5 3 3 2 2 3" xfId="5072" xr:uid="{00000000-0005-0000-0000-0000E30C0000}"/>
    <cellStyle name="Currency 5 3 3 2 2 3 2" xfId="13514" xr:uid="{D840EBB0-409F-49EC-846B-75F74579420F}"/>
    <cellStyle name="Currency 5 3 3 2 2 4" xfId="9296" xr:uid="{263AB522-B6BE-43FB-8D10-0DBD38BD4224}"/>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F321A1BE-0A8E-4DDF-9386-29EBA2E0FA25}"/>
    <cellStyle name="Currency 5 3 3 2 3 2 3" xfId="11854" xr:uid="{5E45514A-D893-4984-891C-9F9AA70F3B1A}"/>
    <cellStyle name="Currency 5 3 3 2 3 3" xfId="5485" xr:uid="{00000000-0005-0000-0000-0000E70C0000}"/>
    <cellStyle name="Currency 5 3 3 2 3 3 2" xfId="13927" xr:uid="{CF0E62AE-2863-48E9-8BF1-208EBAC92138}"/>
    <cellStyle name="Currency 5 3 3 2 3 4" xfId="9709" xr:uid="{20DB7FAD-859A-4376-A22F-F6FD0CD3EEB6}"/>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0300D832-8262-4F18-B06E-2E6B33F13015}"/>
    <cellStyle name="Currency 5 3 3 2 4 2 3" xfId="12267" xr:uid="{7B60797D-371F-41CE-A548-C0C57FD43FEC}"/>
    <cellStyle name="Currency 5 3 3 2 4 3" xfId="5898" xr:uid="{00000000-0005-0000-0000-0000EB0C0000}"/>
    <cellStyle name="Currency 5 3 3 2 4 3 2" xfId="14340" xr:uid="{B4505CDB-D891-4628-A9B9-3109FA6A30E9}"/>
    <cellStyle name="Currency 5 3 3 2 4 4" xfId="10122" xr:uid="{DF55704E-A3D0-4899-B02D-C05EA25DFE2A}"/>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5D3EDEB0-B873-41C8-B61C-BED18C005787}"/>
    <cellStyle name="Currency 5 3 3 2 5 2 3" xfId="12680" xr:uid="{AF7C5A7C-EE47-485E-847A-8E6C9B03BE42}"/>
    <cellStyle name="Currency 5 3 3 2 5 3" xfId="6311" xr:uid="{00000000-0005-0000-0000-0000EF0C0000}"/>
    <cellStyle name="Currency 5 3 3 2 5 3 2" xfId="14753" xr:uid="{88106AAB-EEC3-45C2-B67B-CABEF641BED0}"/>
    <cellStyle name="Currency 5 3 3 2 5 4" xfId="10535" xr:uid="{496FBDC4-F9D4-49A9-AE81-57A7C78447A5}"/>
    <cellStyle name="Currency 5 3 3 2 6" xfId="2439" xr:uid="{00000000-0005-0000-0000-0000F00C0000}"/>
    <cellStyle name="Currency 5 3 3 2 6 2" xfId="6724" xr:uid="{00000000-0005-0000-0000-0000F10C0000}"/>
    <cellStyle name="Currency 5 3 3 2 6 2 2" xfId="15166" xr:uid="{1DFB978D-CD52-4363-A954-DBC411E45522}"/>
    <cellStyle name="Currency 5 3 3 2 6 3" xfId="10948" xr:uid="{B5893F9C-2DCC-4D07-A5AA-86D7EC8AB769}"/>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29A948A8-314E-447A-A3B7-F8D4A49A9516}"/>
    <cellStyle name="Currency 5 3 3 2 8 3" xfId="11265" xr:uid="{0B5E4635-930B-4CEE-8D0C-8E665546FDE1}"/>
    <cellStyle name="Currency 5 3 3 2 9" xfId="4658" xr:uid="{00000000-0005-0000-0000-0000F50C0000}"/>
    <cellStyle name="Currency 5 3 3 2 9 2" xfId="13100" xr:uid="{4C5E0D55-B4B4-4A95-8926-E0CD00B3B17F}"/>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5CF4DD31-134D-42A8-9D9E-4AC8E033BC88}"/>
    <cellStyle name="Currency 5 3 3 3 2 3" xfId="11440" xr:uid="{CF925832-1A43-46DE-B93A-55F127C88C52}"/>
    <cellStyle name="Currency 5 3 3 3 3" xfId="5071" xr:uid="{00000000-0005-0000-0000-0000F90C0000}"/>
    <cellStyle name="Currency 5 3 3 3 3 2" xfId="13513" xr:uid="{30A3EF8A-AB41-4BE9-83DA-BBBD10AB9280}"/>
    <cellStyle name="Currency 5 3 3 3 4" xfId="9295" xr:uid="{4D34D7CD-F8B5-410A-BDEC-F670958C1CF2}"/>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287E3A8-9C8A-487F-A0F2-374C7DF42045}"/>
    <cellStyle name="Currency 5 3 3 4 2 3" xfId="11853" xr:uid="{18DAC98C-209C-4C71-973F-B01AD01F61BA}"/>
    <cellStyle name="Currency 5 3 3 4 3" xfId="5484" xr:uid="{00000000-0005-0000-0000-0000FD0C0000}"/>
    <cellStyle name="Currency 5 3 3 4 3 2" xfId="13926" xr:uid="{DA14D259-B955-45C5-9FE4-A7D4DB43F5BF}"/>
    <cellStyle name="Currency 5 3 3 4 4" xfId="9708" xr:uid="{0FBC433E-EB99-4CA5-869F-7E18E79421E2}"/>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001DA29A-7005-4FFA-9EC4-087F17055181}"/>
    <cellStyle name="Currency 5 3 3 5 2 3" xfId="12266" xr:uid="{59B823AF-50CE-491B-82D1-0CA0B8B67F9B}"/>
    <cellStyle name="Currency 5 3 3 5 3" xfId="5897" xr:uid="{00000000-0005-0000-0000-0000010D0000}"/>
    <cellStyle name="Currency 5 3 3 5 3 2" xfId="14339" xr:uid="{8985052C-0044-4C46-8C5F-C9548543DE6E}"/>
    <cellStyle name="Currency 5 3 3 5 4" xfId="10121" xr:uid="{03984FEA-475F-40A3-B6B9-0A827415E447}"/>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BDAC9589-54E0-4EBA-8C07-F06F1BD2F751}"/>
    <cellStyle name="Currency 5 3 3 6 2 3" xfId="12679" xr:uid="{A1727D9B-FF4D-4160-922C-0AD2A172A358}"/>
    <cellStyle name="Currency 5 3 3 6 3" xfId="6310" xr:uid="{00000000-0005-0000-0000-0000050D0000}"/>
    <cellStyle name="Currency 5 3 3 6 3 2" xfId="14752" xr:uid="{3E30C6AA-0951-430E-B8ED-E4B6391EDEA3}"/>
    <cellStyle name="Currency 5 3 3 6 4" xfId="10534" xr:uid="{5C0ED56F-71E5-4BC6-A9B6-7F6562849E71}"/>
    <cellStyle name="Currency 5 3 3 7" xfId="2438" xr:uid="{00000000-0005-0000-0000-0000060D0000}"/>
    <cellStyle name="Currency 5 3 3 7 2" xfId="6723" xr:uid="{00000000-0005-0000-0000-0000070D0000}"/>
    <cellStyle name="Currency 5 3 3 7 2 2" xfId="15165" xr:uid="{BFD46AEE-F166-4A57-84DC-491CCA17D0F4}"/>
    <cellStyle name="Currency 5 3 3 7 3" xfId="10947" xr:uid="{97050C99-5270-4170-9C77-BC9F7A4E5242}"/>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1D5013D0-B47C-43E5-AB15-A2D6D16F9D4D}"/>
    <cellStyle name="Currency 5 3 3 9 3" xfId="11264" xr:uid="{134D5D67-6D88-4267-90BC-CDA99F879655}"/>
    <cellStyle name="Currency 5 3 4" xfId="216" xr:uid="{00000000-0005-0000-0000-00000B0D0000}"/>
    <cellStyle name="Currency 5 3 4 10" xfId="8883" xr:uid="{9E607583-AA09-4285-873D-DAD57C179F61}"/>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7800AC25-838B-45AD-864C-E97260769323}"/>
    <cellStyle name="Currency 5 3 4 2 2 3" xfId="11442" xr:uid="{3102CA12-22C0-4F81-9617-07030DCD2EDB}"/>
    <cellStyle name="Currency 5 3 4 2 3" xfId="5073" xr:uid="{00000000-0005-0000-0000-00000F0D0000}"/>
    <cellStyle name="Currency 5 3 4 2 3 2" xfId="13515" xr:uid="{C89EC735-C1C2-4166-BD23-E9594929D4D0}"/>
    <cellStyle name="Currency 5 3 4 2 4" xfId="9297" xr:uid="{8DC06EC7-E6A4-4BC3-985E-89149FECDDAD}"/>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A1F5916A-7815-49DB-B8B9-E38733A0940F}"/>
    <cellStyle name="Currency 5 3 4 3 2 3" xfId="11855" xr:uid="{D7323AE7-BE3B-43F9-96AA-731B11CA8B49}"/>
    <cellStyle name="Currency 5 3 4 3 3" xfId="5486" xr:uid="{00000000-0005-0000-0000-0000130D0000}"/>
    <cellStyle name="Currency 5 3 4 3 3 2" xfId="13928" xr:uid="{36658666-E9F7-4E85-8510-A7DC0CEF6C83}"/>
    <cellStyle name="Currency 5 3 4 3 4" xfId="9710" xr:uid="{F2BCF8EF-09BB-4D33-BC86-12B1EC3DC32F}"/>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1DE64028-C143-44FB-821B-4D364711B6D5}"/>
    <cellStyle name="Currency 5 3 4 4 2 3" xfId="12268" xr:uid="{38751FA9-2B56-4B8F-A7A1-8C87B34DA411}"/>
    <cellStyle name="Currency 5 3 4 4 3" xfId="5899" xr:uid="{00000000-0005-0000-0000-0000170D0000}"/>
    <cellStyle name="Currency 5 3 4 4 3 2" xfId="14341" xr:uid="{C36D3D5F-2ED2-4A5E-A314-91C4238CA2F2}"/>
    <cellStyle name="Currency 5 3 4 4 4" xfId="10123" xr:uid="{728158C9-59E9-4940-817E-4E324CA037F3}"/>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C9151091-06EA-4F67-ABA9-06284AC8D140}"/>
    <cellStyle name="Currency 5 3 4 5 2 3" xfId="12681" xr:uid="{9F6FEA59-97D5-435B-AE36-5D5CEFE26D07}"/>
    <cellStyle name="Currency 5 3 4 5 3" xfId="6312" xr:uid="{00000000-0005-0000-0000-00001B0D0000}"/>
    <cellStyle name="Currency 5 3 4 5 3 2" xfId="14754" xr:uid="{5D7E075E-AFDD-4E0B-928D-7955CBC39A8A}"/>
    <cellStyle name="Currency 5 3 4 5 4" xfId="10536" xr:uid="{3712E15A-A12D-4743-9362-03A9084179FD}"/>
    <cellStyle name="Currency 5 3 4 6" xfId="2440" xr:uid="{00000000-0005-0000-0000-00001C0D0000}"/>
    <cellStyle name="Currency 5 3 4 6 2" xfId="6725" xr:uid="{00000000-0005-0000-0000-00001D0D0000}"/>
    <cellStyle name="Currency 5 3 4 6 2 2" xfId="15167" xr:uid="{223E2F8B-8E4E-4E6C-803C-794F94418CEB}"/>
    <cellStyle name="Currency 5 3 4 6 3" xfId="10949" xr:uid="{B6E52E7D-3066-4511-A6C7-6AA1F5779EFD}"/>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4E30DD13-76C1-484D-B9A0-646B21738911}"/>
    <cellStyle name="Currency 5 3 4 8 3" xfId="11266" xr:uid="{E9BBAFF7-02F7-4EE4-8982-26CF794AD1E9}"/>
    <cellStyle name="Currency 5 3 4 9" xfId="4659" xr:uid="{00000000-0005-0000-0000-0000210D0000}"/>
    <cellStyle name="Currency 5 3 4 9 2" xfId="13101" xr:uid="{A3F5AC32-FD59-4522-9FD2-0076F5352069}"/>
    <cellStyle name="Currency 5 3 5" xfId="217" xr:uid="{00000000-0005-0000-0000-0000220D0000}"/>
    <cellStyle name="Currency 5 3 5 10" xfId="8884" xr:uid="{ECEC9C48-6016-4DF8-A0D3-7A0A6AACE187}"/>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5BEFC0DF-7B91-4370-9D08-0B7131987695}"/>
    <cellStyle name="Currency 5 3 5 2 2 3" xfId="11443" xr:uid="{2B77B481-95C8-419D-A3A2-FDCC7DB15A7E}"/>
    <cellStyle name="Currency 5 3 5 2 3" xfId="5074" xr:uid="{00000000-0005-0000-0000-0000260D0000}"/>
    <cellStyle name="Currency 5 3 5 2 3 2" xfId="13516" xr:uid="{835B3501-4818-4C4E-9FBD-24B4A9299950}"/>
    <cellStyle name="Currency 5 3 5 2 4" xfId="9298" xr:uid="{F69CC5FC-D968-4277-885A-F6DF927AB103}"/>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F51878F8-79CE-4B66-BCB6-8C4BA99DFC6D}"/>
    <cellStyle name="Currency 5 3 5 3 2 3" xfId="11856" xr:uid="{A865D0AF-B470-44D7-B7F4-9597A0C3B5C2}"/>
    <cellStyle name="Currency 5 3 5 3 3" xfId="5487" xr:uid="{00000000-0005-0000-0000-00002A0D0000}"/>
    <cellStyle name="Currency 5 3 5 3 3 2" xfId="13929" xr:uid="{A61527CF-FE0A-4671-A865-EBE72783C193}"/>
    <cellStyle name="Currency 5 3 5 3 4" xfId="9711" xr:uid="{516466C4-2612-4F03-B1A7-D643B5F1D901}"/>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7F487A38-DE4D-463A-814D-DD082711E4D0}"/>
    <cellStyle name="Currency 5 3 5 4 2 3" xfId="12269" xr:uid="{F8F234F7-5552-4064-B330-443BA7474882}"/>
    <cellStyle name="Currency 5 3 5 4 3" xfId="5900" xr:uid="{00000000-0005-0000-0000-00002E0D0000}"/>
    <cellStyle name="Currency 5 3 5 4 3 2" xfId="14342" xr:uid="{64A43C6C-3DCC-4440-B9A4-1605BB85AF12}"/>
    <cellStyle name="Currency 5 3 5 4 4" xfId="10124" xr:uid="{9777DD5B-DF09-4C21-97AD-E04FFCE518B1}"/>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F3B4E2CB-B3F7-4825-B52F-27CA82613EB0}"/>
    <cellStyle name="Currency 5 3 5 5 2 3" xfId="12682" xr:uid="{7E4A17A5-16C7-4155-83D8-57A562694C94}"/>
    <cellStyle name="Currency 5 3 5 5 3" xfId="6313" xr:uid="{00000000-0005-0000-0000-0000320D0000}"/>
    <cellStyle name="Currency 5 3 5 5 3 2" xfId="14755" xr:uid="{F44C72E1-1AC3-4B84-9B2E-DA0169132399}"/>
    <cellStyle name="Currency 5 3 5 5 4" xfId="10537" xr:uid="{98A4D0D0-F3D2-4BD2-B089-17D74879A1C3}"/>
    <cellStyle name="Currency 5 3 5 6" xfId="2441" xr:uid="{00000000-0005-0000-0000-0000330D0000}"/>
    <cellStyle name="Currency 5 3 5 6 2" xfId="6726" xr:uid="{00000000-0005-0000-0000-0000340D0000}"/>
    <cellStyle name="Currency 5 3 5 6 2 2" xfId="15168" xr:uid="{BD4883E2-3858-405D-B0FD-8C44FB517243}"/>
    <cellStyle name="Currency 5 3 5 6 3" xfId="10950" xr:uid="{7F98CDD7-E79D-474B-83BA-864121D05516}"/>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3EB1352B-1627-4788-BC72-D2F7794277B8}"/>
    <cellStyle name="Currency 5 3 5 8 3" xfId="11267" xr:uid="{2FEB6694-2056-4507-AF2D-09C22EA88AA4}"/>
    <cellStyle name="Currency 5 3 5 9" xfId="4660" xr:uid="{00000000-0005-0000-0000-0000380D0000}"/>
    <cellStyle name="Currency 5 3 5 9 2" xfId="13102" xr:uid="{54771388-C6C9-4FEA-BD94-8434CCDE1151}"/>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52E9D2B2-B3FE-4D0E-B16E-E50068A07DEA}"/>
    <cellStyle name="Currency 5 5 11" xfId="8885" xr:uid="{5602F199-FB59-4299-97B4-84F880E13E58}"/>
    <cellStyle name="Currency 5 5 2" xfId="220" xr:uid="{00000000-0005-0000-0000-00003D0D0000}"/>
    <cellStyle name="Currency 5 5 2 10" xfId="8886" xr:uid="{5474D2D5-4839-46BB-BFCF-AFF9AB92D6D6}"/>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99ADE62-A65E-4AF8-89DE-1E32A4D5CDE0}"/>
    <cellStyle name="Currency 5 5 2 2 2 3" xfId="11445" xr:uid="{EF97024F-E2B1-4BF9-95D6-017EE68A7A86}"/>
    <cellStyle name="Currency 5 5 2 2 3" xfId="5076" xr:uid="{00000000-0005-0000-0000-0000410D0000}"/>
    <cellStyle name="Currency 5 5 2 2 3 2" xfId="13518" xr:uid="{E315B719-13B8-43EF-8A1D-092E2610E2FA}"/>
    <cellStyle name="Currency 5 5 2 2 4" xfId="9300" xr:uid="{446574B0-4EAF-4941-97C4-069B0D6489E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7AB612C8-FA58-4C29-A6E8-8E601F8DDABA}"/>
    <cellStyle name="Currency 5 5 2 3 2 3" xfId="11858" xr:uid="{05CE03F5-397F-46F8-98D3-6177DDA819D6}"/>
    <cellStyle name="Currency 5 5 2 3 3" xfId="5489" xr:uid="{00000000-0005-0000-0000-0000450D0000}"/>
    <cellStyle name="Currency 5 5 2 3 3 2" xfId="13931" xr:uid="{7484DA00-44ED-4EB3-9DEF-BA3D44C0E8CC}"/>
    <cellStyle name="Currency 5 5 2 3 4" xfId="9713" xr:uid="{2DB76425-54ED-4912-B92F-A7848C0297FC}"/>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3BB573CC-2ACC-4E7F-8882-D6A1ACAEACC5}"/>
    <cellStyle name="Currency 5 5 2 4 2 3" xfId="12271" xr:uid="{257E64A8-5ED6-4321-B77B-55D5C7B365D9}"/>
    <cellStyle name="Currency 5 5 2 4 3" xfId="5902" xr:uid="{00000000-0005-0000-0000-0000490D0000}"/>
    <cellStyle name="Currency 5 5 2 4 3 2" xfId="14344" xr:uid="{6776E91B-EC37-49C4-A080-30B75EFDC080}"/>
    <cellStyle name="Currency 5 5 2 4 4" xfId="10126" xr:uid="{B18A8DE4-49D6-4821-8A5F-D12E0390177D}"/>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249C35F9-314D-47EB-A115-AF6FD5FD0FBB}"/>
    <cellStyle name="Currency 5 5 2 5 2 3" xfId="12684" xr:uid="{657C0F1A-2396-4B83-A9F6-19A5A0195F75}"/>
    <cellStyle name="Currency 5 5 2 5 3" xfId="6315" xr:uid="{00000000-0005-0000-0000-00004D0D0000}"/>
    <cellStyle name="Currency 5 5 2 5 3 2" xfId="14757" xr:uid="{99D927FF-87EA-4DF6-96DB-17E7AFB90D6E}"/>
    <cellStyle name="Currency 5 5 2 5 4" xfId="10539" xr:uid="{3F21C5E7-F6A3-40AF-861B-DA79D2F24C9F}"/>
    <cellStyle name="Currency 5 5 2 6" xfId="2443" xr:uid="{00000000-0005-0000-0000-00004E0D0000}"/>
    <cellStyle name="Currency 5 5 2 6 2" xfId="6728" xr:uid="{00000000-0005-0000-0000-00004F0D0000}"/>
    <cellStyle name="Currency 5 5 2 6 2 2" xfId="15170" xr:uid="{063C0E97-8175-4959-9ABD-C48C35C890E7}"/>
    <cellStyle name="Currency 5 5 2 6 3" xfId="10952" xr:uid="{6FC9E048-5B86-4A4A-A250-6F5BCD2BAEFA}"/>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4574AB79-A372-41D9-AA37-08BE97CE6ABA}"/>
    <cellStyle name="Currency 5 5 2 8 3" xfId="11269" xr:uid="{B9CC34E4-7B1D-4967-BA40-9E0DA9093B79}"/>
    <cellStyle name="Currency 5 5 2 9" xfId="4662" xr:uid="{00000000-0005-0000-0000-0000530D0000}"/>
    <cellStyle name="Currency 5 5 2 9 2" xfId="13104" xr:uid="{2191B826-5F24-4581-AC9F-E946082EA5A5}"/>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FFCEA357-4700-4C0B-BB7F-43EF26FABC8D}"/>
    <cellStyle name="Currency 5 5 3 2 3" xfId="11444" xr:uid="{DA929572-5296-4C44-A07B-5068871498F4}"/>
    <cellStyle name="Currency 5 5 3 3" xfId="5075" xr:uid="{00000000-0005-0000-0000-0000570D0000}"/>
    <cellStyle name="Currency 5 5 3 3 2" xfId="13517" xr:uid="{5F421BD5-D4DD-448A-949E-D26A85F89370}"/>
    <cellStyle name="Currency 5 5 3 4" xfId="9299" xr:uid="{64CD2610-A675-49FC-A925-41B9A72F5CA6}"/>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DB8A396A-DA14-4068-B2E7-FD2F603A2F22}"/>
    <cellStyle name="Currency 5 5 4 2 3" xfId="11857" xr:uid="{B9A30899-1277-4D7E-B353-5C53B151D4AA}"/>
    <cellStyle name="Currency 5 5 4 3" xfId="5488" xr:uid="{00000000-0005-0000-0000-00005B0D0000}"/>
    <cellStyle name="Currency 5 5 4 3 2" xfId="13930" xr:uid="{0590D892-F2E3-472A-96B4-66A477B2273C}"/>
    <cellStyle name="Currency 5 5 4 4" xfId="9712" xr:uid="{600DBA3F-D1A7-4109-9E53-113AC5C03609}"/>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964D00BA-BA0B-4776-B0C5-A65A82DBF427}"/>
    <cellStyle name="Currency 5 5 5 2 3" xfId="12270" xr:uid="{18D8FD49-5F12-4198-BF48-B0D62D8C16B8}"/>
    <cellStyle name="Currency 5 5 5 3" xfId="5901" xr:uid="{00000000-0005-0000-0000-00005F0D0000}"/>
    <cellStyle name="Currency 5 5 5 3 2" xfId="14343" xr:uid="{244C23BE-F1E4-4055-8A64-21165D705524}"/>
    <cellStyle name="Currency 5 5 5 4" xfId="10125" xr:uid="{8C188592-7F9B-40EA-910C-EDFE822B0285}"/>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947629F7-5B6C-42C3-8424-638B4CF0EB91}"/>
    <cellStyle name="Currency 5 5 6 2 3" xfId="12683" xr:uid="{11D510D0-AE9F-44AF-B0ED-83623537AFE8}"/>
    <cellStyle name="Currency 5 5 6 3" xfId="6314" xr:uid="{00000000-0005-0000-0000-0000630D0000}"/>
    <cellStyle name="Currency 5 5 6 3 2" xfId="14756" xr:uid="{F5D40D40-716C-4640-B012-05AF1544300A}"/>
    <cellStyle name="Currency 5 5 6 4" xfId="10538" xr:uid="{F87A0480-A674-45C9-B1D4-E9FE0D2BA744}"/>
    <cellStyle name="Currency 5 5 7" xfId="2442" xr:uid="{00000000-0005-0000-0000-0000640D0000}"/>
    <cellStyle name="Currency 5 5 7 2" xfId="6727" xr:uid="{00000000-0005-0000-0000-0000650D0000}"/>
    <cellStyle name="Currency 5 5 7 2 2" xfId="15169" xr:uid="{ED1775CD-E60C-4AA7-8CF9-6E5DC6A289A6}"/>
    <cellStyle name="Currency 5 5 7 3" xfId="10951" xr:uid="{54A6501D-0B13-4165-A426-01901BFC11BF}"/>
    <cellStyle name="Currency 5 5 8" xfId="2739" xr:uid="{00000000-0005-0000-0000-0000660D0000}"/>
    <cellStyle name="Currency 5 5 9" xfId="2820" xr:uid="{00000000-0005-0000-0000-0000670D0000}"/>
    <cellStyle name="Currency 5 5 9 2" xfId="7044" xr:uid="{00000000-0005-0000-0000-0000680D0000}"/>
    <cellStyle name="Currency 5 5 9 2 2" xfId="15486" xr:uid="{AC337896-3324-458F-B3BC-0251936AF6E5}"/>
    <cellStyle name="Currency 5 5 9 3" xfId="11268" xr:uid="{98728C63-C68D-4C9B-A283-5CE6ECF536BC}"/>
    <cellStyle name="Currency 5 6" xfId="221" xr:uid="{00000000-0005-0000-0000-0000690D0000}"/>
    <cellStyle name="Currency 5 6 10" xfId="8887" xr:uid="{86E43F6E-9FBD-4CB9-B67F-CE64B7AFC5FA}"/>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88657F00-61F0-41E7-8EA2-3000E9EC8503}"/>
    <cellStyle name="Currency 5 6 2 2 3" xfId="11446" xr:uid="{7943D124-EE2E-4376-8D3C-FAFEB50829B9}"/>
    <cellStyle name="Currency 5 6 2 3" xfId="5077" xr:uid="{00000000-0005-0000-0000-00006D0D0000}"/>
    <cellStyle name="Currency 5 6 2 3 2" xfId="13519" xr:uid="{D7CAC027-7982-4E49-8F47-7F118DBAADA0}"/>
    <cellStyle name="Currency 5 6 2 4" xfId="9301" xr:uid="{782C5DA3-680E-4102-8C92-5CEE0C9AD87E}"/>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831C4EE3-5454-4281-88CF-83D2FF6B88B7}"/>
    <cellStyle name="Currency 5 6 3 2 3" xfId="11859" xr:uid="{782C9CE0-704E-4A5F-A58F-C9F7617434BD}"/>
    <cellStyle name="Currency 5 6 3 3" xfId="5490" xr:uid="{00000000-0005-0000-0000-0000710D0000}"/>
    <cellStyle name="Currency 5 6 3 3 2" xfId="13932" xr:uid="{566A839C-653E-4AD2-96EC-DB924F55232C}"/>
    <cellStyle name="Currency 5 6 3 4" xfId="9714" xr:uid="{07B502DD-0D95-4635-AFCE-24316156397E}"/>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748B9673-FF5C-478B-BE97-5A892CE0B5B2}"/>
    <cellStyle name="Currency 5 6 4 2 3" xfId="12272" xr:uid="{C20374E6-D05C-4CDD-B98B-A20B273F28D2}"/>
    <cellStyle name="Currency 5 6 4 3" xfId="5903" xr:uid="{00000000-0005-0000-0000-0000750D0000}"/>
    <cellStyle name="Currency 5 6 4 3 2" xfId="14345" xr:uid="{E22F2CFC-2B89-48F0-A962-9E06B473DA8C}"/>
    <cellStyle name="Currency 5 6 4 4" xfId="10127" xr:uid="{61DC73B1-73D4-44FC-8BCF-E0297FF55210}"/>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32FB34F7-767C-404B-8FCB-51B0927B28CF}"/>
    <cellStyle name="Currency 5 6 5 2 3" xfId="12685" xr:uid="{8E2A0542-8528-44A9-A52A-F7FE6C833E8D}"/>
    <cellStyle name="Currency 5 6 5 3" xfId="6316" xr:uid="{00000000-0005-0000-0000-0000790D0000}"/>
    <cellStyle name="Currency 5 6 5 3 2" xfId="14758" xr:uid="{C2AFB2E7-499F-40BB-B3CB-F3358DF48917}"/>
    <cellStyle name="Currency 5 6 5 4" xfId="10540" xr:uid="{8DF92E1F-B541-40B6-A025-DE4D232BCE77}"/>
    <cellStyle name="Currency 5 6 6" xfId="2444" xr:uid="{00000000-0005-0000-0000-00007A0D0000}"/>
    <cellStyle name="Currency 5 6 6 2" xfId="6729" xr:uid="{00000000-0005-0000-0000-00007B0D0000}"/>
    <cellStyle name="Currency 5 6 6 2 2" xfId="15171" xr:uid="{B511580E-EEFD-4F4D-B62B-52159DA9D516}"/>
    <cellStyle name="Currency 5 6 6 3" xfId="10953" xr:uid="{0776E25E-E603-44C8-B0AC-9338082FD6B8}"/>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91A3BBE-AF01-4E78-B7F5-C1B0A1A5C839}"/>
    <cellStyle name="Currency 5 6 8 3" xfId="11270" xr:uid="{43607BD8-3A72-4C85-BDE4-40088126CF71}"/>
    <cellStyle name="Currency 5 6 9" xfId="4663" xr:uid="{00000000-0005-0000-0000-00007F0D0000}"/>
    <cellStyle name="Currency 5 6 9 2" xfId="13105" xr:uid="{3C2B2981-67E5-4DDE-89E1-406D9A87C214}"/>
    <cellStyle name="Currency 5 7" xfId="222" xr:uid="{00000000-0005-0000-0000-0000800D0000}"/>
    <cellStyle name="Currency 5 7 10" xfId="8888" xr:uid="{86E457B2-778A-4245-82C8-680290D4B9AE}"/>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670B4EC8-1EE6-4B91-BD0D-81F4557C6B3B}"/>
    <cellStyle name="Currency 5 7 2 2 3" xfId="11447" xr:uid="{16036FBD-9C98-45D7-94A7-8355D266608D}"/>
    <cellStyle name="Currency 5 7 2 3" xfId="5078" xr:uid="{00000000-0005-0000-0000-0000840D0000}"/>
    <cellStyle name="Currency 5 7 2 3 2" xfId="13520" xr:uid="{F711CF01-80D9-4529-91F7-BF943C13779D}"/>
    <cellStyle name="Currency 5 7 2 4" xfId="9302" xr:uid="{026A52D9-438D-4160-92AF-1D056ACE2A0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7AC7CB69-2F44-4514-B1F8-505147E867A2}"/>
    <cellStyle name="Currency 5 7 3 2 3" xfId="11860" xr:uid="{D9984112-2A52-47FC-8CE6-8C3A5655B4C1}"/>
    <cellStyle name="Currency 5 7 3 3" xfId="5491" xr:uid="{00000000-0005-0000-0000-0000880D0000}"/>
    <cellStyle name="Currency 5 7 3 3 2" xfId="13933" xr:uid="{FCDEA243-EA7D-4811-A021-70B2EA3FB95A}"/>
    <cellStyle name="Currency 5 7 3 4" xfId="9715" xr:uid="{0563A516-3377-4845-AFFA-4BB5E5F9AFB3}"/>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6894EB73-3D20-4DAF-AB35-2B226E02A0EC}"/>
    <cellStyle name="Currency 5 7 4 2 3" xfId="12273" xr:uid="{715022A2-567C-483B-9034-258BA95A5CB1}"/>
    <cellStyle name="Currency 5 7 4 3" xfId="5904" xr:uid="{00000000-0005-0000-0000-00008C0D0000}"/>
    <cellStyle name="Currency 5 7 4 3 2" xfId="14346" xr:uid="{59EBF87A-A823-49A0-B3C5-B1F82D75D6A0}"/>
    <cellStyle name="Currency 5 7 4 4" xfId="10128" xr:uid="{34A60FB5-5070-4341-82B0-FF179EBDAAC3}"/>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411B057D-C8DB-4F48-875B-C4A65AFB1FAF}"/>
    <cellStyle name="Currency 5 7 5 2 3" xfId="12686" xr:uid="{B7D27A25-ED75-47C4-AAD7-6E4E06907DAC}"/>
    <cellStyle name="Currency 5 7 5 3" xfId="6317" xr:uid="{00000000-0005-0000-0000-0000900D0000}"/>
    <cellStyle name="Currency 5 7 5 3 2" xfId="14759" xr:uid="{61ABD368-EE7A-441B-BDC2-4C70F13662A4}"/>
    <cellStyle name="Currency 5 7 5 4" xfId="10541" xr:uid="{FD450209-9C1A-492F-9DF7-64B3994419D9}"/>
    <cellStyle name="Currency 5 7 6" xfId="2445" xr:uid="{00000000-0005-0000-0000-0000910D0000}"/>
    <cellStyle name="Currency 5 7 6 2" xfId="6730" xr:uid="{00000000-0005-0000-0000-0000920D0000}"/>
    <cellStyle name="Currency 5 7 6 2 2" xfId="15172" xr:uid="{4B4344C4-6FFB-486E-A7F0-272FEAC05E7A}"/>
    <cellStyle name="Currency 5 7 6 3" xfId="10954" xr:uid="{3043D4F8-0F99-458A-A4AE-5C3EB50C6E2F}"/>
    <cellStyle name="Currency 5 7 7" xfId="2742" xr:uid="{00000000-0005-0000-0000-0000930D0000}"/>
    <cellStyle name="Currency 5 7 8" xfId="2823" xr:uid="{00000000-0005-0000-0000-0000940D0000}"/>
    <cellStyle name="Currency 5 7 8 2" xfId="7047" xr:uid="{00000000-0005-0000-0000-0000950D0000}"/>
    <cellStyle name="Currency 5 7 8 2 2" xfId="15489" xr:uid="{9BE2746D-645F-4DFD-A967-51CA4555790E}"/>
    <cellStyle name="Currency 5 7 8 3" xfId="11271" xr:uid="{0B40EF8D-C3AD-4173-B6AE-25181C304EAF}"/>
    <cellStyle name="Currency 5 7 9" xfId="4664" xr:uid="{00000000-0005-0000-0000-0000960D0000}"/>
    <cellStyle name="Currency 5 7 9 2" xfId="13106" xr:uid="{8C3C4942-A69C-4C6C-AC26-B764327DEE5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2078EEB3-46B6-4E69-9687-0F96E0BEDD84}"/>
    <cellStyle name="Normal 12 10 3" xfId="10955" xr:uid="{C0DF84B4-F7E6-40B1-BFEC-A38E80A2DC3D}"/>
    <cellStyle name="Normal 12 11" xfId="4665" xr:uid="{00000000-0005-0000-0000-0000CC0D0000}"/>
    <cellStyle name="Normal 12 11 2" xfId="13107" xr:uid="{E02CA73C-8DF2-4810-B000-383C8784818A}"/>
    <cellStyle name="Normal 12 12" xfId="8889" xr:uid="{B5676331-3A51-423D-A1CA-74FCA35D45B0}"/>
    <cellStyle name="Normal 12 2" xfId="260" xr:uid="{00000000-0005-0000-0000-0000CD0D0000}"/>
    <cellStyle name="Normal 12 2 10" xfId="8890" xr:uid="{5739B967-37D5-401D-988A-814660CFB215}"/>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19F105A8-72CE-444B-9B65-E6F429029C9B}"/>
    <cellStyle name="Normal 12 2 2 2 2 2 3" xfId="11451" xr:uid="{CAA5CC8C-5926-4DB9-9836-C3869B29435A}"/>
    <cellStyle name="Normal 12 2 2 2 2 3" xfId="5082" xr:uid="{00000000-0005-0000-0000-0000D30D0000}"/>
    <cellStyle name="Normal 12 2 2 2 2 3 2" xfId="13524" xr:uid="{72A30C33-A70A-4EEE-B7C4-BF4897FF5933}"/>
    <cellStyle name="Normal 12 2 2 2 2 4" xfId="9306" xr:uid="{7068EEA7-1D4F-4F21-B8A2-F61076221F11}"/>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FB4F6792-90E1-452E-96F0-D1EB9837ED13}"/>
    <cellStyle name="Normal 12 2 2 2 3 2 3" xfId="11864" xr:uid="{C788C859-47E8-4ECE-BCE2-6679247F25D8}"/>
    <cellStyle name="Normal 12 2 2 2 3 3" xfId="5495" xr:uid="{00000000-0005-0000-0000-0000D70D0000}"/>
    <cellStyle name="Normal 12 2 2 2 3 3 2" xfId="13937" xr:uid="{350D305F-0141-4BF1-8349-329C0DD6BF3A}"/>
    <cellStyle name="Normal 12 2 2 2 3 4" xfId="9719" xr:uid="{CDE522CB-81C6-4B5F-8789-24760E3F9868}"/>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B1079172-2EDC-4114-9C63-5E57997AFDB6}"/>
    <cellStyle name="Normal 12 2 2 2 4 2 3" xfId="12277" xr:uid="{6CBABBAA-E05B-4474-9AC9-7527AF00FCB3}"/>
    <cellStyle name="Normal 12 2 2 2 4 3" xfId="5908" xr:uid="{00000000-0005-0000-0000-0000DB0D0000}"/>
    <cellStyle name="Normal 12 2 2 2 4 3 2" xfId="14350" xr:uid="{F51570AB-7864-4D04-B486-8A1AFBAB391E}"/>
    <cellStyle name="Normal 12 2 2 2 4 4" xfId="10132" xr:uid="{A2056092-867D-420A-97B8-6D4CFC5C471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71564F3-2429-423C-8DBE-F939C452490A}"/>
    <cellStyle name="Normal 12 2 2 2 5 2 3" xfId="12690" xr:uid="{A772F609-E687-4927-897D-937742C3CA05}"/>
    <cellStyle name="Normal 12 2 2 2 5 3" xfId="6321" xr:uid="{00000000-0005-0000-0000-0000DF0D0000}"/>
    <cellStyle name="Normal 12 2 2 2 5 3 2" xfId="14763" xr:uid="{2DC9F1AC-1474-4BE3-9DD1-E6E5EB836336}"/>
    <cellStyle name="Normal 12 2 2 2 5 4" xfId="10545" xr:uid="{1C9B268E-C05E-4636-B694-CE859C06FE31}"/>
    <cellStyle name="Normal 12 2 2 2 6" xfId="2450" xr:uid="{00000000-0005-0000-0000-0000E00D0000}"/>
    <cellStyle name="Normal 12 2 2 2 6 2" xfId="6734" xr:uid="{00000000-0005-0000-0000-0000E10D0000}"/>
    <cellStyle name="Normal 12 2 2 2 6 2 2" xfId="15176" xr:uid="{7C52BD98-EEC4-4501-AE92-801D5BC7ADE0}"/>
    <cellStyle name="Normal 12 2 2 2 6 3" xfId="10958" xr:uid="{D42FEA65-8590-431E-8945-2779A7EFAC81}"/>
    <cellStyle name="Normal 12 2 2 2 7" xfId="4668" xr:uid="{00000000-0005-0000-0000-0000E20D0000}"/>
    <cellStyle name="Normal 12 2 2 2 7 2" xfId="13110" xr:uid="{C99E2F68-B1C6-4A87-9C93-5D4A99B8E946}"/>
    <cellStyle name="Normal 12 2 2 2 8" xfId="8892" xr:uid="{C67C2E91-F2F7-4721-9994-3CF9B38B4BD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6A30C525-8723-4B0E-ABE9-C2A341D3D079}"/>
    <cellStyle name="Normal 12 2 2 3 2 3" xfId="11450" xr:uid="{DE808B50-BF9B-46FD-86DA-446898297BE0}"/>
    <cellStyle name="Normal 12 2 2 3 3" xfId="5081" xr:uid="{00000000-0005-0000-0000-0000E60D0000}"/>
    <cellStyle name="Normal 12 2 2 3 3 2" xfId="13523" xr:uid="{916CBAE1-8BD9-4673-B5F2-5AF829C0B0BC}"/>
    <cellStyle name="Normal 12 2 2 3 4" xfId="9305" xr:uid="{F11E43D2-8C45-4DB6-9EEC-75F5A4CEB2A2}"/>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3C32A140-3F17-45C6-BDF7-D6ED83446A5A}"/>
    <cellStyle name="Normal 12 2 2 4 2 3" xfId="11863" xr:uid="{8F9FF3AD-8734-45B6-B932-AB317A7B8FE7}"/>
    <cellStyle name="Normal 12 2 2 4 3" xfId="5494" xr:uid="{00000000-0005-0000-0000-0000EA0D0000}"/>
    <cellStyle name="Normal 12 2 2 4 3 2" xfId="13936" xr:uid="{F573552B-6BC2-4A47-AC3F-5576F2C04C5B}"/>
    <cellStyle name="Normal 12 2 2 4 4" xfId="9718" xr:uid="{39BCAE34-ED7F-4673-BF2B-06532A7D5B66}"/>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92B67724-2299-4568-9144-1CD7F1D1DC00}"/>
    <cellStyle name="Normal 12 2 2 5 2 3" xfId="12276" xr:uid="{601A45DD-9BDE-4F2A-8315-8D9D56BB4B46}"/>
    <cellStyle name="Normal 12 2 2 5 3" xfId="5907" xr:uid="{00000000-0005-0000-0000-0000EE0D0000}"/>
    <cellStyle name="Normal 12 2 2 5 3 2" xfId="14349" xr:uid="{BB816B3D-AC31-417E-9740-F677B325B0D3}"/>
    <cellStyle name="Normal 12 2 2 5 4" xfId="10131" xr:uid="{291504B7-EEFC-4690-956C-63D62A0FA0EF}"/>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E861B437-9286-491B-973B-222064E91CF9}"/>
    <cellStyle name="Normal 12 2 2 6 2 3" xfId="12689" xr:uid="{24679A4E-7F51-4D20-9ADA-B4A7F57BAE0E}"/>
    <cellStyle name="Normal 12 2 2 6 3" xfId="6320" xr:uid="{00000000-0005-0000-0000-0000F20D0000}"/>
    <cellStyle name="Normal 12 2 2 6 3 2" xfId="14762" xr:uid="{78CE5FA2-A9B1-47D4-89DE-9393240C42A0}"/>
    <cellStyle name="Normal 12 2 2 6 4" xfId="10544" xr:uid="{AAEC2EE2-3EAE-4FD2-A27E-6C8AFAF7D3D1}"/>
    <cellStyle name="Normal 12 2 2 7" xfId="2449" xr:uid="{00000000-0005-0000-0000-0000F30D0000}"/>
    <cellStyle name="Normal 12 2 2 7 2" xfId="6733" xr:uid="{00000000-0005-0000-0000-0000F40D0000}"/>
    <cellStyle name="Normal 12 2 2 7 2 2" xfId="15175" xr:uid="{2FEC0DC4-AEAE-4A4C-8A38-9DD67D76A69E}"/>
    <cellStyle name="Normal 12 2 2 7 3" xfId="10957" xr:uid="{05A43595-7A00-4D99-AFA6-7FE79CE72BE4}"/>
    <cellStyle name="Normal 12 2 2 8" xfId="4667" xr:uid="{00000000-0005-0000-0000-0000F50D0000}"/>
    <cellStyle name="Normal 12 2 2 8 2" xfId="13109" xr:uid="{3102361B-D744-41E5-9035-D8726FBD3E90}"/>
    <cellStyle name="Normal 12 2 2 9" xfId="8891" xr:uid="{EB1318DE-4018-41CF-B774-D9B3DAE330F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D22E5E4F-8AEE-46F3-B03A-43E67D1B8F6E}"/>
    <cellStyle name="Normal 12 2 3 2 2 3" xfId="11452" xr:uid="{89B449AF-24C9-4FBD-8B79-BDA33FF2A04D}"/>
    <cellStyle name="Normal 12 2 3 2 3" xfId="5083" xr:uid="{00000000-0005-0000-0000-0000FA0D0000}"/>
    <cellStyle name="Normal 12 2 3 2 3 2" xfId="13525" xr:uid="{282448CA-0312-4C05-ABEF-9FEF37AC709B}"/>
    <cellStyle name="Normal 12 2 3 2 4" xfId="9307" xr:uid="{BC624FCF-0EAB-4AD9-B28D-09D108227CD8}"/>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F555DBC7-300F-4076-8134-FFBDCB60E699}"/>
    <cellStyle name="Normal 12 2 3 3 2 3" xfId="11865" xr:uid="{17412B42-160B-4EF0-AEA7-42C6F58B90B4}"/>
    <cellStyle name="Normal 12 2 3 3 3" xfId="5496" xr:uid="{00000000-0005-0000-0000-0000FE0D0000}"/>
    <cellStyle name="Normal 12 2 3 3 3 2" xfId="13938" xr:uid="{575AFB06-7E78-4FDC-8AAB-C67BF9D20F6B}"/>
    <cellStyle name="Normal 12 2 3 3 4" xfId="9720" xr:uid="{E3B83648-10E2-47D5-BEF2-1831A81A400A}"/>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927EB9AE-524D-46B4-A5D8-E4DDE0B4CC27}"/>
    <cellStyle name="Normal 12 2 3 4 2 3" xfId="12278" xr:uid="{9E211315-0EAD-4E59-A7D7-45BB25CCE4E0}"/>
    <cellStyle name="Normal 12 2 3 4 3" xfId="5909" xr:uid="{00000000-0005-0000-0000-0000020E0000}"/>
    <cellStyle name="Normal 12 2 3 4 3 2" xfId="14351" xr:uid="{9B652A15-9E55-46A5-8582-990442A74E80}"/>
    <cellStyle name="Normal 12 2 3 4 4" xfId="10133" xr:uid="{4DF59D14-7CB8-43EF-8DFB-3FD802B4C9A5}"/>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722832A8-D049-4A1A-B273-E62BB666B5AD}"/>
    <cellStyle name="Normal 12 2 3 5 2 3" xfId="12691" xr:uid="{9055204B-7DDF-4EBA-B8AE-A3606F13289C}"/>
    <cellStyle name="Normal 12 2 3 5 3" xfId="6322" xr:uid="{00000000-0005-0000-0000-0000060E0000}"/>
    <cellStyle name="Normal 12 2 3 5 3 2" xfId="14764" xr:uid="{AA68B45D-24BA-4DB5-8FB2-88DEED3E353C}"/>
    <cellStyle name="Normal 12 2 3 5 4" xfId="10546" xr:uid="{F43C4786-6334-47E5-B6B5-2B8DB3B2607E}"/>
    <cellStyle name="Normal 12 2 3 6" xfId="2451" xr:uid="{00000000-0005-0000-0000-0000070E0000}"/>
    <cellStyle name="Normal 12 2 3 6 2" xfId="6735" xr:uid="{00000000-0005-0000-0000-0000080E0000}"/>
    <cellStyle name="Normal 12 2 3 6 2 2" xfId="15177" xr:uid="{94E1176F-1316-4B86-9EA3-5CD801F9DEF3}"/>
    <cellStyle name="Normal 12 2 3 6 3" xfId="10959" xr:uid="{8B325146-862E-4E4D-999F-BACC111B050E}"/>
    <cellStyle name="Normal 12 2 3 7" xfId="4669" xr:uid="{00000000-0005-0000-0000-0000090E0000}"/>
    <cellStyle name="Normal 12 2 3 7 2" xfId="13111" xr:uid="{6DA32B0A-9867-49AD-9CF6-B6AC95B47BAD}"/>
    <cellStyle name="Normal 12 2 3 8" xfId="8893" xr:uid="{7196DE2D-C449-4EB7-A3FA-D6C3DDF825EF}"/>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3F8E73CB-DE1A-49A2-9287-D2FD7CC235AC}"/>
    <cellStyle name="Normal 12 2 4 2 3" xfId="11449" xr:uid="{8F2D61A6-2E7E-47BC-970C-A3FFFE0C63C5}"/>
    <cellStyle name="Normal 12 2 4 3" xfId="5080" xr:uid="{00000000-0005-0000-0000-00000D0E0000}"/>
    <cellStyle name="Normal 12 2 4 3 2" xfId="13522" xr:uid="{8F989346-75AA-4A2A-80EF-6018136CCCB0}"/>
    <cellStyle name="Normal 12 2 4 4" xfId="9304" xr:uid="{4E69FD17-8EFD-4BD0-8005-1810B30A0B6A}"/>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59FE3FB8-BF1E-4757-84EE-2021E01A0BC6}"/>
    <cellStyle name="Normal 12 2 5 2 3" xfId="11862" xr:uid="{5B997778-D05F-4B90-9886-6C18B0040CF3}"/>
    <cellStyle name="Normal 12 2 5 3" xfId="5493" xr:uid="{00000000-0005-0000-0000-0000110E0000}"/>
    <cellStyle name="Normal 12 2 5 3 2" xfId="13935" xr:uid="{D987F2F4-D1E8-4BA7-B680-EDEF0EC20CA0}"/>
    <cellStyle name="Normal 12 2 5 4" xfId="9717" xr:uid="{A6CE4557-A20D-4199-99F9-09E419BEF177}"/>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FFBD0B7-EED9-457A-898F-DE0099BE66D1}"/>
    <cellStyle name="Normal 12 2 6 2 3" xfId="12275" xr:uid="{BA342F83-8BB0-4285-B402-26612FA697EA}"/>
    <cellStyle name="Normal 12 2 6 3" xfId="5906" xr:uid="{00000000-0005-0000-0000-0000150E0000}"/>
    <cellStyle name="Normal 12 2 6 3 2" xfId="14348" xr:uid="{211CF8A0-FADC-47C8-92E4-15118D931689}"/>
    <cellStyle name="Normal 12 2 6 4" xfId="10130" xr:uid="{657B0E9A-0D83-4946-AA91-B07EE04BF310}"/>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98D324D3-ADE0-44C8-9CDC-A8A2A9A80F8F}"/>
    <cellStyle name="Normal 12 2 7 2 3" xfId="12688" xr:uid="{433E7EA9-3313-4859-A028-EE1703D724FB}"/>
    <cellStyle name="Normal 12 2 7 3" xfId="6319" xr:uid="{00000000-0005-0000-0000-0000190E0000}"/>
    <cellStyle name="Normal 12 2 7 3 2" xfId="14761" xr:uid="{5FBC75B0-E88F-4575-8234-604335866820}"/>
    <cellStyle name="Normal 12 2 7 4" xfId="10543" xr:uid="{875CC157-5E2F-450C-A7ED-9C854E1BB4B5}"/>
    <cellStyle name="Normal 12 2 8" xfId="2448" xr:uid="{00000000-0005-0000-0000-00001A0E0000}"/>
    <cellStyle name="Normal 12 2 8 2" xfId="6732" xr:uid="{00000000-0005-0000-0000-00001B0E0000}"/>
    <cellStyle name="Normal 12 2 8 2 2" xfId="15174" xr:uid="{7E6F7B89-7C3F-49FE-917A-574361E41A75}"/>
    <cellStyle name="Normal 12 2 8 3" xfId="10956" xr:uid="{5C8F7D71-C910-4C89-9B19-94265F853DF8}"/>
    <cellStyle name="Normal 12 2 9" xfId="4666" xr:uid="{00000000-0005-0000-0000-00001C0E0000}"/>
    <cellStyle name="Normal 12 2 9 2" xfId="13108" xr:uid="{60655DBB-803D-4FA7-B1FB-80BEAC9F8B7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4847EE79-AD74-418E-8037-DD849B1976D9}"/>
    <cellStyle name="Normal 12 3 2 2 2 3" xfId="11454" xr:uid="{B961DE5F-F3B1-458A-96E7-083314B606DB}"/>
    <cellStyle name="Normal 12 3 2 2 3" xfId="5085" xr:uid="{00000000-0005-0000-0000-0000220E0000}"/>
    <cellStyle name="Normal 12 3 2 2 3 2" xfId="13527" xr:uid="{0E6D0E11-DF61-4DBD-B0B8-69E4A224F901}"/>
    <cellStyle name="Normal 12 3 2 2 4" xfId="9309" xr:uid="{55523FBC-D4FE-4C4B-83C3-C7804D31EFE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ED7E56C4-F8D3-4BC2-92E8-82173642EF68}"/>
    <cellStyle name="Normal 12 3 2 3 2 3" xfId="11867" xr:uid="{3BAC5175-8BBC-4BD7-87DC-EA68CE698D1D}"/>
    <cellStyle name="Normal 12 3 2 3 3" xfId="5498" xr:uid="{00000000-0005-0000-0000-0000260E0000}"/>
    <cellStyle name="Normal 12 3 2 3 3 2" xfId="13940" xr:uid="{0B55A92D-D83A-43DC-AA87-F12ACE22D6AF}"/>
    <cellStyle name="Normal 12 3 2 3 4" xfId="9722" xr:uid="{5D61C1A2-1B2F-4642-867F-7DB3177D81A0}"/>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9946A61-7D64-4484-866E-2F1C0DE1F1F6}"/>
    <cellStyle name="Normal 12 3 2 4 2 3" xfId="12280" xr:uid="{145AA2AD-F1AC-429B-83C7-A6AEEE1D37F7}"/>
    <cellStyle name="Normal 12 3 2 4 3" xfId="5911" xr:uid="{00000000-0005-0000-0000-00002A0E0000}"/>
    <cellStyle name="Normal 12 3 2 4 3 2" xfId="14353" xr:uid="{6B13F8C0-3195-4A0B-96F6-9302B1B298B1}"/>
    <cellStyle name="Normal 12 3 2 4 4" xfId="10135" xr:uid="{A8E2B6AC-FAAA-4D41-A2B8-F4154766197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1DBED2D3-2D2D-4085-BDF6-208AF4065648}"/>
    <cellStyle name="Normal 12 3 2 5 2 3" xfId="12693" xr:uid="{3E7B3753-38EA-482E-925F-8778C855DCC8}"/>
    <cellStyle name="Normal 12 3 2 5 3" xfId="6324" xr:uid="{00000000-0005-0000-0000-00002E0E0000}"/>
    <cellStyle name="Normal 12 3 2 5 3 2" xfId="14766" xr:uid="{24F0F5D0-A533-4CA5-B523-CE2C050679BF}"/>
    <cellStyle name="Normal 12 3 2 5 4" xfId="10548" xr:uid="{8DACD934-A8A0-4D9F-8C53-F552F6237FA1}"/>
    <cellStyle name="Normal 12 3 2 6" xfId="2453" xr:uid="{00000000-0005-0000-0000-00002F0E0000}"/>
    <cellStyle name="Normal 12 3 2 6 2" xfId="6737" xr:uid="{00000000-0005-0000-0000-0000300E0000}"/>
    <cellStyle name="Normal 12 3 2 6 2 2" xfId="15179" xr:uid="{310F6594-3098-4358-87A1-DAC2DFF2B11A}"/>
    <cellStyle name="Normal 12 3 2 6 3" xfId="10961" xr:uid="{EDFE989F-8E15-4A29-A2EA-1BB2850A6143}"/>
    <cellStyle name="Normal 12 3 2 7" xfId="4671" xr:uid="{00000000-0005-0000-0000-0000310E0000}"/>
    <cellStyle name="Normal 12 3 2 7 2" xfId="13113" xr:uid="{CB78EDB8-4A8D-4563-8F92-AD7D2A7E089B}"/>
    <cellStyle name="Normal 12 3 2 8" xfId="8895" xr:uid="{0FF0273A-4A84-48C2-A414-30A4AD186FB6}"/>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22155369-E269-4D9F-9A02-895141446F2A}"/>
    <cellStyle name="Normal 12 3 3 2 3" xfId="11453" xr:uid="{AF673FB8-545C-4D11-B495-0EB4E1C1DC4C}"/>
    <cellStyle name="Normal 12 3 3 3" xfId="5084" xr:uid="{00000000-0005-0000-0000-0000350E0000}"/>
    <cellStyle name="Normal 12 3 3 3 2" xfId="13526" xr:uid="{372AE866-45CE-4755-8BA6-E72C629FF1AC}"/>
    <cellStyle name="Normal 12 3 3 4" xfId="9308" xr:uid="{8A322281-9464-482F-BD05-CD8530166DBB}"/>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9EF60A92-63A4-41B0-ACE7-BA20E88E7976}"/>
    <cellStyle name="Normal 12 3 4 2 3" xfId="11866" xr:uid="{F7FD7CCC-5568-4A96-8853-7DC588C2D9AF}"/>
    <cellStyle name="Normal 12 3 4 3" xfId="5497" xr:uid="{00000000-0005-0000-0000-0000390E0000}"/>
    <cellStyle name="Normal 12 3 4 3 2" xfId="13939" xr:uid="{4293AE45-01DE-4765-8031-FBDFEDDD42B1}"/>
    <cellStyle name="Normal 12 3 4 4" xfId="9721" xr:uid="{C9ABBCEE-9081-448F-A1B8-6081C76D3DC9}"/>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107A89AC-1059-4B1A-8EBE-DAFD39CB31C6}"/>
    <cellStyle name="Normal 12 3 5 2 3" xfId="12279" xr:uid="{E5638EDD-DA54-4822-A6FA-6404D4CB8544}"/>
    <cellStyle name="Normal 12 3 5 3" xfId="5910" xr:uid="{00000000-0005-0000-0000-00003D0E0000}"/>
    <cellStyle name="Normal 12 3 5 3 2" xfId="14352" xr:uid="{13FE05A6-B48F-4808-8ACF-E96BEA6976B3}"/>
    <cellStyle name="Normal 12 3 5 4" xfId="10134" xr:uid="{74227321-C77D-4DC0-82E9-13D73787E95D}"/>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6232467B-1B8B-4608-B951-ABFB1CFD789F}"/>
    <cellStyle name="Normal 12 3 6 2 3" xfId="12692" xr:uid="{FC78E78B-52F7-43D5-ACDF-E814818F72F8}"/>
    <cellStyle name="Normal 12 3 6 3" xfId="6323" xr:uid="{00000000-0005-0000-0000-0000410E0000}"/>
    <cellStyle name="Normal 12 3 6 3 2" xfId="14765" xr:uid="{14FC5A1E-6596-4EBD-9639-55832A3D7538}"/>
    <cellStyle name="Normal 12 3 6 4" xfId="10547" xr:uid="{B2024948-FD69-4454-9404-E0CDC7D5C041}"/>
    <cellStyle name="Normal 12 3 7" xfId="2452" xr:uid="{00000000-0005-0000-0000-0000420E0000}"/>
    <cellStyle name="Normal 12 3 7 2" xfId="6736" xr:uid="{00000000-0005-0000-0000-0000430E0000}"/>
    <cellStyle name="Normal 12 3 7 2 2" xfId="15178" xr:uid="{C3DCA105-BB85-4ECE-BD42-525E63D19D84}"/>
    <cellStyle name="Normal 12 3 7 3" xfId="10960" xr:uid="{75A5BBB2-CD29-4D97-994C-4BF6EDC21749}"/>
    <cellStyle name="Normal 12 3 8" xfId="4670" xr:uid="{00000000-0005-0000-0000-0000440E0000}"/>
    <cellStyle name="Normal 12 3 8 2" xfId="13112" xr:uid="{DB8A678A-7EF0-4C6F-9493-F8856A01AE14}"/>
    <cellStyle name="Normal 12 3 9" xfId="8894" xr:uid="{E276F4A2-611F-46DE-A917-A4C5AC7BB65F}"/>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FBAC45C6-6CBE-4464-9EE0-B75096216DBF}"/>
    <cellStyle name="Normal 12 4 2 2 3" xfId="11455" xr:uid="{AEF80439-2768-47F7-9CFC-1B3D9BC76217}"/>
    <cellStyle name="Normal 12 4 2 3" xfId="5086" xr:uid="{00000000-0005-0000-0000-0000490E0000}"/>
    <cellStyle name="Normal 12 4 2 3 2" xfId="13528" xr:uid="{2C15EAEF-8891-4B67-802D-1C4A83DEFC1C}"/>
    <cellStyle name="Normal 12 4 2 4" xfId="9310" xr:uid="{0D26BC44-273E-4F16-A69F-8BCEBAA2CDFD}"/>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CD6E33E0-143F-46B1-A560-07577644173C}"/>
    <cellStyle name="Normal 12 4 3 2 3" xfId="11868" xr:uid="{E2F1C227-F558-4213-87DA-5100545D24BC}"/>
    <cellStyle name="Normal 12 4 3 3" xfId="5499" xr:uid="{00000000-0005-0000-0000-00004D0E0000}"/>
    <cellStyle name="Normal 12 4 3 3 2" xfId="13941" xr:uid="{23A3C9D3-910A-442F-97AF-92F9A459671F}"/>
    <cellStyle name="Normal 12 4 3 4" xfId="9723" xr:uid="{D6B81E39-11B2-46C1-8F33-17EF18DA3AF1}"/>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1EFEE42F-BDDD-4EE9-ABCD-2CDC7EB1A013}"/>
    <cellStyle name="Normal 12 4 4 2 3" xfId="12281" xr:uid="{63DC9868-72CA-459E-8470-E7D35B19FA4E}"/>
    <cellStyle name="Normal 12 4 4 3" xfId="5912" xr:uid="{00000000-0005-0000-0000-0000510E0000}"/>
    <cellStyle name="Normal 12 4 4 3 2" xfId="14354" xr:uid="{14702B04-A482-4680-8A1A-21B54AC80AAB}"/>
    <cellStyle name="Normal 12 4 4 4" xfId="10136" xr:uid="{5527F70A-5070-4AC4-BC45-1CD3A52BBF9D}"/>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2393DDFA-3BE7-4359-BA84-83E5E8956137}"/>
    <cellStyle name="Normal 12 4 5 2 3" xfId="12694" xr:uid="{8FD0849D-BEF7-4919-92E2-E74C186F4A5A}"/>
    <cellStyle name="Normal 12 4 5 3" xfId="6325" xr:uid="{00000000-0005-0000-0000-0000550E0000}"/>
    <cellStyle name="Normal 12 4 5 3 2" xfId="14767" xr:uid="{3C20D77C-736C-42D5-8298-1953D63451D6}"/>
    <cellStyle name="Normal 12 4 5 4" xfId="10549" xr:uid="{3F083050-E0F4-4E7D-97D8-D7B26F2A419F}"/>
    <cellStyle name="Normal 12 4 6" xfId="2454" xr:uid="{00000000-0005-0000-0000-0000560E0000}"/>
    <cellStyle name="Normal 12 4 6 2" xfId="6738" xr:uid="{00000000-0005-0000-0000-0000570E0000}"/>
    <cellStyle name="Normal 12 4 6 2 2" xfId="15180" xr:uid="{3D57C14B-12E5-47F2-99B4-466BA5E93B2C}"/>
    <cellStyle name="Normal 12 4 6 3" xfId="10962" xr:uid="{E4C1700A-9B03-45BE-AA4F-0753829563AC}"/>
    <cellStyle name="Normal 12 4 7" xfId="4672" xr:uid="{00000000-0005-0000-0000-0000580E0000}"/>
    <cellStyle name="Normal 12 4 7 2" xfId="13114" xr:uid="{314B8492-64BB-45DC-A111-81997164BFE9}"/>
    <cellStyle name="Normal 12 4 8" xfId="8896" xr:uid="{0A5A7802-F835-46FD-9BB2-1504C0581869}"/>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C4EB4901-C8B2-47FB-B909-C015E7161F1C}"/>
    <cellStyle name="Normal 12 6 2 3" xfId="11448" xr:uid="{E5B30A77-37E4-4CB4-8807-419F5CA0C341}"/>
    <cellStyle name="Normal 12 6 3" xfId="5079" xr:uid="{00000000-0005-0000-0000-00005D0E0000}"/>
    <cellStyle name="Normal 12 6 3 2" xfId="13521" xr:uid="{6E1C5D95-2262-43DF-8078-AA5A64C5CFBB}"/>
    <cellStyle name="Normal 12 6 4" xfId="9303" xr:uid="{D8567DED-9D7F-422A-8049-DDC8FD9058B3}"/>
    <cellStyle name="Normal 12 7" xfId="1183" xr:uid="{00000000-0005-0000-0000-00005E0E0000}"/>
    <cellStyle name="Normal 12 7 2" xfId="3414" xr:uid="{00000000-0005-0000-0000-00005F0E0000}"/>
    <cellStyle name="Normal 12 7 2 2" xfId="7637" xr:uid="{00000000-0005-0000-0000-0000600E0000}"/>
    <cellStyle name="Normal 12 7 2 2 2" xfId="16079" xr:uid="{7443479B-2A23-425E-A9CF-64E4EA9BDAAB}"/>
    <cellStyle name="Normal 12 7 2 3" xfId="11861" xr:uid="{DFA317FF-3B72-4259-A3DE-063E852843EA}"/>
    <cellStyle name="Normal 12 7 3" xfId="5492" xr:uid="{00000000-0005-0000-0000-0000610E0000}"/>
    <cellStyle name="Normal 12 7 3 2" xfId="13934" xr:uid="{F01ADDCF-7B5D-4E7B-9592-E5D93520768A}"/>
    <cellStyle name="Normal 12 7 4" xfId="9716" xr:uid="{0694C4DD-7938-4491-8AC7-023EB93F6968}"/>
    <cellStyle name="Normal 12 8" xfId="1597" xr:uid="{00000000-0005-0000-0000-0000620E0000}"/>
    <cellStyle name="Normal 12 8 2" xfId="3827" xr:uid="{00000000-0005-0000-0000-0000630E0000}"/>
    <cellStyle name="Normal 12 8 2 2" xfId="8050" xr:uid="{00000000-0005-0000-0000-0000640E0000}"/>
    <cellStyle name="Normal 12 8 2 2 2" xfId="16492" xr:uid="{EF8F4A69-DCC7-45B6-95A9-68D9FE3B3B26}"/>
    <cellStyle name="Normal 12 8 2 3" xfId="12274" xr:uid="{688C0AF6-8A18-4D04-9EB6-3BA1DF805167}"/>
    <cellStyle name="Normal 12 8 3" xfId="5905" xr:uid="{00000000-0005-0000-0000-0000650E0000}"/>
    <cellStyle name="Normal 12 8 3 2" xfId="14347" xr:uid="{408596B2-982C-42B1-AEE6-06B4F77294C2}"/>
    <cellStyle name="Normal 12 8 4" xfId="10129" xr:uid="{EFF877A6-2E4D-4D30-89CB-15D471AEACBA}"/>
    <cellStyle name="Normal 12 9" xfId="2011" xr:uid="{00000000-0005-0000-0000-0000660E0000}"/>
    <cellStyle name="Normal 12 9 2" xfId="4240" xr:uid="{00000000-0005-0000-0000-0000670E0000}"/>
    <cellStyle name="Normal 12 9 2 2" xfId="8463" xr:uid="{00000000-0005-0000-0000-0000680E0000}"/>
    <cellStyle name="Normal 12 9 2 2 2" xfId="16905" xr:uid="{D9138E39-AFAF-43E7-A4B7-9CDB793338F4}"/>
    <cellStyle name="Normal 12 9 2 3" xfId="12687" xr:uid="{0C9FB16C-7EA9-45AB-A8D1-61AEFC0CD25F}"/>
    <cellStyle name="Normal 12 9 3" xfId="6318" xr:uid="{00000000-0005-0000-0000-0000690E0000}"/>
    <cellStyle name="Normal 12 9 3 2" xfId="14760" xr:uid="{BDDBB895-6BFF-4A1B-B4CF-8BC72C191406}"/>
    <cellStyle name="Normal 12 9 4" xfId="10542" xr:uid="{2081C237-310B-4B52-8B32-90977958C8CE}"/>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5683EFA1-DD67-4D6B-83CA-7DFE6669D547}"/>
    <cellStyle name="Normal 14 2 2 3" xfId="11456" xr:uid="{891C1805-9E51-4BAB-B284-5139F57BBFFC}"/>
    <cellStyle name="Normal 14 2 3" xfId="5087" xr:uid="{00000000-0005-0000-0000-0000700E0000}"/>
    <cellStyle name="Normal 14 2 3 2" xfId="13529" xr:uid="{115F67C6-A461-4EE5-A17A-B714A33ABEAC}"/>
    <cellStyle name="Normal 14 2 4" xfId="9311" xr:uid="{E6311AEA-53E1-4CC0-B547-DFF6CFBB567A}"/>
    <cellStyle name="Normal 14 3" xfId="1191" xr:uid="{00000000-0005-0000-0000-0000710E0000}"/>
    <cellStyle name="Normal 14 3 2" xfId="3422" xr:uid="{00000000-0005-0000-0000-0000720E0000}"/>
    <cellStyle name="Normal 14 3 2 2" xfId="7645" xr:uid="{00000000-0005-0000-0000-0000730E0000}"/>
    <cellStyle name="Normal 14 3 2 2 2" xfId="16087" xr:uid="{C1CBF81B-2580-445C-88DB-12C66885BCD7}"/>
    <cellStyle name="Normal 14 3 2 3" xfId="11869" xr:uid="{69E4CB4D-E861-4F43-857C-F73117D4F93C}"/>
    <cellStyle name="Normal 14 3 3" xfId="5500" xr:uid="{00000000-0005-0000-0000-0000740E0000}"/>
    <cellStyle name="Normal 14 3 3 2" xfId="13942" xr:uid="{59CF1FD2-198F-42E8-BB0B-34E2E4BC4601}"/>
    <cellStyle name="Normal 14 3 4" xfId="9724" xr:uid="{30A6F27B-88E3-4BFE-9504-243B7307F47B}"/>
    <cellStyle name="Normal 14 4" xfId="1605" xr:uid="{00000000-0005-0000-0000-0000750E0000}"/>
    <cellStyle name="Normal 14 4 2" xfId="3835" xr:uid="{00000000-0005-0000-0000-0000760E0000}"/>
    <cellStyle name="Normal 14 4 2 2" xfId="8058" xr:uid="{00000000-0005-0000-0000-0000770E0000}"/>
    <cellStyle name="Normal 14 4 2 2 2" xfId="16500" xr:uid="{513AC930-68BA-444F-BAAD-BB00A6D2FD68}"/>
    <cellStyle name="Normal 14 4 2 3" xfId="12282" xr:uid="{613665BC-3870-4546-971E-31DAD45CBBC5}"/>
    <cellStyle name="Normal 14 4 3" xfId="5913" xr:uid="{00000000-0005-0000-0000-0000780E0000}"/>
    <cellStyle name="Normal 14 4 3 2" xfId="14355" xr:uid="{66D4BA40-221B-4FD3-A978-EBC16D18B185}"/>
    <cellStyle name="Normal 14 4 4" xfId="10137" xr:uid="{A14DD86C-CA95-485C-BD3B-713C99EA9AA9}"/>
    <cellStyle name="Normal 14 5" xfId="2019" xr:uid="{00000000-0005-0000-0000-0000790E0000}"/>
    <cellStyle name="Normal 14 5 2" xfId="4248" xr:uid="{00000000-0005-0000-0000-00007A0E0000}"/>
    <cellStyle name="Normal 14 5 2 2" xfId="8471" xr:uid="{00000000-0005-0000-0000-00007B0E0000}"/>
    <cellStyle name="Normal 14 5 2 2 2" xfId="16913" xr:uid="{EB848DC4-612A-4C35-9AF5-ACF9CDCF4869}"/>
    <cellStyle name="Normal 14 5 2 3" xfId="12695" xr:uid="{5E1AA6C6-6307-4CEB-818A-AF00512E6773}"/>
    <cellStyle name="Normal 14 5 3" xfId="6326" xr:uid="{00000000-0005-0000-0000-00007C0E0000}"/>
    <cellStyle name="Normal 14 5 3 2" xfId="14768" xr:uid="{E28DF540-B712-4BE5-9674-6F56BC768E74}"/>
    <cellStyle name="Normal 14 5 4" xfId="10550" xr:uid="{B8EBBD79-9791-4661-917F-C80CE0A805C8}"/>
    <cellStyle name="Normal 14 6" xfId="2455" xr:uid="{00000000-0005-0000-0000-00007D0E0000}"/>
    <cellStyle name="Normal 14 6 2" xfId="6739" xr:uid="{00000000-0005-0000-0000-00007E0E0000}"/>
    <cellStyle name="Normal 14 6 2 2" xfId="15181" xr:uid="{216290D9-9DE8-48B5-8D4F-31092CBE1B0D}"/>
    <cellStyle name="Normal 14 6 3" xfId="10963" xr:uid="{7A7679DF-02F1-40E5-9244-6CE6800CEDFB}"/>
    <cellStyle name="Normal 14 7" xfId="4673" xr:uid="{00000000-0005-0000-0000-00007F0E0000}"/>
    <cellStyle name="Normal 14 7 2" xfId="13115" xr:uid="{C7D1C8E7-2624-42AA-A18B-79F35477C603}"/>
    <cellStyle name="Normal 14 8" xfId="8897" xr:uid="{3C644085-76A3-4F82-A7D1-78C7E4271A3F}"/>
    <cellStyle name="Normal 15" xfId="4496" xr:uid="{00000000-0005-0000-0000-0000800E0000}"/>
    <cellStyle name="Normal 15 2" xfId="12941" xr:uid="{8591619B-ECD3-41BF-8CDB-6CAF3771F53A}"/>
    <cellStyle name="Normal 16" xfId="4500" xr:uid="{00000000-0005-0000-0000-0000810E0000}"/>
    <cellStyle name="Normal 16 2" xfId="8716" xr:uid="{00000000-0005-0000-0000-0000820E0000}"/>
    <cellStyle name="Normal 16 2 2" xfId="17158" xr:uid="{CAC9DE01-67B4-4A51-A7AE-468FFAAAA9D9}"/>
    <cellStyle name="Normal 16 3" xfId="8719" xr:uid="{3DE1BEEB-61FA-4094-B10F-9E0444F68763}"/>
    <cellStyle name="Normal 16 3 2" xfId="8723" xr:uid="{FE0BC069-4698-40B2-814D-8E09719245E9}"/>
    <cellStyle name="Normal 16 3 2 2" xfId="8726" xr:uid="{D3E9609F-293A-4CFC-B194-1FF2F92D621D}"/>
    <cellStyle name="Normal 16 3 2 2 2" xfId="17167" xr:uid="{E28F3651-56F8-40E6-A525-D77C24A7448A}"/>
    <cellStyle name="Normal 16 3 2 3" xfId="17164" xr:uid="{DD5EBBA6-F013-40AF-B12E-55828319B14B}"/>
    <cellStyle name="Normal 16 3 3" xfId="17161" xr:uid="{936C4297-F087-4CAC-A400-EDCF62DD61A8}"/>
    <cellStyle name="Normal 16 4" xfId="12944" xr:uid="{C8002BE8-FF4F-4DFE-BF10-23005920191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97B0D46-853D-4883-8B28-E179806F4904}"/>
    <cellStyle name="Normal 2 4 2 10 2 3" xfId="12696" xr:uid="{1547A664-D0B0-418F-858D-865D897E8FC3}"/>
    <cellStyle name="Normal 2 4 2 10 3" xfId="6327" xr:uid="{00000000-0005-0000-0000-0000910E0000}"/>
    <cellStyle name="Normal 2 4 2 10 3 2" xfId="14769" xr:uid="{97E01EC3-5332-4546-81C1-347198F9AF59}"/>
    <cellStyle name="Normal 2 4 2 10 4" xfId="10551" xr:uid="{29F130D9-0072-4BC2-AEB8-E3C631A4FC23}"/>
    <cellStyle name="Normal 2 4 2 11" xfId="2456" xr:uid="{00000000-0005-0000-0000-0000920E0000}"/>
    <cellStyle name="Normal 2 4 2 11 2" xfId="6740" xr:uid="{00000000-0005-0000-0000-0000930E0000}"/>
    <cellStyle name="Normal 2 4 2 11 2 2" xfId="15182" xr:uid="{90A8370D-DF12-4234-BB8B-357368BD4BC4}"/>
    <cellStyle name="Normal 2 4 2 11 3" xfId="10964" xr:uid="{B2A80A63-2350-4DFF-ABB4-6C1C42506899}"/>
    <cellStyle name="Normal 2 4 2 12" xfId="4674" xr:uid="{00000000-0005-0000-0000-0000940E0000}"/>
    <cellStyle name="Normal 2 4 2 12 2" xfId="13116" xr:uid="{B24D1186-C6C9-451B-9207-EF91B41C4828}"/>
    <cellStyle name="Normal 2 4 2 13" xfId="8898" xr:uid="{219705EB-C804-4EEE-B740-DC9729087F9F}"/>
    <cellStyle name="Normal 2 4 2 2" xfId="280" xr:uid="{00000000-0005-0000-0000-0000950E0000}"/>
    <cellStyle name="Normal 2 4 2 3" xfId="281" xr:uid="{00000000-0005-0000-0000-0000960E0000}"/>
    <cellStyle name="Normal 2 4 2 3 10" xfId="4675" xr:uid="{00000000-0005-0000-0000-0000970E0000}"/>
    <cellStyle name="Normal 2 4 2 3 10 2" xfId="13117" xr:uid="{EE90FF78-52FA-479D-A257-F86E84EBFFF1}"/>
    <cellStyle name="Normal 2 4 2 3 11" xfId="8899" xr:uid="{ED76787F-301F-4B95-9D03-61E7775A71BD}"/>
    <cellStyle name="Normal 2 4 2 3 2" xfId="282" xr:uid="{00000000-0005-0000-0000-0000980E0000}"/>
    <cellStyle name="Normal 2 4 2 3 2 10" xfId="8900" xr:uid="{B0FBFBE4-6EEB-4D66-A146-7A830769C27A}"/>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42AE243-0E9C-4A93-B3A7-4495AF7A85C9}"/>
    <cellStyle name="Normal 2 4 2 3 2 2 2 2 2 3" xfId="11461" xr:uid="{AA1701C8-1056-43AE-AC71-3C2CCBB9B47B}"/>
    <cellStyle name="Normal 2 4 2 3 2 2 2 2 3" xfId="5092" xr:uid="{00000000-0005-0000-0000-00009E0E0000}"/>
    <cellStyle name="Normal 2 4 2 3 2 2 2 2 3 2" xfId="13534" xr:uid="{64E5EB2A-07D7-4CF5-9183-5D4FA12B319D}"/>
    <cellStyle name="Normal 2 4 2 3 2 2 2 2 4" xfId="9316" xr:uid="{7E6402E6-5820-4B85-A906-5B9DCB503A1A}"/>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F7D79F8A-C372-46A4-9B59-4C6CC5FA911D}"/>
    <cellStyle name="Normal 2 4 2 3 2 2 2 3 2 3" xfId="11874" xr:uid="{161384B9-A3E0-4CE6-A620-A24A3952DC38}"/>
    <cellStyle name="Normal 2 4 2 3 2 2 2 3 3" xfId="5505" xr:uid="{00000000-0005-0000-0000-0000A20E0000}"/>
    <cellStyle name="Normal 2 4 2 3 2 2 2 3 3 2" xfId="13947" xr:uid="{9ABB4C40-3786-4481-91DF-BE6CB05A0D26}"/>
    <cellStyle name="Normal 2 4 2 3 2 2 2 3 4" xfId="9729" xr:uid="{F9D813D8-B845-4382-B9DF-AFC897DEEE02}"/>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410D1B07-EB33-40FA-994E-2EAF508FA711}"/>
    <cellStyle name="Normal 2 4 2 3 2 2 2 4 2 3" xfId="12287" xr:uid="{F0B64DE3-E938-401E-AD03-CA3797002979}"/>
    <cellStyle name="Normal 2 4 2 3 2 2 2 4 3" xfId="5918" xr:uid="{00000000-0005-0000-0000-0000A60E0000}"/>
    <cellStyle name="Normal 2 4 2 3 2 2 2 4 3 2" xfId="14360" xr:uid="{93C482B8-92F6-487A-B604-F57780A5EA60}"/>
    <cellStyle name="Normal 2 4 2 3 2 2 2 4 4" xfId="10142" xr:uid="{E5A74F7C-63A0-42FC-B464-1DA3B3CCDC79}"/>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48A64490-7945-4CDF-9EA2-F2ADA63E2C63}"/>
    <cellStyle name="Normal 2 4 2 3 2 2 2 5 2 3" xfId="12700" xr:uid="{D0E28977-9CD7-4720-A4FF-4218207E2A6B}"/>
    <cellStyle name="Normal 2 4 2 3 2 2 2 5 3" xfId="6331" xr:uid="{00000000-0005-0000-0000-0000AA0E0000}"/>
    <cellStyle name="Normal 2 4 2 3 2 2 2 5 3 2" xfId="14773" xr:uid="{42379BED-3A8E-496D-9494-F1E1DB01AE12}"/>
    <cellStyle name="Normal 2 4 2 3 2 2 2 5 4" xfId="10555" xr:uid="{6E381AF8-BED5-4C65-8461-10A20142C4BB}"/>
    <cellStyle name="Normal 2 4 2 3 2 2 2 6" xfId="2460" xr:uid="{00000000-0005-0000-0000-0000AB0E0000}"/>
    <cellStyle name="Normal 2 4 2 3 2 2 2 6 2" xfId="6744" xr:uid="{00000000-0005-0000-0000-0000AC0E0000}"/>
    <cellStyle name="Normal 2 4 2 3 2 2 2 6 2 2" xfId="15186" xr:uid="{3B1FD9CF-11ED-4537-A1FB-E3A818957872}"/>
    <cellStyle name="Normal 2 4 2 3 2 2 2 6 3" xfId="10968" xr:uid="{34CFBA5C-80DE-4ED1-B451-FB8891E58CE8}"/>
    <cellStyle name="Normal 2 4 2 3 2 2 2 7" xfId="4678" xr:uid="{00000000-0005-0000-0000-0000AD0E0000}"/>
    <cellStyle name="Normal 2 4 2 3 2 2 2 7 2" xfId="13120" xr:uid="{772760C4-D9A9-4B1D-9BA4-5A935F7170A5}"/>
    <cellStyle name="Normal 2 4 2 3 2 2 2 8" xfId="8902" xr:uid="{959F6CE2-FC7B-4AE3-AE04-652DC2D07AA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F7331974-7152-4642-B1E5-D2CE23B74D3D}"/>
    <cellStyle name="Normal 2 4 2 3 2 2 3 2 3" xfId="11460" xr:uid="{E36BEDD4-2007-4DC6-8EE5-A54873B6C8F4}"/>
    <cellStyle name="Normal 2 4 2 3 2 2 3 3" xfId="5091" xr:uid="{00000000-0005-0000-0000-0000B10E0000}"/>
    <cellStyle name="Normal 2 4 2 3 2 2 3 3 2" xfId="13533" xr:uid="{0EC842AC-FB46-4A73-950E-E321F2758FE2}"/>
    <cellStyle name="Normal 2 4 2 3 2 2 3 4" xfId="9315" xr:uid="{1F4D67AC-496A-4B4F-9FE9-DF78ECD423D5}"/>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CA36BFB9-E33A-49BB-A279-51532425BEF6}"/>
    <cellStyle name="Normal 2 4 2 3 2 2 4 2 3" xfId="11873" xr:uid="{0D8B665A-D957-42EC-9512-2ED326C08FDB}"/>
    <cellStyle name="Normal 2 4 2 3 2 2 4 3" xfId="5504" xr:uid="{00000000-0005-0000-0000-0000B50E0000}"/>
    <cellStyle name="Normal 2 4 2 3 2 2 4 3 2" xfId="13946" xr:uid="{47055ECE-9E5C-4FBC-B72E-709C8E9351AE}"/>
    <cellStyle name="Normal 2 4 2 3 2 2 4 4" xfId="9728" xr:uid="{DF22A822-5272-410F-904D-57714B3F966B}"/>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76ADD12B-EA50-4905-BC62-791772C0B391}"/>
    <cellStyle name="Normal 2 4 2 3 2 2 5 2 3" xfId="12286" xr:uid="{6DFCDC81-DC4C-4D86-8FB0-BC0FC790E35C}"/>
    <cellStyle name="Normal 2 4 2 3 2 2 5 3" xfId="5917" xr:uid="{00000000-0005-0000-0000-0000B90E0000}"/>
    <cellStyle name="Normal 2 4 2 3 2 2 5 3 2" xfId="14359" xr:uid="{D1F1669C-E7D2-49B2-95C7-41BB6880DC14}"/>
    <cellStyle name="Normal 2 4 2 3 2 2 5 4" xfId="10141" xr:uid="{5E13B85D-9287-4035-B2F1-8E20BF8E2F38}"/>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153A5323-99DE-4D0A-9A11-33000751FF3D}"/>
    <cellStyle name="Normal 2 4 2 3 2 2 6 2 3" xfId="12699" xr:uid="{FC824EA9-616F-4324-938E-A7A13C23AF16}"/>
    <cellStyle name="Normal 2 4 2 3 2 2 6 3" xfId="6330" xr:uid="{00000000-0005-0000-0000-0000BD0E0000}"/>
    <cellStyle name="Normal 2 4 2 3 2 2 6 3 2" xfId="14772" xr:uid="{ABF677AE-2536-4208-BD40-0B6C3CE1B547}"/>
    <cellStyle name="Normal 2 4 2 3 2 2 6 4" xfId="10554" xr:uid="{CDBF3D67-BFCC-4DDA-8F1C-3679470FA78B}"/>
    <cellStyle name="Normal 2 4 2 3 2 2 7" xfId="2459" xr:uid="{00000000-0005-0000-0000-0000BE0E0000}"/>
    <cellStyle name="Normal 2 4 2 3 2 2 7 2" xfId="6743" xr:uid="{00000000-0005-0000-0000-0000BF0E0000}"/>
    <cellStyle name="Normal 2 4 2 3 2 2 7 2 2" xfId="15185" xr:uid="{7CD17155-AC2B-4C90-BB36-47001E8446DD}"/>
    <cellStyle name="Normal 2 4 2 3 2 2 7 3" xfId="10967" xr:uid="{319D918E-3420-4691-AD22-1CAC63586974}"/>
    <cellStyle name="Normal 2 4 2 3 2 2 8" xfId="4677" xr:uid="{00000000-0005-0000-0000-0000C00E0000}"/>
    <cellStyle name="Normal 2 4 2 3 2 2 8 2" xfId="13119" xr:uid="{602C9224-D3CD-47E7-BA9B-FDF1B1785BC9}"/>
    <cellStyle name="Normal 2 4 2 3 2 2 9" xfId="8901" xr:uid="{321EE436-50BC-44B0-88CB-932DCF2A216E}"/>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0EDBC414-7BD9-4F0C-B178-DEF09419C340}"/>
    <cellStyle name="Normal 2 4 2 3 2 3 2 2 3" xfId="11462" xr:uid="{83CFC272-F308-48D0-B2D3-761DCA98A760}"/>
    <cellStyle name="Normal 2 4 2 3 2 3 2 3" xfId="5093" xr:uid="{00000000-0005-0000-0000-0000C50E0000}"/>
    <cellStyle name="Normal 2 4 2 3 2 3 2 3 2" xfId="13535" xr:uid="{690154C2-AF9D-42DD-90B4-BF5E664FF65D}"/>
    <cellStyle name="Normal 2 4 2 3 2 3 2 4" xfId="9317" xr:uid="{03F0C815-7157-4289-8C72-C96D2FAA7CF1}"/>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F78CAC3D-DD6E-4A36-8275-E194E880C5C0}"/>
    <cellStyle name="Normal 2 4 2 3 2 3 3 2 3" xfId="11875" xr:uid="{7F57926A-F970-46FA-8D31-0B9BE1E54700}"/>
    <cellStyle name="Normal 2 4 2 3 2 3 3 3" xfId="5506" xr:uid="{00000000-0005-0000-0000-0000C90E0000}"/>
    <cellStyle name="Normal 2 4 2 3 2 3 3 3 2" xfId="13948" xr:uid="{F21B76CA-65BD-430C-87BB-EF65055E65E5}"/>
    <cellStyle name="Normal 2 4 2 3 2 3 3 4" xfId="9730" xr:uid="{1C2316DA-CC4A-4BF1-8EAB-AAEB7CB1B3E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D6DE12DA-57E7-4F8A-94E2-AE699B60E526}"/>
    <cellStyle name="Normal 2 4 2 3 2 3 4 2 3" xfId="12288" xr:uid="{9C867F6F-EEDE-4C4D-9B46-635D163A820B}"/>
    <cellStyle name="Normal 2 4 2 3 2 3 4 3" xfId="5919" xr:uid="{00000000-0005-0000-0000-0000CD0E0000}"/>
    <cellStyle name="Normal 2 4 2 3 2 3 4 3 2" xfId="14361" xr:uid="{AF693BE0-40E1-4BEE-969E-ACA5586B9C34}"/>
    <cellStyle name="Normal 2 4 2 3 2 3 4 4" xfId="10143" xr:uid="{627378BF-2E2F-4509-A8B4-0AF2DEA331A8}"/>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C69259D5-0EEF-41E1-9465-F11931F44F67}"/>
    <cellStyle name="Normal 2 4 2 3 2 3 5 2 3" xfId="12701" xr:uid="{AA9F2711-929C-43B6-B7F1-3E1558C43525}"/>
    <cellStyle name="Normal 2 4 2 3 2 3 5 3" xfId="6332" xr:uid="{00000000-0005-0000-0000-0000D10E0000}"/>
    <cellStyle name="Normal 2 4 2 3 2 3 5 3 2" xfId="14774" xr:uid="{EC9BFDE6-B15B-4654-89B6-85F134070047}"/>
    <cellStyle name="Normal 2 4 2 3 2 3 5 4" xfId="10556" xr:uid="{77E96B2A-CEE2-4761-8B24-A24CD8BE965E}"/>
    <cellStyle name="Normal 2 4 2 3 2 3 6" xfId="2461" xr:uid="{00000000-0005-0000-0000-0000D20E0000}"/>
    <cellStyle name="Normal 2 4 2 3 2 3 6 2" xfId="6745" xr:uid="{00000000-0005-0000-0000-0000D30E0000}"/>
    <cellStyle name="Normal 2 4 2 3 2 3 6 2 2" xfId="15187" xr:uid="{411868F2-79A1-4E68-84FB-7323A4D140EB}"/>
    <cellStyle name="Normal 2 4 2 3 2 3 6 3" xfId="10969" xr:uid="{9EDE7555-B640-4A2B-83CF-6FF4E77DBFFA}"/>
    <cellStyle name="Normal 2 4 2 3 2 3 7" xfId="4679" xr:uid="{00000000-0005-0000-0000-0000D40E0000}"/>
    <cellStyle name="Normal 2 4 2 3 2 3 7 2" xfId="13121" xr:uid="{6C380EDA-976B-447B-8F48-1397E42D8217}"/>
    <cellStyle name="Normal 2 4 2 3 2 3 8" xfId="8903" xr:uid="{201F3B9B-168F-4B8A-B66E-AE9884036018}"/>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D75FFD1B-F6C4-48E2-8B70-FA78625ABD57}"/>
    <cellStyle name="Normal 2 4 2 3 2 4 2 3" xfId="11459" xr:uid="{73CE0160-81A8-4059-862F-964907792B72}"/>
    <cellStyle name="Normal 2 4 2 3 2 4 3" xfId="5090" xr:uid="{00000000-0005-0000-0000-0000D80E0000}"/>
    <cellStyle name="Normal 2 4 2 3 2 4 3 2" xfId="13532" xr:uid="{E582E546-2449-42A6-95B1-0B96BDE783C8}"/>
    <cellStyle name="Normal 2 4 2 3 2 4 4" xfId="9314" xr:uid="{77992893-6322-4CC8-A495-70332097AFBB}"/>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3532F2F5-4563-4DCF-AD99-D59F090CD951}"/>
    <cellStyle name="Normal 2 4 2 3 2 5 2 3" xfId="11872" xr:uid="{3C9E139F-B9D7-40A7-A97F-E4EE24B9A1C4}"/>
    <cellStyle name="Normal 2 4 2 3 2 5 3" xfId="5503" xr:uid="{00000000-0005-0000-0000-0000DC0E0000}"/>
    <cellStyle name="Normal 2 4 2 3 2 5 3 2" xfId="13945" xr:uid="{60579E0B-5A65-4B60-B9F0-12D1E94ECE8C}"/>
    <cellStyle name="Normal 2 4 2 3 2 5 4" xfId="9727" xr:uid="{34BF5CE8-E06D-4A8A-8D2D-11F80894D889}"/>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E83DB840-0B53-4C9A-95BA-45685DE78C2E}"/>
    <cellStyle name="Normal 2 4 2 3 2 6 2 3" xfId="12285" xr:uid="{18A10A5D-4454-441B-9D9F-7A402D027F09}"/>
    <cellStyle name="Normal 2 4 2 3 2 6 3" xfId="5916" xr:uid="{00000000-0005-0000-0000-0000E00E0000}"/>
    <cellStyle name="Normal 2 4 2 3 2 6 3 2" xfId="14358" xr:uid="{34D07C88-E2C1-4E4B-B7F0-4AEC3722564E}"/>
    <cellStyle name="Normal 2 4 2 3 2 6 4" xfId="10140" xr:uid="{4CF94961-D289-4E05-9C76-CC8A06020E9D}"/>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C479E8AC-B829-44D9-9121-B3BF6A8081DA}"/>
    <cellStyle name="Normal 2 4 2 3 2 7 2 3" xfId="12698" xr:uid="{3C079F3A-24B6-4CA2-81E8-B110276E1B4B}"/>
    <cellStyle name="Normal 2 4 2 3 2 7 3" xfId="6329" xr:uid="{00000000-0005-0000-0000-0000E40E0000}"/>
    <cellStyle name="Normal 2 4 2 3 2 7 3 2" xfId="14771" xr:uid="{2D1F4D31-F857-4B58-8F70-33491A6B2179}"/>
    <cellStyle name="Normal 2 4 2 3 2 7 4" xfId="10553" xr:uid="{FBD3AC93-6A66-4235-9346-134941C7A530}"/>
    <cellStyle name="Normal 2 4 2 3 2 8" xfId="2458" xr:uid="{00000000-0005-0000-0000-0000E50E0000}"/>
    <cellStyle name="Normal 2 4 2 3 2 8 2" xfId="6742" xr:uid="{00000000-0005-0000-0000-0000E60E0000}"/>
    <cellStyle name="Normal 2 4 2 3 2 8 2 2" xfId="15184" xr:uid="{12C6A431-54B2-4FAB-A5EC-8E600899F65B}"/>
    <cellStyle name="Normal 2 4 2 3 2 8 3" xfId="10966" xr:uid="{B84E0B07-A920-4734-AD00-92D90044F856}"/>
    <cellStyle name="Normal 2 4 2 3 2 9" xfId="4676" xr:uid="{00000000-0005-0000-0000-0000E70E0000}"/>
    <cellStyle name="Normal 2 4 2 3 2 9 2" xfId="13118" xr:uid="{46EB5351-48EF-49AB-8364-A2386DB2E5C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887A2E43-76B6-4991-A29E-2F9B7CD30C45}"/>
    <cellStyle name="Normal 2 4 2 3 3 2 2 2 3" xfId="11464" xr:uid="{7A68E233-FB91-4648-874C-AB2F0011521E}"/>
    <cellStyle name="Normal 2 4 2 3 3 2 2 3" xfId="5095" xr:uid="{00000000-0005-0000-0000-0000ED0E0000}"/>
    <cellStyle name="Normal 2 4 2 3 3 2 2 3 2" xfId="13537" xr:uid="{50CDCFEC-DEC9-4618-BB88-3934194CCC09}"/>
    <cellStyle name="Normal 2 4 2 3 3 2 2 4" xfId="9319" xr:uid="{4799CBAF-BE63-49E3-A6EF-F5E9D1C58ED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7D64D722-4900-4CAE-8739-6831F02AF0B2}"/>
    <cellStyle name="Normal 2 4 2 3 3 2 3 2 3" xfId="11877" xr:uid="{6F87A46A-35FB-455A-ADCA-66A348BF0E6E}"/>
    <cellStyle name="Normal 2 4 2 3 3 2 3 3" xfId="5508" xr:uid="{00000000-0005-0000-0000-0000F10E0000}"/>
    <cellStyle name="Normal 2 4 2 3 3 2 3 3 2" xfId="13950" xr:uid="{BA98E804-8483-4B38-B781-1561E6B38F9E}"/>
    <cellStyle name="Normal 2 4 2 3 3 2 3 4" xfId="9732" xr:uid="{DD7885EF-31C1-45BD-A10B-8C156C43C0C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E6C9C512-6054-479A-84F2-C2A2F387B2D6}"/>
    <cellStyle name="Normal 2 4 2 3 3 2 4 2 3" xfId="12290" xr:uid="{672271A6-BA9D-4CB2-B043-03259BB78B13}"/>
    <cellStyle name="Normal 2 4 2 3 3 2 4 3" xfId="5921" xr:uid="{00000000-0005-0000-0000-0000F50E0000}"/>
    <cellStyle name="Normal 2 4 2 3 3 2 4 3 2" xfId="14363" xr:uid="{8E042B75-125A-40A8-A38E-23DB0E32030F}"/>
    <cellStyle name="Normal 2 4 2 3 3 2 4 4" xfId="10145" xr:uid="{767CF3B1-60EB-40F5-816F-085D5827BF3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A5D72B18-9917-43E1-9E6D-D8EE79B337B0}"/>
    <cellStyle name="Normal 2 4 2 3 3 2 5 2 3" xfId="12703" xr:uid="{024A25C9-82A0-400C-AF88-A8149885253D}"/>
    <cellStyle name="Normal 2 4 2 3 3 2 5 3" xfId="6334" xr:uid="{00000000-0005-0000-0000-0000F90E0000}"/>
    <cellStyle name="Normal 2 4 2 3 3 2 5 3 2" xfId="14776" xr:uid="{FFB8C5C5-B689-431D-9084-EEE3FDB199E8}"/>
    <cellStyle name="Normal 2 4 2 3 3 2 5 4" xfId="10558" xr:uid="{68D85DCD-0D1F-4391-B66D-9676822D8935}"/>
    <cellStyle name="Normal 2 4 2 3 3 2 6" xfId="2463" xr:uid="{00000000-0005-0000-0000-0000FA0E0000}"/>
    <cellStyle name="Normal 2 4 2 3 3 2 6 2" xfId="6747" xr:uid="{00000000-0005-0000-0000-0000FB0E0000}"/>
    <cellStyle name="Normal 2 4 2 3 3 2 6 2 2" xfId="15189" xr:uid="{2C9DCDEE-DFB6-4DB2-92F2-9371E1ED9A1E}"/>
    <cellStyle name="Normal 2 4 2 3 3 2 6 3" xfId="10971" xr:uid="{2A06458C-CFA3-4C4C-82CF-70237C8AEA52}"/>
    <cellStyle name="Normal 2 4 2 3 3 2 7" xfId="4681" xr:uid="{00000000-0005-0000-0000-0000FC0E0000}"/>
    <cellStyle name="Normal 2 4 2 3 3 2 7 2" xfId="13123" xr:uid="{7988DDAC-ECAD-4FE3-8E0A-0BB02DBFF035}"/>
    <cellStyle name="Normal 2 4 2 3 3 2 8" xfId="8905" xr:uid="{1ABC089D-62C1-4FE4-8464-74E8BB89628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3F78A311-4819-4374-99EC-CB26EDF4F4A8}"/>
    <cellStyle name="Normal 2 4 2 3 3 3 2 3" xfId="11463" xr:uid="{DABCFE92-F6BF-4C2F-848D-D73A5A359F0D}"/>
    <cellStyle name="Normal 2 4 2 3 3 3 3" xfId="5094" xr:uid="{00000000-0005-0000-0000-0000000F0000}"/>
    <cellStyle name="Normal 2 4 2 3 3 3 3 2" xfId="13536" xr:uid="{81A3707E-4A37-4A77-85FF-21B4909BE2C0}"/>
    <cellStyle name="Normal 2 4 2 3 3 3 4" xfId="9318" xr:uid="{FC5AF47D-342E-491D-81C1-2D7C7CCC8BA6}"/>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DF51B1E8-6C8D-4CB4-8C80-3B976F1BC7C0}"/>
    <cellStyle name="Normal 2 4 2 3 3 4 2 3" xfId="11876" xr:uid="{177608A2-7731-43B9-922B-80CF873B8D37}"/>
    <cellStyle name="Normal 2 4 2 3 3 4 3" xfId="5507" xr:uid="{00000000-0005-0000-0000-0000040F0000}"/>
    <cellStyle name="Normal 2 4 2 3 3 4 3 2" xfId="13949" xr:uid="{9C723306-8833-4166-92DB-1BD4E4DD74F6}"/>
    <cellStyle name="Normal 2 4 2 3 3 4 4" xfId="9731" xr:uid="{FFCB5AAD-0460-4940-9661-5F978F450F51}"/>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91A51DA2-2AF7-4672-9302-6D5E6DD2C0AB}"/>
    <cellStyle name="Normal 2 4 2 3 3 5 2 3" xfId="12289" xr:uid="{69D14AAE-2C42-41BB-8197-684B35D61FC6}"/>
    <cellStyle name="Normal 2 4 2 3 3 5 3" xfId="5920" xr:uid="{00000000-0005-0000-0000-0000080F0000}"/>
    <cellStyle name="Normal 2 4 2 3 3 5 3 2" xfId="14362" xr:uid="{AC2918D8-E88D-4071-A63B-33C8C1363726}"/>
    <cellStyle name="Normal 2 4 2 3 3 5 4" xfId="10144" xr:uid="{9777AB4E-6F80-41D2-98FA-FC35F8583813}"/>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F76BD199-6724-44EC-99E5-BF15960D75A2}"/>
    <cellStyle name="Normal 2 4 2 3 3 6 2 3" xfId="12702" xr:uid="{F0CDB9CC-F1B7-4546-8146-8ACC87172EF6}"/>
    <cellStyle name="Normal 2 4 2 3 3 6 3" xfId="6333" xr:uid="{00000000-0005-0000-0000-00000C0F0000}"/>
    <cellStyle name="Normal 2 4 2 3 3 6 3 2" xfId="14775" xr:uid="{9F8DED25-E4D6-4361-93CA-3CB03441E4BB}"/>
    <cellStyle name="Normal 2 4 2 3 3 6 4" xfId="10557" xr:uid="{0FCB7995-5629-45FA-AC9D-F12E0DD257CE}"/>
    <cellStyle name="Normal 2 4 2 3 3 7" xfId="2462" xr:uid="{00000000-0005-0000-0000-00000D0F0000}"/>
    <cellStyle name="Normal 2 4 2 3 3 7 2" xfId="6746" xr:uid="{00000000-0005-0000-0000-00000E0F0000}"/>
    <cellStyle name="Normal 2 4 2 3 3 7 2 2" xfId="15188" xr:uid="{7C668FEA-81B0-450A-B725-3F705DACFE48}"/>
    <cellStyle name="Normal 2 4 2 3 3 7 3" xfId="10970" xr:uid="{6767F108-B1EA-479B-B1A7-01EBDD0DF9AA}"/>
    <cellStyle name="Normal 2 4 2 3 3 8" xfId="4680" xr:uid="{00000000-0005-0000-0000-00000F0F0000}"/>
    <cellStyle name="Normal 2 4 2 3 3 8 2" xfId="13122" xr:uid="{47057B3C-098B-43DD-87D5-BFB71A3BE0E5}"/>
    <cellStyle name="Normal 2 4 2 3 3 9" xfId="8904" xr:uid="{B92359B6-E21D-4E78-B98F-837EE906B7E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9C1CDD8E-D1DE-4BD9-B970-B415FDD4619C}"/>
    <cellStyle name="Normal 2 4 2 3 4 2 2 3" xfId="11465" xr:uid="{D6D365D1-FE5E-43EB-B27D-7C92740BC9CF}"/>
    <cellStyle name="Normal 2 4 2 3 4 2 3" xfId="5096" xr:uid="{00000000-0005-0000-0000-0000140F0000}"/>
    <cellStyle name="Normal 2 4 2 3 4 2 3 2" xfId="13538" xr:uid="{6A3E49CA-48E7-4842-BB74-82F238900DD5}"/>
    <cellStyle name="Normal 2 4 2 3 4 2 4" xfId="9320" xr:uid="{0108CA62-4E29-487E-B9D1-6E76AD86C91D}"/>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13B04872-1608-4C7D-98D3-197EAFB2BDC5}"/>
    <cellStyle name="Normal 2 4 2 3 4 3 2 3" xfId="11878" xr:uid="{A573BDC5-92C5-4B08-8CAC-4554BB94B006}"/>
    <cellStyle name="Normal 2 4 2 3 4 3 3" xfId="5509" xr:uid="{00000000-0005-0000-0000-0000180F0000}"/>
    <cellStyle name="Normal 2 4 2 3 4 3 3 2" xfId="13951" xr:uid="{928A933E-0F16-4898-9F07-D2580AD8B377}"/>
    <cellStyle name="Normal 2 4 2 3 4 3 4" xfId="9733" xr:uid="{FDD73E02-01F7-42E2-9F42-3E56650FAD43}"/>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3A1DF9CA-D3CD-43FB-908F-012A25CF233B}"/>
    <cellStyle name="Normal 2 4 2 3 4 4 2 3" xfId="12291" xr:uid="{2F32B3C3-21EA-4A64-91A9-EDDEC0A67E47}"/>
    <cellStyle name="Normal 2 4 2 3 4 4 3" xfId="5922" xr:uid="{00000000-0005-0000-0000-00001C0F0000}"/>
    <cellStyle name="Normal 2 4 2 3 4 4 3 2" xfId="14364" xr:uid="{E7EEA365-0660-448A-BCFC-681B322F13D1}"/>
    <cellStyle name="Normal 2 4 2 3 4 4 4" xfId="10146" xr:uid="{D22BD80E-8030-4680-A278-825B27D4A87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F778CC04-6ADB-40AF-B930-B2DA39A6CCC9}"/>
    <cellStyle name="Normal 2 4 2 3 4 5 2 3" xfId="12704" xr:uid="{D3773B52-76A8-4BEE-9C8B-B0A4365110C3}"/>
    <cellStyle name="Normal 2 4 2 3 4 5 3" xfId="6335" xr:uid="{00000000-0005-0000-0000-0000200F0000}"/>
    <cellStyle name="Normal 2 4 2 3 4 5 3 2" xfId="14777" xr:uid="{A1452D9E-3951-4EC0-B9D7-63805FCBEE0B}"/>
    <cellStyle name="Normal 2 4 2 3 4 5 4" xfId="10559" xr:uid="{AB447C68-9BB5-42FB-B50F-356292F1341E}"/>
    <cellStyle name="Normal 2 4 2 3 4 6" xfId="2464" xr:uid="{00000000-0005-0000-0000-0000210F0000}"/>
    <cellStyle name="Normal 2 4 2 3 4 6 2" xfId="6748" xr:uid="{00000000-0005-0000-0000-0000220F0000}"/>
    <cellStyle name="Normal 2 4 2 3 4 6 2 2" xfId="15190" xr:uid="{4D0D1880-A03C-4489-978D-59AFA9207CBC}"/>
    <cellStyle name="Normal 2 4 2 3 4 6 3" xfId="10972" xr:uid="{691CDFA2-1CF3-49FA-8EDB-4A04E18409C4}"/>
    <cellStyle name="Normal 2 4 2 3 4 7" xfId="4682" xr:uid="{00000000-0005-0000-0000-0000230F0000}"/>
    <cellStyle name="Normal 2 4 2 3 4 7 2" xfId="13124" xr:uid="{87E1169E-C14C-43D2-90D8-B051BBDE3444}"/>
    <cellStyle name="Normal 2 4 2 3 4 8" xfId="8906" xr:uid="{E70603E5-6EB2-4241-AA78-2F378C5F6FF9}"/>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4644D4F3-86A1-4F81-89A4-B2A1E7DAACB7}"/>
    <cellStyle name="Normal 2 4 2 3 5 2 3" xfId="11458" xr:uid="{0F26D0A0-037F-4208-9F0A-68A769AA7445}"/>
    <cellStyle name="Normal 2 4 2 3 5 3" xfId="5089" xr:uid="{00000000-0005-0000-0000-0000270F0000}"/>
    <cellStyle name="Normal 2 4 2 3 5 3 2" xfId="13531" xr:uid="{F4D71E41-B217-4245-AD74-F069BB3D5F9D}"/>
    <cellStyle name="Normal 2 4 2 3 5 4" xfId="9313" xr:uid="{46521D99-2F6C-4E3E-B27E-8880C3529165}"/>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3A8D0745-7808-4CFC-9C9D-25E7E3AE26A6}"/>
    <cellStyle name="Normal 2 4 2 3 6 2 3" xfId="11871" xr:uid="{1903463E-A5C6-4614-8DCB-A5A89651D31C}"/>
    <cellStyle name="Normal 2 4 2 3 6 3" xfId="5502" xr:uid="{00000000-0005-0000-0000-00002B0F0000}"/>
    <cellStyle name="Normal 2 4 2 3 6 3 2" xfId="13944" xr:uid="{E76FDC9D-A4C7-43F1-830E-5DD58E5DCA81}"/>
    <cellStyle name="Normal 2 4 2 3 6 4" xfId="9726" xr:uid="{E77EC763-A399-40E5-BC99-5ABE86A59286}"/>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97122EDF-69A2-4F2E-8A7A-FF4EA8BBBE46}"/>
    <cellStyle name="Normal 2 4 2 3 7 2 3" xfId="12284" xr:uid="{E52696B0-1468-4D4E-8B7A-9A623A4214FB}"/>
    <cellStyle name="Normal 2 4 2 3 7 3" xfId="5915" xr:uid="{00000000-0005-0000-0000-00002F0F0000}"/>
    <cellStyle name="Normal 2 4 2 3 7 3 2" xfId="14357" xr:uid="{C7897A22-4820-46AA-A8B0-5F657A2317D9}"/>
    <cellStyle name="Normal 2 4 2 3 7 4" xfId="10139" xr:uid="{307E6A43-99A1-4311-9B51-D32E9639E0D6}"/>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EA23AAC7-E6C1-43D4-9AEC-0AD9808417F3}"/>
    <cellStyle name="Normal 2 4 2 3 8 2 3" xfId="12697" xr:uid="{C2404F19-4CCF-4762-B518-6518CC956D1D}"/>
    <cellStyle name="Normal 2 4 2 3 8 3" xfId="6328" xr:uid="{00000000-0005-0000-0000-0000330F0000}"/>
    <cellStyle name="Normal 2 4 2 3 8 3 2" xfId="14770" xr:uid="{6053CEB0-2699-4DDA-B06B-14C8B68F6D94}"/>
    <cellStyle name="Normal 2 4 2 3 8 4" xfId="10552" xr:uid="{8B2C0840-8FBE-49B1-BD34-CF3F389957C8}"/>
    <cellStyle name="Normal 2 4 2 3 9" xfId="2457" xr:uid="{00000000-0005-0000-0000-0000340F0000}"/>
    <cellStyle name="Normal 2 4 2 3 9 2" xfId="6741" xr:uid="{00000000-0005-0000-0000-0000350F0000}"/>
    <cellStyle name="Normal 2 4 2 3 9 2 2" xfId="15183" xr:uid="{D0AF7007-153C-4C78-83CB-EB3A87711489}"/>
    <cellStyle name="Normal 2 4 2 3 9 3" xfId="10965" xr:uid="{D4B835BD-3011-488D-8BD8-70703A938370}"/>
    <cellStyle name="Normal 2 4 2 4" xfId="289" xr:uid="{00000000-0005-0000-0000-0000360F0000}"/>
    <cellStyle name="Normal 2 4 2 4 10" xfId="8907" xr:uid="{561612AA-D8AA-43FF-832B-E7175D906C7C}"/>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7EE7BAB8-0DDA-4246-AE57-E605910F7C76}"/>
    <cellStyle name="Normal 2 4 2 4 2 2 2 2 3" xfId="11468" xr:uid="{76E3946E-0FB1-4820-8F76-97898FF2455A}"/>
    <cellStyle name="Normal 2 4 2 4 2 2 2 3" xfId="5099" xr:uid="{00000000-0005-0000-0000-00003C0F0000}"/>
    <cellStyle name="Normal 2 4 2 4 2 2 2 3 2" xfId="13541" xr:uid="{51BDC441-10F0-4193-99FC-9A60CA319810}"/>
    <cellStyle name="Normal 2 4 2 4 2 2 2 4" xfId="9323" xr:uid="{6B195CEA-B5EB-4227-A84C-5589AF5B0CF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89F16C7D-6545-4716-85D8-1F946D3E5205}"/>
    <cellStyle name="Normal 2 4 2 4 2 2 3 2 3" xfId="11881" xr:uid="{4A7CBDED-80C6-413A-88CE-9CD558D5BF77}"/>
    <cellStyle name="Normal 2 4 2 4 2 2 3 3" xfId="5512" xr:uid="{00000000-0005-0000-0000-0000400F0000}"/>
    <cellStyle name="Normal 2 4 2 4 2 2 3 3 2" xfId="13954" xr:uid="{E6108494-383C-4B91-8068-A43CAE973AE9}"/>
    <cellStyle name="Normal 2 4 2 4 2 2 3 4" xfId="9736" xr:uid="{EC7C6C1A-87EB-403A-A116-BD4AC3F6B44F}"/>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8C66A470-5002-4033-8D9E-A47B5EEBD763}"/>
    <cellStyle name="Normal 2 4 2 4 2 2 4 2 3" xfId="12294" xr:uid="{D1C79941-1F78-4C7C-9822-CBAAC29150CD}"/>
    <cellStyle name="Normal 2 4 2 4 2 2 4 3" xfId="5925" xr:uid="{00000000-0005-0000-0000-0000440F0000}"/>
    <cellStyle name="Normal 2 4 2 4 2 2 4 3 2" xfId="14367" xr:uid="{D689D12B-A424-4463-AA94-7DC7395880D0}"/>
    <cellStyle name="Normal 2 4 2 4 2 2 4 4" xfId="10149" xr:uid="{A7DBB1A1-0CEE-453C-9110-993346F5655C}"/>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8958AA61-DB1E-45EC-8CD7-108135ACAD84}"/>
    <cellStyle name="Normal 2 4 2 4 2 2 5 2 3" xfId="12707" xr:uid="{99C821FD-1D67-4D62-83B2-267CEEA27767}"/>
    <cellStyle name="Normal 2 4 2 4 2 2 5 3" xfId="6338" xr:uid="{00000000-0005-0000-0000-0000480F0000}"/>
    <cellStyle name="Normal 2 4 2 4 2 2 5 3 2" xfId="14780" xr:uid="{410F924F-37FB-4211-9395-35EE72976AD4}"/>
    <cellStyle name="Normal 2 4 2 4 2 2 5 4" xfId="10562" xr:uid="{EC4F1C4E-EC6B-4C91-924B-86F05D82B76A}"/>
    <cellStyle name="Normal 2 4 2 4 2 2 6" xfId="2467" xr:uid="{00000000-0005-0000-0000-0000490F0000}"/>
    <cellStyle name="Normal 2 4 2 4 2 2 6 2" xfId="6751" xr:uid="{00000000-0005-0000-0000-00004A0F0000}"/>
    <cellStyle name="Normal 2 4 2 4 2 2 6 2 2" xfId="15193" xr:uid="{E3BD1093-8966-47AD-8948-8735E455334E}"/>
    <cellStyle name="Normal 2 4 2 4 2 2 6 3" xfId="10975" xr:uid="{742534EF-A094-4D06-B9A8-2E0ADAE0EAD0}"/>
    <cellStyle name="Normal 2 4 2 4 2 2 7" xfId="4685" xr:uid="{00000000-0005-0000-0000-00004B0F0000}"/>
    <cellStyle name="Normal 2 4 2 4 2 2 7 2" xfId="13127" xr:uid="{5DC52E3A-8174-4310-8412-4C9BB7ECE558}"/>
    <cellStyle name="Normal 2 4 2 4 2 2 8" xfId="8909" xr:uid="{FF08800B-5EEA-41DB-91FE-A8B228EFFC68}"/>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0CDAC6C9-F85A-4642-8C04-4F55C58B3E5E}"/>
    <cellStyle name="Normal 2 4 2 4 2 3 2 3" xfId="11467" xr:uid="{344C2601-5DE2-46BF-867F-577B2A5F0622}"/>
    <cellStyle name="Normal 2 4 2 4 2 3 3" xfId="5098" xr:uid="{00000000-0005-0000-0000-00004F0F0000}"/>
    <cellStyle name="Normal 2 4 2 4 2 3 3 2" xfId="13540" xr:uid="{3B4F6F8D-B495-4E7B-8395-97A035CD0F4B}"/>
    <cellStyle name="Normal 2 4 2 4 2 3 4" xfId="9322" xr:uid="{CF23FEFC-73A2-42F1-854E-636AD5DBB1A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5B263CC2-9936-40C9-B40F-632EDDA00345}"/>
    <cellStyle name="Normal 2 4 2 4 2 4 2 3" xfId="11880" xr:uid="{21F0A9B3-AA45-4617-9828-673D1F877A36}"/>
    <cellStyle name="Normal 2 4 2 4 2 4 3" xfId="5511" xr:uid="{00000000-0005-0000-0000-0000530F0000}"/>
    <cellStyle name="Normal 2 4 2 4 2 4 3 2" xfId="13953" xr:uid="{27437714-D41A-41A8-A11E-0650C1CADEA5}"/>
    <cellStyle name="Normal 2 4 2 4 2 4 4" xfId="9735" xr:uid="{507AAF5B-8042-40B0-9B98-749C1E5A6B66}"/>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16384705-E7F4-496F-9DC1-026724AEE00E}"/>
    <cellStyle name="Normal 2 4 2 4 2 5 2 3" xfId="12293" xr:uid="{E886B496-CE4D-4B3C-888A-CC2D85E55C3B}"/>
    <cellStyle name="Normal 2 4 2 4 2 5 3" xfId="5924" xr:uid="{00000000-0005-0000-0000-0000570F0000}"/>
    <cellStyle name="Normal 2 4 2 4 2 5 3 2" xfId="14366" xr:uid="{59D96F63-930C-46DD-9501-1F671BDAC226}"/>
    <cellStyle name="Normal 2 4 2 4 2 5 4" xfId="10148" xr:uid="{67262DE5-FD3D-4269-8AAD-E4F4A8D059EC}"/>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80A3EF2D-D456-4999-AE1D-E2BCB0775CB6}"/>
    <cellStyle name="Normal 2 4 2 4 2 6 2 3" xfId="12706" xr:uid="{BEE7213E-5447-4AA2-A00E-F0274BA311B5}"/>
    <cellStyle name="Normal 2 4 2 4 2 6 3" xfId="6337" xr:uid="{00000000-0005-0000-0000-00005B0F0000}"/>
    <cellStyle name="Normal 2 4 2 4 2 6 3 2" xfId="14779" xr:uid="{4EDC12B8-4875-41F3-9E42-794FA0146ABF}"/>
    <cellStyle name="Normal 2 4 2 4 2 6 4" xfId="10561" xr:uid="{D8CC0F06-1E09-4540-BF2B-CB6398BE6989}"/>
    <cellStyle name="Normal 2 4 2 4 2 7" xfId="2466" xr:uid="{00000000-0005-0000-0000-00005C0F0000}"/>
    <cellStyle name="Normal 2 4 2 4 2 7 2" xfId="6750" xr:uid="{00000000-0005-0000-0000-00005D0F0000}"/>
    <cellStyle name="Normal 2 4 2 4 2 7 2 2" xfId="15192" xr:uid="{49CF75F7-DD5F-4E35-B3C8-64F5B7F6EFC6}"/>
    <cellStyle name="Normal 2 4 2 4 2 7 3" xfId="10974" xr:uid="{10B597F9-0151-43E6-8B28-4C4F0214CA7A}"/>
    <cellStyle name="Normal 2 4 2 4 2 8" xfId="4684" xr:uid="{00000000-0005-0000-0000-00005E0F0000}"/>
    <cellStyle name="Normal 2 4 2 4 2 8 2" xfId="13126" xr:uid="{7D190CEC-E0CD-4506-ABDB-CADCECB4D5C5}"/>
    <cellStyle name="Normal 2 4 2 4 2 9" xfId="8908" xr:uid="{0DE41B2B-83D1-451E-9A46-B8EA8F9390B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BA32A633-7169-42C5-A744-14A8B7BD7976}"/>
    <cellStyle name="Normal 2 4 2 4 3 2 2 3" xfId="11469" xr:uid="{F09C159B-7D41-408B-AFE9-38653132B1BA}"/>
    <cellStyle name="Normal 2 4 2 4 3 2 3" xfId="5100" xr:uid="{00000000-0005-0000-0000-0000630F0000}"/>
    <cellStyle name="Normal 2 4 2 4 3 2 3 2" xfId="13542" xr:uid="{7F409FD9-FD20-4543-8AFF-6CD39284E72C}"/>
    <cellStyle name="Normal 2 4 2 4 3 2 4" xfId="9324" xr:uid="{6567A76D-48D4-4CB3-8311-5D442F765DB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30FCA159-37C8-443B-B76E-898DE8940B9C}"/>
    <cellStyle name="Normal 2 4 2 4 3 3 2 3" xfId="11882" xr:uid="{515AD6C4-D810-4D8D-A576-F402F8EE9C32}"/>
    <cellStyle name="Normal 2 4 2 4 3 3 3" xfId="5513" xr:uid="{00000000-0005-0000-0000-0000670F0000}"/>
    <cellStyle name="Normal 2 4 2 4 3 3 3 2" xfId="13955" xr:uid="{FF94ED73-21CD-4344-BFCC-935F969362FE}"/>
    <cellStyle name="Normal 2 4 2 4 3 3 4" xfId="9737" xr:uid="{BFF6787E-D6E6-423B-A821-51F53D67B221}"/>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39C82CC0-7723-40C6-9601-79A3AC873A08}"/>
    <cellStyle name="Normal 2 4 2 4 3 4 2 3" xfId="12295" xr:uid="{255C2EAE-D968-4297-8BD5-A183D3857AA3}"/>
    <cellStyle name="Normal 2 4 2 4 3 4 3" xfId="5926" xr:uid="{00000000-0005-0000-0000-00006B0F0000}"/>
    <cellStyle name="Normal 2 4 2 4 3 4 3 2" xfId="14368" xr:uid="{29447769-C471-4F53-BCBA-77FE581A0958}"/>
    <cellStyle name="Normal 2 4 2 4 3 4 4" xfId="10150" xr:uid="{9F1C09A2-E1C8-4FDF-89F6-398B62DC5545}"/>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FC7A99A6-35D0-468D-9444-B8B2FF433345}"/>
    <cellStyle name="Normal 2 4 2 4 3 5 2 3" xfId="12708" xr:uid="{F15664FD-6C18-4D34-AF17-51493BCC0331}"/>
    <cellStyle name="Normal 2 4 2 4 3 5 3" xfId="6339" xr:uid="{00000000-0005-0000-0000-00006F0F0000}"/>
    <cellStyle name="Normal 2 4 2 4 3 5 3 2" xfId="14781" xr:uid="{4F596FFE-E95B-4156-9FFD-CCAC433F51D8}"/>
    <cellStyle name="Normal 2 4 2 4 3 5 4" xfId="10563" xr:uid="{CE4BB59D-94B0-4E64-B56F-733F4A53B4D5}"/>
    <cellStyle name="Normal 2 4 2 4 3 6" xfId="2468" xr:uid="{00000000-0005-0000-0000-0000700F0000}"/>
    <cellStyle name="Normal 2 4 2 4 3 6 2" xfId="6752" xr:uid="{00000000-0005-0000-0000-0000710F0000}"/>
    <cellStyle name="Normal 2 4 2 4 3 6 2 2" xfId="15194" xr:uid="{3E75B1D2-57AA-4D37-901E-8B3A79FAB178}"/>
    <cellStyle name="Normal 2 4 2 4 3 6 3" xfId="10976" xr:uid="{035E2DC1-24B1-475F-AB0F-A661B1BECC98}"/>
    <cellStyle name="Normal 2 4 2 4 3 7" xfId="4686" xr:uid="{00000000-0005-0000-0000-0000720F0000}"/>
    <cellStyle name="Normal 2 4 2 4 3 7 2" xfId="13128" xr:uid="{400E7BD1-0FAB-4251-BC0C-C2B423214749}"/>
    <cellStyle name="Normal 2 4 2 4 3 8" xfId="8910" xr:uid="{C4DBDB5A-0D85-469A-B3AE-50D08834372E}"/>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FFFDC20F-FDC2-4957-ABD0-D03CB539EB52}"/>
    <cellStyle name="Normal 2 4 2 4 4 2 3" xfId="11466" xr:uid="{B8B4E1F3-8314-43F6-99F7-A837C9F4B8A7}"/>
    <cellStyle name="Normal 2 4 2 4 4 3" xfId="5097" xr:uid="{00000000-0005-0000-0000-0000760F0000}"/>
    <cellStyle name="Normal 2 4 2 4 4 3 2" xfId="13539" xr:uid="{7FE19E41-81CC-4B01-8015-CEF45148F269}"/>
    <cellStyle name="Normal 2 4 2 4 4 4" xfId="9321" xr:uid="{FFC37C46-8387-4F1D-A499-CAB577BE8894}"/>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5EEE8DE5-8656-4314-BA01-B65FA578B492}"/>
    <cellStyle name="Normal 2 4 2 4 5 2 3" xfId="11879" xr:uid="{A5E7F274-CFE0-45EB-B727-D3D359F60184}"/>
    <cellStyle name="Normal 2 4 2 4 5 3" xfId="5510" xr:uid="{00000000-0005-0000-0000-00007A0F0000}"/>
    <cellStyle name="Normal 2 4 2 4 5 3 2" xfId="13952" xr:uid="{01988FFC-9B0D-42B4-B9FA-E83FD4F48757}"/>
    <cellStyle name="Normal 2 4 2 4 5 4" xfId="9734" xr:uid="{31FDFB71-3949-4541-AB41-A84C657DA8DA}"/>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2219A9A3-596E-4F6D-A09B-8C093A98D689}"/>
    <cellStyle name="Normal 2 4 2 4 6 2 3" xfId="12292" xr:uid="{6A83839D-2C11-44AF-9DFB-C82ED53C691C}"/>
    <cellStyle name="Normal 2 4 2 4 6 3" xfId="5923" xr:uid="{00000000-0005-0000-0000-00007E0F0000}"/>
    <cellStyle name="Normal 2 4 2 4 6 3 2" xfId="14365" xr:uid="{443FA50E-09C9-4352-92D6-8A4C354252A8}"/>
    <cellStyle name="Normal 2 4 2 4 6 4" xfId="10147" xr:uid="{57E89652-E25C-4556-8838-3598A3E0E4A7}"/>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1104ED41-B97C-4923-A6AC-EE0F1A1BF225}"/>
    <cellStyle name="Normal 2 4 2 4 7 2 3" xfId="12705" xr:uid="{ED7144F4-BB43-41B4-AD25-4D84487B9C0D}"/>
    <cellStyle name="Normal 2 4 2 4 7 3" xfId="6336" xr:uid="{00000000-0005-0000-0000-0000820F0000}"/>
    <cellStyle name="Normal 2 4 2 4 7 3 2" xfId="14778" xr:uid="{8D6207D3-F059-4103-B138-0638B3A5D824}"/>
    <cellStyle name="Normal 2 4 2 4 7 4" xfId="10560" xr:uid="{8C97F5B5-0D20-415A-B0DD-EBE96B2C52AF}"/>
    <cellStyle name="Normal 2 4 2 4 8" xfId="2465" xr:uid="{00000000-0005-0000-0000-0000830F0000}"/>
    <cellStyle name="Normal 2 4 2 4 8 2" xfId="6749" xr:uid="{00000000-0005-0000-0000-0000840F0000}"/>
    <cellStyle name="Normal 2 4 2 4 8 2 2" xfId="15191" xr:uid="{36F90819-1A06-497F-94C4-85FC44D452BC}"/>
    <cellStyle name="Normal 2 4 2 4 8 3" xfId="10973" xr:uid="{BA00626D-B7A0-4578-A75D-CABF3954A550}"/>
    <cellStyle name="Normal 2 4 2 4 9" xfId="4683" xr:uid="{00000000-0005-0000-0000-0000850F0000}"/>
    <cellStyle name="Normal 2 4 2 4 9 2" xfId="13125" xr:uid="{8352C3AD-AB32-451B-9D46-E257201C4AA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AF382CE6-1BBE-4E51-BE94-3DBCE0AAE4F2}"/>
    <cellStyle name="Normal 2 4 2 5 2 2 2 3" xfId="11471" xr:uid="{4B8E4089-C496-4527-93FF-A349A7E1B711}"/>
    <cellStyle name="Normal 2 4 2 5 2 2 3" xfId="5102" xr:uid="{00000000-0005-0000-0000-00008B0F0000}"/>
    <cellStyle name="Normal 2 4 2 5 2 2 3 2" xfId="13544" xr:uid="{0E58E9A3-0FE8-489E-9371-88FF0986F966}"/>
    <cellStyle name="Normal 2 4 2 5 2 2 4" xfId="9326" xr:uid="{E9C75C94-DD01-471A-8D80-6ECDD1C23524}"/>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361FF9B5-52DE-4C59-AE23-58450BEA2DBD}"/>
    <cellStyle name="Normal 2 4 2 5 2 3 2 3" xfId="11884" xr:uid="{F3A860E4-0989-4FD9-A533-A94FAD0D12AB}"/>
    <cellStyle name="Normal 2 4 2 5 2 3 3" xfId="5515" xr:uid="{00000000-0005-0000-0000-00008F0F0000}"/>
    <cellStyle name="Normal 2 4 2 5 2 3 3 2" xfId="13957" xr:uid="{DAC046A9-2621-47F1-A826-2542B322CF35}"/>
    <cellStyle name="Normal 2 4 2 5 2 3 4" xfId="9739" xr:uid="{42357ADB-272D-4355-9EE5-ABA52FEC11A7}"/>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D9AF001D-EF4C-4B15-AE9C-E545FD411E08}"/>
    <cellStyle name="Normal 2 4 2 5 2 4 2 3" xfId="12297" xr:uid="{E728A431-FCC6-4B0C-B118-58B9751AA295}"/>
    <cellStyle name="Normal 2 4 2 5 2 4 3" xfId="5928" xr:uid="{00000000-0005-0000-0000-0000930F0000}"/>
    <cellStyle name="Normal 2 4 2 5 2 4 3 2" xfId="14370" xr:uid="{32126791-FC86-429C-9243-C2276F8BA70C}"/>
    <cellStyle name="Normal 2 4 2 5 2 4 4" xfId="10152" xr:uid="{AB3B3E32-E5EE-40BB-8CE0-9F61B0DF51E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2F8B70F2-0351-40B2-BCCF-71AEC3BC6BE1}"/>
    <cellStyle name="Normal 2 4 2 5 2 5 2 3" xfId="12710" xr:uid="{FC1E1955-C405-49D7-BFC3-EFFC1086F907}"/>
    <cellStyle name="Normal 2 4 2 5 2 5 3" xfId="6341" xr:uid="{00000000-0005-0000-0000-0000970F0000}"/>
    <cellStyle name="Normal 2 4 2 5 2 5 3 2" xfId="14783" xr:uid="{2C46A9C0-D8E0-49EA-AF87-B99B04EE0758}"/>
    <cellStyle name="Normal 2 4 2 5 2 5 4" xfId="10565" xr:uid="{0F5846D9-1B39-426D-83AF-82188D9C280B}"/>
    <cellStyle name="Normal 2 4 2 5 2 6" xfId="2470" xr:uid="{00000000-0005-0000-0000-0000980F0000}"/>
    <cellStyle name="Normal 2 4 2 5 2 6 2" xfId="6754" xr:uid="{00000000-0005-0000-0000-0000990F0000}"/>
    <cellStyle name="Normal 2 4 2 5 2 6 2 2" xfId="15196" xr:uid="{25993E50-CF72-4126-A98C-9426BCC32050}"/>
    <cellStyle name="Normal 2 4 2 5 2 6 3" xfId="10978" xr:uid="{BC756A13-563F-40A5-9462-6F81C9A45324}"/>
    <cellStyle name="Normal 2 4 2 5 2 7" xfId="4688" xr:uid="{00000000-0005-0000-0000-00009A0F0000}"/>
    <cellStyle name="Normal 2 4 2 5 2 7 2" xfId="13130" xr:uid="{49271B61-5994-4ADC-8A2A-AA2B973A7CBD}"/>
    <cellStyle name="Normal 2 4 2 5 2 8" xfId="8912" xr:uid="{90BF5282-113C-4CD0-8DF3-C0D69026E5A2}"/>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FB917D57-34AA-45DD-B8B5-640918B62757}"/>
    <cellStyle name="Normal 2 4 2 5 3 2 3" xfId="11470" xr:uid="{A843BFB7-20B0-4EF1-9012-62C99B63F6E2}"/>
    <cellStyle name="Normal 2 4 2 5 3 3" xfId="5101" xr:uid="{00000000-0005-0000-0000-00009E0F0000}"/>
    <cellStyle name="Normal 2 4 2 5 3 3 2" xfId="13543" xr:uid="{E1F0F309-313C-4507-BA0E-FCD060434E27}"/>
    <cellStyle name="Normal 2 4 2 5 3 4" xfId="9325" xr:uid="{88FB121C-8493-4438-9BCF-D1CC08BEF122}"/>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7C51181E-BE9A-4723-B3BC-AC2348C6811F}"/>
    <cellStyle name="Normal 2 4 2 5 4 2 3" xfId="11883" xr:uid="{699D674C-4A27-471D-852C-3D72DE1792DA}"/>
    <cellStyle name="Normal 2 4 2 5 4 3" xfId="5514" xr:uid="{00000000-0005-0000-0000-0000A20F0000}"/>
    <cellStyle name="Normal 2 4 2 5 4 3 2" xfId="13956" xr:uid="{F8E1CA7F-2BAD-4AA0-BBB1-7E1F1C7507B7}"/>
    <cellStyle name="Normal 2 4 2 5 4 4" xfId="9738" xr:uid="{7B3A5CFC-C5C5-4BCF-8EED-AAA0E3A26B8D}"/>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B9769C1B-A41B-4FA7-A656-33395D835603}"/>
    <cellStyle name="Normal 2 4 2 5 5 2 3" xfId="12296" xr:uid="{BED8A36C-E2CD-4143-B041-C622FB7145E3}"/>
    <cellStyle name="Normal 2 4 2 5 5 3" xfId="5927" xr:uid="{00000000-0005-0000-0000-0000A60F0000}"/>
    <cellStyle name="Normal 2 4 2 5 5 3 2" xfId="14369" xr:uid="{3DE0DF29-51D5-4214-A916-DF9EF4EB486A}"/>
    <cellStyle name="Normal 2 4 2 5 5 4" xfId="10151" xr:uid="{36505BBC-6F98-4CDE-8241-525365A9A269}"/>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FF850F40-466C-4D56-9F73-10664DB066BB}"/>
    <cellStyle name="Normal 2 4 2 5 6 2 3" xfId="12709" xr:uid="{F289C96E-52B9-4387-B65A-1ED1F5245A6A}"/>
    <cellStyle name="Normal 2 4 2 5 6 3" xfId="6340" xr:uid="{00000000-0005-0000-0000-0000AA0F0000}"/>
    <cellStyle name="Normal 2 4 2 5 6 3 2" xfId="14782" xr:uid="{CE05D8E6-08CE-4050-A8D0-75BF81E05DC1}"/>
    <cellStyle name="Normal 2 4 2 5 6 4" xfId="10564" xr:uid="{7A0544B0-7C1F-4FA6-AFCD-9926745C393E}"/>
    <cellStyle name="Normal 2 4 2 5 7" xfId="2469" xr:uid="{00000000-0005-0000-0000-0000AB0F0000}"/>
    <cellStyle name="Normal 2 4 2 5 7 2" xfId="6753" xr:uid="{00000000-0005-0000-0000-0000AC0F0000}"/>
    <cellStyle name="Normal 2 4 2 5 7 2 2" xfId="15195" xr:uid="{803B5D64-7422-4042-9B84-B838B3D3AFC2}"/>
    <cellStyle name="Normal 2 4 2 5 7 3" xfId="10977" xr:uid="{1FD9CA4C-E3AB-4A55-91E1-FCD63C4B9589}"/>
    <cellStyle name="Normal 2 4 2 5 8" xfId="4687" xr:uid="{00000000-0005-0000-0000-0000AD0F0000}"/>
    <cellStyle name="Normal 2 4 2 5 8 2" xfId="13129" xr:uid="{DDFB502E-39EB-455B-8D66-DCD30347FD32}"/>
    <cellStyle name="Normal 2 4 2 5 9" xfId="8911" xr:uid="{6E245A10-4984-435C-AE5E-A3D8684A4EA3}"/>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C2B8CCB2-9E53-443A-ABF9-9B7323D7642E}"/>
    <cellStyle name="Normal 2 4 2 6 2 2 3" xfId="11472" xr:uid="{12CA011C-F6E7-4EEA-AFCC-F64134FE5061}"/>
    <cellStyle name="Normal 2 4 2 6 2 3" xfId="5103" xr:uid="{00000000-0005-0000-0000-0000B20F0000}"/>
    <cellStyle name="Normal 2 4 2 6 2 3 2" xfId="13545" xr:uid="{0B665B9D-4C17-4952-B7BA-15C7E5196DF9}"/>
    <cellStyle name="Normal 2 4 2 6 2 4" xfId="9327" xr:uid="{065BD6CE-65F8-4E68-9BBE-C75F9797369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67F52303-A3F3-4DEE-AC1C-79FCC65A5E82}"/>
    <cellStyle name="Normal 2 4 2 6 3 2 3" xfId="11885" xr:uid="{E0521B2C-3DA2-48BA-A2CB-5808CF5D0990}"/>
    <cellStyle name="Normal 2 4 2 6 3 3" xfId="5516" xr:uid="{00000000-0005-0000-0000-0000B60F0000}"/>
    <cellStyle name="Normal 2 4 2 6 3 3 2" xfId="13958" xr:uid="{425A469B-A137-414F-B207-CBFA5E9ED743}"/>
    <cellStyle name="Normal 2 4 2 6 3 4" xfId="9740" xr:uid="{379644B3-2905-408F-ACE3-0181E4C9C844}"/>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88570DE1-AE31-4A44-8BB6-EB08D6942CE9}"/>
    <cellStyle name="Normal 2 4 2 6 4 2 3" xfId="12298" xr:uid="{23161410-3C8E-4E4F-9E0A-1D056095B7A8}"/>
    <cellStyle name="Normal 2 4 2 6 4 3" xfId="5929" xr:uid="{00000000-0005-0000-0000-0000BA0F0000}"/>
    <cellStyle name="Normal 2 4 2 6 4 3 2" xfId="14371" xr:uid="{8269D73C-CF7B-4CB4-BC57-AB66661898EB}"/>
    <cellStyle name="Normal 2 4 2 6 4 4" xfId="10153" xr:uid="{1785141C-7F10-4654-BA4F-F1EC689F2013}"/>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1C1F9EF1-C313-45A5-9BAE-CEA26DA11745}"/>
    <cellStyle name="Normal 2 4 2 6 5 2 3" xfId="12711" xr:uid="{FADDF4F1-C086-4202-BC23-5C351972BFEC}"/>
    <cellStyle name="Normal 2 4 2 6 5 3" xfId="6342" xr:uid="{00000000-0005-0000-0000-0000BE0F0000}"/>
    <cellStyle name="Normal 2 4 2 6 5 3 2" xfId="14784" xr:uid="{46808BB0-E788-4F7A-9117-E46BEC0B8BFE}"/>
    <cellStyle name="Normal 2 4 2 6 5 4" xfId="10566" xr:uid="{EA338811-E60B-4B38-A93E-A8D1AB7E8503}"/>
    <cellStyle name="Normal 2 4 2 6 6" xfId="2471" xr:uid="{00000000-0005-0000-0000-0000BF0F0000}"/>
    <cellStyle name="Normal 2 4 2 6 6 2" xfId="6755" xr:uid="{00000000-0005-0000-0000-0000C00F0000}"/>
    <cellStyle name="Normal 2 4 2 6 6 2 2" xfId="15197" xr:uid="{603CDE0F-1CA2-4FF6-807D-EB3467B649E4}"/>
    <cellStyle name="Normal 2 4 2 6 6 3" xfId="10979" xr:uid="{6EEC7C90-494F-430D-90A8-598477FEAF1A}"/>
    <cellStyle name="Normal 2 4 2 6 7" xfId="4689" xr:uid="{00000000-0005-0000-0000-0000C10F0000}"/>
    <cellStyle name="Normal 2 4 2 6 7 2" xfId="13131" xr:uid="{E3A88B92-D587-4679-A4B9-2E832036BD4E}"/>
    <cellStyle name="Normal 2 4 2 6 8" xfId="8913" xr:uid="{D1DCD1DD-6725-43C3-ACA7-CEADEA8467B4}"/>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7B355A2B-A29E-43A4-ADFD-4FE9936D6CA1}"/>
    <cellStyle name="Normal 2 4 2 7 2 3" xfId="11457" xr:uid="{E8584695-1969-4083-B7EB-DE01CDE0283A}"/>
    <cellStyle name="Normal 2 4 2 7 3" xfId="5088" xr:uid="{00000000-0005-0000-0000-0000C50F0000}"/>
    <cellStyle name="Normal 2 4 2 7 3 2" xfId="13530" xr:uid="{600EB117-AC47-4580-9247-5DDC0B210F5F}"/>
    <cellStyle name="Normal 2 4 2 7 4" xfId="9312" xr:uid="{3297471C-8B1D-41BF-89E1-B67A4E1E3EB6}"/>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3FEA4B22-FA55-4FE0-AC1A-F72C49088BE1}"/>
    <cellStyle name="Normal 2 4 2 8 2 3" xfId="11870" xr:uid="{00D90FDC-2D02-4071-A02C-5934D9F44522}"/>
    <cellStyle name="Normal 2 4 2 8 3" xfId="5501" xr:uid="{00000000-0005-0000-0000-0000C90F0000}"/>
    <cellStyle name="Normal 2 4 2 8 3 2" xfId="13943" xr:uid="{A56BFD49-5BF8-4FE0-B13C-BBE54CDB5832}"/>
    <cellStyle name="Normal 2 4 2 8 4" xfId="9725" xr:uid="{DD30FF42-8957-4E0B-8BC8-E918C728AA97}"/>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4E9DDD38-025E-49D2-8E3F-08BACF248DCF}"/>
    <cellStyle name="Normal 2 4 2 9 2 3" xfId="12283" xr:uid="{BCE32EFC-F238-486E-BB2E-2BD553751BAD}"/>
    <cellStyle name="Normal 2 4 2 9 3" xfId="5914" xr:uid="{00000000-0005-0000-0000-0000CD0F0000}"/>
    <cellStyle name="Normal 2 4 2 9 3 2" xfId="14356" xr:uid="{904FD46B-D0D0-4F1C-813A-DF67F0DDDDBD}"/>
    <cellStyle name="Normal 2 4 2 9 4" xfId="10138" xr:uid="{D7C9C166-0053-48C9-9D3C-9B183A3B1148}"/>
    <cellStyle name="Normal 2 4 3" xfId="296" xr:uid="{00000000-0005-0000-0000-0000CE0F0000}"/>
    <cellStyle name="Normal 2 4 3 10" xfId="8914" xr:uid="{836B28E7-E7C9-42B0-B9ED-981FA07EB5B7}"/>
    <cellStyle name="Normal 2 4 3 2" xfId="297" xr:uid="{00000000-0005-0000-0000-0000CF0F0000}"/>
    <cellStyle name="Normal 2 4 3 3" xfId="298" xr:uid="{00000000-0005-0000-0000-0000D00F0000}"/>
    <cellStyle name="Normal 2 4 3 3 10" xfId="8915" xr:uid="{5F3D1889-8445-4F71-89CF-1B7CECD2362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EA64AD4A-C883-4E80-ABFB-E4DC80903251}"/>
    <cellStyle name="Normal 2 4 3 3 2 2 2 2 3" xfId="11476" xr:uid="{D73D57F2-0942-4606-B348-C68A7B8C6A63}"/>
    <cellStyle name="Normal 2 4 3 3 2 2 2 3" xfId="5107" xr:uid="{00000000-0005-0000-0000-0000D60F0000}"/>
    <cellStyle name="Normal 2 4 3 3 2 2 2 3 2" xfId="13549" xr:uid="{C2E17B98-B7B4-47C6-96BA-E6C2BF45EF20}"/>
    <cellStyle name="Normal 2 4 3 3 2 2 2 4" xfId="9331" xr:uid="{9AF2F847-ABD3-48E5-8985-2EA888435088}"/>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1F01B25C-1E23-43C3-9614-EF9838029B6D}"/>
    <cellStyle name="Normal 2 4 3 3 2 2 3 2 3" xfId="11889" xr:uid="{7EC5EAB8-81D3-48C2-86B2-F2C715D5D1F8}"/>
    <cellStyle name="Normal 2 4 3 3 2 2 3 3" xfId="5520" xr:uid="{00000000-0005-0000-0000-0000DA0F0000}"/>
    <cellStyle name="Normal 2 4 3 3 2 2 3 3 2" xfId="13962" xr:uid="{0183FD2D-5009-4A53-8389-CD9FFD3D5959}"/>
    <cellStyle name="Normal 2 4 3 3 2 2 3 4" xfId="9744" xr:uid="{134EDFED-510E-49DF-8D85-64C428C9E695}"/>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4035E357-A8F0-48A7-95A4-8927D60E63A6}"/>
    <cellStyle name="Normal 2 4 3 3 2 2 4 2 3" xfId="12302" xr:uid="{EBD952FE-2D14-4264-9D87-6DB02BF845D7}"/>
    <cellStyle name="Normal 2 4 3 3 2 2 4 3" xfId="5933" xr:uid="{00000000-0005-0000-0000-0000DE0F0000}"/>
    <cellStyle name="Normal 2 4 3 3 2 2 4 3 2" xfId="14375" xr:uid="{69265322-2A16-464A-A958-D718D85F850E}"/>
    <cellStyle name="Normal 2 4 3 3 2 2 4 4" xfId="10157" xr:uid="{47A4B37A-AE0A-436C-804B-BE863B0D167C}"/>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0940F659-BCE0-485B-8C78-91172643AB92}"/>
    <cellStyle name="Normal 2 4 3 3 2 2 5 2 3" xfId="12715" xr:uid="{226B9D4C-8B04-404E-957A-3ACE7E9C4345}"/>
    <cellStyle name="Normal 2 4 3 3 2 2 5 3" xfId="6346" xr:uid="{00000000-0005-0000-0000-0000E20F0000}"/>
    <cellStyle name="Normal 2 4 3 3 2 2 5 3 2" xfId="14788" xr:uid="{A643A7F0-6B15-4FF6-92C0-7D6F754BCE4E}"/>
    <cellStyle name="Normal 2 4 3 3 2 2 5 4" xfId="10570" xr:uid="{DBBD44D8-54B5-4BA2-8640-3FF8F4746C6F}"/>
    <cellStyle name="Normal 2 4 3 3 2 2 6" xfId="2475" xr:uid="{00000000-0005-0000-0000-0000E30F0000}"/>
    <cellStyle name="Normal 2 4 3 3 2 2 6 2" xfId="6759" xr:uid="{00000000-0005-0000-0000-0000E40F0000}"/>
    <cellStyle name="Normal 2 4 3 3 2 2 6 2 2" xfId="15201" xr:uid="{518A0D45-76C9-4EE3-B47C-89800D7F0A78}"/>
    <cellStyle name="Normal 2 4 3 3 2 2 6 3" xfId="10983" xr:uid="{5E9FA84D-379D-4505-9B58-1D133A8652DC}"/>
    <cellStyle name="Normal 2 4 3 3 2 2 7" xfId="4693" xr:uid="{00000000-0005-0000-0000-0000E50F0000}"/>
    <cellStyle name="Normal 2 4 3 3 2 2 7 2" xfId="13135" xr:uid="{BAB82B3D-8238-4E71-BBF7-E1FB8EE72892}"/>
    <cellStyle name="Normal 2 4 3 3 2 2 8" xfId="8917" xr:uid="{FA4060C6-FF6D-41F3-8140-2F81FF623627}"/>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3A232EB8-8C8D-42E2-8085-FD3CEFBC134A}"/>
    <cellStyle name="Normal 2 4 3 3 2 3 2 3" xfId="11475" xr:uid="{5A62B7E9-D182-4D61-85D3-5F471260DFC4}"/>
    <cellStyle name="Normal 2 4 3 3 2 3 3" xfId="5106" xr:uid="{00000000-0005-0000-0000-0000E90F0000}"/>
    <cellStyle name="Normal 2 4 3 3 2 3 3 2" xfId="13548" xr:uid="{DF5756C8-269F-46D5-B010-736EF327ECA5}"/>
    <cellStyle name="Normal 2 4 3 3 2 3 4" xfId="9330" xr:uid="{5586521A-FD44-46A5-9343-EE302C4AD548}"/>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7589593-BFEB-4DBD-9C14-68F10CB25039}"/>
    <cellStyle name="Normal 2 4 3 3 2 4 2 3" xfId="11888" xr:uid="{A66A9E6F-5213-4033-BFBA-C9EE23427594}"/>
    <cellStyle name="Normal 2 4 3 3 2 4 3" xfId="5519" xr:uid="{00000000-0005-0000-0000-0000ED0F0000}"/>
    <cellStyle name="Normal 2 4 3 3 2 4 3 2" xfId="13961" xr:uid="{EBF3AE80-75E2-4729-B74E-61C0EC8B7CCD}"/>
    <cellStyle name="Normal 2 4 3 3 2 4 4" xfId="9743" xr:uid="{826E2DBD-DA1E-4219-A924-CA2497FBDC95}"/>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4A1EE07E-1197-4AC7-8613-787786848BAA}"/>
    <cellStyle name="Normal 2 4 3 3 2 5 2 3" xfId="12301" xr:uid="{C5187A5B-85F9-4CB2-BDA8-455116877DDA}"/>
    <cellStyle name="Normal 2 4 3 3 2 5 3" xfId="5932" xr:uid="{00000000-0005-0000-0000-0000F10F0000}"/>
    <cellStyle name="Normal 2 4 3 3 2 5 3 2" xfId="14374" xr:uid="{206BD608-FDF0-498E-8334-98245798B439}"/>
    <cellStyle name="Normal 2 4 3 3 2 5 4" xfId="10156" xr:uid="{E846A1AA-300A-47D9-AADB-841306245649}"/>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F5DDCED4-C0FD-4DF6-B80C-E2A3D8717F68}"/>
    <cellStyle name="Normal 2 4 3 3 2 6 2 3" xfId="12714" xr:uid="{81349C3B-E2E9-4A67-825B-C4CEBF8C1B07}"/>
    <cellStyle name="Normal 2 4 3 3 2 6 3" xfId="6345" xr:uid="{00000000-0005-0000-0000-0000F50F0000}"/>
    <cellStyle name="Normal 2 4 3 3 2 6 3 2" xfId="14787" xr:uid="{091FC7C6-4A00-49FB-AEEC-1F34781D6065}"/>
    <cellStyle name="Normal 2 4 3 3 2 6 4" xfId="10569" xr:uid="{6EC5355D-D577-460B-99F7-B4A9A61E2583}"/>
    <cellStyle name="Normal 2 4 3 3 2 7" xfId="2474" xr:uid="{00000000-0005-0000-0000-0000F60F0000}"/>
    <cellStyle name="Normal 2 4 3 3 2 7 2" xfId="6758" xr:uid="{00000000-0005-0000-0000-0000F70F0000}"/>
    <cellStyle name="Normal 2 4 3 3 2 7 2 2" xfId="15200" xr:uid="{BA8CE5F0-5CD4-4254-A46F-FEEB330C7CDE}"/>
    <cellStyle name="Normal 2 4 3 3 2 7 3" xfId="10982" xr:uid="{04DAD058-0CF0-4ED7-A3F5-2BABDCF81965}"/>
    <cellStyle name="Normal 2 4 3 3 2 8" xfId="4692" xr:uid="{00000000-0005-0000-0000-0000F80F0000}"/>
    <cellStyle name="Normal 2 4 3 3 2 8 2" xfId="13134" xr:uid="{E3ACF5BE-0F36-483F-9104-25CAC624CF41}"/>
    <cellStyle name="Normal 2 4 3 3 2 9" xfId="8916" xr:uid="{4D7EF0C4-F137-4459-8A49-B0F6810242F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415A19F4-C6D3-48A6-91E6-B1317F874213}"/>
    <cellStyle name="Normal 2 4 3 3 3 2 2 3" xfId="11477" xr:uid="{B7257CB9-45D3-42AC-97EB-BE7049F0CE12}"/>
    <cellStyle name="Normal 2 4 3 3 3 2 3" xfId="5108" xr:uid="{00000000-0005-0000-0000-0000FD0F0000}"/>
    <cellStyle name="Normal 2 4 3 3 3 2 3 2" xfId="13550" xr:uid="{5A9F27BD-0058-4440-899B-73FD6F892FCC}"/>
    <cellStyle name="Normal 2 4 3 3 3 2 4" xfId="9332" xr:uid="{3C834ADE-356B-46DD-A879-1F18181D7F61}"/>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52D7E88A-BBB3-4EF5-BB42-C9B931735ED4}"/>
    <cellStyle name="Normal 2 4 3 3 3 3 2 3" xfId="11890" xr:uid="{903E0347-BC03-4E55-BD3B-5DB0645BD73A}"/>
    <cellStyle name="Normal 2 4 3 3 3 3 3" xfId="5521" xr:uid="{00000000-0005-0000-0000-000001100000}"/>
    <cellStyle name="Normal 2 4 3 3 3 3 3 2" xfId="13963" xr:uid="{985D4E1F-9202-4AD3-8DE2-D585856F891E}"/>
    <cellStyle name="Normal 2 4 3 3 3 3 4" xfId="9745" xr:uid="{72AAB7FB-F70D-496C-8737-18FE01F4065B}"/>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0466D189-FDE7-4DCC-AB54-E6171408494F}"/>
    <cellStyle name="Normal 2 4 3 3 3 4 2 3" xfId="12303" xr:uid="{62880B59-6991-4FC4-802B-F000DABDEA3C}"/>
    <cellStyle name="Normal 2 4 3 3 3 4 3" xfId="5934" xr:uid="{00000000-0005-0000-0000-000005100000}"/>
    <cellStyle name="Normal 2 4 3 3 3 4 3 2" xfId="14376" xr:uid="{E0ECD08B-9159-4E9E-8291-EA17A10EAEB8}"/>
    <cellStyle name="Normal 2 4 3 3 3 4 4" xfId="10158" xr:uid="{BD8E794A-BCBE-4323-9ED2-58F6DF5F03E6}"/>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183B4451-1413-4A0E-84C5-FAD8E9F99493}"/>
    <cellStyle name="Normal 2 4 3 3 3 5 2 3" xfId="12716" xr:uid="{CF2E14B0-6594-4C08-A2CB-BC267C60F647}"/>
    <cellStyle name="Normal 2 4 3 3 3 5 3" xfId="6347" xr:uid="{00000000-0005-0000-0000-000009100000}"/>
    <cellStyle name="Normal 2 4 3 3 3 5 3 2" xfId="14789" xr:uid="{3FEF3EFB-F525-412A-8C39-55946D047C27}"/>
    <cellStyle name="Normal 2 4 3 3 3 5 4" xfId="10571" xr:uid="{6F77A09F-7829-426C-9635-F969CF93D80C}"/>
    <cellStyle name="Normal 2 4 3 3 3 6" xfId="2476" xr:uid="{00000000-0005-0000-0000-00000A100000}"/>
    <cellStyle name="Normal 2 4 3 3 3 6 2" xfId="6760" xr:uid="{00000000-0005-0000-0000-00000B100000}"/>
    <cellStyle name="Normal 2 4 3 3 3 6 2 2" xfId="15202" xr:uid="{11FF874A-586E-466F-855A-A99B7508B8D4}"/>
    <cellStyle name="Normal 2 4 3 3 3 6 3" xfId="10984" xr:uid="{502A5E39-3431-4123-B2E4-C3A318AFDB18}"/>
    <cellStyle name="Normal 2 4 3 3 3 7" xfId="4694" xr:uid="{00000000-0005-0000-0000-00000C100000}"/>
    <cellStyle name="Normal 2 4 3 3 3 7 2" xfId="13136" xr:uid="{364B56FD-A727-4D5C-8E89-AAD5089A9D89}"/>
    <cellStyle name="Normal 2 4 3 3 3 8" xfId="8918" xr:uid="{C2E1C565-2C42-4649-9F3F-F3A5D1AD34C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A630FCBC-7405-477F-8D24-FB28F2BB7596}"/>
    <cellStyle name="Normal 2 4 3 3 4 2 3" xfId="11474" xr:uid="{8EEF5F9B-704E-47B9-9471-2369E80A10F2}"/>
    <cellStyle name="Normal 2 4 3 3 4 3" xfId="5105" xr:uid="{00000000-0005-0000-0000-000010100000}"/>
    <cellStyle name="Normal 2 4 3 3 4 3 2" xfId="13547" xr:uid="{F89628E3-92EC-40BE-B948-03D565EF5699}"/>
    <cellStyle name="Normal 2 4 3 3 4 4" xfId="9329" xr:uid="{57CBDEB1-FE74-4D00-815E-1AE5DC5314C8}"/>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05CA9211-4D3B-4314-A0A2-73C981A0C9F5}"/>
    <cellStyle name="Normal 2 4 3 3 5 2 3" xfId="11887" xr:uid="{B31448B4-34FC-45F7-BE34-2C232AA91857}"/>
    <cellStyle name="Normal 2 4 3 3 5 3" xfId="5518" xr:uid="{00000000-0005-0000-0000-000014100000}"/>
    <cellStyle name="Normal 2 4 3 3 5 3 2" xfId="13960" xr:uid="{49F1DF69-E797-46F9-A624-FA140ECE675D}"/>
    <cellStyle name="Normal 2 4 3 3 5 4" xfId="9742" xr:uid="{CABB88EB-0DDC-4B4B-9481-D954A6BB65BA}"/>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B8B4005F-383E-4680-97E3-CE33C4F34274}"/>
    <cellStyle name="Normal 2 4 3 3 6 2 3" xfId="12300" xr:uid="{3DF5F3A9-3E87-496B-9098-85352621A7AD}"/>
    <cellStyle name="Normal 2 4 3 3 6 3" xfId="5931" xr:uid="{00000000-0005-0000-0000-000018100000}"/>
    <cellStyle name="Normal 2 4 3 3 6 3 2" xfId="14373" xr:uid="{71D853B3-7092-4A87-8C8F-710D2386020A}"/>
    <cellStyle name="Normal 2 4 3 3 6 4" xfId="10155" xr:uid="{45169E7D-F3F5-4634-9012-F455BA5EC0E2}"/>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F3724A88-354B-424D-925A-859D477DD833}"/>
    <cellStyle name="Normal 2 4 3 3 7 2 3" xfId="12713" xr:uid="{DA1A887C-4B91-4910-8886-135F7FEB3529}"/>
    <cellStyle name="Normal 2 4 3 3 7 3" xfId="6344" xr:uid="{00000000-0005-0000-0000-00001C100000}"/>
    <cellStyle name="Normal 2 4 3 3 7 3 2" xfId="14786" xr:uid="{B6086D3F-DD41-431A-B212-64556DCEB7A8}"/>
    <cellStyle name="Normal 2 4 3 3 7 4" xfId="10568" xr:uid="{B0003059-A5BA-4FEE-833C-71C95480A65C}"/>
    <cellStyle name="Normal 2 4 3 3 8" xfId="2473" xr:uid="{00000000-0005-0000-0000-00001D100000}"/>
    <cellStyle name="Normal 2 4 3 3 8 2" xfId="6757" xr:uid="{00000000-0005-0000-0000-00001E100000}"/>
    <cellStyle name="Normal 2 4 3 3 8 2 2" xfId="15199" xr:uid="{8CB23C1A-A60C-4198-9E03-20C3E74379A8}"/>
    <cellStyle name="Normal 2 4 3 3 8 3" xfId="10981" xr:uid="{92A7B2F9-3150-4392-8538-352676A72127}"/>
    <cellStyle name="Normal 2 4 3 3 9" xfId="4691" xr:uid="{00000000-0005-0000-0000-00001F100000}"/>
    <cellStyle name="Normal 2 4 3 3 9 2" xfId="13133" xr:uid="{EB711D66-A5E4-47C1-A281-DAB57E063529}"/>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911A68F2-DC46-4592-9FC4-A050D635E5DF}"/>
    <cellStyle name="Normal 2 4 3 4 2 3" xfId="11473" xr:uid="{5C51C172-BDA9-45B3-8549-ADD303130385}"/>
    <cellStyle name="Normal 2 4 3 4 3" xfId="5104" xr:uid="{00000000-0005-0000-0000-000023100000}"/>
    <cellStyle name="Normal 2 4 3 4 3 2" xfId="13546" xr:uid="{0DBD43F3-2A6C-4A76-9578-8717480730A9}"/>
    <cellStyle name="Normal 2 4 3 4 4" xfId="9328" xr:uid="{B98EE3FF-3010-4751-9E7F-2D1B5D6B3C9C}"/>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F3F22E97-50AC-42FA-A6A2-C341AE3BB1DA}"/>
    <cellStyle name="Normal 2 4 3 5 2 3" xfId="11886" xr:uid="{0AD1B13D-470F-412D-80D8-8841EA372720}"/>
    <cellStyle name="Normal 2 4 3 5 3" xfId="5517" xr:uid="{00000000-0005-0000-0000-000027100000}"/>
    <cellStyle name="Normal 2 4 3 5 3 2" xfId="13959" xr:uid="{FFF26110-8A61-4CA0-9166-47FDD24EFE98}"/>
    <cellStyle name="Normal 2 4 3 5 4" xfId="9741" xr:uid="{DEE34D3B-EA17-4141-88C3-16CCA1DC7961}"/>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96819CFC-7080-4CAD-8C10-71339CCDE49F}"/>
    <cellStyle name="Normal 2 4 3 6 2 3" xfId="12299" xr:uid="{F6773993-B4B0-4837-BEE0-0CB6FCF676E7}"/>
    <cellStyle name="Normal 2 4 3 6 3" xfId="5930" xr:uid="{00000000-0005-0000-0000-00002B100000}"/>
    <cellStyle name="Normal 2 4 3 6 3 2" xfId="14372" xr:uid="{629568B8-E3DA-4304-90FF-CF8BBF89E1F0}"/>
    <cellStyle name="Normal 2 4 3 6 4" xfId="10154" xr:uid="{E581C314-0DFF-4D44-8FA5-5D6079ECA101}"/>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712A3051-CED7-4F3B-BF99-E89AEA9AD4C5}"/>
    <cellStyle name="Normal 2 4 3 7 2 3" xfId="12712" xr:uid="{806F484D-773E-4CEA-A224-569218736F87}"/>
    <cellStyle name="Normal 2 4 3 7 3" xfId="6343" xr:uid="{00000000-0005-0000-0000-00002F100000}"/>
    <cellStyle name="Normal 2 4 3 7 3 2" xfId="14785" xr:uid="{63608D86-F41C-4B01-9121-D51035366CF8}"/>
    <cellStyle name="Normal 2 4 3 7 4" xfId="10567" xr:uid="{0D2F50EA-3AFF-4DEB-A896-6CDF4B852FF2}"/>
    <cellStyle name="Normal 2 4 3 8" xfId="2472" xr:uid="{00000000-0005-0000-0000-000030100000}"/>
    <cellStyle name="Normal 2 4 3 8 2" xfId="6756" xr:uid="{00000000-0005-0000-0000-000031100000}"/>
    <cellStyle name="Normal 2 4 3 8 2 2" xfId="15198" xr:uid="{386A8A18-8208-43D1-B6C4-125B96ED4153}"/>
    <cellStyle name="Normal 2 4 3 8 3" xfId="10980" xr:uid="{7C10F6D9-4291-46C3-9287-AFDB89E30526}"/>
    <cellStyle name="Normal 2 4 3 9" xfId="4690" xr:uid="{00000000-0005-0000-0000-000032100000}"/>
    <cellStyle name="Normal 2 4 3 9 2" xfId="13132" xr:uid="{735B5355-6D1B-40FD-A430-7EEA9A0E7D7A}"/>
    <cellStyle name="Normal 2 4 4" xfId="302" xr:uid="{00000000-0005-0000-0000-000033100000}"/>
    <cellStyle name="Normal 2 4 5" xfId="303" xr:uid="{00000000-0005-0000-0000-000034100000}"/>
    <cellStyle name="Normal 2 4 5 10" xfId="4695" xr:uid="{00000000-0005-0000-0000-000035100000}"/>
    <cellStyle name="Normal 2 4 5 10 2" xfId="13137" xr:uid="{DB60FC9D-60A6-4642-A00A-46A4D4B5DB1F}"/>
    <cellStyle name="Normal 2 4 5 11" xfId="8919" xr:uid="{F3952F71-67AC-4ED9-9B10-EA6B37104601}"/>
    <cellStyle name="Normal 2 4 5 2" xfId="304" xr:uid="{00000000-0005-0000-0000-000036100000}"/>
    <cellStyle name="Normal 2 4 5 2 10" xfId="8920" xr:uid="{4A71D85C-6235-4932-87C6-0BFEDE8E779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F4C8FA82-7C12-4012-ADF3-4313351A58F0}"/>
    <cellStyle name="Normal 2 4 5 2 2 2 2 2 3" xfId="11481" xr:uid="{ABFF0779-8E5E-4B7D-9DB4-B088DEE2C380}"/>
    <cellStyle name="Normal 2 4 5 2 2 2 2 3" xfId="5112" xr:uid="{00000000-0005-0000-0000-00003C100000}"/>
    <cellStyle name="Normal 2 4 5 2 2 2 2 3 2" xfId="13554" xr:uid="{F2D472D9-B434-4F4E-B91A-87EFFB90EA67}"/>
    <cellStyle name="Normal 2 4 5 2 2 2 2 4" xfId="9336" xr:uid="{9AA307FE-F491-410A-B3F6-5012790E7D54}"/>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4224B497-1F1B-4C76-AF57-FE672A9B770A}"/>
    <cellStyle name="Normal 2 4 5 2 2 2 3 2 3" xfId="11894" xr:uid="{76F39B20-4BD6-4B69-A1F9-3577C432A05A}"/>
    <cellStyle name="Normal 2 4 5 2 2 2 3 3" xfId="5525" xr:uid="{00000000-0005-0000-0000-000040100000}"/>
    <cellStyle name="Normal 2 4 5 2 2 2 3 3 2" xfId="13967" xr:uid="{E4A2F3A3-53E6-40DC-A725-B816D037E0BA}"/>
    <cellStyle name="Normal 2 4 5 2 2 2 3 4" xfId="9749" xr:uid="{E6E6D15A-6BD0-42DD-9529-32A7568BD7F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6369CE0A-9834-4DA2-98B9-B62B0F6A439E}"/>
    <cellStyle name="Normal 2 4 5 2 2 2 4 2 3" xfId="12307" xr:uid="{B2A2C11F-172A-4CCD-B1F3-99838A3664E9}"/>
    <cellStyle name="Normal 2 4 5 2 2 2 4 3" xfId="5938" xr:uid="{00000000-0005-0000-0000-000044100000}"/>
    <cellStyle name="Normal 2 4 5 2 2 2 4 3 2" xfId="14380" xr:uid="{F108E665-EE4F-4D51-8692-3ABFD66D9F7B}"/>
    <cellStyle name="Normal 2 4 5 2 2 2 4 4" xfId="10162" xr:uid="{C29B9C27-0389-4718-BCEF-3BAA812D1676}"/>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C5994AFA-184E-42D8-97C7-FBAE7D84817C}"/>
    <cellStyle name="Normal 2 4 5 2 2 2 5 2 3" xfId="12720" xr:uid="{18C7EEA4-BBE5-4B73-B7FA-FFDA91B54AD5}"/>
    <cellStyle name="Normal 2 4 5 2 2 2 5 3" xfId="6351" xr:uid="{00000000-0005-0000-0000-000048100000}"/>
    <cellStyle name="Normal 2 4 5 2 2 2 5 3 2" xfId="14793" xr:uid="{F828A9D2-0C34-46B8-9985-24804B284392}"/>
    <cellStyle name="Normal 2 4 5 2 2 2 5 4" xfId="10575" xr:uid="{B7B23F20-1A5E-4744-A9C6-31DA8FA6FCCC}"/>
    <cellStyle name="Normal 2 4 5 2 2 2 6" xfId="2480" xr:uid="{00000000-0005-0000-0000-000049100000}"/>
    <cellStyle name="Normal 2 4 5 2 2 2 6 2" xfId="6764" xr:uid="{00000000-0005-0000-0000-00004A100000}"/>
    <cellStyle name="Normal 2 4 5 2 2 2 6 2 2" xfId="15206" xr:uid="{7005211B-E561-4BA7-BCF3-768688C5BEF5}"/>
    <cellStyle name="Normal 2 4 5 2 2 2 6 3" xfId="10988" xr:uid="{2AFCCABB-8270-4D07-83C9-CE5FA8E877AA}"/>
    <cellStyle name="Normal 2 4 5 2 2 2 7" xfId="4698" xr:uid="{00000000-0005-0000-0000-00004B100000}"/>
    <cellStyle name="Normal 2 4 5 2 2 2 7 2" xfId="13140" xr:uid="{5A8D4E5C-ED7C-4A83-9649-8909C310E6C3}"/>
    <cellStyle name="Normal 2 4 5 2 2 2 8" xfId="8922" xr:uid="{A1C9F9CB-7FA5-4159-8BC6-EA98F47027D8}"/>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41DAE28F-1646-4A9D-8540-8197072FAAF1}"/>
    <cellStyle name="Normal 2 4 5 2 2 3 2 3" xfId="11480" xr:uid="{8319AE3D-68BE-4A91-A228-0FDE2471C3F5}"/>
    <cellStyle name="Normal 2 4 5 2 2 3 3" xfId="5111" xr:uid="{00000000-0005-0000-0000-00004F100000}"/>
    <cellStyle name="Normal 2 4 5 2 2 3 3 2" xfId="13553" xr:uid="{805D1CC0-AB14-44C4-9B0C-6608BBC4A291}"/>
    <cellStyle name="Normal 2 4 5 2 2 3 4" xfId="9335" xr:uid="{970D1F73-AC02-45A7-BE90-1DDF1A441D6C}"/>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0390303C-CFCD-409C-8133-0EA0AE1B4FC1}"/>
    <cellStyle name="Normal 2 4 5 2 2 4 2 3" xfId="11893" xr:uid="{709669AB-3463-48DA-B2CC-1E6A988D8F53}"/>
    <cellStyle name="Normal 2 4 5 2 2 4 3" xfId="5524" xr:uid="{00000000-0005-0000-0000-000053100000}"/>
    <cellStyle name="Normal 2 4 5 2 2 4 3 2" xfId="13966" xr:uid="{0DB7F833-8889-4AA8-9F54-A8A87DC4C252}"/>
    <cellStyle name="Normal 2 4 5 2 2 4 4" xfId="9748" xr:uid="{D78DFE83-3ECD-4238-9C72-4C28012C2D93}"/>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A9BA3783-800F-4F66-8287-4B4096C9CB2A}"/>
    <cellStyle name="Normal 2 4 5 2 2 5 2 3" xfId="12306" xr:uid="{CE6C8F52-F4C8-4841-B5B2-7801B43CDACA}"/>
    <cellStyle name="Normal 2 4 5 2 2 5 3" xfId="5937" xr:uid="{00000000-0005-0000-0000-000057100000}"/>
    <cellStyle name="Normal 2 4 5 2 2 5 3 2" xfId="14379" xr:uid="{3BFD7D43-0F29-41BA-A48C-248CAD9C29FB}"/>
    <cellStyle name="Normal 2 4 5 2 2 5 4" xfId="10161" xr:uid="{5F93A427-2ED5-49E5-9776-86E37D7D8BB8}"/>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24514E7C-80CC-4F9E-9599-C25BB2368D1F}"/>
    <cellStyle name="Normal 2 4 5 2 2 6 2 3" xfId="12719" xr:uid="{7E5C6769-21D7-475E-A8BA-EA1473CE8518}"/>
    <cellStyle name="Normal 2 4 5 2 2 6 3" xfId="6350" xr:uid="{00000000-0005-0000-0000-00005B100000}"/>
    <cellStyle name="Normal 2 4 5 2 2 6 3 2" xfId="14792" xr:uid="{089B58FE-BE87-45D6-BDAA-B50A7DDED775}"/>
    <cellStyle name="Normal 2 4 5 2 2 6 4" xfId="10574" xr:uid="{131F37E2-BDE2-4B62-90AF-899067801C2D}"/>
    <cellStyle name="Normal 2 4 5 2 2 7" xfId="2479" xr:uid="{00000000-0005-0000-0000-00005C100000}"/>
    <cellStyle name="Normal 2 4 5 2 2 7 2" xfId="6763" xr:uid="{00000000-0005-0000-0000-00005D100000}"/>
    <cellStyle name="Normal 2 4 5 2 2 7 2 2" xfId="15205" xr:uid="{E3F57888-14DA-4412-ABA1-C7D061474311}"/>
    <cellStyle name="Normal 2 4 5 2 2 7 3" xfId="10987" xr:uid="{6182B954-A303-4AFE-8920-BF40EC350A83}"/>
    <cellStyle name="Normal 2 4 5 2 2 8" xfId="4697" xr:uid="{00000000-0005-0000-0000-00005E100000}"/>
    <cellStyle name="Normal 2 4 5 2 2 8 2" xfId="13139" xr:uid="{DDEC40A5-62EE-471C-BD22-A652AC6D745E}"/>
    <cellStyle name="Normal 2 4 5 2 2 9" xfId="8921" xr:uid="{1A67CA42-0FB8-4618-8D67-57375F70C6B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776EE9D0-7EEA-4B97-8B35-FAABFF32DF58}"/>
    <cellStyle name="Normal 2 4 5 2 3 2 2 3" xfId="11482" xr:uid="{CAF0652C-F47F-4080-9197-EBE668FC6A3B}"/>
    <cellStyle name="Normal 2 4 5 2 3 2 3" xfId="5113" xr:uid="{00000000-0005-0000-0000-000063100000}"/>
    <cellStyle name="Normal 2 4 5 2 3 2 3 2" xfId="13555" xr:uid="{C4BD556A-B90F-4EE7-8088-F98CA86D6E53}"/>
    <cellStyle name="Normal 2 4 5 2 3 2 4" xfId="9337" xr:uid="{0E7E837E-4932-478E-8DDC-A697FC6005DF}"/>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B90DA720-8646-4006-A005-AF5C80DEA4ED}"/>
    <cellStyle name="Normal 2 4 5 2 3 3 2 3" xfId="11895" xr:uid="{DCF8832C-198C-4ED5-8284-2E50C4DA62AA}"/>
    <cellStyle name="Normal 2 4 5 2 3 3 3" xfId="5526" xr:uid="{00000000-0005-0000-0000-000067100000}"/>
    <cellStyle name="Normal 2 4 5 2 3 3 3 2" xfId="13968" xr:uid="{183508E1-FA16-4C3F-8B74-EB70EB2842CC}"/>
    <cellStyle name="Normal 2 4 5 2 3 3 4" xfId="9750" xr:uid="{09FAFF86-342B-4FCB-9F04-04C41ADA2703}"/>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0B893CDF-EF81-4BE5-BFDB-6DDFA176AC71}"/>
    <cellStyle name="Normal 2 4 5 2 3 4 2 3" xfId="12308" xr:uid="{B92BB1DB-76CB-4265-AB64-AADC7F20120E}"/>
    <cellStyle name="Normal 2 4 5 2 3 4 3" xfId="5939" xr:uid="{00000000-0005-0000-0000-00006B100000}"/>
    <cellStyle name="Normal 2 4 5 2 3 4 3 2" xfId="14381" xr:uid="{BF6EB0A4-29CB-4B19-AE29-334FF8D59660}"/>
    <cellStyle name="Normal 2 4 5 2 3 4 4" xfId="10163" xr:uid="{4549AEAF-DA91-4F05-9A2F-7D46A7C9B39A}"/>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05EE8051-C1FB-4E06-8F9A-80FD0D33B651}"/>
    <cellStyle name="Normal 2 4 5 2 3 5 2 3" xfId="12721" xr:uid="{FD8E771B-CB46-4A85-9056-5C3A99F68116}"/>
    <cellStyle name="Normal 2 4 5 2 3 5 3" xfId="6352" xr:uid="{00000000-0005-0000-0000-00006F100000}"/>
    <cellStyle name="Normal 2 4 5 2 3 5 3 2" xfId="14794" xr:uid="{09D1F033-57BB-4B2B-999F-1FD7F3B597F9}"/>
    <cellStyle name="Normal 2 4 5 2 3 5 4" xfId="10576" xr:uid="{3E8A001B-DEEC-4B74-BE66-94E0DB144911}"/>
    <cellStyle name="Normal 2 4 5 2 3 6" xfId="2481" xr:uid="{00000000-0005-0000-0000-000070100000}"/>
    <cellStyle name="Normal 2 4 5 2 3 6 2" xfId="6765" xr:uid="{00000000-0005-0000-0000-000071100000}"/>
    <cellStyle name="Normal 2 4 5 2 3 6 2 2" xfId="15207" xr:uid="{EA19A292-616C-4871-8F0F-EA1E9E3DFC46}"/>
    <cellStyle name="Normal 2 4 5 2 3 6 3" xfId="10989" xr:uid="{97A76950-DAB4-4A5E-AD11-FD617B36B9B8}"/>
    <cellStyle name="Normal 2 4 5 2 3 7" xfId="4699" xr:uid="{00000000-0005-0000-0000-000072100000}"/>
    <cellStyle name="Normal 2 4 5 2 3 7 2" xfId="13141" xr:uid="{5EFB1317-A636-4CF2-B5A1-F886D5144190}"/>
    <cellStyle name="Normal 2 4 5 2 3 8" xfId="8923" xr:uid="{9C733C72-847F-4C11-B8C2-7CC69C00AF58}"/>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A2E17521-AF4B-4E45-84E4-C81443EBCCCC}"/>
    <cellStyle name="Normal 2 4 5 2 4 2 3" xfId="11479" xr:uid="{40DB8322-7E75-4D57-AF8D-3B96BD91B66B}"/>
    <cellStyle name="Normal 2 4 5 2 4 3" xfId="5110" xr:uid="{00000000-0005-0000-0000-000076100000}"/>
    <cellStyle name="Normal 2 4 5 2 4 3 2" xfId="13552" xr:uid="{8A8DDD50-1EF3-4E30-B2A9-8456A0711456}"/>
    <cellStyle name="Normal 2 4 5 2 4 4" xfId="9334" xr:uid="{E1C0388F-3AE1-4498-B012-07A6F7045A25}"/>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4E643867-EF84-451C-9D71-0F622F47E478}"/>
    <cellStyle name="Normal 2 4 5 2 5 2 3" xfId="11892" xr:uid="{DBC6D916-07CE-472E-B95E-59308F710035}"/>
    <cellStyle name="Normal 2 4 5 2 5 3" xfId="5523" xr:uid="{00000000-0005-0000-0000-00007A100000}"/>
    <cellStyle name="Normal 2 4 5 2 5 3 2" xfId="13965" xr:uid="{DEFB7F4F-C4E7-4FA7-BDAF-0D11E6AE755D}"/>
    <cellStyle name="Normal 2 4 5 2 5 4" xfId="9747" xr:uid="{C5963C31-78F5-488E-9C15-DA380F74E0A4}"/>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841B2D09-F702-4CF4-B4A5-038EA21315A9}"/>
    <cellStyle name="Normal 2 4 5 2 6 2 3" xfId="12305" xr:uid="{C782DDA0-805D-4E2C-A5D6-CB3CB9BCBE28}"/>
    <cellStyle name="Normal 2 4 5 2 6 3" xfId="5936" xr:uid="{00000000-0005-0000-0000-00007E100000}"/>
    <cellStyle name="Normal 2 4 5 2 6 3 2" xfId="14378" xr:uid="{187E383A-7C29-4186-85CB-109CFBE5A51C}"/>
    <cellStyle name="Normal 2 4 5 2 6 4" xfId="10160" xr:uid="{FDC1D534-5331-4854-B8D5-5189F9AE162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1DEBF677-322B-4E35-9573-2F1422E309B6}"/>
    <cellStyle name="Normal 2 4 5 2 7 2 3" xfId="12718" xr:uid="{9784F1A9-ADE8-4F47-984A-42B8C8B685DC}"/>
    <cellStyle name="Normal 2 4 5 2 7 3" xfId="6349" xr:uid="{00000000-0005-0000-0000-000082100000}"/>
    <cellStyle name="Normal 2 4 5 2 7 3 2" xfId="14791" xr:uid="{884206FD-2841-4182-83D8-8E94D15FD062}"/>
    <cellStyle name="Normal 2 4 5 2 7 4" xfId="10573" xr:uid="{286A4114-66F4-48DE-BC27-E5FA334AC85F}"/>
    <cellStyle name="Normal 2 4 5 2 8" xfId="2478" xr:uid="{00000000-0005-0000-0000-000083100000}"/>
    <cellStyle name="Normal 2 4 5 2 8 2" xfId="6762" xr:uid="{00000000-0005-0000-0000-000084100000}"/>
    <cellStyle name="Normal 2 4 5 2 8 2 2" xfId="15204" xr:uid="{64138B2E-F110-4D78-83C9-BF3ACDFA15BE}"/>
    <cellStyle name="Normal 2 4 5 2 8 3" xfId="10986" xr:uid="{7AFB7F32-2D92-402E-8036-AD7395C40D25}"/>
    <cellStyle name="Normal 2 4 5 2 9" xfId="4696" xr:uid="{00000000-0005-0000-0000-000085100000}"/>
    <cellStyle name="Normal 2 4 5 2 9 2" xfId="13138" xr:uid="{C42135BE-A4D9-4C10-A3A3-CAB374BB4DF1}"/>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55F9AC0C-D15D-4177-B675-B47D26BE5005}"/>
    <cellStyle name="Normal 2 4 5 3 2 2 2 3" xfId="11484" xr:uid="{3FC599C7-DA9C-46A2-B267-188ADCA16FD8}"/>
    <cellStyle name="Normal 2 4 5 3 2 2 3" xfId="5115" xr:uid="{00000000-0005-0000-0000-00008B100000}"/>
    <cellStyle name="Normal 2 4 5 3 2 2 3 2" xfId="13557" xr:uid="{BFCBAA1E-5C35-4E95-B7FC-0D1D88C50DDC}"/>
    <cellStyle name="Normal 2 4 5 3 2 2 4" xfId="9339" xr:uid="{83B314DB-50ED-4819-887D-AB5A611E2C11}"/>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5AA6992A-EED7-4F82-8576-C42DC46433D9}"/>
    <cellStyle name="Normal 2 4 5 3 2 3 2 3" xfId="11897" xr:uid="{074E8675-A511-4598-93B0-E7E12DC59940}"/>
    <cellStyle name="Normal 2 4 5 3 2 3 3" xfId="5528" xr:uid="{00000000-0005-0000-0000-00008F100000}"/>
    <cellStyle name="Normal 2 4 5 3 2 3 3 2" xfId="13970" xr:uid="{53E92106-2995-4A0A-9A66-588AC2A0E37E}"/>
    <cellStyle name="Normal 2 4 5 3 2 3 4" xfId="9752" xr:uid="{CD15BC72-44C1-4CA9-893E-E10017A0250A}"/>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A2A4AC21-02B9-4947-8823-8E0AD0AEA634}"/>
    <cellStyle name="Normal 2 4 5 3 2 4 2 3" xfId="12310" xr:uid="{09196C68-A780-4B34-BDE0-294247611602}"/>
    <cellStyle name="Normal 2 4 5 3 2 4 3" xfId="5941" xr:uid="{00000000-0005-0000-0000-000093100000}"/>
    <cellStyle name="Normal 2 4 5 3 2 4 3 2" xfId="14383" xr:uid="{04715E42-A1A7-4AE3-869D-2F684C74DF29}"/>
    <cellStyle name="Normal 2 4 5 3 2 4 4" xfId="10165" xr:uid="{D06DBDFC-ABBA-4E6E-87A1-DA149BF316FE}"/>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F2E9DEA2-2AE4-41D0-B1DF-6091FFD9B9D4}"/>
    <cellStyle name="Normal 2 4 5 3 2 5 2 3" xfId="12723" xr:uid="{330645EB-B7DA-4108-AFAE-997107B649E8}"/>
    <cellStyle name="Normal 2 4 5 3 2 5 3" xfId="6354" xr:uid="{00000000-0005-0000-0000-000097100000}"/>
    <cellStyle name="Normal 2 4 5 3 2 5 3 2" xfId="14796" xr:uid="{50898C0D-EB4D-40D3-ABC0-669F51465714}"/>
    <cellStyle name="Normal 2 4 5 3 2 5 4" xfId="10578" xr:uid="{E34B5A67-EF60-46F0-8B8D-C5DFF3BFECC7}"/>
    <cellStyle name="Normal 2 4 5 3 2 6" xfId="2483" xr:uid="{00000000-0005-0000-0000-000098100000}"/>
    <cellStyle name="Normal 2 4 5 3 2 6 2" xfId="6767" xr:uid="{00000000-0005-0000-0000-000099100000}"/>
    <cellStyle name="Normal 2 4 5 3 2 6 2 2" xfId="15209" xr:uid="{CF9E4E64-088C-40EB-A64A-8122975CC487}"/>
    <cellStyle name="Normal 2 4 5 3 2 6 3" xfId="10991" xr:uid="{AF8A5C40-AFCB-4B37-81CC-5158737CDBD7}"/>
    <cellStyle name="Normal 2 4 5 3 2 7" xfId="4701" xr:uid="{00000000-0005-0000-0000-00009A100000}"/>
    <cellStyle name="Normal 2 4 5 3 2 7 2" xfId="13143" xr:uid="{C22CE2AA-0C61-4569-9623-8018CD08D60F}"/>
    <cellStyle name="Normal 2 4 5 3 2 8" xfId="8925" xr:uid="{E2E0B270-3FDB-47FB-8701-8F1FAF2720E4}"/>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E1C290CE-CDE7-4FD0-999D-13055914D0C3}"/>
    <cellStyle name="Normal 2 4 5 3 3 2 3" xfId="11483" xr:uid="{A973318E-CFC0-4EA3-B46F-D1362DA15E5F}"/>
    <cellStyle name="Normal 2 4 5 3 3 3" xfId="5114" xr:uid="{00000000-0005-0000-0000-00009E100000}"/>
    <cellStyle name="Normal 2 4 5 3 3 3 2" xfId="13556" xr:uid="{B98C8EBD-238A-41C6-8BA9-6C0BCAEB0333}"/>
    <cellStyle name="Normal 2 4 5 3 3 4" xfId="9338" xr:uid="{3296691F-4E09-4446-B913-67641F106854}"/>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523177A7-BD38-4F03-BD0F-88BF96756271}"/>
    <cellStyle name="Normal 2 4 5 3 4 2 3" xfId="11896" xr:uid="{4B265BEB-BB20-424A-BF4E-CB1555250E5A}"/>
    <cellStyle name="Normal 2 4 5 3 4 3" xfId="5527" xr:uid="{00000000-0005-0000-0000-0000A2100000}"/>
    <cellStyle name="Normal 2 4 5 3 4 3 2" xfId="13969" xr:uid="{29742685-2364-4E5E-BC1E-57E32D3BB7E8}"/>
    <cellStyle name="Normal 2 4 5 3 4 4" xfId="9751" xr:uid="{F4F2A89E-A097-4A15-8F8D-CC9CD15C7808}"/>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CA14DC5A-F566-4CD1-9189-9E66B432D5CB}"/>
    <cellStyle name="Normal 2 4 5 3 5 2 3" xfId="12309" xr:uid="{7EC42508-39CA-4B45-BAE4-C08D4DC504F7}"/>
    <cellStyle name="Normal 2 4 5 3 5 3" xfId="5940" xr:uid="{00000000-0005-0000-0000-0000A6100000}"/>
    <cellStyle name="Normal 2 4 5 3 5 3 2" xfId="14382" xr:uid="{8FA0FF92-A6D2-4A1F-84FD-F5C25113BCBE}"/>
    <cellStyle name="Normal 2 4 5 3 5 4" xfId="10164" xr:uid="{0736865A-0EE8-4F05-A9C7-D4996E9C1A4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42991A5E-2BEC-4578-8CF1-BA5C47E79D7B}"/>
    <cellStyle name="Normal 2 4 5 3 6 2 3" xfId="12722" xr:uid="{FB27730C-25B1-4A29-A102-DAC2A42F6E30}"/>
    <cellStyle name="Normal 2 4 5 3 6 3" xfId="6353" xr:uid="{00000000-0005-0000-0000-0000AA100000}"/>
    <cellStyle name="Normal 2 4 5 3 6 3 2" xfId="14795" xr:uid="{101BE4D1-244F-4047-9DA2-44675E96C8F9}"/>
    <cellStyle name="Normal 2 4 5 3 6 4" xfId="10577" xr:uid="{182DBDF1-B1F7-4F90-89B8-6DCB25C14ECE}"/>
    <cellStyle name="Normal 2 4 5 3 7" xfId="2482" xr:uid="{00000000-0005-0000-0000-0000AB100000}"/>
    <cellStyle name="Normal 2 4 5 3 7 2" xfId="6766" xr:uid="{00000000-0005-0000-0000-0000AC100000}"/>
    <cellStyle name="Normal 2 4 5 3 7 2 2" xfId="15208" xr:uid="{1C6EC344-3E5C-4DAF-84C6-E7ED67D1AB5B}"/>
    <cellStyle name="Normal 2 4 5 3 7 3" xfId="10990" xr:uid="{4CCCEAC8-C2BC-4CD0-B390-DD630F671A64}"/>
    <cellStyle name="Normal 2 4 5 3 8" xfId="4700" xr:uid="{00000000-0005-0000-0000-0000AD100000}"/>
    <cellStyle name="Normal 2 4 5 3 8 2" xfId="13142" xr:uid="{918196CC-EDFE-474C-99F4-C0351B97F9F0}"/>
    <cellStyle name="Normal 2 4 5 3 9" xfId="8924" xr:uid="{9B0FEAA8-67CC-4844-8D00-6C5778DC1D59}"/>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3DF71223-9B0D-4B12-A424-0AE7C1874432}"/>
    <cellStyle name="Normal 2 4 5 4 2 2 3" xfId="11485" xr:uid="{F4E933D4-BB3F-43D7-97E7-308467333CE2}"/>
    <cellStyle name="Normal 2 4 5 4 2 3" xfId="5116" xr:uid="{00000000-0005-0000-0000-0000B2100000}"/>
    <cellStyle name="Normal 2 4 5 4 2 3 2" xfId="13558" xr:uid="{4E7891D7-3931-42EB-82CC-3492A15336C4}"/>
    <cellStyle name="Normal 2 4 5 4 2 4" xfId="9340" xr:uid="{1D7A8744-BAB0-4468-9AA7-0A9A31091A82}"/>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7F1B56C8-5AFD-43B8-85C1-4714FB700F40}"/>
    <cellStyle name="Normal 2 4 5 4 3 2 3" xfId="11898" xr:uid="{266BBC28-AA2C-4F2B-803E-2145A6A67489}"/>
    <cellStyle name="Normal 2 4 5 4 3 3" xfId="5529" xr:uid="{00000000-0005-0000-0000-0000B6100000}"/>
    <cellStyle name="Normal 2 4 5 4 3 3 2" xfId="13971" xr:uid="{5D121B56-DB08-4B36-A616-5998436070D5}"/>
    <cellStyle name="Normal 2 4 5 4 3 4" xfId="9753" xr:uid="{C07B1BDA-2FA5-4191-9762-8FBD35596245}"/>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7023E397-B21D-4A22-8419-729A9970F199}"/>
    <cellStyle name="Normal 2 4 5 4 4 2 3" xfId="12311" xr:uid="{34DD2859-CFDB-42C0-8CF6-A0E083E9ADDD}"/>
    <cellStyle name="Normal 2 4 5 4 4 3" xfId="5942" xr:uid="{00000000-0005-0000-0000-0000BA100000}"/>
    <cellStyle name="Normal 2 4 5 4 4 3 2" xfId="14384" xr:uid="{11340E1D-5FFF-448A-9140-6C1715778596}"/>
    <cellStyle name="Normal 2 4 5 4 4 4" xfId="10166" xr:uid="{324F780A-9F63-438C-9E3A-CDFB99A0F7FD}"/>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CD0F8683-76E0-48E1-8B54-29A68977F91D}"/>
    <cellStyle name="Normal 2 4 5 4 5 2 3" xfId="12724" xr:uid="{1EE61857-C598-4BA2-B649-644EF97EE8B2}"/>
    <cellStyle name="Normal 2 4 5 4 5 3" xfId="6355" xr:uid="{00000000-0005-0000-0000-0000BE100000}"/>
    <cellStyle name="Normal 2 4 5 4 5 3 2" xfId="14797" xr:uid="{10CF7BBD-A857-4082-B5D7-C9F4BFE36B44}"/>
    <cellStyle name="Normal 2 4 5 4 5 4" xfId="10579" xr:uid="{EBE725F4-9728-4569-BC6F-89569D3374E8}"/>
    <cellStyle name="Normal 2 4 5 4 6" xfId="2484" xr:uid="{00000000-0005-0000-0000-0000BF100000}"/>
    <cellStyle name="Normal 2 4 5 4 6 2" xfId="6768" xr:uid="{00000000-0005-0000-0000-0000C0100000}"/>
    <cellStyle name="Normal 2 4 5 4 6 2 2" xfId="15210" xr:uid="{7432C9EC-69B1-48C9-821C-E885568CC558}"/>
    <cellStyle name="Normal 2 4 5 4 6 3" xfId="10992" xr:uid="{2836EC69-E424-4910-AC0A-3563BB75F3DB}"/>
    <cellStyle name="Normal 2 4 5 4 7" xfId="4702" xr:uid="{00000000-0005-0000-0000-0000C1100000}"/>
    <cellStyle name="Normal 2 4 5 4 7 2" xfId="13144" xr:uid="{903C4B67-6FD5-49B3-B7B9-38C0833A33B0}"/>
    <cellStyle name="Normal 2 4 5 4 8" xfId="8926" xr:uid="{B799315C-003F-49C9-A460-9635C6F892B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8D369575-BDF2-406D-B855-CF6EA0C165E2}"/>
    <cellStyle name="Normal 2 4 5 5 2 3" xfId="11478" xr:uid="{C30F3CE6-96CC-4579-B64F-D5F5EA787045}"/>
    <cellStyle name="Normal 2 4 5 5 3" xfId="5109" xr:uid="{00000000-0005-0000-0000-0000C5100000}"/>
    <cellStyle name="Normal 2 4 5 5 3 2" xfId="13551" xr:uid="{C7F28536-3EA3-47DE-807A-3FE173BD3002}"/>
    <cellStyle name="Normal 2 4 5 5 4" xfId="9333" xr:uid="{42634B52-186E-4C13-92A2-A08A212E734A}"/>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9C238E17-5750-483E-A173-8DFCCC4EED92}"/>
    <cellStyle name="Normal 2 4 5 6 2 3" xfId="11891" xr:uid="{900C305C-D609-4791-8135-68751F30C208}"/>
    <cellStyle name="Normal 2 4 5 6 3" xfId="5522" xr:uid="{00000000-0005-0000-0000-0000C9100000}"/>
    <cellStyle name="Normal 2 4 5 6 3 2" xfId="13964" xr:uid="{6F16717A-65D6-4129-9F2B-24FCF89FDF22}"/>
    <cellStyle name="Normal 2 4 5 6 4" xfId="9746" xr:uid="{8595537C-B00E-4666-89FC-D46936137886}"/>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2C5BC207-B34A-4803-AA04-9F980C13CF8B}"/>
    <cellStyle name="Normal 2 4 5 7 2 3" xfId="12304" xr:uid="{CCB4C4B8-E500-4D91-8709-DE285DFD9DB1}"/>
    <cellStyle name="Normal 2 4 5 7 3" xfId="5935" xr:uid="{00000000-0005-0000-0000-0000CD100000}"/>
    <cellStyle name="Normal 2 4 5 7 3 2" xfId="14377" xr:uid="{7C35BAD8-CDE0-4B46-A48A-7AA2BAD4777D}"/>
    <cellStyle name="Normal 2 4 5 7 4" xfId="10159" xr:uid="{E61B1722-BA95-45E0-8318-C41C425A7DB0}"/>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831C2774-FAE1-4F15-B27E-6D78EB60B5C6}"/>
    <cellStyle name="Normal 2 4 5 8 2 3" xfId="12717" xr:uid="{58775962-8386-4F45-BE55-8935AF817430}"/>
    <cellStyle name="Normal 2 4 5 8 3" xfId="6348" xr:uid="{00000000-0005-0000-0000-0000D1100000}"/>
    <cellStyle name="Normal 2 4 5 8 3 2" xfId="14790" xr:uid="{7F04ECC8-D79E-47E5-B2B6-7D762C084EE4}"/>
    <cellStyle name="Normal 2 4 5 8 4" xfId="10572" xr:uid="{2558CA2C-B1F0-4A5F-989C-AB721813BDD5}"/>
    <cellStyle name="Normal 2 4 5 9" xfId="2477" xr:uid="{00000000-0005-0000-0000-0000D2100000}"/>
    <cellStyle name="Normal 2 4 5 9 2" xfId="6761" xr:uid="{00000000-0005-0000-0000-0000D3100000}"/>
    <cellStyle name="Normal 2 4 5 9 2 2" xfId="15203" xr:uid="{3407003C-2292-48B2-A7A2-E408F47DED48}"/>
    <cellStyle name="Normal 2 4 5 9 3" xfId="10985" xr:uid="{BDF17730-B80A-41CD-ADE2-6E4EC25F87DB}"/>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AAD228D4-8695-41F2-B122-3DB5B182CD92}"/>
    <cellStyle name="Normal 2 4 7 2 2 2 3" xfId="11487" xr:uid="{47F50605-FF8C-4133-91AC-345ACED48A0A}"/>
    <cellStyle name="Normal 2 4 7 2 2 3" xfId="5118" xr:uid="{00000000-0005-0000-0000-0000DA100000}"/>
    <cellStyle name="Normal 2 4 7 2 2 3 2" xfId="13560" xr:uid="{936E4943-63DE-439F-B6C5-5A0F3831B64A}"/>
    <cellStyle name="Normal 2 4 7 2 2 4" xfId="9342" xr:uid="{7603551B-3157-4EE9-8F40-72E01856059B}"/>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73CFA41A-9603-4613-AAA2-057E9006DD37}"/>
    <cellStyle name="Normal 2 4 7 2 3 2 3" xfId="11900" xr:uid="{0CC101E1-3C3D-4189-B525-D87F59B79898}"/>
    <cellStyle name="Normal 2 4 7 2 3 3" xfId="5531" xr:uid="{00000000-0005-0000-0000-0000DE100000}"/>
    <cellStyle name="Normal 2 4 7 2 3 3 2" xfId="13973" xr:uid="{38777F73-BB1D-4177-BF90-FCB679A34438}"/>
    <cellStyle name="Normal 2 4 7 2 3 4" xfId="9755" xr:uid="{2B9A15A5-3332-485D-9224-AF59881C937E}"/>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496E65F0-04E2-44D7-AB3D-90AA274085C4}"/>
    <cellStyle name="Normal 2 4 7 2 4 2 3" xfId="12313" xr:uid="{BE769D73-6665-4306-9929-A921211AC87D}"/>
    <cellStyle name="Normal 2 4 7 2 4 3" xfId="5944" xr:uid="{00000000-0005-0000-0000-0000E2100000}"/>
    <cellStyle name="Normal 2 4 7 2 4 3 2" xfId="14386" xr:uid="{B21E7807-0123-4B61-8B0C-30EA655D20B1}"/>
    <cellStyle name="Normal 2 4 7 2 4 4" xfId="10168" xr:uid="{C3EA1EE8-CA68-42F1-B0E5-750CED33F8B8}"/>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0D198633-CD30-498A-A721-C6DDB4E0DD44}"/>
    <cellStyle name="Normal 2 4 7 2 5 2 3" xfId="12726" xr:uid="{064EF74B-2FE2-421E-BBAF-210D513BE1C2}"/>
    <cellStyle name="Normal 2 4 7 2 5 3" xfId="6357" xr:uid="{00000000-0005-0000-0000-0000E6100000}"/>
    <cellStyle name="Normal 2 4 7 2 5 3 2" xfId="14799" xr:uid="{A2480335-F5C0-492E-A9AB-5997F51AA67F}"/>
    <cellStyle name="Normal 2 4 7 2 5 4" xfId="10581" xr:uid="{476F970C-2488-419D-909F-2C9A3CE9D24A}"/>
    <cellStyle name="Normal 2 4 7 2 6" xfId="2486" xr:uid="{00000000-0005-0000-0000-0000E7100000}"/>
    <cellStyle name="Normal 2 4 7 2 6 2" xfId="6770" xr:uid="{00000000-0005-0000-0000-0000E8100000}"/>
    <cellStyle name="Normal 2 4 7 2 6 2 2" xfId="15212" xr:uid="{41F63412-7C40-4650-BB49-C6E8DCCFEE38}"/>
    <cellStyle name="Normal 2 4 7 2 6 3" xfId="10994" xr:uid="{37F326A8-D3A7-49B8-979A-D2470DF7226F}"/>
    <cellStyle name="Normal 2 4 7 2 7" xfId="4704" xr:uid="{00000000-0005-0000-0000-0000E9100000}"/>
    <cellStyle name="Normal 2 4 7 2 7 2" xfId="13146" xr:uid="{739728E2-CF31-4D71-89CC-D270C2B59519}"/>
    <cellStyle name="Normal 2 4 7 2 8" xfId="8928" xr:uid="{C5B3117F-F24D-4C65-BA0E-119C055F9C18}"/>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E07E3C88-67D1-4972-BE55-A2160CBE5C2E}"/>
    <cellStyle name="Normal 2 4 7 3 2 3" xfId="11486" xr:uid="{BCFFF01F-DD8B-420F-BB9E-6FC00028538D}"/>
    <cellStyle name="Normal 2 4 7 3 3" xfId="5117" xr:uid="{00000000-0005-0000-0000-0000ED100000}"/>
    <cellStyle name="Normal 2 4 7 3 3 2" xfId="13559" xr:uid="{FAA88CE2-955E-463C-A4F7-92DE5F47A7FD}"/>
    <cellStyle name="Normal 2 4 7 3 4" xfId="9341" xr:uid="{5FE0D0D2-50B5-4C72-B2A1-7E7FE316FC7B}"/>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7CE7160E-A319-4282-AD38-86B90284757D}"/>
    <cellStyle name="Normal 2 4 7 4 2 3" xfId="11899" xr:uid="{5258B606-2C84-4890-BF1F-3E4FC3CA4929}"/>
    <cellStyle name="Normal 2 4 7 4 3" xfId="5530" xr:uid="{00000000-0005-0000-0000-0000F1100000}"/>
    <cellStyle name="Normal 2 4 7 4 3 2" xfId="13972" xr:uid="{F31FD5DD-3726-4977-8803-B0FAC78C1D48}"/>
    <cellStyle name="Normal 2 4 7 4 4" xfId="9754" xr:uid="{DAB10676-1E20-4BAD-82F3-03C8DDF24432}"/>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1F602CFF-E347-4D22-8380-5543523E1A6F}"/>
    <cellStyle name="Normal 2 4 7 5 2 3" xfId="12312" xr:uid="{DE0A1BBA-E096-4859-A1C4-6F44C862A208}"/>
    <cellStyle name="Normal 2 4 7 5 3" xfId="5943" xr:uid="{00000000-0005-0000-0000-0000F5100000}"/>
    <cellStyle name="Normal 2 4 7 5 3 2" xfId="14385" xr:uid="{4510F4AE-17F0-4C72-80A9-2BA1317F709C}"/>
    <cellStyle name="Normal 2 4 7 5 4" xfId="10167" xr:uid="{97043F2E-5C43-4F0A-9350-B7D8F29595B7}"/>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DC5A596D-FE0C-4C78-83D1-B63454E9AE3E}"/>
    <cellStyle name="Normal 2 4 7 6 2 3" xfId="12725" xr:uid="{29889089-69E0-4C6E-B14B-70B002796014}"/>
    <cellStyle name="Normal 2 4 7 6 3" xfId="6356" xr:uid="{00000000-0005-0000-0000-0000F9100000}"/>
    <cellStyle name="Normal 2 4 7 6 3 2" xfId="14798" xr:uid="{F0818ADA-EF50-4EDF-A5C2-0F13C19E6DD1}"/>
    <cellStyle name="Normal 2 4 7 6 4" xfId="10580" xr:uid="{9B8CE224-0734-4842-90C5-6AF3E5F2D147}"/>
    <cellStyle name="Normal 2 4 7 7" xfId="2485" xr:uid="{00000000-0005-0000-0000-0000FA100000}"/>
    <cellStyle name="Normal 2 4 7 7 2" xfId="6769" xr:uid="{00000000-0005-0000-0000-0000FB100000}"/>
    <cellStyle name="Normal 2 4 7 7 2 2" xfId="15211" xr:uid="{9203F658-AA64-42BC-8FC0-7E560C3D14D1}"/>
    <cellStyle name="Normal 2 4 7 7 3" xfId="10993" xr:uid="{3965AE1D-D35B-466D-AB1B-67C8B7B27477}"/>
    <cellStyle name="Normal 2 4 7 8" xfId="4703" xr:uid="{00000000-0005-0000-0000-0000FC100000}"/>
    <cellStyle name="Normal 2 4 7 8 2" xfId="13145" xr:uid="{638CEAFA-041A-4B81-A1CB-24AAF8610195}"/>
    <cellStyle name="Normal 2 4 7 9" xfId="8927" xr:uid="{B2A151DC-36AA-437E-B1EB-3D23C0EB67BB}"/>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77FFADA-285A-4936-A714-BF19B509E9F3}"/>
    <cellStyle name="Normal 2 4 8 2 2 3" xfId="11488" xr:uid="{74F2A7A9-1E73-4C1B-94F9-BA5909ADC8FC}"/>
    <cellStyle name="Normal 2 4 8 2 3" xfId="5119" xr:uid="{00000000-0005-0000-0000-000001110000}"/>
    <cellStyle name="Normal 2 4 8 2 3 2" xfId="13561" xr:uid="{83E7216E-6633-4CBD-8309-888E9B6CD369}"/>
    <cellStyle name="Normal 2 4 8 2 4" xfId="9343" xr:uid="{4D57A071-9247-4C26-BF9F-1E7DAC9F796D}"/>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79E8482A-8C99-4C39-B412-103E36B5D16D}"/>
    <cellStyle name="Normal 2 4 8 3 2 3" xfId="11901" xr:uid="{2308F3F1-A200-4123-A9BC-BC12D6D5007D}"/>
    <cellStyle name="Normal 2 4 8 3 3" xfId="5532" xr:uid="{00000000-0005-0000-0000-000005110000}"/>
    <cellStyle name="Normal 2 4 8 3 3 2" xfId="13974" xr:uid="{3E3368C8-C588-406F-9039-44B972F855FF}"/>
    <cellStyle name="Normal 2 4 8 3 4" xfId="9756" xr:uid="{82E5518B-C32F-4EDB-B556-7B53E2EE0E4A}"/>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8B85E0D7-9861-4956-8E53-F901C3CE32E8}"/>
    <cellStyle name="Normal 2 4 8 4 2 3" xfId="12314" xr:uid="{25A09C04-1DD6-4480-A29C-6014AF02B8C8}"/>
    <cellStyle name="Normal 2 4 8 4 3" xfId="5945" xr:uid="{00000000-0005-0000-0000-000009110000}"/>
    <cellStyle name="Normal 2 4 8 4 3 2" xfId="14387" xr:uid="{46225477-DC9A-46FD-A2AF-5FC1D999AB9B}"/>
    <cellStyle name="Normal 2 4 8 4 4" xfId="10169" xr:uid="{B0977C9E-AA3F-490F-AE33-EED84A68C33F}"/>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E24CD778-205D-43E0-8BCB-3921BC62F3C0}"/>
    <cellStyle name="Normal 2 4 8 5 2 3" xfId="12727" xr:uid="{9F9ED6D5-0A73-4F8F-AD35-486A4ECE7C38}"/>
    <cellStyle name="Normal 2 4 8 5 3" xfId="6358" xr:uid="{00000000-0005-0000-0000-00000D110000}"/>
    <cellStyle name="Normal 2 4 8 5 3 2" xfId="14800" xr:uid="{38E60D63-7C53-4BFF-8634-28807E7BB37D}"/>
    <cellStyle name="Normal 2 4 8 5 4" xfId="10582" xr:uid="{180B1C37-1AC6-4C2D-A980-B91A93B4094C}"/>
    <cellStyle name="Normal 2 4 8 6" xfId="2487" xr:uid="{00000000-0005-0000-0000-00000E110000}"/>
    <cellStyle name="Normal 2 4 8 6 2" xfId="6771" xr:uid="{00000000-0005-0000-0000-00000F110000}"/>
    <cellStyle name="Normal 2 4 8 6 2 2" xfId="15213" xr:uid="{A9079ADF-E4B4-4FB6-A896-66A414DD2BB6}"/>
    <cellStyle name="Normal 2 4 8 6 3" xfId="10995" xr:uid="{5ED250D7-12C2-4CDC-88E0-312B11D9603B}"/>
    <cellStyle name="Normal 2 4 8 7" xfId="4705" xr:uid="{00000000-0005-0000-0000-000010110000}"/>
    <cellStyle name="Normal 2 4 8 7 2" xfId="13147" xr:uid="{DA9AFE49-97E1-46FE-A14C-20BC17DADC1A}"/>
    <cellStyle name="Normal 2 4 8 8" xfId="8929" xr:uid="{7F8E055E-49B6-4341-B7B1-684E9AD208C7}"/>
    <cellStyle name="Normal 2 5" xfId="315" xr:uid="{00000000-0005-0000-0000-000011110000}"/>
    <cellStyle name="Normal 2 5 10" xfId="4706" xr:uid="{00000000-0005-0000-0000-000012110000}"/>
    <cellStyle name="Normal 2 5 10 2" xfId="13148" xr:uid="{82FC36C1-F4DA-4830-9332-BD59F4185BDA}"/>
    <cellStyle name="Normal 2 5 11" xfId="8930" xr:uid="{B2B39AE3-C881-47CB-827C-2AE7765010D7}"/>
    <cellStyle name="Normal 2 5 2" xfId="316" xr:uid="{00000000-0005-0000-0000-000013110000}"/>
    <cellStyle name="Normal 2 5 3" xfId="317" xr:uid="{00000000-0005-0000-0000-000014110000}"/>
    <cellStyle name="Normal 2 5 4" xfId="318" xr:uid="{00000000-0005-0000-0000-000015110000}"/>
    <cellStyle name="Normal 2 5 4 10" xfId="8931" xr:uid="{F1FC53CC-0DFF-4A07-809A-E43240958EE3}"/>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97073499-B259-4ADE-95B2-D26081B7C290}"/>
    <cellStyle name="Normal 2 5 4 2 2 2 2 3" xfId="11492" xr:uid="{43408B26-B64D-4BC9-BB28-34C0BCDC4EA6}"/>
    <cellStyle name="Normal 2 5 4 2 2 2 3" xfId="5123" xr:uid="{00000000-0005-0000-0000-00001B110000}"/>
    <cellStyle name="Normal 2 5 4 2 2 2 3 2" xfId="13565" xr:uid="{E986CAE6-83A8-4015-A9D5-4231386662DE}"/>
    <cellStyle name="Normal 2 5 4 2 2 2 4" xfId="9347" xr:uid="{7119FCDC-14F8-41F0-9B91-D8019350F784}"/>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6E015874-A588-421F-9EE6-91B45F2972DE}"/>
    <cellStyle name="Normal 2 5 4 2 2 3 2 3" xfId="11905" xr:uid="{4624587A-BCA6-4162-9FD1-E903E906B7F9}"/>
    <cellStyle name="Normal 2 5 4 2 2 3 3" xfId="5536" xr:uid="{00000000-0005-0000-0000-00001F110000}"/>
    <cellStyle name="Normal 2 5 4 2 2 3 3 2" xfId="13978" xr:uid="{4831F5F4-FE61-40B6-9D84-A82F0CD0D2F5}"/>
    <cellStyle name="Normal 2 5 4 2 2 3 4" xfId="9760" xr:uid="{8B6E6047-E217-45B8-843A-7E2BF485EC7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6EC5EF1B-F9FC-4868-9A88-562EB6278809}"/>
    <cellStyle name="Normal 2 5 4 2 2 4 2 3" xfId="12318" xr:uid="{15DA0E70-9E7E-45D7-877C-41F7BA3C0A39}"/>
    <cellStyle name="Normal 2 5 4 2 2 4 3" xfId="5949" xr:uid="{00000000-0005-0000-0000-000023110000}"/>
    <cellStyle name="Normal 2 5 4 2 2 4 3 2" xfId="14391" xr:uid="{6F4FA5B0-C7FA-4CAE-B959-CEF09CC206BD}"/>
    <cellStyle name="Normal 2 5 4 2 2 4 4" xfId="10173" xr:uid="{4F743663-4C88-4BC3-A255-20CC56928F8C}"/>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8D7946A1-F743-430D-A783-4D90E2839C80}"/>
    <cellStyle name="Normal 2 5 4 2 2 5 2 3" xfId="12731" xr:uid="{6D3849CE-69A1-49A1-A400-72A6CB254FAC}"/>
    <cellStyle name="Normal 2 5 4 2 2 5 3" xfId="6362" xr:uid="{00000000-0005-0000-0000-000027110000}"/>
    <cellStyle name="Normal 2 5 4 2 2 5 3 2" xfId="14804" xr:uid="{C82FD4CA-6330-41A6-9FA7-E03E2BE5F854}"/>
    <cellStyle name="Normal 2 5 4 2 2 5 4" xfId="10586" xr:uid="{0E52F07E-5D41-46B1-902C-3CE764F0E9EE}"/>
    <cellStyle name="Normal 2 5 4 2 2 6" xfId="2491" xr:uid="{00000000-0005-0000-0000-000028110000}"/>
    <cellStyle name="Normal 2 5 4 2 2 6 2" xfId="6775" xr:uid="{00000000-0005-0000-0000-000029110000}"/>
    <cellStyle name="Normal 2 5 4 2 2 6 2 2" xfId="15217" xr:uid="{33A08634-7C86-480E-9ED2-3903E7662B2D}"/>
    <cellStyle name="Normal 2 5 4 2 2 6 3" xfId="10999" xr:uid="{906767A3-6723-4E54-ADC7-95CF29258449}"/>
    <cellStyle name="Normal 2 5 4 2 2 7" xfId="4709" xr:uid="{00000000-0005-0000-0000-00002A110000}"/>
    <cellStyle name="Normal 2 5 4 2 2 7 2" xfId="13151" xr:uid="{6F11121A-5405-4351-B176-281E38341ADD}"/>
    <cellStyle name="Normal 2 5 4 2 2 8" xfId="8933" xr:uid="{F5C34236-0996-46E1-A7A3-85BF2EB7EFF7}"/>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01857021-F57F-4688-BC85-CA3BB4FA876B}"/>
    <cellStyle name="Normal 2 5 4 2 3 2 3" xfId="11491" xr:uid="{D1420384-5AE3-4216-8735-7B5EE3FF2CB7}"/>
    <cellStyle name="Normal 2 5 4 2 3 3" xfId="5122" xr:uid="{00000000-0005-0000-0000-00002E110000}"/>
    <cellStyle name="Normal 2 5 4 2 3 3 2" xfId="13564" xr:uid="{9827E45D-4886-4FA5-A99C-0DDE1FB5436A}"/>
    <cellStyle name="Normal 2 5 4 2 3 4" xfId="9346" xr:uid="{E68038D3-F25A-4EB6-88F3-E8B18A471486}"/>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72C04B4D-E74C-4F71-A6AD-142D51979845}"/>
    <cellStyle name="Normal 2 5 4 2 4 2 3" xfId="11904" xr:uid="{432B94A8-9274-4157-B53D-398AA65A63DC}"/>
    <cellStyle name="Normal 2 5 4 2 4 3" xfId="5535" xr:uid="{00000000-0005-0000-0000-000032110000}"/>
    <cellStyle name="Normal 2 5 4 2 4 3 2" xfId="13977" xr:uid="{6D655911-195A-4786-BFCD-351ED3928717}"/>
    <cellStyle name="Normal 2 5 4 2 4 4" xfId="9759" xr:uid="{50ADF188-75A9-4B19-8454-3406E9638288}"/>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6FFA5E0F-DB98-4C2B-A7E2-EA9E72DF7B50}"/>
    <cellStyle name="Normal 2 5 4 2 5 2 3" xfId="12317" xr:uid="{DC9CB0B2-4EE3-4F59-A7F7-561482C6D1DA}"/>
    <cellStyle name="Normal 2 5 4 2 5 3" xfId="5948" xr:uid="{00000000-0005-0000-0000-000036110000}"/>
    <cellStyle name="Normal 2 5 4 2 5 3 2" xfId="14390" xr:uid="{9408EC0C-9B99-4DF7-A23D-F2DC87956B5F}"/>
    <cellStyle name="Normal 2 5 4 2 5 4" xfId="10172" xr:uid="{1F59B04A-9450-4585-B211-F6DAA01D4833}"/>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94D0DCD9-200F-474D-9FAE-5AFA25CC952B}"/>
    <cellStyle name="Normal 2 5 4 2 6 2 3" xfId="12730" xr:uid="{E7071C66-23CA-4ED4-AD29-E4DF7602D23C}"/>
    <cellStyle name="Normal 2 5 4 2 6 3" xfId="6361" xr:uid="{00000000-0005-0000-0000-00003A110000}"/>
    <cellStyle name="Normal 2 5 4 2 6 3 2" xfId="14803" xr:uid="{11F3C8CE-FA4E-4CF1-B906-420092BEB91D}"/>
    <cellStyle name="Normal 2 5 4 2 6 4" xfId="10585" xr:uid="{F1770C55-DC5C-4251-AC8F-022FD13F86CC}"/>
    <cellStyle name="Normal 2 5 4 2 7" xfId="2490" xr:uid="{00000000-0005-0000-0000-00003B110000}"/>
    <cellStyle name="Normal 2 5 4 2 7 2" xfId="6774" xr:uid="{00000000-0005-0000-0000-00003C110000}"/>
    <cellStyle name="Normal 2 5 4 2 7 2 2" xfId="15216" xr:uid="{7D396B0D-9590-479A-B454-FEE8C6520C71}"/>
    <cellStyle name="Normal 2 5 4 2 7 3" xfId="10998" xr:uid="{D411C59D-5510-48B3-B51A-4DD5AA3E2B3A}"/>
    <cellStyle name="Normal 2 5 4 2 8" xfId="4708" xr:uid="{00000000-0005-0000-0000-00003D110000}"/>
    <cellStyle name="Normal 2 5 4 2 8 2" xfId="13150" xr:uid="{2E56DCDA-ADEF-43E2-BBE2-1614F8E0945E}"/>
    <cellStyle name="Normal 2 5 4 2 9" xfId="8932" xr:uid="{5C762430-D929-4E4E-8930-16811030C335}"/>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C434DE96-FCDD-4348-8009-6D3865CDA9A6}"/>
    <cellStyle name="Normal 2 5 4 3 2 2 3" xfId="11493" xr:uid="{937AA2FE-FC27-4D1A-B753-B6E48337D350}"/>
    <cellStyle name="Normal 2 5 4 3 2 3" xfId="5124" xr:uid="{00000000-0005-0000-0000-000042110000}"/>
    <cellStyle name="Normal 2 5 4 3 2 3 2" xfId="13566" xr:uid="{A5C39394-09E3-4FEC-B21D-0F045A5CB144}"/>
    <cellStyle name="Normal 2 5 4 3 2 4" xfId="9348" xr:uid="{C67469EA-12D4-4A4A-95CF-6004EA88155E}"/>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49CBC79A-EE4C-4724-BC0F-698AF9A2153F}"/>
    <cellStyle name="Normal 2 5 4 3 3 2 3" xfId="11906" xr:uid="{C48A65D4-A993-4DA2-8ECA-902E51E1D135}"/>
    <cellStyle name="Normal 2 5 4 3 3 3" xfId="5537" xr:uid="{00000000-0005-0000-0000-000046110000}"/>
    <cellStyle name="Normal 2 5 4 3 3 3 2" xfId="13979" xr:uid="{240338B9-A4D2-4EB8-BE2F-FB5E252F9CAA}"/>
    <cellStyle name="Normal 2 5 4 3 3 4" xfId="9761" xr:uid="{88377F5F-C161-4191-AA4E-82749FB29948}"/>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6938CD23-6A9F-4E5A-9E7B-95DA918BFFEE}"/>
    <cellStyle name="Normal 2 5 4 3 4 2 3" xfId="12319" xr:uid="{8FAC52A0-8B2E-4C86-A13C-EDDBC888B533}"/>
    <cellStyle name="Normal 2 5 4 3 4 3" xfId="5950" xr:uid="{00000000-0005-0000-0000-00004A110000}"/>
    <cellStyle name="Normal 2 5 4 3 4 3 2" xfId="14392" xr:uid="{FFED9B85-E112-45C2-B6AD-29BAE70EC58B}"/>
    <cellStyle name="Normal 2 5 4 3 4 4" xfId="10174" xr:uid="{262635DF-AF2D-49CD-8D59-F5ED933B1DBF}"/>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81000785-6CC0-4D2C-9CAB-CD7A67164FE7}"/>
    <cellStyle name="Normal 2 5 4 3 5 2 3" xfId="12732" xr:uid="{EB755BBA-4FCE-49F7-912D-C018FD446F76}"/>
    <cellStyle name="Normal 2 5 4 3 5 3" xfId="6363" xr:uid="{00000000-0005-0000-0000-00004E110000}"/>
    <cellStyle name="Normal 2 5 4 3 5 3 2" xfId="14805" xr:uid="{0B02790E-2AF1-4C76-A27A-9005A26DE380}"/>
    <cellStyle name="Normal 2 5 4 3 5 4" xfId="10587" xr:uid="{F7287E70-AD09-4772-A415-5E9444FC2F51}"/>
    <cellStyle name="Normal 2 5 4 3 6" xfId="2492" xr:uid="{00000000-0005-0000-0000-00004F110000}"/>
    <cellStyle name="Normal 2 5 4 3 6 2" xfId="6776" xr:uid="{00000000-0005-0000-0000-000050110000}"/>
    <cellStyle name="Normal 2 5 4 3 6 2 2" xfId="15218" xr:uid="{D9B49A99-23E9-4F47-88CE-DD71FCD79B88}"/>
    <cellStyle name="Normal 2 5 4 3 6 3" xfId="11000" xr:uid="{5D18715B-D8E9-4AB1-896B-AF6B8D976CB1}"/>
    <cellStyle name="Normal 2 5 4 3 7" xfId="4710" xr:uid="{00000000-0005-0000-0000-000051110000}"/>
    <cellStyle name="Normal 2 5 4 3 7 2" xfId="13152" xr:uid="{D9CBF7FC-D359-419A-A9CF-D6CE1B43ACEB}"/>
    <cellStyle name="Normal 2 5 4 3 8" xfId="8934" xr:uid="{EDD826C8-58A6-4A4F-9C37-55F077E8D1D3}"/>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53FAA47C-A490-43AE-97B9-2189FEF29289}"/>
    <cellStyle name="Normal 2 5 4 4 2 3" xfId="11490" xr:uid="{28A94359-BDF7-4B44-BE51-A3F7ADC1AD20}"/>
    <cellStyle name="Normal 2 5 4 4 3" xfId="5121" xr:uid="{00000000-0005-0000-0000-000055110000}"/>
    <cellStyle name="Normal 2 5 4 4 3 2" xfId="13563" xr:uid="{C1297E24-4B52-4C00-AB59-1A222F0FF8DA}"/>
    <cellStyle name="Normal 2 5 4 4 4" xfId="9345" xr:uid="{A241D786-4F38-4119-8D6C-D07159DD46E2}"/>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388DDCB7-B22E-4787-9A67-101304E9A244}"/>
    <cellStyle name="Normal 2 5 4 5 2 3" xfId="11903" xr:uid="{C8DFC924-65E6-4174-8E6D-610AF80B1541}"/>
    <cellStyle name="Normal 2 5 4 5 3" xfId="5534" xr:uid="{00000000-0005-0000-0000-000059110000}"/>
    <cellStyle name="Normal 2 5 4 5 3 2" xfId="13976" xr:uid="{B867D183-8F1A-4EA6-BEA7-F8BB1EF07616}"/>
    <cellStyle name="Normal 2 5 4 5 4" xfId="9758" xr:uid="{EED71607-0606-453A-8908-CF338D103C0E}"/>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71200636-4AA3-44AF-A9C5-9159C51ABC17}"/>
    <cellStyle name="Normal 2 5 4 6 2 3" xfId="12316" xr:uid="{02D716AA-DA20-475E-AA9A-11A7EBD4CFC1}"/>
    <cellStyle name="Normal 2 5 4 6 3" xfId="5947" xr:uid="{00000000-0005-0000-0000-00005D110000}"/>
    <cellStyle name="Normal 2 5 4 6 3 2" xfId="14389" xr:uid="{C7A97153-711F-44FE-B4B1-26569CC14B1B}"/>
    <cellStyle name="Normal 2 5 4 6 4" xfId="10171" xr:uid="{A02ED266-A70A-4487-8AAB-14195D7B0B3D}"/>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DBFFCF35-5A0A-4C1E-A7EA-78090013ABE0}"/>
    <cellStyle name="Normal 2 5 4 7 2 3" xfId="12729" xr:uid="{F9ECA809-6C4F-436B-B9C9-EA903BCDF911}"/>
    <cellStyle name="Normal 2 5 4 7 3" xfId="6360" xr:uid="{00000000-0005-0000-0000-000061110000}"/>
    <cellStyle name="Normal 2 5 4 7 3 2" xfId="14802" xr:uid="{C84D5800-F3E2-45FF-843E-BA5079987687}"/>
    <cellStyle name="Normal 2 5 4 7 4" xfId="10584" xr:uid="{D625BD45-E2CA-433B-9E3C-99BC307017E4}"/>
    <cellStyle name="Normal 2 5 4 8" xfId="2489" xr:uid="{00000000-0005-0000-0000-000062110000}"/>
    <cellStyle name="Normal 2 5 4 8 2" xfId="6773" xr:uid="{00000000-0005-0000-0000-000063110000}"/>
    <cellStyle name="Normal 2 5 4 8 2 2" xfId="15215" xr:uid="{359BB9E3-57DB-4C8E-9A2B-60BFE6D0AC47}"/>
    <cellStyle name="Normal 2 5 4 8 3" xfId="10997" xr:uid="{82967691-7FAF-44BD-97F5-2A63D45C1357}"/>
    <cellStyle name="Normal 2 5 4 9" xfId="4707" xr:uid="{00000000-0005-0000-0000-000064110000}"/>
    <cellStyle name="Normal 2 5 4 9 2" xfId="13149" xr:uid="{8DDFCB7B-2948-4B94-92C2-1BE0EA43B48F}"/>
    <cellStyle name="Normal 2 5 5" xfId="803" xr:uid="{00000000-0005-0000-0000-000065110000}"/>
    <cellStyle name="Normal 2 5 5 2" xfId="3042" xr:uid="{00000000-0005-0000-0000-000066110000}"/>
    <cellStyle name="Normal 2 5 5 2 2" xfId="7265" xr:uid="{00000000-0005-0000-0000-000067110000}"/>
    <cellStyle name="Normal 2 5 5 2 2 2" xfId="15707" xr:uid="{EAA209CD-70BA-4057-98F9-E40A8AE9A286}"/>
    <cellStyle name="Normal 2 5 5 2 3" xfId="11489" xr:uid="{3B4D72BE-EC91-44F5-8C75-D8514BD6578B}"/>
    <cellStyle name="Normal 2 5 5 3" xfId="5120" xr:uid="{00000000-0005-0000-0000-000068110000}"/>
    <cellStyle name="Normal 2 5 5 3 2" xfId="13562" xr:uid="{2B595D8E-2A7A-4607-B9C9-17639C4F3511}"/>
    <cellStyle name="Normal 2 5 5 4" xfId="9344" xr:uid="{0F55D583-4176-4908-A9D1-16287AA0020E}"/>
    <cellStyle name="Normal 2 5 6" xfId="1225" xr:uid="{00000000-0005-0000-0000-000069110000}"/>
    <cellStyle name="Normal 2 5 6 2" xfId="3455" xr:uid="{00000000-0005-0000-0000-00006A110000}"/>
    <cellStyle name="Normal 2 5 6 2 2" xfId="7678" xr:uid="{00000000-0005-0000-0000-00006B110000}"/>
    <cellStyle name="Normal 2 5 6 2 2 2" xfId="16120" xr:uid="{3E292119-A333-4636-93BC-D3072B2CAF7A}"/>
    <cellStyle name="Normal 2 5 6 2 3" xfId="11902" xr:uid="{3D5B4056-B86A-4CE9-A363-EAF2ECACCC2B}"/>
    <cellStyle name="Normal 2 5 6 3" xfId="5533" xr:uid="{00000000-0005-0000-0000-00006C110000}"/>
    <cellStyle name="Normal 2 5 6 3 2" xfId="13975" xr:uid="{7CCFD971-C3A1-484D-9A31-CAC86AD74B8E}"/>
    <cellStyle name="Normal 2 5 6 4" xfId="9757" xr:uid="{328AB55C-6CD9-4335-BB20-FF5E6203C8B8}"/>
    <cellStyle name="Normal 2 5 7" xfId="1638" xr:uid="{00000000-0005-0000-0000-00006D110000}"/>
    <cellStyle name="Normal 2 5 7 2" xfId="3868" xr:uid="{00000000-0005-0000-0000-00006E110000}"/>
    <cellStyle name="Normal 2 5 7 2 2" xfId="8091" xr:uid="{00000000-0005-0000-0000-00006F110000}"/>
    <cellStyle name="Normal 2 5 7 2 2 2" xfId="16533" xr:uid="{6CFF7279-3640-42E1-B191-3BC3CEE3CD42}"/>
    <cellStyle name="Normal 2 5 7 2 3" xfId="12315" xr:uid="{68E5EEB1-1D5C-4D21-86CC-E771224345C2}"/>
    <cellStyle name="Normal 2 5 7 3" xfId="5946" xr:uid="{00000000-0005-0000-0000-000070110000}"/>
    <cellStyle name="Normal 2 5 7 3 2" xfId="14388" xr:uid="{2F5C2F21-6AAC-438F-9E16-6161892D29A0}"/>
    <cellStyle name="Normal 2 5 7 4" xfId="10170" xr:uid="{8E3BBDEE-8C23-4136-862B-6E87C2B6C7E4}"/>
    <cellStyle name="Normal 2 5 8" xfId="2052" xr:uid="{00000000-0005-0000-0000-000071110000}"/>
    <cellStyle name="Normal 2 5 8 2" xfId="4281" xr:uid="{00000000-0005-0000-0000-000072110000}"/>
    <cellStyle name="Normal 2 5 8 2 2" xfId="8504" xr:uid="{00000000-0005-0000-0000-000073110000}"/>
    <cellStyle name="Normal 2 5 8 2 2 2" xfId="16946" xr:uid="{B4F3B3CF-94B5-4173-9F4E-FA4E2EA9FF26}"/>
    <cellStyle name="Normal 2 5 8 2 3" xfId="12728" xr:uid="{87676D81-7B07-4E6E-B8D1-4E69128B91A6}"/>
    <cellStyle name="Normal 2 5 8 3" xfId="6359" xr:uid="{00000000-0005-0000-0000-000074110000}"/>
    <cellStyle name="Normal 2 5 8 3 2" xfId="14801" xr:uid="{BD8EA6ED-ADBD-4A12-BC45-FDAD35932AEF}"/>
    <cellStyle name="Normal 2 5 8 4" xfId="10583" xr:uid="{14D96099-30C2-44B3-BD22-9B6B33C10D6B}"/>
    <cellStyle name="Normal 2 5 9" xfId="2488" xr:uid="{00000000-0005-0000-0000-000075110000}"/>
    <cellStyle name="Normal 2 5 9 2" xfId="6772" xr:uid="{00000000-0005-0000-0000-000076110000}"/>
    <cellStyle name="Normal 2 5 9 2 2" xfId="15214" xr:uid="{0FA6AA46-0F18-4BBA-ABC1-B9784A6E9A41}"/>
    <cellStyle name="Normal 2 5 9 3" xfId="10996" xr:uid="{386A863E-10EC-4BE2-B9BB-538F50DABA7F}"/>
    <cellStyle name="Normal 2 6" xfId="322" xr:uid="{00000000-0005-0000-0000-000077110000}"/>
    <cellStyle name="Normal 2 7" xfId="769" xr:uid="{00000000-0005-0000-0000-000078110000}"/>
    <cellStyle name="Normal 2 8" xfId="4495" xr:uid="{00000000-0005-0000-0000-000079110000}"/>
    <cellStyle name="Normal 2 8 2" xfId="12940" xr:uid="{E7DB59B3-BB43-4914-BE00-CAF2C6F24A22}"/>
    <cellStyle name="Normal 3" xfId="323" xr:uid="{00000000-0005-0000-0000-00007A110000}"/>
    <cellStyle name="Normal 3 2" xfId="324" xr:uid="{00000000-0005-0000-0000-00007B110000}"/>
    <cellStyle name="Normal 3 2 10" xfId="8935" xr:uid="{1C75ECF6-33F7-43B3-A91A-29BFB83318F4}"/>
    <cellStyle name="Normal 3 2 2" xfId="325" xr:uid="{00000000-0005-0000-0000-00007C110000}"/>
    <cellStyle name="Normal 3 2 2 2" xfId="810" xr:uid="{00000000-0005-0000-0000-00007D110000}"/>
    <cellStyle name="Normal 3 2 3" xfId="326" xr:uid="{00000000-0005-0000-0000-00007E110000}"/>
    <cellStyle name="Normal 3 2 3 10" xfId="8936" xr:uid="{1915A0E2-5BF6-4052-B47E-D01C51BF79ED}"/>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DBAAC382-15EA-455F-8DE8-BE35F3BDA825}"/>
    <cellStyle name="Normal 3 2 3 2 2 2 2 3" xfId="11497" xr:uid="{978929FA-205E-409B-9D34-F017CE9CF70B}"/>
    <cellStyle name="Normal 3 2 3 2 2 2 3" xfId="5128" xr:uid="{00000000-0005-0000-0000-000084110000}"/>
    <cellStyle name="Normal 3 2 3 2 2 2 3 2" xfId="13570" xr:uid="{D1C3372F-6E72-487B-81E0-76CC14D0D9A6}"/>
    <cellStyle name="Normal 3 2 3 2 2 2 4" xfId="9352" xr:uid="{DE19FA05-7447-4889-B4A1-7D0469BFB29F}"/>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548A6AD-2F74-438E-80D9-C57C44387438}"/>
    <cellStyle name="Normal 3 2 3 2 2 3 2 3" xfId="11910" xr:uid="{FBB8FB4E-CA42-4566-8531-1BAC14B55A35}"/>
    <cellStyle name="Normal 3 2 3 2 2 3 3" xfId="5541" xr:uid="{00000000-0005-0000-0000-000088110000}"/>
    <cellStyle name="Normal 3 2 3 2 2 3 3 2" xfId="13983" xr:uid="{7538420D-8E3C-4BFD-8474-4A61ADA93890}"/>
    <cellStyle name="Normal 3 2 3 2 2 3 4" xfId="9765" xr:uid="{1F7A3E88-8862-4EC6-AD06-9615D86B33BD}"/>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1429D387-528D-4828-8008-B21AED9B39ED}"/>
    <cellStyle name="Normal 3 2 3 2 2 4 2 3" xfId="12323" xr:uid="{C0C5E100-D02A-470D-B2C6-8F086605660D}"/>
    <cellStyle name="Normal 3 2 3 2 2 4 3" xfId="5954" xr:uid="{00000000-0005-0000-0000-00008C110000}"/>
    <cellStyle name="Normal 3 2 3 2 2 4 3 2" xfId="14396" xr:uid="{A37EE3CE-72A1-46B8-AAE4-B2F7B591D156}"/>
    <cellStyle name="Normal 3 2 3 2 2 4 4" xfId="10178" xr:uid="{A9C79802-A080-4896-B9E6-544403C3A6DA}"/>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566DA6FF-04ED-48CD-8C3B-B9BC5CA9204A}"/>
    <cellStyle name="Normal 3 2 3 2 2 5 2 3" xfId="12736" xr:uid="{02C5D42A-F887-472A-A29F-DC4A39A8479D}"/>
    <cellStyle name="Normal 3 2 3 2 2 5 3" xfId="6367" xr:uid="{00000000-0005-0000-0000-000090110000}"/>
    <cellStyle name="Normal 3 2 3 2 2 5 3 2" xfId="14809" xr:uid="{9099A89B-191D-470A-8DEB-B35D140DAB54}"/>
    <cellStyle name="Normal 3 2 3 2 2 5 4" xfId="10591" xr:uid="{AC982E3F-8318-4325-A506-040F7CB37EDE}"/>
    <cellStyle name="Normal 3 2 3 2 2 6" xfId="2496" xr:uid="{00000000-0005-0000-0000-000091110000}"/>
    <cellStyle name="Normal 3 2 3 2 2 6 2" xfId="6780" xr:uid="{00000000-0005-0000-0000-000092110000}"/>
    <cellStyle name="Normal 3 2 3 2 2 6 2 2" xfId="15222" xr:uid="{AF039B5C-551D-4F9B-9B8C-0C499266B8A4}"/>
    <cellStyle name="Normal 3 2 3 2 2 6 3" xfId="11004" xr:uid="{09B539E7-54B5-4CD9-9B8F-B077855FB621}"/>
    <cellStyle name="Normal 3 2 3 2 2 7" xfId="4714" xr:uid="{00000000-0005-0000-0000-000093110000}"/>
    <cellStyle name="Normal 3 2 3 2 2 7 2" xfId="13156" xr:uid="{D7765E64-97F1-4A43-9FC8-4B62372F726D}"/>
    <cellStyle name="Normal 3 2 3 2 2 8" xfId="8938" xr:uid="{2DBCB56F-366C-4622-A25B-CAB629AC5043}"/>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65A3DDF9-70BF-4750-A2C8-4DA7482BB732}"/>
    <cellStyle name="Normal 3 2 3 2 3 2 3" xfId="11496" xr:uid="{C9149DDE-49E5-406D-B375-9A24BCD5C826}"/>
    <cellStyle name="Normal 3 2 3 2 3 3" xfId="5127" xr:uid="{00000000-0005-0000-0000-000097110000}"/>
    <cellStyle name="Normal 3 2 3 2 3 3 2" xfId="13569" xr:uid="{86249AD2-6C6B-4358-B020-A56B7922B90D}"/>
    <cellStyle name="Normal 3 2 3 2 3 4" xfId="9351" xr:uid="{CD29CB91-131C-49F1-AE7E-3E0F5D1BA5DC}"/>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4E7230A5-254F-46F1-AB64-85DCD1B09AD3}"/>
    <cellStyle name="Normal 3 2 3 2 4 2 3" xfId="11909" xr:uid="{5DEA69FE-19B1-4CD9-988B-BB91EF8B1D98}"/>
    <cellStyle name="Normal 3 2 3 2 4 3" xfId="5540" xr:uid="{00000000-0005-0000-0000-00009B110000}"/>
    <cellStyle name="Normal 3 2 3 2 4 3 2" xfId="13982" xr:uid="{81A4648B-44F8-4B0E-AC87-CB99A012FE8E}"/>
    <cellStyle name="Normal 3 2 3 2 4 4" xfId="9764" xr:uid="{A7395314-7D06-4A97-8F89-62BA9F90C89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98B8210E-BB2E-4170-859D-84AF5DA4B7ED}"/>
    <cellStyle name="Normal 3 2 3 2 5 2 3" xfId="12322" xr:uid="{07B26448-C1DD-4B7F-8133-994802E5B95F}"/>
    <cellStyle name="Normal 3 2 3 2 5 3" xfId="5953" xr:uid="{00000000-0005-0000-0000-00009F110000}"/>
    <cellStyle name="Normal 3 2 3 2 5 3 2" xfId="14395" xr:uid="{3EE9771E-8156-4C15-9770-793FDD88F859}"/>
    <cellStyle name="Normal 3 2 3 2 5 4" xfId="10177" xr:uid="{F46741AD-79AC-43C6-A4B8-4EB70728DE8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CAE18774-DAED-49BE-AAB9-FAEBF964224E}"/>
    <cellStyle name="Normal 3 2 3 2 6 2 3" xfId="12735" xr:uid="{83025F4C-DBA1-4167-BB82-11E09F7D5156}"/>
    <cellStyle name="Normal 3 2 3 2 6 3" xfId="6366" xr:uid="{00000000-0005-0000-0000-0000A3110000}"/>
    <cellStyle name="Normal 3 2 3 2 6 3 2" xfId="14808" xr:uid="{E2604DD9-6D1A-43F1-A6A9-92EC6F96CCC8}"/>
    <cellStyle name="Normal 3 2 3 2 6 4" xfId="10590" xr:uid="{010B125D-6EC0-456A-BD5C-0371B45912D7}"/>
    <cellStyle name="Normal 3 2 3 2 7" xfId="2495" xr:uid="{00000000-0005-0000-0000-0000A4110000}"/>
    <cellStyle name="Normal 3 2 3 2 7 2" xfId="6779" xr:uid="{00000000-0005-0000-0000-0000A5110000}"/>
    <cellStyle name="Normal 3 2 3 2 7 2 2" xfId="15221" xr:uid="{9E3724EF-7759-4558-870B-D7C8E02389C6}"/>
    <cellStyle name="Normal 3 2 3 2 7 3" xfId="11003" xr:uid="{8BDF17FD-45AA-4217-99D8-634EB6A0F3A7}"/>
    <cellStyle name="Normal 3 2 3 2 8" xfId="4713" xr:uid="{00000000-0005-0000-0000-0000A6110000}"/>
    <cellStyle name="Normal 3 2 3 2 8 2" xfId="13155" xr:uid="{E8320F35-B735-4769-98FB-65BC1C63C361}"/>
    <cellStyle name="Normal 3 2 3 2 9" xfId="8937" xr:uid="{8E222B29-D74F-42CD-B586-510F58A9C761}"/>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8D280D5C-E624-442C-AC21-49554FB904E3}"/>
    <cellStyle name="Normal 3 2 3 3 2 2 3" xfId="11498" xr:uid="{20A0BA0B-3AB7-4625-8F1D-405FF71FC7CE}"/>
    <cellStyle name="Normal 3 2 3 3 2 3" xfId="5129" xr:uid="{00000000-0005-0000-0000-0000AB110000}"/>
    <cellStyle name="Normal 3 2 3 3 2 3 2" xfId="13571" xr:uid="{12F8C7B7-6F11-4837-88E7-1BDFC8750E98}"/>
    <cellStyle name="Normal 3 2 3 3 2 4" xfId="9353" xr:uid="{EEBFF8B7-6D72-44BA-8C77-F5AE8860F842}"/>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8A1E7FCC-05D0-42C6-8143-36BA5E02482D}"/>
    <cellStyle name="Normal 3 2 3 3 3 2 3" xfId="11911" xr:uid="{C53B7228-1EDC-485B-A846-C73FA481FF3C}"/>
    <cellStyle name="Normal 3 2 3 3 3 3" xfId="5542" xr:uid="{00000000-0005-0000-0000-0000AF110000}"/>
    <cellStyle name="Normal 3 2 3 3 3 3 2" xfId="13984" xr:uid="{1D875C97-8E00-4971-819D-80CAC85F61E1}"/>
    <cellStyle name="Normal 3 2 3 3 3 4" xfId="9766" xr:uid="{17897FAD-A92B-4A39-B4A7-CD6DBD4B56A6}"/>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6D287F70-867E-4CCE-A39A-2586AC06E9CC}"/>
    <cellStyle name="Normal 3 2 3 3 4 2 3" xfId="12324" xr:uid="{0588FB4C-85B8-40C9-A19C-F4F235B66BBA}"/>
    <cellStyle name="Normal 3 2 3 3 4 3" xfId="5955" xr:uid="{00000000-0005-0000-0000-0000B3110000}"/>
    <cellStyle name="Normal 3 2 3 3 4 3 2" xfId="14397" xr:uid="{C66CC949-C41B-42AA-AC04-0C87DBECD9F4}"/>
    <cellStyle name="Normal 3 2 3 3 4 4" xfId="10179" xr:uid="{C0967E73-FE12-4685-A7EA-975720C34D87}"/>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27D19A4A-4F53-4A7F-B4A6-C857F678C830}"/>
    <cellStyle name="Normal 3 2 3 3 5 2 3" xfId="12737" xr:uid="{E0A2C636-F727-451A-A5CC-CE83CB86B04B}"/>
    <cellStyle name="Normal 3 2 3 3 5 3" xfId="6368" xr:uid="{00000000-0005-0000-0000-0000B7110000}"/>
    <cellStyle name="Normal 3 2 3 3 5 3 2" xfId="14810" xr:uid="{3579BF0E-5CF8-4CCF-8A3F-60C3829CC740}"/>
    <cellStyle name="Normal 3 2 3 3 5 4" xfId="10592" xr:uid="{8AE96954-1E16-437B-8F43-518B2068B987}"/>
    <cellStyle name="Normal 3 2 3 3 6" xfId="2497" xr:uid="{00000000-0005-0000-0000-0000B8110000}"/>
    <cellStyle name="Normal 3 2 3 3 6 2" xfId="6781" xr:uid="{00000000-0005-0000-0000-0000B9110000}"/>
    <cellStyle name="Normal 3 2 3 3 6 2 2" xfId="15223" xr:uid="{55220976-2C6E-4B96-A4AA-EF04B0C908B3}"/>
    <cellStyle name="Normal 3 2 3 3 6 3" xfId="11005" xr:uid="{3FA0B558-68A5-4943-B185-86A0CBF4DB40}"/>
    <cellStyle name="Normal 3 2 3 3 7" xfId="4715" xr:uid="{00000000-0005-0000-0000-0000BA110000}"/>
    <cellStyle name="Normal 3 2 3 3 7 2" xfId="13157" xr:uid="{70E8AED9-A7BD-4A7A-9AFA-63D39F26C49E}"/>
    <cellStyle name="Normal 3 2 3 3 8" xfId="8939" xr:uid="{BF3F8293-54AF-44F4-9B7E-289CE160E392}"/>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C0106425-E514-4096-B2C1-B6E6FD1B6DF7}"/>
    <cellStyle name="Normal 3 2 3 4 2 3" xfId="11495" xr:uid="{F6892BEA-979A-4E43-A9DC-5086105334B2}"/>
    <cellStyle name="Normal 3 2 3 4 3" xfId="5126" xr:uid="{00000000-0005-0000-0000-0000BE110000}"/>
    <cellStyle name="Normal 3 2 3 4 3 2" xfId="13568" xr:uid="{239BFEEB-42C7-4C58-835A-27EAFF6D8195}"/>
    <cellStyle name="Normal 3 2 3 4 4" xfId="9350" xr:uid="{1A873D3C-019B-4AA0-863A-CF7DF3D52B97}"/>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8AC9939A-38AE-4A07-89CB-1E16853E85CE}"/>
    <cellStyle name="Normal 3 2 3 5 2 3" xfId="11908" xr:uid="{EFCAC1EE-6378-4E00-8EA8-C150CD3D2D6D}"/>
    <cellStyle name="Normal 3 2 3 5 3" xfId="5539" xr:uid="{00000000-0005-0000-0000-0000C2110000}"/>
    <cellStyle name="Normal 3 2 3 5 3 2" xfId="13981" xr:uid="{F9D52BD2-4282-4C93-B0E0-9FA9FB8B19B7}"/>
    <cellStyle name="Normal 3 2 3 5 4" xfId="9763" xr:uid="{29632377-5259-4B56-8D65-4E96BDA60521}"/>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275FEF5B-1E3D-4E2C-AC06-5F96E9B662A7}"/>
    <cellStyle name="Normal 3 2 3 6 2 3" xfId="12321" xr:uid="{73EDF393-9AA6-401F-B568-116633B78F9A}"/>
    <cellStyle name="Normal 3 2 3 6 3" xfId="5952" xr:uid="{00000000-0005-0000-0000-0000C6110000}"/>
    <cellStyle name="Normal 3 2 3 6 3 2" xfId="14394" xr:uid="{C77D087A-A32A-4C79-8F71-B02E1DBB7DFC}"/>
    <cellStyle name="Normal 3 2 3 6 4" xfId="10176" xr:uid="{72187B92-16F8-40F2-85CE-57EE50D0C899}"/>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3F9355EF-30EB-457C-BA95-75C8F66B382D}"/>
    <cellStyle name="Normal 3 2 3 7 2 3" xfId="12734" xr:uid="{E1F8085B-303E-402C-88AB-07A47C618C4E}"/>
    <cellStyle name="Normal 3 2 3 7 3" xfId="6365" xr:uid="{00000000-0005-0000-0000-0000CA110000}"/>
    <cellStyle name="Normal 3 2 3 7 3 2" xfId="14807" xr:uid="{660F0241-CC58-4589-A0BF-FFF13758198E}"/>
    <cellStyle name="Normal 3 2 3 7 4" xfId="10589" xr:uid="{8A3B442D-26C2-45B7-BD07-B768186434B2}"/>
    <cellStyle name="Normal 3 2 3 8" xfId="2494" xr:uid="{00000000-0005-0000-0000-0000CB110000}"/>
    <cellStyle name="Normal 3 2 3 8 2" xfId="6778" xr:uid="{00000000-0005-0000-0000-0000CC110000}"/>
    <cellStyle name="Normal 3 2 3 8 2 2" xfId="15220" xr:uid="{AC6E6AE4-B596-483E-AA3C-26200D68BB64}"/>
    <cellStyle name="Normal 3 2 3 8 3" xfId="11002" xr:uid="{C9C7A980-1299-4371-8089-94F5641BA45E}"/>
    <cellStyle name="Normal 3 2 3 9" xfId="4712" xr:uid="{00000000-0005-0000-0000-0000CD110000}"/>
    <cellStyle name="Normal 3 2 3 9 2" xfId="13154" xr:uid="{EEA00AB7-0912-4354-9285-3D33453C7A58}"/>
    <cellStyle name="Normal 3 2 4" xfId="809" xr:uid="{00000000-0005-0000-0000-0000CE110000}"/>
    <cellStyle name="Normal 3 2 4 2" xfId="3047" xr:uid="{00000000-0005-0000-0000-0000CF110000}"/>
    <cellStyle name="Normal 3 2 4 2 2" xfId="7270" xr:uid="{00000000-0005-0000-0000-0000D0110000}"/>
    <cellStyle name="Normal 3 2 4 2 2 2" xfId="15712" xr:uid="{3CDA3E34-124E-42E1-BE7D-01D73927A0F6}"/>
    <cellStyle name="Normal 3 2 4 2 3" xfId="11494" xr:uid="{482D6307-F12E-48D6-8309-CD0F9C62C512}"/>
    <cellStyle name="Normal 3 2 4 3" xfId="5125" xr:uid="{00000000-0005-0000-0000-0000D1110000}"/>
    <cellStyle name="Normal 3 2 4 3 2" xfId="13567" xr:uid="{3248A1C9-27F9-4388-91F1-B295066C7AB6}"/>
    <cellStyle name="Normal 3 2 4 4" xfId="9349" xr:uid="{8E52E3B6-695F-401A-8B70-0686AAF42EF9}"/>
    <cellStyle name="Normal 3 2 5" xfId="1230" xr:uid="{00000000-0005-0000-0000-0000D2110000}"/>
    <cellStyle name="Normal 3 2 5 2" xfId="3460" xr:uid="{00000000-0005-0000-0000-0000D3110000}"/>
    <cellStyle name="Normal 3 2 5 2 2" xfId="7683" xr:uid="{00000000-0005-0000-0000-0000D4110000}"/>
    <cellStyle name="Normal 3 2 5 2 2 2" xfId="16125" xr:uid="{3B19AED2-9C5D-4D30-A362-94CF75170015}"/>
    <cellStyle name="Normal 3 2 5 2 3" xfId="11907" xr:uid="{DB13FE24-E64C-417D-B17C-D50F876A5949}"/>
    <cellStyle name="Normal 3 2 5 3" xfId="5538" xr:uid="{00000000-0005-0000-0000-0000D5110000}"/>
    <cellStyle name="Normal 3 2 5 3 2" xfId="13980" xr:uid="{7D7F67F2-05EF-4A4F-A1A4-746F13A1F853}"/>
    <cellStyle name="Normal 3 2 5 4" xfId="9762" xr:uid="{66147E14-F4CB-4B40-8047-0DD026787196}"/>
    <cellStyle name="Normal 3 2 6" xfId="1643" xr:uid="{00000000-0005-0000-0000-0000D6110000}"/>
    <cellStyle name="Normal 3 2 6 2" xfId="3873" xr:uid="{00000000-0005-0000-0000-0000D7110000}"/>
    <cellStyle name="Normal 3 2 6 2 2" xfId="8096" xr:uid="{00000000-0005-0000-0000-0000D8110000}"/>
    <cellStyle name="Normal 3 2 6 2 2 2" xfId="16538" xr:uid="{4C9C3506-5B7D-4F61-812C-B011682DF8C0}"/>
    <cellStyle name="Normal 3 2 6 2 3" xfId="12320" xr:uid="{E9A79A1F-DBFF-43FA-8FE2-72506DE10831}"/>
    <cellStyle name="Normal 3 2 6 3" xfId="5951" xr:uid="{00000000-0005-0000-0000-0000D9110000}"/>
    <cellStyle name="Normal 3 2 6 3 2" xfId="14393" xr:uid="{12E0B0AE-7206-4765-B3C0-EB25160DCD3B}"/>
    <cellStyle name="Normal 3 2 6 4" xfId="10175" xr:uid="{A2CE0836-A700-496F-98BA-43EDD8EEA57F}"/>
    <cellStyle name="Normal 3 2 7" xfId="2057" xr:uid="{00000000-0005-0000-0000-0000DA110000}"/>
    <cellStyle name="Normal 3 2 7 2" xfId="4286" xr:uid="{00000000-0005-0000-0000-0000DB110000}"/>
    <cellStyle name="Normal 3 2 7 2 2" xfId="8509" xr:uid="{00000000-0005-0000-0000-0000DC110000}"/>
    <cellStyle name="Normal 3 2 7 2 2 2" xfId="16951" xr:uid="{7716B748-2908-4661-B7F2-2A724AE5BF63}"/>
    <cellStyle name="Normal 3 2 7 2 3" xfId="12733" xr:uid="{14F2C748-95CB-4D0D-A71D-D5D1C6039E4C}"/>
    <cellStyle name="Normal 3 2 7 3" xfId="6364" xr:uid="{00000000-0005-0000-0000-0000DD110000}"/>
    <cellStyle name="Normal 3 2 7 3 2" xfId="14806" xr:uid="{29067A76-8715-49D3-96FB-0EE54EE7A67A}"/>
    <cellStyle name="Normal 3 2 7 4" xfId="10588" xr:uid="{99E1F61F-A6AE-4F1B-9A54-9E88F81E23D8}"/>
    <cellStyle name="Normal 3 2 8" xfId="2493" xr:uid="{00000000-0005-0000-0000-0000DE110000}"/>
    <cellStyle name="Normal 3 2 8 2" xfId="6777" xr:uid="{00000000-0005-0000-0000-0000DF110000}"/>
    <cellStyle name="Normal 3 2 8 2 2" xfId="15219" xr:uid="{D6822BBB-50EE-4EA8-BBF8-10CEA30E9CA5}"/>
    <cellStyle name="Normal 3 2 8 3" xfId="11001" xr:uid="{39FC2414-9B02-41AC-B9B0-458B993D5A9A}"/>
    <cellStyle name="Normal 3 2 9" xfId="4711" xr:uid="{00000000-0005-0000-0000-0000E0110000}"/>
    <cellStyle name="Normal 3 2 9 2" xfId="13153" xr:uid="{93758890-4CD9-4210-9B93-A74F19522A89}"/>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B016B970-2B30-45D3-B902-DED0A52D3363}"/>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FBE80BD-415A-41EC-B3BB-DD6BC77218A1}"/>
    <cellStyle name="Normal 4 2 2 10 2 3" xfId="12738" xr:uid="{9FC10A5B-36FE-4CB2-AB14-39CC5EFB7947}"/>
    <cellStyle name="Normal 4 2 2 10 3" xfId="6369" xr:uid="{00000000-0005-0000-0000-0000ED110000}"/>
    <cellStyle name="Normal 4 2 2 10 3 2" xfId="14811" xr:uid="{46E01EE4-83B7-48E5-990F-A907333DF163}"/>
    <cellStyle name="Normal 4 2 2 10 4" xfId="10593" xr:uid="{84DD3560-8984-4538-B548-107CA6A85AFF}"/>
    <cellStyle name="Normal 4 2 2 11" xfId="2498" xr:uid="{00000000-0005-0000-0000-0000EE110000}"/>
    <cellStyle name="Normal 4 2 2 11 2" xfId="6782" xr:uid="{00000000-0005-0000-0000-0000EF110000}"/>
    <cellStyle name="Normal 4 2 2 11 2 2" xfId="15224" xr:uid="{137FC78E-226D-480A-9B5D-AA85E0663467}"/>
    <cellStyle name="Normal 4 2 2 11 3" xfId="11006" xr:uid="{F8AA8E3B-2C85-4598-9E01-D42271111407}"/>
    <cellStyle name="Normal 4 2 2 12" xfId="4717" xr:uid="{00000000-0005-0000-0000-0000F0110000}"/>
    <cellStyle name="Normal 4 2 2 12 2" xfId="13159" xr:uid="{E9B0CD3B-C09F-449A-B23A-F47CC2140903}"/>
    <cellStyle name="Normal 4 2 2 13" xfId="8941" xr:uid="{6047E0EF-9F06-4B60-A30C-1505A7FD859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A9866862-A3BB-4632-9A7E-28C62AFD106B}"/>
    <cellStyle name="Normal 4 2 2 3 11" xfId="8942" xr:uid="{BCECF9DE-9006-4F84-AEE0-723A79E58B62}"/>
    <cellStyle name="Normal 4 2 2 3 2" xfId="340" xr:uid="{00000000-0005-0000-0000-0000F4110000}"/>
    <cellStyle name="Normal 4 2 2 3 2 10" xfId="8943" xr:uid="{7325AA2E-8B47-47A3-84B2-8C7D749E4312}"/>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5DEACBBD-99C4-4645-B599-3C72B902ED0B}"/>
    <cellStyle name="Normal 4 2 2 3 2 2 2 2 2 3" xfId="11503" xr:uid="{B8B8ABAC-8D86-4960-BA79-923B218B4666}"/>
    <cellStyle name="Normal 4 2 2 3 2 2 2 2 3" xfId="5134" xr:uid="{00000000-0005-0000-0000-0000FA110000}"/>
    <cellStyle name="Normal 4 2 2 3 2 2 2 2 3 2" xfId="13576" xr:uid="{E888D914-E83A-4F09-8E7D-F34727ABE2C7}"/>
    <cellStyle name="Normal 4 2 2 3 2 2 2 2 4" xfId="9358" xr:uid="{5467570E-997B-4F39-8CB5-7BCD8D027E52}"/>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A3BCC1F5-325C-4777-8310-DC349E7A6C55}"/>
    <cellStyle name="Normal 4 2 2 3 2 2 2 3 2 3" xfId="11916" xr:uid="{BF6A555D-11C8-4F89-A23C-1BF354071864}"/>
    <cellStyle name="Normal 4 2 2 3 2 2 2 3 3" xfId="5547" xr:uid="{00000000-0005-0000-0000-0000FE110000}"/>
    <cellStyle name="Normal 4 2 2 3 2 2 2 3 3 2" xfId="13989" xr:uid="{A9AFCB84-6E5A-4EC3-8BDB-A71E93DFA2C2}"/>
    <cellStyle name="Normal 4 2 2 3 2 2 2 3 4" xfId="9771" xr:uid="{0C9E26EA-E4E1-4151-BB4F-4BEC3A9A19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4CA15B3D-45D5-4392-9992-A9F019BD801A}"/>
    <cellStyle name="Normal 4 2 2 3 2 2 2 4 2 3" xfId="12329" xr:uid="{14E5DA19-0529-4C7D-AC54-CA0892065598}"/>
    <cellStyle name="Normal 4 2 2 3 2 2 2 4 3" xfId="5960" xr:uid="{00000000-0005-0000-0000-000002120000}"/>
    <cellStyle name="Normal 4 2 2 3 2 2 2 4 3 2" xfId="14402" xr:uid="{37477D5D-688B-4590-B3BD-E278F96E5313}"/>
    <cellStyle name="Normal 4 2 2 3 2 2 2 4 4" xfId="10184" xr:uid="{5FADF753-2281-479E-9A88-ADA30A8D2006}"/>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FE9ABADA-B4F6-4836-81B0-4DF01D41ADF8}"/>
    <cellStyle name="Normal 4 2 2 3 2 2 2 5 2 3" xfId="12742" xr:uid="{B964EA0E-F420-4ED1-95D5-8F918248DD33}"/>
    <cellStyle name="Normal 4 2 2 3 2 2 2 5 3" xfId="6373" xr:uid="{00000000-0005-0000-0000-000006120000}"/>
    <cellStyle name="Normal 4 2 2 3 2 2 2 5 3 2" xfId="14815" xr:uid="{02C0AA78-F8B5-48C9-8C2A-00CE7CEAE0E6}"/>
    <cellStyle name="Normal 4 2 2 3 2 2 2 5 4" xfId="10597" xr:uid="{4DA2FCEF-F4EB-476B-93CC-8FCB42611DC2}"/>
    <cellStyle name="Normal 4 2 2 3 2 2 2 6" xfId="2502" xr:uid="{00000000-0005-0000-0000-000007120000}"/>
    <cellStyle name="Normal 4 2 2 3 2 2 2 6 2" xfId="6786" xr:uid="{00000000-0005-0000-0000-000008120000}"/>
    <cellStyle name="Normal 4 2 2 3 2 2 2 6 2 2" xfId="15228" xr:uid="{08702574-3935-4D52-BF9D-121069717953}"/>
    <cellStyle name="Normal 4 2 2 3 2 2 2 6 3" xfId="11010" xr:uid="{9AD190DA-FA6E-4164-B157-DF3CF31DD35A}"/>
    <cellStyle name="Normal 4 2 2 3 2 2 2 7" xfId="4721" xr:uid="{00000000-0005-0000-0000-000009120000}"/>
    <cellStyle name="Normal 4 2 2 3 2 2 2 7 2" xfId="13163" xr:uid="{D0FAD5BC-3E5D-48EF-8DEE-876B513EEAED}"/>
    <cellStyle name="Normal 4 2 2 3 2 2 2 8" xfId="8945" xr:uid="{D1079D16-7B26-48B8-A7E0-1B8DF41857A7}"/>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7E76BBB4-FEA5-43E5-A928-4201A8088DD4}"/>
    <cellStyle name="Normal 4 2 2 3 2 2 3 2 3" xfId="11502" xr:uid="{8ADBB8E2-3B1F-449D-ADB5-3735DE951A12}"/>
    <cellStyle name="Normal 4 2 2 3 2 2 3 3" xfId="5133" xr:uid="{00000000-0005-0000-0000-00000D120000}"/>
    <cellStyle name="Normal 4 2 2 3 2 2 3 3 2" xfId="13575" xr:uid="{9D53C844-B6B3-486C-9C71-660CBD7117FD}"/>
    <cellStyle name="Normal 4 2 2 3 2 2 3 4" xfId="9357" xr:uid="{FB446775-04D3-4517-B838-DB73CF40C1DB}"/>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55099200-F551-48E0-B309-AD155872245E}"/>
    <cellStyle name="Normal 4 2 2 3 2 2 4 2 3" xfId="11915" xr:uid="{8E771FD9-076D-496C-82D2-CDCC5D2892A7}"/>
    <cellStyle name="Normal 4 2 2 3 2 2 4 3" xfId="5546" xr:uid="{00000000-0005-0000-0000-000011120000}"/>
    <cellStyle name="Normal 4 2 2 3 2 2 4 3 2" xfId="13988" xr:uid="{F140B3F2-FEF0-41FB-AC22-C820C1979334}"/>
    <cellStyle name="Normal 4 2 2 3 2 2 4 4" xfId="9770" xr:uid="{7DC91A4A-AA62-4EA5-9621-B43230AB4BE3}"/>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1AEA2EBD-425A-48B5-B592-16634F7FA9B2}"/>
    <cellStyle name="Normal 4 2 2 3 2 2 5 2 3" xfId="12328" xr:uid="{BC2237AD-0D0C-494D-A458-6E856DA03871}"/>
    <cellStyle name="Normal 4 2 2 3 2 2 5 3" xfId="5959" xr:uid="{00000000-0005-0000-0000-000015120000}"/>
    <cellStyle name="Normal 4 2 2 3 2 2 5 3 2" xfId="14401" xr:uid="{354197D0-9C11-4723-9A48-B2953453C12F}"/>
    <cellStyle name="Normal 4 2 2 3 2 2 5 4" xfId="10183" xr:uid="{34C0713B-3428-405E-AD2A-0D689EA04C83}"/>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81D89C8B-530D-4B18-8DA5-13E4F235A3F8}"/>
    <cellStyle name="Normal 4 2 2 3 2 2 6 2 3" xfId="12741" xr:uid="{DFA25601-B724-4EEE-B0A3-D67762F7D7A7}"/>
    <cellStyle name="Normal 4 2 2 3 2 2 6 3" xfId="6372" xr:uid="{00000000-0005-0000-0000-000019120000}"/>
    <cellStyle name="Normal 4 2 2 3 2 2 6 3 2" xfId="14814" xr:uid="{031AB542-6A59-497D-8FE5-002879A6E035}"/>
    <cellStyle name="Normal 4 2 2 3 2 2 6 4" xfId="10596" xr:uid="{D508FB6A-1D82-4996-A592-38B342016D31}"/>
    <cellStyle name="Normal 4 2 2 3 2 2 7" xfId="2501" xr:uid="{00000000-0005-0000-0000-00001A120000}"/>
    <cellStyle name="Normal 4 2 2 3 2 2 7 2" xfId="6785" xr:uid="{00000000-0005-0000-0000-00001B120000}"/>
    <cellStyle name="Normal 4 2 2 3 2 2 7 2 2" xfId="15227" xr:uid="{AAF6B74F-8866-4FCA-884D-B8823C0B2617}"/>
    <cellStyle name="Normal 4 2 2 3 2 2 7 3" xfId="11009" xr:uid="{BE2F9ECA-48A0-4BBF-8787-77A45ED06E15}"/>
    <cellStyle name="Normal 4 2 2 3 2 2 8" xfId="4720" xr:uid="{00000000-0005-0000-0000-00001C120000}"/>
    <cellStyle name="Normal 4 2 2 3 2 2 8 2" xfId="13162" xr:uid="{7943CDAD-E644-4420-8333-F632AD03A13F}"/>
    <cellStyle name="Normal 4 2 2 3 2 2 9" xfId="8944" xr:uid="{32DD5253-B93C-4F8D-929C-9BFD7ECB9967}"/>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649454F8-9C9E-4913-80FC-E6146A2B8BCB}"/>
    <cellStyle name="Normal 4 2 2 3 2 3 2 2 3" xfId="11504" xr:uid="{CCE1ADAB-73A3-450D-94FC-2AFD1DC3C9AF}"/>
    <cellStyle name="Normal 4 2 2 3 2 3 2 3" xfId="5135" xr:uid="{00000000-0005-0000-0000-000021120000}"/>
    <cellStyle name="Normal 4 2 2 3 2 3 2 3 2" xfId="13577" xr:uid="{7ACFA093-6CA3-4FAB-8B23-2B48DA6965F9}"/>
    <cellStyle name="Normal 4 2 2 3 2 3 2 4" xfId="9359" xr:uid="{390A6CBF-DD51-4E61-A6C5-0430EC897341}"/>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766B15DB-F0AA-4B04-ABB8-298BB6A3F674}"/>
    <cellStyle name="Normal 4 2 2 3 2 3 3 2 3" xfId="11917" xr:uid="{EFB1E4D0-1465-4355-8414-C692FB2C88F8}"/>
    <cellStyle name="Normal 4 2 2 3 2 3 3 3" xfId="5548" xr:uid="{00000000-0005-0000-0000-000025120000}"/>
    <cellStyle name="Normal 4 2 2 3 2 3 3 3 2" xfId="13990" xr:uid="{925EEED4-A65A-4685-85BD-7A03373F6FAF}"/>
    <cellStyle name="Normal 4 2 2 3 2 3 3 4" xfId="9772" xr:uid="{0C3E4AB0-1567-479E-AF20-3BF29287D126}"/>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A48331C9-894C-45E4-9AF5-ECA05ADDA927}"/>
    <cellStyle name="Normal 4 2 2 3 2 3 4 2 3" xfId="12330" xr:uid="{4070774D-0E67-483D-A70B-FB5D1D412A55}"/>
    <cellStyle name="Normal 4 2 2 3 2 3 4 3" xfId="5961" xr:uid="{00000000-0005-0000-0000-000029120000}"/>
    <cellStyle name="Normal 4 2 2 3 2 3 4 3 2" xfId="14403" xr:uid="{87A214DD-4F24-473E-B5B6-8A41C46DEDDD}"/>
    <cellStyle name="Normal 4 2 2 3 2 3 4 4" xfId="10185" xr:uid="{7A2DA436-FEEA-468F-BB4B-8EFC346CABF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9D1C1C3C-47DC-4509-B36E-D1874A4C7B66}"/>
    <cellStyle name="Normal 4 2 2 3 2 3 5 2 3" xfId="12743" xr:uid="{9092BAFF-CEB8-4E54-AB6F-049D01D47E20}"/>
    <cellStyle name="Normal 4 2 2 3 2 3 5 3" xfId="6374" xr:uid="{00000000-0005-0000-0000-00002D120000}"/>
    <cellStyle name="Normal 4 2 2 3 2 3 5 3 2" xfId="14816" xr:uid="{4EEA34D2-5B77-471C-B415-1EEB3BCEF3E2}"/>
    <cellStyle name="Normal 4 2 2 3 2 3 5 4" xfId="10598" xr:uid="{FECAB219-55CA-42AA-A08D-0DDABAF61842}"/>
    <cellStyle name="Normal 4 2 2 3 2 3 6" xfId="2503" xr:uid="{00000000-0005-0000-0000-00002E120000}"/>
    <cellStyle name="Normal 4 2 2 3 2 3 6 2" xfId="6787" xr:uid="{00000000-0005-0000-0000-00002F120000}"/>
    <cellStyle name="Normal 4 2 2 3 2 3 6 2 2" xfId="15229" xr:uid="{700229C3-05AB-4F79-ABE9-2FE8EC72C0F1}"/>
    <cellStyle name="Normal 4 2 2 3 2 3 6 3" xfId="11011" xr:uid="{4392F40A-B51F-44DA-A60C-FB525EAF8AE3}"/>
    <cellStyle name="Normal 4 2 2 3 2 3 7" xfId="4722" xr:uid="{00000000-0005-0000-0000-000030120000}"/>
    <cellStyle name="Normal 4 2 2 3 2 3 7 2" xfId="13164" xr:uid="{5E3C8587-6756-4496-804B-BDF6B1548916}"/>
    <cellStyle name="Normal 4 2 2 3 2 3 8" xfId="8946" xr:uid="{C763BC4F-E5D0-4019-9174-2F9318B92116}"/>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F180FFE-85C3-4F54-9A62-6D7DEEE23773}"/>
    <cellStyle name="Normal 4 2 2 3 2 4 2 3" xfId="11501" xr:uid="{83123248-B3E6-4850-9F1E-03A9EB3EB7A2}"/>
    <cellStyle name="Normal 4 2 2 3 2 4 3" xfId="5132" xr:uid="{00000000-0005-0000-0000-000034120000}"/>
    <cellStyle name="Normal 4 2 2 3 2 4 3 2" xfId="13574" xr:uid="{59813521-DD96-44BE-9D6D-C488A81D736C}"/>
    <cellStyle name="Normal 4 2 2 3 2 4 4" xfId="9356" xr:uid="{D7BD3E50-EF64-4AE9-90E7-585CB1708D5C}"/>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2E3C5850-C6A8-4FDB-8E2E-FCEBDB0B4AED}"/>
    <cellStyle name="Normal 4 2 2 3 2 5 2 3" xfId="11914" xr:uid="{D9E684AC-F30A-446F-AC1E-2D195256923B}"/>
    <cellStyle name="Normal 4 2 2 3 2 5 3" xfId="5545" xr:uid="{00000000-0005-0000-0000-000038120000}"/>
    <cellStyle name="Normal 4 2 2 3 2 5 3 2" xfId="13987" xr:uid="{B8DD6CA3-BF1A-4E32-BE45-DDD6B4D51A90}"/>
    <cellStyle name="Normal 4 2 2 3 2 5 4" xfId="9769" xr:uid="{7109681F-2B12-45DC-A31C-80AAC3A0822E}"/>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5855E3FA-1ECA-4D63-BCBC-7A6564F638BF}"/>
    <cellStyle name="Normal 4 2 2 3 2 6 2 3" xfId="12327" xr:uid="{9E29C4FF-6C7A-4A57-ADB4-3DD48F157A04}"/>
    <cellStyle name="Normal 4 2 2 3 2 6 3" xfId="5958" xr:uid="{00000000-0005-0000-0000-00003C120000}"/>
    <cellStyle name="Normal 4 2 2 3 2 6 3 2" xfId="14400" xr:uid="{5C5089DC-47BD-47A7-AD80-EB1A1D6B4096}"/>
    <cellStyle name="Normal 4 2 2 3 2 6 4" xfId="10182" xr:uid="{710CBBD7-F048-4D45-9DF3-BF82927BC756}"/>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005DD566-C3C7-4935-AC17-E37C25B2FD2F}"/>
    <cellStyle name="Normal 4 2 2 3 2 7 2 3" xfId="12740" xr:uid="{83D03F03-77D3-415D-AF45-3CF13AE63675}"/>
    <cellStyle name="Normal 4 2 2 3 2 7 3" xfId="6371" xr:uid="{00000000-0005-0000-0000-000040120000}"/>
    <cellStyle name="Normal 4 2 2 3 2 7 3 2" xfId="14813" xr:uid="{2CD35AD6-B1E4-41DC-99CA-4DEF77E43FC3}"/>
    <cellStyle name="Normal 4 2 2 3 2 7 4" xfId="10595" xr:uid="{A9DEAC9D-6E4F-4D98-B453-FCCAB3A59A5C}"/>
    <cellStyle name="Normal 4 2 2 3 2 8" xfId="2500" xr:uid="{00000000-0005-0000-0000-000041120000}"/>
    <cellStyle name="Normal 4 2 2 3 2 8 2" xfId="6784" xr:uid="{00000000-0005-0000-0000-000042120000}"/>
    <cellStyle name="Normal 4 2 2 3 2 8 2 2" xfId="15226" xr:uid="{3A5F51D6-6367-4169-95E9-8DD4C0353DB6}"/>
    <cellStyle name="Normal 4 2 2 3 2 8 3" xfId="11008" xr:uid="{ABC00EC5-F320-48A3-9A1B-4D0986E316E1}"/>
    <cellStyle name="Normal 4 2 2 3 2 9" xfId="4719" xr:uid="{00000000-0005-0000-0000-000043120000}"/>
    <cellStyle name="Normal 4 2 2 3 2 9 2" xfId="13161" xr:uid="{7F542E78-F844-4D4D-BE76-51C7251F411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129DD722-F0FF-4C1C-9ECD-E64870937324}"/>
    <cellStyle name="Normal 4 2 2 3 3 2 2 2 3" xfId="11506" xr:uid="{CF575528-22EA-4563-9B20-14A434BFBCFC}"/>
    <cellStyle name="Normal 4 2 2 3 3 2 2 3" xfId="5137" xr:uid="{00000000-0005-0000-0000-000049120000}"/>
    <cellStyle name="Normal 4 2 2 3 3 2 2 3 2" xfId="13579" xr:uid="{E25008E4-6FE4-415D-B94A-424A4330DE0F}"/>
    <cellStyle name="Normal 4 2 2 3 3 2 2 4" xfId="9361" xr:uid="{B3D3BEDA-FD6A-49FF-AF43-F8FBFB4FF0E3}"/>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6968D17B-E6E0-4016-9918-3CC3D51F8ADB}"/>
    <cellStyle name="Normal 4 2 2 3 3 2 3 2 3" xfId="11919" xr:uid="{87266B12-FDF3-4049-A4AA-16CCCF2142F3}"/>
    <cellStyle name="Normal 4 2 2 3 3 2 3 3" xfId="5550" xr:uid="{00000000-0005-0000-0000-00004D120000}"/>
    <cellStyle name="Normal 4 2 2 3 3 2 3 3 2" xfId="13992" xr:uid="{B341BD40-EB43-48DD-8C25-2B361A0026F4}"/>
    <cellStyle name="Normal 4 2 2 3 3 2 3 4" xfId="9774" xr:uid="{C94ED72C-99CF-4842-B60C-6BB2FB6FE598}"/>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00464220-BBC1-4694-B997-F5F04AADAA7B}"/>
    <cellStyle name="Normal 4 2 2 3 3 2 4 2 3" xfId="12332" xr:uid="{DB2B202E-298A-4099-942A-A16D7E649E3B}"/>
    <cellStyle name="Normal 4 2 2 3 3 2 4 3" xfId="5963" xr:uid="{00000000-0005-0000-0000-000051120000}"/>
    <cellStyle name="Normal 4 2 2 3 3 2 4 3 2" xfId="14405" xr:uid="{FD56D9CC-7164-4A03-92B1-AEAC732F903C}"/>
    <cellStyle name="Normal 4 2 2 3 3 2 4 4" xfId="10187" xr:uid="{43CD6064-9C7E-4FB1-B019-1C4A10F1E3FC}"/>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2BC40C05-E07A-447B-9286-3598F9C6A043}"/>
    <cellStyle name="Normal 4 2 2 3 3 2 5 2 3" xfId="12745" xr:uid="{33C98631-79D9-48E7-BC71-A4E441B2A590}"/>
    <cellStyle name="Normal 4 2 2 3 3 2 5 3" xfId="6376" xr:uid="{00000000-0005-0000-0000-000055120000}"/>
    <cellStyle name="Normal 4 2 2 3 3 2 5 3 2" xfId="14818" xr:uid="{7B2F70E4-8422-4931-B2A1-59289C7C1014}"/>
    <cellStyle name="Normal 4 2 2 3 3 2 5 4" xfId="10600" xr:uid="{35E6F90E-8539-442B-AC60-AAB2CF0979B8}"/>
    <cellStyle name="Normal 4 2 2 3 3 2 6" xfId="2505" xr:uid="{00000000-0005-0000-0000-000056120000}"/>
    <cellStyle name="Normal 4 2 2 3 3 2 6 2" xfId="6789" xr:uid="{00000000-0005-0000-0000-000057120000}"/>
    <cellStyle name="Normal 4 2 2 3 3 2 6 2 2" xfId="15231" xr:uid="{CCE226BB-C735-4997-B71F-57CD04A8F025}"/>
    <cellStyle name="Normal 4 2 2 3 3 2 6 3" xfId="11013" xr:uid="{108E17E5-6B8C-43F3-AA91-028149653A15}"/>
    <cellStyle name="Normal 4 2 2 3 3 2 7" xfId="4724" xr:uid="{00000000-0005-0000-0000-000058120000}"/>
    <cellStyle name="Normal 4 2 2 3 3 2 7 2" xfId="13166" xr:uid="{390C3950-444F-479D-8BA3-B50C7CEF4D1F}"/>
    <cellStyle name="Normal 4 2 2 3 3 2 8" xfId="8948" xr:uid="{162A4128-A549-4DB5-8BAB-715D729E1625}"/>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B09599F0-E2E4-461F-AEFC-8F8A85A0A897}"/>
    <cellStyle name="Normal 4 2 2 3 3 3 2 3" xfId="11505" xr:uid="{F5394428-DBF7-484D-98EA-CE6E486E5FC7}"/>
    <cellStyle name="Normal 4 2 2 3 3 3 3" xfId="5136" xr:uid="{00000000-0005-0000-0000-00005C120000}"/>
    <cellStyle name="Normal 4 2 2 3 3 3 3 2" xfId="13578" xr:uid="{A1083E45-BEA8-402A-9456-E8BC1AE42238}"/>
    <cellStyle name="Normal 4 2 2 3 3 3 4" xfId="9360" xr:uid="{A708528F-64C4-4987-A48F-467C41068F6A}"/>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B48480BD-D897-4AE2-9C6A-3633103CEEF5}"/>
    <cellStyle name="Normal 4 2 2 3 3 4 2 3" xfId="11918" xr:uid="{61FE2848-4308-446D-B293-D9D5D2578386}"/>
    <cellStyle name="Normal 4 2 2 3 3 4 3" xfId="5549" xr:uid="{00000000-0005-0000-0000-000060120000}"/>
    <cellStyle name="Normal 4 2 2 3 3 4 3 2" xfId="13991" xr:uid="{EC89F6F8-D956-45C6-A45B-DB5BB7257E23}"/>
    <cellStyle name="Normal 4 2 2 3 3 4 4" xfId="9773" xr:uid="{14461804-B19E-439B-8208-D985C6EFA959}"/>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35FF8918-339D-471E-BA53-DDE73C9D9933}"/>
    <cellStyle name="Normal 4 2 2 3 3 5 2 3" xfId="12331" xr:uid="{CD69870A-C09C-469C-9916-BC57B73C2FE2}"/>
    <cellStyle name="Normal 4 2 2 3 3 5 3" xfId="5962" xr:uid="{00000000-0005-0000-0000-000064120000}"/>
    <cellStyle name="Normal 4 2 2 3 3 5 3 2" xfId="14404" xr:uid="{9408DC4C-053D-4D46-8A46-BC76994258F4}"/>
    <cellStyle name="Normal 4 2 2 3 3 5 4" xfId="10186" xr:uid="{12D941F9-0756-4B91-8E93-BDEEAA65259E}"/>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221DD1E8-C967-41D9-87B5-8296F598891A}"/>
    <cellStyle name="Normal 4 2 2 3 3 6 2 3" xfId="12744" xr:uid="{F8CAE5E7-183C-443A-A8B4-CCEA7D9D0868}"/>
    <cellStyle name="Normal 4 2 2 3 3 6 3" xfId="6375" xr:uid="{00000000-0005-0000-0000-000068120000}"/>
    <cellStyle name="Normal 4 2 2 3 3 6 3 2" xfId="14817" xr:uid="{9CA527E1-01CD-404E-84D2-FD5197B1D41A}"/>
    <cellStyle name="Normal 4 2 2 3 3 6 4" xfId="10599" xr:uid="{1625A93C-2448-498A-9664-47093FDA5FC5}"/>
    <cellStyle name="Normal 4 2 2 3 3 7" xfId="2504" xr:uid="{00000000-0005-0000-0000-000069120000}"/>
    <cellStyle name="Normal 4 2 2 3 3 7 2" xfId="6788" xr:uid="{00000000-0005-0000-0000-00006A120000}"/>
    <cellStyle name="Normal 4 2 2 3 3 7 2 2" xfId="15230" xr:uid="{9AA7E9A7-D411-4501-9114-A835493EB65F}"/>
    <cellStyle name="Normal 4 2 2 3 3 7 3" xfId="11012" xr:uid="{D0C24CFF-78CF-4FE8-8B26-3CFC2D8A019A}"/>
    <cellStyle name="Normal 4 2 2 3 3 8" xfId="4723" xr:uid="{00000000-0005-0000-0000-00006B120000}"/>
    <cellStyle name="Normal 4 2 2 3 3 8 2" xfId="13165" xr:uid="{075DB84C-929F-4A29-93AF-3B135393C0B0}"/>
    <cellStyle name="Normal 4 2 2 3 3 9" xfId="8947" xr:uid="{8FB9C08F-6DAD-4756-941C-ED41D817DAE4}"/>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0F357801-4EB3-43A4-9A47-B486571C2083}"/>
    <cellStyle name="Normal 4 2 2 3 4 2 2 3" xfId="11507" xr:uid="{62C18A5F-F9DE-44D1-BD21-F963C9ECFF2A}"/>
    <cellStyle name="Normal 4 2 2 3 4 2 3" xfId="5138" xr:uid="{00000000-0005-0000-0000-000070120000}"/>
    <cellStyle name="Normal 4 2 2 3 4 2 3 2" xfId="13580" xr:uid="{6241B321-5812-4798-823F-FD9E24E5979A}"/>
    <cellStyle name="Normal 4 2 2 3 4 2 4" xfId="9362" xr:uid="{F21EE1C3-E8C1-425B-B479-6B651F9555E8}"/>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43C2524C-EBAB-476B-87C3-97A22BE9FC60}"/>
    <cellStyle name="Normal 4 2 2 3 4 3 2 3" xfId="11920" xr:uid="{60BCF727-0A5A-45D8-BEB1-3404DE26A46F}"/>
    <cellStyle name="Normal 4 2 2 3 4 3 3" xfId="5551" xr:uid="{00000000-0005-0000-0000-000074120000}"/>
    <cellStyle name="Normal 4 2 2 3 4 3 3 2" xfId="13993" xr:uid="{C1166C65-811E-4E8D-B5EA-062009C30DE4}"/>
    <cellStyle name="Normal 4 2 2 3 4 3 4" xfId="9775" xr:uid="{F5EFD8BD-DEF0-47E2-B375-918EDAF6DCAC}"/>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39DA3440-DC1F-40F7-8B53-DE750BF4A2B7}"/>
    <cellStyle name="Normal 4 2 2 3 4 4 2 3" xfId="12333" xr:uid="{09FAD739-BBC4-4794-9EB0-ACE6AA6F9E67}"/>
    <cellStyle name="Normal 4 2 2 3 4 4 3" xfId="5964" xr:uid="{00000000-0005-0000-0000-000078120000}"/>
    <cellStyle name="Normal 4 2 2 3 4 4 3 2" xfId="14406" xr:uid="{5D387FD8-B695-4B08-BEC6-A06C7A81FF96}"/>
    <cellStyle name="Normal 4 2 2 3 4 4 4" xfId="10188" xr:uid="{2F525C57-AA31-4AB4-B8AE-05C46B586BB9}"/>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0A1599B4-D1A4-440E-83F6-0CA733921DD4}"/>
    <cellStyle name="Normal 4 2 2 3 4 5 2 3" xfId="12746" xr:uid="{ACA2C8AA-A176-464A-9E84-6BD4F1C0F54B}"/>
    <cellStyle name="Normal 4 2 2 3 4 5 3" xfId="6377" xr:uid="{00000000-0005-0000-0000-00007C120000}"/>
    <cellStyle name="Normal 4 2 2 3 4 5 3 2" xfId="14819" xr:uid="{675435BC-0667-47F6-ADBB-D6E38D10CC87}"/>
    <cellStyle name="Normal 4 2 2 3 4 5 4" xfId="10601" xr:uid="{B05B1CCA-514A-4654-9DF4-85106F8390F3}"/>
    <cellStyle name="Normal 4 2 2 3 4 6" xfId="2506" xr:uid="{00000000-0005-0000-0000-00007D120000}"/>
    <cellStyle name="Normal 4 2 2 3 4 6 2" xfId="6790" xr:uid="{00000000-0005-0000-0000-00007E120000}"/>
    <cellStyle name="Normal 4 2 2 3 4 6 2 2" xfId="15232" xr:uid="{D3A145C1-DCF1-4BFB-A382-BEC93C1FC2CA}"/>
    <cellStyle name="Normal 4 2 2 3 4 6 3" xfId="11014" xr:uid="{4B69193B-5043-4F3B-BCC0-F662699D8972}"/>
    <cellStyle name="Normal 4 2 2 3 4 7" xfId="4725" xr:uid="{00000000-0005-0000-0000-00007F120000}"/>
    <cellStyle name="Normal 4 2 2 3 4 7 2" xfId="13167" xr:uid="{E6485709-1D8E-45F4-BEB0-27E786396574}"/>
    <cellStyle name="Normal 4 2 2 3 4 8" xfId="8949" xr:uid="{1517EF4F-4536-4F02-9E2F-45EFB6C36339}"/>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74E923C3-B400-4657-B03D-23EF21AC88E3}"/>
    <cellStyle name="Normal 4 2 2 3 5 2 3" xfId="11500" xr:uid="{C6E30D23-D7E2-4262-9867-0EAB8067E1CF}"/>
    <cellStyle name="Normal 4 2 2 3 5 3" xfId="5131" xr:uid="{00000000-0005-0000-0000-000083120000}"/>
    <cellStyle name="Normal 4 2 2 3 5 3 2" xfId="13573" xr:uid="{B3F31DD5-A617-4A9A-9883-A97E7E2E7693}"/>
    <cellStyle name="Normal 4 2 2 3 5 4" xfId="9355" xr:uid="{408583C5-E599-42BB-A84D-225D74F32741}"/>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4528CA3E-452E-4D14-907D-F1415E7C41E5}"/>
    <cellStyle name="Normal 4 2 2 3 6 2 3" xfId="11913" xr:uid="{28450C5F-E8F4-4C3C-9240-CF5BB9CA4E2E}"/>
    <cellStyle name="Normal 4 2 2 3 6 3" xfId="5544" xr:uid="{00000000-0005-0000-0000-000087120000}"/>
    <cellStyle name="Normal 4 2 2 3 6 3 2" xfId="13986" xr:uid="{0395CA13-A17B-466A-A6A3-B5F816A261C4}"/>
    <cellStyle name="Normal 4 2 2 3 6 4" xfId="9768" xr:uid="{C2C95C62-032C-4EAE-B623-EA2010EE3FDE}"/>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D3443338-5E07-41D9-9A46-7D5E53D9F80F}"/>
    <cellStyle name="Normal 4 2 2 3 7 2 3" xfId="12326" xr:uid="{677D9A56-7E94-4DD2-B68E-36537FE613D1}"/>
    <cellStyle name="Normal 4 2 2 3 7 3" xfId="5957" xr:uid="{00000000-0005-0000-0000-00008B120000}"/>
    <cellStyle name="Normal 4 2 2 3 7 3 2" xfId="14399" xr:uid="{325F6F74-3362-4D1A-8910-2F146DA3113D}"/>
    <cellStyle name="Normal 4 2 2 3 7 4" xfId="10181" xr:uid="{496D8342-D722-4D1F-8C4C-FFC5EC150022}"/>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B27CFB69-58A6-40EF-A4A8-8B759ACCA8C0}"/>
    <cellStyle name="Normal 4 2 2 3 8 2 3" xfId="12739" xr:uid="{F2F0789D-9EEB-4AA5-B5EF-C9999259F191}"/>
    <cellStyle name="Normal 4 2 2 3 8 3" xfId="6370" xr:uid="{00000000-0005-0000-0000-00008F120000}"/>
    <cellStyle name="Normal 4 2 2 3 8 3 2" xfId="14812" xr:uid="{BDD29972-6134-4BB3-A434-6BE092DB396C}"/>
    <cellStyle name="Normal 4 2 2 3 8 4" xfId="10594" xr:uid="{9E039442-0BDE-4051-A5CF-ECAE504CC2F6}"/>
    <cellStyle name="Normal 4 2 2 3 9" xfId="2499" xr:uid="{00000000-0005-0000-0000-000090120000}"/>
    <cellStyle name="Normal 4 2 2 3 9 2" xfId="6783" xr:uid="{00000000-0005-0000-0000-000091120000}"/>
    <cellStyle name="Normal 4 2 2 3 9 2 2" xfId="15225" xr:uid="{5FD33EE5-5F7D-43CF-8C65-FE7D077678EA}"/>
    <cellStyle name="Normal 4 2 2 3 9 3" xfId="11007" xr:uid="{DD911B55-4620-4414-989B-6AE4F48705A9}"/>
    <cellStyle name="Normal 4 2 2 4" xfId="347" xr:uid="{00000000-0005-0000-0000-000092120000}"/>
    <cellStyle name="Normal 4 2 2 4 10" xfId="8950" xr:uid="{566E4CBE-A970-4DC0-8F41-475130A01A35}"/>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B63B8427-2777-49A5-8994-84856B20EF5D}"/>
    <cellStyle name="Normal 4 2 2 4 2 2 2 2 3" xfId="11510" xr:uid="{AA021E80-9B6F-4E53-9CA6-CC02A71F867E}"/>
    <cellStyle name="Normal 4 2 2 4 2 2 2 3" xfId="5141" xr:uid="{00000000-0005-0000-0000-000098120000}"/>
    <cellStyle name="Normal 4 2 2 4 2 2 2 3 2" xfId="13583" xr:uid="{FB1C4B57-446B-4144-A31E-A89694962D80}"/>
    <cellStyle name="Normal 4 2 2 4 2 2 2 4" xfId="9365" xr:uid="{A007C9CE-D669-474C-8089-87F109920FC1}"/>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02E9F655-30E4-4618-859F-74641925E21D}"/>
    <cellStyle name="Normal 4 2 2 4 2 2 3 2 3" xfId="11923" xr:uid="{306A1E7C-53CC-42A6-911C-213919E18036}"/>
    <cellStyle name="Normal 4 2 2 4 2 2 3 3" xfId="5554" xr:uid="{00000000-0005-0000-0000-00009C120000}"/>
    <cellStyle name="Normal 4 2 2 4 2 2 3 3 2" xfId="13996" xr:uid="{B66C3B50-9B49-4C37-A708-97755C22CAA9}"/>
    <cellStyle name="Normal 4 2 2 4 2 2 3 4" xfId="9778" xr:uid="{0D0643D8-31C7-4811-864D-AD87B0706BC6}"/>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8BBAAF1B-4955-482D-A65C-4692B0EA49D7}"/>
    <cellStyle name="Normal 4 2 2 4 2 2 4 2 3" xfId="12336" xr:uid="{6D70CDB7-6A63-46F8-9036-32CE964F4685}"/>
    <cellStyle name="Normal 4 2 2 4 2 2 4 3" xfId="5967" xr:uid="{00000000-0005-0000-0000-0000A0120000}"/>
    <cellStyle name="Normal 4 2 2 4 2 2 4 3 2" xfId="14409" xr:uid="{82926FE8-FF52-4780-B7A8-1B034144641E}"/>
    <cellStyle name="Normal 4 2 2 4 2 2 4 4" xfId="10191" xr:uid="{486C08D9-CED8-40A2-83C5-5B2527174268}"/>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ACF75C0F-54B5-4361-88C9-925675D0E6DD}"/>
    <cellStyle name="Normal 4 2 2 4 2 2 5 2 3" xfId="12749" xr:uid="{D4C00593-079B-4EDC-85B0-176993A4AA87}"/>
    <cellStyle name="Normal 4 2 2 4 2 2 5 3" xfId="6380" xr:uid="{00000000-0005-0000-0000-0000A4120000}"/>
    <cellStyle name="Normal 4 2 2 4 2 2 5 3 2" xfId="14822" xr:uid="{F9B9E963-3ED2-4413-BC8E-2120B1F5922A}"/>
    <cellStyle name="Normal 4 2 2 4 2 2 5 4" xfId="10604" xr:uid="{BF8A3A46-CFF6-4024-AF1E-CBE34AF02152}"/>
    <cellStyle name="Normal 4 2 2 4 2 2 6" xfId="2509" xr:uid="{00000000-0005-0000-0000-0000A5120000}"/>
    <cellStyle name="Normal 4 2 2 4 2 2 6 2" xfId="6793" xr:uid="{00000000-0005-0000-0000-0000A6120000}"/>
    <cellStyle name="Normal 4 2 2 4 2 2 6 2 2" xfId="15235" xr:uid="{1EA1FFF5-13D3-43D7-97F2-CBEDA2E61435}"/>
    <cellStyle name="Normal 4 2 2 4 2 2 6 3" xfId="11017" xr:uid="{C1062BC1-1DDE-4712-BD99-D3E2802B9B11}"/>
    <cellStyle name="Normal 4 2 2 4 2 2 7" xfId="4728" xr:uid="{00000000-0005-0000-0000-0000A7120000}"/>
    <cellStyle name="Normal 4 2 2 4 2 2 7 2" xfId="13170" xr:uid="{AE502AB2-500D-4C0C-AD20-F5AC39E05C26}"/>
    <cellStyle name="Normal 4 2 2 4 2 2 8" xfId="8952" xr:uid="{53A6712C-D7BE-4765-A147-FDC397A97CA1}"/>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01AC14EE-C32F-4E56-AC03-8B737875531D}"/>
    <cellStyle name="Normal 4 2 2 4 2 3 2 3" xfId="11509" xr:uid="{DEE093F6-45B2-446E-9639-80D0C81B2624}"/>
    <cellStyle name="Normal 4 2 2 4 2 3 3" xfId="5140" xr:uid="{00000000-0005-0000-0000-0000AB120000}"/>
    <cellStyle name="Normal 4 2 2 4 2 3 3 2" xfId="13582" xr:uid="{9E3EC293-BC65-4436-8707-838E0C28EA64}"/>
    <cellStyle name="Normal 4 2 2 4 2 3 4" xfId="9364" xr:uid="{CA8AF0D3-4929-4438-A203-5484456C3A95}"/>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7F1190C2-29A9-48B2-8703-3FD7DBE28B76}"/>
    <cellStyle name="Normal 4 2 2 4 2 4 2 3" xfId="11922" xr:uid="{E7D2DB0F-DE17-460C-B743-3C7BA766A8F6}"/>
    <cellStyle name="Normal 4 2 2 4 2 4 3" xfId="5553" xr:uid="{00000000-0005-0000-0000-0000AF120000}"/>
    <cellStyle name="Normal 4 2 2 4 2 4 3 2" xfId="13995" xr:uid="{3FBB1909-8CF1-479A-A5E6-F37C58000D3B}"/>
    <cellStyle name="Normal 4 2 2 4 2 4 4" xfId="9777" xr:uid="{EBBBD6D0-8FF9-4B5A-8641-82E8F655683F}"/>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E30AFFA9-EC54-4661-B1BE-DF6E8F296621}"/>
    <cellStyle name="Normal 4 2 2 4 2 5 2 3" xfId="12335" xr:uid="{6E5920E3-D2F9-48C1-BB41-E992FB7935E2}"/>
    <cellStyle name="Normal 4 2 2 4 2 5 3" xfId="5966" xr:uid="{00000000-0005-0000-0000-0000B3120000}"/>
    <cellStyle name="Normal 4 2 2 4 2 5 3 2" xfId="14408" xr:uid="{C8ABF222-6444-4E0C-8D38-50D59C3C8518}"/>
    <cellStyle name="Normal 4 2 2 4 2 5 4" xfId="10190" xr:uid="{FCD73CF5-8CD3-479A-AFD4-B13583CC0C74}"/>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7058072E-E9E9-47E3-8243-FE2120F0F29E}"/>
    <cellStyle name="Normal 4 2 2 4 2 6 2 3" xfId="12748" xr:uid="{96393EE3-0349-4240-B534-9117A072CADA}"/>
    <cellStyle name="Normal 4 2 2 4 2 6 3" xfId="6379" xr:uid="{00000000-0005-0000-0000-0000B7120000}"/>
    <cellStyle name="Normal 4 2 2 4 2 6 3 2" xfId="14821" xr:uid="{9AA41264-B250-463D-81DA-3C30FB82255D}"/>
    <cellStyle name="Normal 4 2 2 4 2 6 4" xfId="10603" xr:uid="{2BDDD895-C4A5-48E0-BC56-073F9213FD2C}"/>
    <cellStyle name="Normal 4 2 2 4 2 7" xfId="2508" xr:uid="{00000000-0005-0000-0000-0000B8120000}"/>
    <cellStyle name="Normal 4 2 2 4 2 7 2" xfId="6792" xr:uid="{00000000-0005-0000-0000-0000B9120000}"/>
    <cellStyle name="Normal 4 2 2 4 2 7 2 2" xfId="15234" xr:uid="{64EAF936-7A06-4176-9FF4-47EE5C571992}"/>
    <cellStyle name="Normal 4 2 2 4 2 7 3" xfId="11016" xr:uid="{99727D3A-0369-4EA8-B54F-5E3991EDD3EB}"/>
    <cellStyle name="Normal 4 2 2 4 2 8" xfId="4727" xr:uid="{00000000-0005-0000-0000-0000BA120000}"/>
    <cellStyle name="Normal 4 2 2 4 2 8 2" xfId="13169" xr:uid="{028B46DC-5E18-4280-B6DC-BE908A94D8B8}"/>
    <cellStyle name="Normal 4 2 2 4 2 9" xfId="8951" xr:uid="{03447566-A7C5-4C05-A005-D02D81C2381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F007934D-45C2-4A10-B1EB-9F59E39ABD4B}"/>
    <cellStyle name="Normal 4 2 2 4 3 2 2 3" xfId="11511" xr:uid="{839B42B7-2D76-45C5-890F-59906DDCD669}"/>
    <cellStyle name="Normal 4 2 2 4 3 2 3" xfId="5142" xr:uid="{00000000-0005-0000-0000-0000BF120000}"/>
    <cellStyle name="Normal 4 2 2 4 3 2 3 2" xfId="13584" xr:uid="{5F03C90A-2D67-4854-92F1-0DC03A9F1619}"/>
    <cellStyle name="Normal 4 2 2 4 3 2 4" xfId="9366" xr:uid="{07ECBBE7-E560-45E4-BE46-9F834655F2C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D039284F-C003-4A2C-AB8B-52A8282E351F}"/>
    <cellStyle name="Normal 4 2 2 4 3 3 2 3" xfId="11924" xr:uid="{D1B16AE9-6443-4F5B-85AC-C6CC3D72A1AD}"/>
    <cellStyle name="Normal 4 2 2 4 3 3 3" xfId="5555" xr:uid="{00000000-0005-0000-0000-0000C3120000}"/>
    <cellStyle name="Normal 4 2 2 4 3 3 3 2" xfId="13997" xr:uid="{229164E1-4CC2-44D7-8467-95DD91A7B088}"/>
    <cellStyle name="Normal 4 2 2 4 3 3 4" xfId="9779" xr:uid="{A8CA6C78-438F-418C-997F-7ADA9FFAB3A2}"/>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7693508D-F605-4101-9F9F-A49E3A69A0C8}"/>
    <cellStyle name="Normal 4 2 2 4 3 4 2 3" xfId="12337" xr:uid="{895896CA-F5E0-4320-A582-22594D1BE68A}"/>
    <cellStyle name="Normal 4 2 2 4 3 4 3" xfId="5968" xr:uid="{00000000-0005-0000-0000-0000C7120000}"/>
    <cellStyle name="Normal 4 2 2 4 3 4 3 2" xfId="14410" xr:uid="{3AC1E176-00BE-4C18-9D79-32A0DCE6DB11}"/>
    <cellStyle name="Normal 4 2 2 4 3 4 4" xfId="10192" xr:uid="{644D4527-8A70-4EBD-A0D8-0FFE5532BAE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73B8F3B4-BAD4-4162-B401-267D676DCDA6}"/>
    <cellStyle name="Normal 4 2 2 4 3 5 2 3" xfId="12750" xr:uid="{C119F752-972F-4B1B-921C-34D4748A9BDF}"/>
    <cellStyle name="Normal 4 2 2 4 3 5 3" xfId="6381" xr:uid="{00000000-0005-0000-0000-0000CB120000}"/>
    <cellStyle name="Normal 4 2 2 4 3 5 3 2" xfId="14823" xr:uid="{60A8C0CA-35CD-4F80-A084-BA71FDD89D95}"/>
    <cellStyle name="Normal 4 2 2 4 3 5 4" xfId="10605" xr:uid="{E1AE9408-3E84-4939-9D90-B92DFF207C3D}"/>
    <cellStyle name="Normal 4 2 2 4 3 6" xfId="2510" xr:uid="{00000000-0005-0000-0000-0000CC120000}"/>
    <cellStyle name="Normal 4 2 2 4 3 6 2" xfId="6794" xr:uid="{00000000-0005-0000-0000-0000CD120000}"/>
    <cellStyle name="Normal 4 2 2 4 3 6 2 2" xfId="15236" xr:uid="{380FB5ED-296D-4304-B6C7-DF9922C7BD8C}"/>
    <cellStyle name="Normal 4 2 2 4 3 6 3" xfId="11018" xr:uid="{539506A8-D9E8-48E7-B803-6F753EE715E8}"/>
    <cellStyle name="Normal 4 2 2 4 3 7" xfId="4729" xr:uid="{00000000-0005-0000-0000-0000CE120000}"/>
    <cellStyle name="Normal 4 2 2 4 3 7 2" xfId="13171" xr:uid="{8EB403E5-99CC-4E0D-8C4D-F90C96139984}"/>
    <cellStyle name="Normal 4 2 2 4 3 8" xfId="8953" xr:uid="{36A5393A-9815-4DF8-BCA3-5DAD5DAF4335}"/>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08A05198-F8FA-4DF3-B816-FA869DC684C1}"/>
    <cellStyle name="Normal 4 2 2 4 4 2 3" xfId="11508" xr:uid="{CFEBF44B-B8CA-4132-8E6E-A0D2A4588CE3}"/>
    <cellStyle name="Normal 4 2 2 4 4 3" xfId="5139" xr:uid="{00000000-0005-0000-0000-0000D2120000}"/>
    <cellStyle name="Normal 4 2 2 4 4 3 2" xfId="13581" xr:uid="{49EEA444-E3C9-497C-B07C-D688DD3BA0A6}"/>
    <cellStyle name="Normal 4 2 2 4 4 4" xfId="9363" xr:uid="{E2746FD4-1305-489B-A46E-AB19FA35BA34}"/>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D200E6B8-3D46-4D4C-8580-38AE6A8C50B5}"/>
    <cellStyle name="Normal 4 2 2 4 5 2 3" xfId="11921" xr:uid="{ADF2A4E7-17B8-48D5-B414-C8EB1FB1A1FE}"/>
    <cellStyle name="Normal 4 2 2 4 5 3" xfId="5552" xr:uid="{00000000-0005-0000-0000-0000D6120000}"/>
    <cellStyle name="Normal 4 2 2 4 5 3 2" xfId="13994" xr:uid="{C8F28B6A-9F47-4474-8E39-2F3483F5888B}"/>
    <cellStyle name="Normal 4 2 2 4 5 4" xfId="9776" xr:uid="{C03BD2A9-D18E-4D00-80CC-EE31BB15C50B}"/>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2CE88703-F75F-4A60-AED7-9FD4EBFCFBAF}"/>
    <cellStyle name="Normal 4 2 2 4 6 2 3" xfId="12334" xr:uid="{BF1AA1DF-D632-4A48-B5A7-9F94646F1331}"/>
    <cellStyle name="Normal 4 2 2 4 6 3" xfId="5965" xr:uid="{00000000-0005-0000-0000-0000DA120000}"/>
    <cellStyle name="Normal 4 2 2 4 6 3 2" xfId="14407" xr:uid="{E93824D7-A0D2-45B0-8DDA-4E2FA6B6036C}"/>
    <cellStyle name="Normal 4 2 2 4 6 4" xfId="10189" xr:uid="{F650950D-BD8B-4F48-B85E-0C7E8BB9E560}"/>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6C2A17AF-8252-4FA2-99E0-1EF259E4073A}"/>
    <cellStyle name="Normal 4 2 2 4 7 2 3" xfId="12747" xr:uid="{D1134E02-CBDC-4D18-A1A9-C2A4E952ABC0}"/>
    <cellStyle name="Normal 4 2 2 4 7 3" xfId="6378" xr:uid="{00000000-0005-0000-0000-0000DE120000}"/>
    <cellStyle name="Normal 4 2 2 4 7 3 2" xfId="14820" xr:uid="{99EFF4D0-958B-45D9-BA78-F604C7CCF0DD}"/>
    <cellStyle name="Normal 4 2 2 4 7 4" xfId="10602" xr:uid="{367FF149-B1B4-400C-9F9B-491F45BFACB9}"/>
    <cellStyle name="Normal 4 2 2 4 8" xfId="2507" xr:uid="{00000000-0005-0000-0000-0000DF120000}"/>
    <cellStyle name="Normal 4 2 2 4 8 2" xfId="6791" xr:uid="{00000000-0005-0000-0000-0000E0120000}"/>
    <cellStyle name="Normal 4 2 2 4 8 2 2" xfId="15233" xr:uid="{A36EEF3F-C41A-4A3E-B889-24C18861D0C3}"/>
    <cellStyle name="Normal 4 2 2 4 8 3" xfId="11015" xr:uid="{AE955B7B-866A-4E34-AA44-CD0F59FC8929}"/>
    <cellStyle name="Normal 4 2 2 4 9" xfId="4726" xr:uid="{00000000-0005-0000-0000-0000E1120000}"/>
    <cellStyle name="Normal 4 2 2 4 9 2" xfId="13168" xr:uid="{4466DD92-1738-4DC2-8999-1FD9A9D07107}"/>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623878C7-9E85-479E-BC0F-80A9A16BC950}"/>
    <cellStyle name="Normal 4 2 2 5 2 2 2 3" xfId="11513" xr:uid="{4A55B8D9-C4AA-4104-8D5C-A95BB5BC9253}"/>
    <cellStyle name="Normal 4 2 2 5 2 2 3" xfId="5144" xr:uid="{00000000-0005-0000-0000-0000E7120000}"/>
    <cellStyle name="Normal 4 2 2 5 2 2 3 2" xfId="13586" xr:uid="{793555C9-E53F-4488-824C-CA91CBDF5E82}"/>
    <cellStyle name="Normal 4 2 2 5 2 2 4" xfId="9368" xr:uid="{38CAA504-268C-46C7-9FB1-F6AC4484163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6D1F2D2A-DFB5-49D3-8FCC-CA7019B66496}"/>
    <cellStyle name="Normal 4 2 2 5 2 3 2 3" xfId="11926" xr:uid="{9498457D-248A-4EF5-890F-4AAA11A619D1}"/>
    <cellStyle name="Normal 4 2 2 5 2 3 3" xfId="5557" xr:uid="{00000000-0005-0000-0000-0000EB120000}"/>
    <cellStyle name="Normal 4 2 2 5 2 3 3 2" xfId="13999" xr:uid="{46058140-F129-458E-A831-158EBF7DDC20}"/>
    <cellStyle name="Normal 4 2 2 5 2 3 4" xfId="9781" xr:uid="{6B5DFF49-ACF6-41B7-BA7B-C1F33B319F5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A918F022-7CA4-4327-AC52-D44A6EAF35DB}"/>
    <cellStyle name="Normal 4 2 2 5 2 4 2 3" xfId="12339" xr:uid="{ACB1DB3F-248D-4BD0-9694-8EA7F840036D}"/>
    <cellStyle name="Normal 4 2 2 5 2 4 3" xfId="5970" xr:uid="{00000000-0005-0000-0000-0000EF120000}"/>
    <cellStyle name="Normal 4 2 2 5 2 4 3 2" xfId="14412" xr:uid="{F3CFEF56-234A-4D9B-8EB1-61513E2C654A}"/>
    <cellStyle name="Normal 4 2 2 5 2 4 4" xfId="10194" xr:uid="{8512AA9F-1874-4B30-BA45-6122286BD4A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AC3B4E9C-DD03-44D9-9A14-2B59F9BC6316}"/>
    <cellStyle name="Normal 4 2 2 5 2 5 2 3" xfId="12752" xr:uid="{A23524B9-4022-4EA9-92E5-5DF2446FBA91}"/>
    <cellStyle name="Normal 4 2 2 5 2 5 3" xfId="6383" xr:uid="{00000000-0005-0000-0000-0000F3120000}"/>
    <cellStyle name="Normal 4 2 2 5 2 5 3 2" xfId="14825" xr:uid="{932488E3-5036-4286-AC5E-034A92D36366}"/>
    <cellStyle name="Normal 4 2 2 5 2 5 4" xfId="10607" xr:uid="{9E764B64-B148-4641-ADC6-3606BD01E784}"/>
    <cellStyle name="Normal 4 2 2 5 2 6" xfId="2512" xr:uid="{00000000-0005-0000-0000-0000F4120000}"/>
    <cellStyle name="Normal 4 2 2 5 2 6 2" xfId="6796" xr:uid="{00000000-0005-0000-0000-0000F5120000}"/>
    <cellStyle name="Normal 4 2 2 5 2 6 2 2" xfId="15238" xr:uid="{A51BC281-357A-4347-BBBC-B6924ABBB1EC}"/>
    <cellStyle name="Normal 4 2 2 5 2 6 3" xfId="11020" xr:uid="{A0CE9F7B-9BC8-47D4-8790-807142FC9853}"/>
    <cellStyle name="Normal 4 2 2 5 2 7" xfId="4731" xr:uid="{00000000-0005-0000-0000-0000F6120000}"/>
    <cellStyle name="Normal 4 2 2 5 2 7 2" xfId="13173" xr:uid="{914E05A8-EADF-4346-9ADB-03D7EF77EE34}"/>
    <cellStyle name="Normal 4 2 2 5 2 8" xfId="8955" xr:uid="{E7DF7924-430B-4291-9208-C6ABB2B2E726}"/>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DEFE6CBF-8617-4B06-AD75-0677D27059B6}"/>
    <cellStyle name="Normal 4 2 2 5 3 2 3" xfId="11512" xr:uid="{922E61A9-B3B3-4831-9DD5-B0B9E91D9B16}"/>
    <cellStyle name="Normal 4 2 2 5 3 3" xfId="5143" xr:uid="{00000000-0005-0000-0000-0000FA120000}"/>
    <cellStyle name="Normal 4 2 2 5 3 3 2" xfId="13585" xr:uid="{67F8D02C-4528-4EA4-B50B-891098719A4E}"/>
    <cellStyle name="Normal 4 2 2 5 3 4" xfId="9367" xr:uid="{1262D027-2031-4B13-8CA0-F45904D580FF}"/>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29008655-5C4A-47AB-8850-2012D0694176}"/>
    <cellStyle name="Normal 4 2 2 5 4 2 3" xfId="11925" xr:uid="{6CA9E976-C506-4E6B-A62B-261FFF56304C}"/>
    <cellStyle name="Normal 4 2 2 5 4 3" xfId="5556" xr:uid="{00000000-0005-0000-0000-0000FE120000}"/>
    <cellStyle name="Normal 4 2 2 5 4 3 2" xfId="13998" xr:uid="{CDEEE9C3-43D8-4E3B-A780-AECA5BCBE94E}"/>
    <cellStyle name="Normal 4 2 2 5 4 4" xfId="9780" xr:uid="{FFA2974E-E541-4B73-B88F-7796E8D1D8B2}"/>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96BDE3BD-38B3-4EC0-8EBA-C4C257E75C67}"/>
    <cellStyle name="Normal 4 2 2 5 5 2 3" xfId="12338" xr:uid="{BEF67AC6-DB54-4A34-B3A1-E63C5301B51A}"/>
    <cellStyle name="Normal 4 2 2 5 5 3" xfId="5969" xr:uid="{00000000-0005-0000-0000-000002130000}"/>
    <cellStyle name="Normal 4 2 2 5 5 3 2" xfId="14411" xr:uid="{8C5B786B-998B-4E62-A9A1-656E88BC844C}"/>
    <cellStyle name="Normal 4 2 2 5 5 4" xfId="10193" xr:uid="{A824C285-E728-4DE8-9F47-229D1828BF58}"/>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267136E5-6B2C-4407-9DF2-96208375539E}"/>
    <cellStyle name="Normal 4 2 2 5 6 2 3" xfId="12751" xr:uid="{084A0D0B-3E79-4338-85BF-C2CB0524A40A}"/>
    <cellStyle name="Normal 4 2 2 5 6 3" xfId="6382" xr:uid="{00000000-0005-0000-0000-000006130000}"/>
    <cellStyle name="Normal 4 2 2 5 6 3 2" xfId="14824" xr:uid="{2D90062F-5DC8-4EF8-A594-349C086D2F1D}"/>
    <cellStyle name="Normal 4 2 2 5 6 4" xfId="10606" xr:uid="{CDB8DFEC-1A88-4617-8A07-839057F33E57}"/>
    <cellStyle name="Normal 4 2 2 5 7" xfId="2511" xr:uid="{00000000-0005-0000-0000-000007130000}"/>
    <cellStyle name="Normal 4 2 2 5 7 2" xfId="6795" xr:uid="{00000000-0005-0000-0000-000008130000}"/>
    <cellStyle name="Normal 4 2 2 5 7 2 2" xfId="15237" xr:uid="{714B0695-6F8F-4714-A4DA-F205EA1E4389}"/>
    <cellStyle name="Normal 4 2 2 5 7 3" xfId="11019" xr:uid="{A10CBAA0-CDB2-4551-B020-AA8B439485CF}"/>
    <cellStyle name="Normal 4 2 2 5 8" xfId="4730" xr:uid="{00000000-0005-0000-0000-000009130000}"/>
    <cellStyle name="Normal 4 2 2 5 8 2" xfId="13172" xr:uid="{CBB527FA-E889-412F-9EC3-7297B83A0D28}"/>
    <cellStyle name="Normal 4 2 2 5 9" xfId="8954" xr:uid="{1A886425-9233-4646-9C3D-3537D9A4076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43F705DE-C490-429C-BBA9-3E14C9D22C5D}"/>
    <cellStyle name="Normal 4 2 2 6 2 2 3" xfId="11514" xr:uid="{D9D74F1C-0024-467F-BDD4-BB318EFDC417}"/>
    <cellStyle name="Normal 4 2 2 6 2 3" xfId="5145" xr:uid="{00000000-0005-0000-0000-00000E130000}"/>
    <cellStyle name="Normal 4 2 2 6 2 3 2" xfId="13587" xr:uid="{64D26AF1-26FD-4DE2-8312-D8EE7B1BDBA8}"/>
    <cellStyle name="Normal 4 2 2 6 2 4" xfId="9369" xr:uid="{C34DC6AF-0115-4B3C-A1F2-ED07CA618384}"/>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AD16189D-C6AC-46DE-98E2-1AE195A212AF}"/>
    <cellStyle name="Normal 4 2 2 6 3 2 3" xfId="11927" xr:uid="{ABF54E98-16A6-4F65-B729-734E0BDB987B}"/>
    <cellStyle name="Normal 4 2 2 6 3 3" xfId="5558" xr:uid="{00000000-0005-0000-0000-000012130000}"/>
    <cellStyle name="Normal 4 2 2 6 3 3 2" xfId="14000" xr:uid="{78B6598E-6F6B-448C-A55F-2B740A455A9F}"/>
    <cellStyle name="Normal 4 2 2 6 3 4" xfId="9782" xr:uid="{1E598F62-68A2-442D-9E62-3592E98D87BB}"/>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77437CAA-2C0B-44A4-94E0-ADF669437889}"/>
    <cellStyle name="Normal 4 2 2 6 4 2 3" xfId="12340" xr:uid="{73AFDB4A-66AA-4692-A778-57C47EBE6294}"/>
    <cellStyle name="Normal 4 2 2 6 4 3" xfId="5971" xr:uid="{00000000-0005-0000-0000-000016130000}"/>
    <cellStyle name="Normal 4 2 2 6 4 3 2" xfId="14413" xr:uid="{63829235-A18D-4E3F-AD93-11D4CC4A5B86}"/>
    <cellStyle name="Normal 4 2 2 6 4 4" xfId="10195" xr:uid="{EA20989D-513E-4D97-9D65-82A265D48A2C}"/>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FE6F1C1C-CC4B-4BA8-B8E1-A577916CBAFB}"/>
    <cellStyle name="Normal 4 2 2 6 5 2 3" xfId="12753" xr:uid="{FAAB1A42-5B7E-4BEB-B3B4-485C14E1BB85}"/>
    <cellStyle name="Normal 4 2 2 6 5 3" xfId="6384" xr:uid="{00000000-0005-0000-0000-00001A130000}"/>
    <cellStyle name="Normal 4 2 2 6 5 3 2" xfId="14826" xr:uid="{87CC3779-DD86-4754-B97C-EDAD7207D142}"/>
    <cellStyle name="Normal 4 2 2 6 5 4" xfId="10608" xr:uid="{B934554C-82E7-4081-AA3A-0488CE055B5B}"/>
    <cellStyle name="Normal 4 2 2 6 6" xfId="2513" xr:uid="{00000000-0005-0000-0000-00001B130000}"/>
    <cellStyle name="Normal 4 2 2 6 6 2" xfId="6797" xr:uid="{00000000-0005-0000-0000-00001C130000}"/>
    <cellStyle name="Normal 4 2 2 6 6 2 2" xfId="15239" xr:uid="{A4922C38-C3AD-4A9B-AA20-A21223AAC3B6}"/>
    <cellStyle name="Normal 4 2 2 6 6 3" xfId="11021" xr:uid="{EBA578F5-F781-4AA9-94DE-4692DEC9C99B}"/>
    <cellStyle name="Normal 4 2 2 6 7" xfId="4732" xr:uid="{00000000-0005-0000-0000-00001D130000}"/>
    <cellStyle name="Normal 4 2 2 6 7 2" xfId="13174" xr:uid="{2B95DCF1-2BC5-4A41-ADC2-038851FD6832}"/>
    <cellStyle name="Normal 4 2 2 6 8" xfId="8956" xr:uid="{3C4B8164-0755-43B0-8447-5C64292BA553}"/>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C5A9947A-786C-4197-8C11-932F38AF5771}"/>
    <cellStyle name="Normal 4 2 2 7 2 3" xfId="11499" xr:uid="{1D687345-3BD2-4904-B49E-BAD1B98327EF}"/>
    <cellStyle name="Normal 4 2 2 7 3" xfId="5130" xr:uid="{00000000-0005-0000-0000-000021130000}"/>
    <cellStyle name="Normal 4 2 2 7 3 2" xfId="13572" xr:uid="{569DC939-02AE-417E-ADC2-E72058A1182C}"/>
    <cellStyle name="Normal 4 2 2 7 4" xfId="9354" xr:uid="{A970B644-B7C6-42ED-9D6B-1F28631FB1F3}"/>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1D1B577B-2397-4F8C-B323-BDA3B67FD705}"/>
    <cellStyle name="Normal 4 2 2 8 2 3" xfId="11912" xr:uid="{29092D0C-2885-4884-A192-01946F5DB87F}"/>
    <cellStyle name="Normal 4 2 2 8 3" xfId="5543" xr:uid="{00000000-0005-0000-0000-000025130000}"/>
    <cellStyle name="Normal 4 2 2 8 3 2" xfId="13985" xr:uid="{655CCEDB-48DC-4B56-A966-AF9E0672898D}"/>
    <cellStyle name="Normal 4 2 2 8 4" xfId="9767" xr:uid="{6DEC2239-84D1-4903-A126-E038DB78F12F}"/>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274D4874-DBCC-4D88-AD75-2C380B241CAA}"/>
    <cellStyle name="Normal 4 2 2 9 2 3" xfId="12325" xr:uid="{3124B0A1-FB6B-4A99-A96E-C3E660231CE6}"/>
    <cellStyle name="Normal 4 2 2 9 3" xfId="5956" xr:uid="{00000000-0005-0000-0000-000029130000}"/>
    <cellStyle name="Normal 4 2 2 9 3 2" xfId="14398" xr:uid="{12EF5E1E-0DD6-4152-9BE7-E01EE1A9FB40}"/>
    <cellStyle name="Normal 4 2 2 9 4" xfId="10180" xr:uid="{85C05D06-0CFC-48A8-8BC3-D91C5EF37C3E}"/>
    <cellStyle name="Normal 4 2 3" xfId="354" xr:uid="{00000000-0005-0000-0000-00002A130000}"/>
    <cellStyle name="Normal 4 2 4" xfId="355" xr:uid="{00000000-0005-0000-0000-00002B130000}"/>
    <cellStyle name="Normal 4 2 4 10" xfId="4733" xr:uid="{00000000-0005-0000-0000-00002C130000}"/>
    <cellStyle name="Normal 4 2 4 10 2" xfId="13175" xr:uid="{E61D2847-8C71-4895-8870-56DEE3401F75}"/>
    <cellStyle name="Normal 4 2 4 11" xfId="8957" xr:uid="{82431399-B072-4B9E-B2FF-6E8D3493F5BB}"/>
    <cellStyle name="Normal 4 2 4 2" xfId="356" xr:uid="{00000000-0005-0000-0000-00002D130000}"/>
    <cellStyle name="Normal 4 2 4 2 10" xfId="8958" xr:uid="{8E62451D-3102-41F6-96FC-EE04835C196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DBA69C45-82BC-4E93-9736-459431D4F71D}"/>
    <cellStyle name="Normal 4 2 4 2 2 2 2 2 3" xfId="11518" xr:uid="{8E44D721-10D0-4BAF-BA8F-A9A94113EB7B}"/>
    <cellStyle name="Normal 4 2 4 2 2 2 2 3" xfId="5149" xr:uid="{00000000-0005-0000-0000-000033130000}"/>
    <cellStyle name="Normal 4 2 4 2 2 2 2 3 2" xfId="13591" xr:uid="{82F4E316-4B80-4DFB-A19B-EDAE58E2F400}"/>
    <cellStyle name="Normal 4 2 4 2 2 2 2 4" xfId="9373" xr:uid="{D9C6B620-9167-46B9-BFD2-CCC6648F8E4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98BABE75-9522-45B4-97CE-8AC8CA3FADA6}"/>
    <cellStyle name="Normal 4 2 4 2 2 2 3 2 3" xfId="11931" xr:uid="{F163F7DC-BB95-47BD-987F-70FE2D9B8110}"/>
    <cellStyle name="Normal 4 2 4 2 2 2 3 3" xfId="5562" xr:uid="{00000000-0005-0000-0000-000037130000}"/>
    <cellStyle name="Normal 4 2 4 2 2 2 3 3 2" xfId="14004" xr:uid="{A026B100-CCA4-490E-B5FC-CA46EF71242E}"/>
    <cellStyle name="Normal 4 2 4 2 2 2 3 4" xfId="9786" xr:uid="{91DC5F53-6B4F-4C49-B254-26A13B22715B}"/>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50D14A0E-EBBE-4AF9-B8C0-0E4178FE2F34}"/>
    <cellStyle name="Normal 4 2 4 2 2 2 4 2 3" xfId="12344" xr:uid="{75A77017-89CD-4D71-8826-6E352590331A}"/>
    <cellStyle name="Normal 4 2 4 2 2 2 4 3" xfId="5975" xr:uid="{00000000-0005-0000-0000-00003B130000}"/>
    <cellStyle name="Normal 4 2 4 2 2 2 4 3 2" xfId="14417" xr:uid="{FD604C60-EA58-42B2-BF29-0D2FA6E71BF3}"/>
    <cellStyle name="Normal 4 2 4 2 2 2 4 4" xfId="10199" xr:uid="{03502F53-FC9A-4337-B37D-5006CC8ED2EE}"/>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28242F08-767A-43B1-ACA6-B4F1F21985E5}"/>
    <cellStyle name="Normal 4 2 4 2 2 2 5 2 3" xfId="12757" xr:uid="{C80395EC-72BC-47E1-AA5E-5CF4A0F272C8}"/>
    <cellStyle name="Normal 4 2 4 2 2 2 5 3" xfId="6388" xr:uid="{00000000-0005-0000-0000-00003F130000}"/>
    <cellStyle name="Normal 4 2 4 2 2 2 5 3 2" xfId="14830" xr:uid="{BA36779C-B165-43E8-899B-0EBED681E3A2}"/>
    <cellStyle name="Normal 4 2 4 2 2 2 5 4" xfId="10612" xr:uid="{24072BBA-AF1E-420D-B4C8-18219D7A8682}"/>
    <cellStyle name="Normal 4 2 4 2 2 2 6" xfId="2517" xr:uid="{00000000-0005-0000-0000-000040130000}"/>
    <cellStyle name="Normal 4 2 4 2 2 2 6 2" xfId="6801" xr:uid="{00000000-0005-0000-0000-000041130000}"/>
    <cellStyle name="Normal 4 2 4 2 2 2 6 2 2" xfId="15243" xr:uid="{E3E16A4D-0426-4B6F-954B-0F3F4B223805}"/>
    <cellStyle name="Normal 4 2 4 2 2 2 6 3" xfId="11025" xr:uid="{230AFB97-1502-43D6-AFAD-81F347CBBB14}"/>
    <cellStyle name="Normal 4 2 4 2 2 2 7" xfId="4736" xr:uid="{00000000-0005-0000-0000-000042130000}"/>
    <cellStyle name="Normal 4 2 4 2 2 2 7 2" xfId="13178" xr:uid="{321F3241-CE27-4EBF-AE98-7C413FB4D3A6}"/>
    <cellStyle name="Normal 4 2 4 2 2 2 8" xfId="8960" xr:uid="{AD7C8B82-4353-4ADA-8156-A6A7154B3AE2}"/>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49688F02-2028-4F3A-8D55-0149E4557499}"/>
    <cellStyle name="Normal 4 2 4 2 2 3 2 3" xfId="11517" xr:uid="{EE333AD6-6C10-4761-A642-20ECC165A380}"/>
    <cellStyle name="Normal 4 2 4 2 2 3 3" xfId="5148" xr:uid="{00000000-0005-0000-0000-000046130000}"/>
    <cellStyle name="Normal 4 2 4 2 2 3 3 2" xfId="13590" xr:uid="{784F195B-0C47-4F52-9593-CB0DF6962996}"/>
    <cellStyle name="Normal 4 2 4 2 2 3 4" xfId="9372" xr:uid="{4E1D12B0-7F55-48DE-A9AE-D9359C45BF8C}"/>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30442444-B02E-456E-A9D6-F42F31C1B2C9}"/>
    <cellStyle name="Normal 4 2 4 2 2 4 2 3" xfId="11930" xr:uid="{B47E3430-FFB2-49FA-AEE5-3438F7131DF4}"/>
    <cellStyle name="Normal 4 2 4 2 2 4 3" xfId="5561" xr:uid="{00000000-0005-0000-0000-00004A130000}"/>
    <cellStyle name="Normal 4 2 4 2 2 4 3 2" xfId="14003" xr:uid="{E63E0B07-D87A-436F-B04B-3D0FB1053E5E}"/>
    <cellStyle name="Normal 4 2 4 2 2 4 4" xfId="9785" xr:uid="{BF69F0EC-57E0-4B2E-B257-E19BF277E1F3}"/>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8337216E-2998-47E0-B5BA-EC9A0F6EF5BC}"/>
    <cellStyle name="Normal 4 2 4 2 2 5 2 3" xfId="12343" xr:uid="{08CE9B3D-B61D-4D04-B08B-D06D8809BD8F}"/>
    <cellStyle name="Normal 4 2 4 2 2 5 3" xfId="5974" xr:uid="{00000000-0005-0000-0000-00004E130000}"/>
    <cellStyle name="Normal 4 2 4 2 2 5 3 2" xfId="14416" xr:uid="{B382EFFA-9ACC-4524-B7FD-97AB59979557}"/>
    <cellStyle name="Normal 4 2 4 2 2 5 4" xfId="10198" xr:uid="{06B9FCEA-066E-4881-94C7-797D257766BF}"/>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B7009B8E-54CA-40FD-8C9A-88FC68A1FB90}"/>
    <cellStyle name="Normal 4 2 4 2 2 6 2 3" xfId="12756" xr:uid="{FF66A81B-A596-4CA9-9492-2551BEEEB2B0}"/>
    <cellStyle name="Normal 4 2 4 2 2 6 3" xfId="6387" xr:uid="{00000000-0005-0000-0000-000052130000}"/>
    <cellStyle name="Normal 4 2 4 2 2 6 3 2" xfId="14829" xr:uid="{3C041281-92A6-47A8-968F-57BD5D0B9BBF}"/>
    <cellStyle name="Normal 4 2 4 2 2 6 4" xfId="10611" xr:uid="{CEF28826-6093-499B-8CD8-866A85B22CF6}"/>
    <cellStyle name="Normal 4 2 4 2 2 7" xfId="2516" xr:uid="{00000000-0005-0000-0000-000053130000}"/>
    <cellStyle name="Normal 4 2 4 2 2 7 2" xfId="6800" xr:uid="{00000000-0005-0000-0000-000054130000}"/>
    <cellStyle name="Normal 4 2 4 2 2 7 2 2" xfId="15242" xr:uid="{20EADE26-3F40-420F-B969-BF467098E184}"/>
    <cellStyle name="Normal 4 2 4 2 2 7 3" xfId="11024" xr:uid="{976A9395-1CE7-4761-ABAD-C53F38D2540C}"/>
    <cellStyle name="Normal 4 2 4 2 2 8" xfId="4735" xr:uid="{00000000-0005-0000-0000-000055130000}"/>
    <cellStyle name="Normal 4 2 4 2 2 8 2" xfId="13177" xr:uid="{42DCA826-3280-446D-B5B2-20EA7EC1F322}"/>
    <cellStyle name="Normal 4 2 4 2 2 9" xfId="8959" xr:uid="{D4A3992A-5C2A-4A7B-A194-DFC912EA69D4}"/>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0580AB46-6E33-4736-8A2D-49C534BBBD0C}"/>
    <cellStyle name="Normal 4 2 4 2 3 2 2 3" xfId="11519" xr:uid="{EB94B7BF-2ED7-4F99-9265-1BFF314A61E4}"/>
    <cellStyle name="Normal 4 2 4 2 3 2 3" xfId="5150" xr:uid="{00000000-0005-0000-0000-00005A130000}"/>
    <cellStyle name="Normal 4 2 4 2 3 2 3 2" xfId="13592" xr:uid="{7FC6FC38-3C17-4E66-8B9C-54FE38CFFC6B}"/>
    <cellStyle name="Normal 4 2 4 2 3 2 4" xfId="9374" xr:uid="{36FE4E96-EF90-4FDC-98A4-EC9C9036848C}"/>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CA20060B-E678-4917-8D9E-7E583326AC7F}"/>
    <cellStyle name="Normal 4 2 4 2 3 3 2 3" xfId="11932" xr:uid="{499E7D56-40F3-473D-9C32-8E875E5BB88B}"/>
    <cellStyle name="Normal 4 2 4 2 3 3 3" xfId="5563" xr:uid="{00000000-0005-0000-0000-00005E130000}"/>
    <cellStyle name="Normal 4 2 4 2 3 3 3 2" xfId="14005" xr:uid="{BA150513-30A1-46CF-BB3A-E67EECCC1C4D}"/>
    <cellStyle name="Normal 4 2 4 2 3 3 4" xfId="9787" xr:uid="{2CA4F3BA-3101-4894-9689-B4920B137445}"/>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82A1B7BF-1DAA-48F0-8C8B-0CE8B5100EF9}"/>
    <cellStyle name="Normal 4 2 4 2 3 4 2 3" xfId="12345" xr:uid="{596FAF8D-A1E1-45BF-9078-D5E444D1A370}"/>
    <cellStyle name="Normal 4 2 4 2 3 4 3" xfId="5976" xr:uid="{00000000-0005-0000-0000-000062130000}"/>
    <cellStyle name="Normal 4 2 4 2 3 4 3 2" xfId="14418" xr:uid="{3218BFB7-0D41-4B68-ACBA-FB3EB4CCCAF1}"/>
    <cellStyle name="Normal 4 2 4 2 3 4 4" xfId="10200" xr:uid="{7A762597-18E3-41AA-A920-FCB293A80D4A}"/>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DCD51D2F-CC79-4D2F-BB62-7356649E8CA9}"/>
    <cellStyle name="Normal 4 2 4 2 3 5 2 3" xfId="12758" xr:uid="{35CFF023-A50D-4513-91DB-F3C9E999C9AC}"/>
    <cellStyle name="Normal 4 2 4 2 3 5 3" xfId="6389" xr:uid="{00000000-0005-0000-0000-000066130000}"/>
    <cellStyle name="Normal 4 2 4 2 3 5 3 2" xfId="14831" xr:uid="{A02E98E2-E73C-419A-865E-8EAC5E32C745}"/>
    <cellStyle name="Normal 4 2 4 2 3 5 4" xfId="10613" xr:uid="{F23D380E-A460-4416-9E72-6FF0E5AFA71B}"/>
    <cellStyle name="Normal 4 2 4 2 3 6" xfId="2518" xr:uid="{00000000-0005-0000-0000-000067130000}"/>
    <cellStyle name="Normal 4 2 4 2 3 6 2" xfId="6802" xr:uid="{00000000-0005-0000-0000-000068130000}"/>
    <cellStyle name="Normal 4 2 4 2 3 6 2 2" xfId="15244" xr:uid="{6B920F0B-C452-45BC-B143-A04D8A6C15E3}"/>
    <cellStyle name="Normal 4 2 4 2 3 6 3" xfId="11026" xr:uid="{365AE4C8-B130-4E95-9109-6FB99BB7286B}"/>
    <cellStyle name="Normal 4 2 4 2 3 7" xfId="4737" xr:uid="{00000000-0005-0000-0000-000069130000}"/>
    <cellStyle name="Normal 4 2 4 2 3 7 2" xfId="13179" xr:uid="{DF4A10C0-C372-4D01-B77D-CCFEE81FB8E1}"/>
    <cellStyle name="Normal 4 2 4 2 3 8" xfId="8961" xr:uid="{4BAEC0C4-32D8-47FA-8D7E-785EA8B189DF}"/>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2DD876CA-013D-4AB6-A581-4BA6D04A46AA}"/>
    <cellStyle name="Normal 4 2 4 2 4 2 3" xfId="11516" xr:uid="{5A6C8AAC-A6FA-40E2-80D9-BAB322DE2484}"/>
    <cellStyle name="Normal 4 2 4 2 4 3" xfId="5147" xr:uid="{00000000-0005-0000-0000-00006D130000}"/>
    <cellStyle name="Normal 4 2 4 2 4 3 2" xfId="13589" xr:uid="{1E5FE074-7E96-40BC-BDC5-1673F6CD3F34}"/>
    <cellStyle name="Normal 4 2 4 2 4 4" xfId="9371" xr:uid="{93C080F6-E14B-4907-8D65-BF7AE7D9F6A9}"/>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84BC2A9C-6242-483F-B225-C3C1F9254EAB}"/>
    <cellStyle name="Normal 4 2 4 2 5 2 3" xfId="11929" xr:uid="{863C58D7-0CBD-44DC-B2C4-78EC84826DB2}"/>
    <cellStyle name="Normal 4 2 4 2 5 3" xfId="5560" xr:uid="{00000000-0005-0000-0000-000071130000}"/>
    <cellStyle name="Normal 4 2 4 2 5 3 2" xfId="14002" xr:uid="{9F88EA37-E898-43A4-B781-C32508378735}"/>
    <cellStyle name="Normal 4 2 4 2 5 4" xfId="9784" xr:uid="{8D54FFD9-73A2-4913-8937-11B0FC5CAE35}"/>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3DB6A575-C810-41B4-A548-39684B5490EF}"/>
    <cellStyle name="Normal 4 2 4 2 6 2 3" xfId="12342" xr:uid="{0F33D3E5-A658-4A64-8616-2FFA9A0DD66F}"/>
    <cellStyle name="Normal 4 2 4 2 6 3" xfId="5973" xr:uid="{00000000-0005-0000-0000-000075130000}"/>
    <cellStyle name="Normal 4 2 4 2 6 3 2" xfId="14415" xr:uid="{82B1DE45-7915-4244-A6CD-1305F87B3859}"/>
    <cellStyle name="Normal 4 2 4 2 6 4" xfId="10197" xr:uid="{2FD95D2C-2003-4659-8BBC-87A041E76AD6}"/>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CF7FFF26-A96F-4D9F-8E90-5AE4BEA659DC}"/>
    <cellStyle name="Normal 4 2 4 2 7 2 3" xfId="12755" xr:uid="{793BDA4D-B040-475C-A297-7087D244E724}"/>
    <cellStyle name="Normal 4 2 4 2 7 3" xfId="6386" xr:uid="{00000000-0005-0000-0000-000079130000}"/>
    <cellStyle name="Normal 4 2 4 2 7 3 2" xfId="14828" xr:uid="{B53E8A15-0E72-4BE1-8D9E-8F212B16A23F}"/>
    <cellStyle name="Normal 4 2 4 2 7 4" xfId="10610" xr:uid="{3937AEBE-D32F-4E52-9F0D-F4E6192E78C9}"/>
    <cellStyle name="Normal 4 2 4 2 8" xfId="2515" xr:uid="{00000000-0005-0000-0000-00007A130000}"/>
    <cellStyle name="Normal 4 2 4 2 8 2" xfId="6799" xr:uid="{00000000-0005-0000-0000-00007B130000}"/>
    <cellStyle name="Normal 4 2 4 2 8 2 2" xfId="15241" xr:uid="{FDCA09EE-58F7-4E7E-BB13-32CEAB9CB435}"/>
    <cellStyle name="Normal 4 2 4 2 8 3" xfId="11023" xr:uid="{721986FC-7CA8-42AD-900E-E990552707A6}"/>
    <cellStyle name="Normal 4 2 4 2 9" xfId="4734" xr:uid="{00000000-0005-0000-0000-00007C130000}"/>
    <cellStyle name="Normal 4 2 4 2 9 2" xfId="13176" xr:uid="{C6B77978-4BC6-45B6-8C4C-51AB6C7C2B97}"/>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8E8938B7-3CCB-4537-B5DC-D5B33ACC8848}"/>
    <cellStyle name="Normal 4 2 4 3 2 2 2 3" xfId="11521" xr:uid="{3511DA33-27EB-4DF3-8DAA-646546CF2F7D}"/>
    <cellStyle name="Normal 4 2 4 3 2 2 3" xfId="5152" xr:uid="{00000000-0005-0000-0000-000082130000}"/>
    <cellStyle name="Normal 4 2 4 3 2 2 3 2" xfId="13594" xr:uid="{C870F4FC-14ED-4460-A1F0-D4161E4000C2}"/>
    <cellStyle name="Normal 4 2 4 3 2 2 4" xfId="9376" xr:uid="{62C70FD1-DF8E-45C3-B699-29C9F8DBEAC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CE73D1B9-A48C-49E6-B225-4842A9EAA002}"/>
    <cellStyle name="Normal 4 2 4 3 2 3 2 3" xfId="11934" xr:uid="{ED0F0D57-C353-46B0-8BFE-E0CA0A3AB31E}"/>
    <cellStyle name="Normal 4 2 4 3 2 3 3" xfId="5565" xr:uid="{00000000-0005-0000-0000-000086130000}"/>
    <cellStyle name="Normal 4 2 4 3 2 3 3 2" xfId="14007" xr:uid="{AA508225-96C0-494B-82D1-0656EE5809FC}"/>
    <cellStyle name="Normal 4 2 4 3 2 3 4" xfId="9789" xr:uid="{46CAC147-EF84-4124-8590-05FC36D74039}"/>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0EB800F9-8B55-4CFC-B601-383ED5EBDAEC}"/>
    <cellStyle name="Normal 4 2 4 3 2 4 2 3" xfId="12347" xr:uid="{14B120E1-9A60-4157-932E-B71FE75082A5}"/>
    <cellStyle name="Normal 4 2 4 3 2 4 3" xfId="5978" xr:uid="{00000000-0005-0000-0000-00008A130000}"/>
    <cellStyle name="Normal 4 2 4 3 2 4 3 2" xfId="14420" xr:uid="{E784795C-62DC-4C5D-A813-2ECF6B71F218}"/>
    <cellStyle name="Normal 4 2 4 3 2 4 4" xfId="10202" xr:uid="{69747BF5-1543-4E25-9304-57ADF1236ED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642E4DCB-72F5-49D9-B57D-220795EF30A8}"/>
    <cellStyle name="Normal 4 2 4 3 2 5 2 3" xfId="12760" xr:uid="{C24D39EC-629B-4F67-9AA0-028C74AB3956}"/>
    <cellStyle name="Normal 4 2 4 3 2 5 3" xfId="6391" xr:uid="{00000000-0005-0000-0000-00008E130000}"/>
    <cellStyle name="Normal 4 2 4 3 2 5 3 2" xfId="14833" xr:uid="{E2653A4E-1230-417F-A485-A8FB5E827746}"/>
    <cellStyle name="Normal 4 2 4 3 2 5 4" xfId="10615" xr:uid="{73A0C28F-FB47-4DB7-8CD3-14AC1C359C5E}"/>
    <cellStyle name="Normal 4 2 4 3 2 6" xfId="2520" xr:uid="{00000000-0005-0000-0000-00008F130000}"/>
    <cellStyle name="Normal 4 2 4 3 2 6 2" xfId="6804" xr:uid="{00000000-0005-0000-0000-000090130000}"/>
    <cellStyle name="Normal 4 2 4 3 2 6 2 2" xfId="15246" xr:uid="{5D75F07C-B2F6-49E3-ABD1-4AC1AE40AB5E}"/>
    <cellStyle name="Normal 4 2 4 3 2 6 3" xfId="11028" xr:uid="{42E95556-723B-476A-81F0-573F79390640}"/>
    <cellStyle name="Normal 4 2 4 3 2 7" xfId="4739" xr:uid="{00000000-0005-0000-0000-000091130000}"/>
    <cellStyle name="Normal 4 2 4 3 2 7 2" xfId="13181" xr:uid="{A45E9F55-EE26-4BA4-98F4-D8B1644A9BF6}"/>
    <cellStyle name="Normal 4 2 4 3 2 8" xfId="8963" xr:uid="{BDB6AC91-9214-41FD-BBC0-06AD1162D66A}"/>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C236409A-011A-4EBB-82AE-5D861F0501BE}"/>
    <cellStyle name="Normal 4 2 4 3 3 2 3" xfId="11520" xr:uid="{061077D7-CE61-4917-8BB0-A222F4E82F23}"/>
    <cellStyle name="Normal 4 2 4 3 3 3" xfId="5151" xr:uid="{00000000-0005-0000-0000-000095130000}"/>
    <cellStyle name="Normal 4 2 4 3 3 3 2" xfId="13593" xr:uid="{379E91C2-9095-48D5-ADA9-2B1D29C96C4E}"/>
    <cellStyle name="Normal 4 2 4 3 3 4" xfId="9375" xr:uid="{66A19074-BB2A-4630-8D62-C6F024F7EDE9}"/>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8890BA73-CF5F-499C-9A44-D771B4C5D972}"/>
    <cellStyle name="Normal 4 2 4 3 4 2 3" xfId="11933" xr:uid="{2421A207-6426-48F7-A083-46E30B121C5A}"/>
    <cellStyle name="Normal 4 2 4 3 4 3" xfId="5564" xr:uid="{00000000-0005-0000-0000-000099130000}"/>
    <cellStyle name="Normal 4 2 4 3 4 3 2" xfId="14006" xr:uid="{6793280A-BE97-45B6-A75C-88969E129529}"/>
    <cellStyle name="Normal 4 2 4 3 4 4" xfId="9788" xr:uid="{6D5A2F21-1D21-4C90-9355-FF52C9C7C731}"/>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C8E734F6-DDE6-44C9-B61D-7DA06B3A09A1}"/>
    <cellStyle name="Normal 4 2 4 3 5 2 3" xfId="12346" xr:uid="{1E8A7378-766B-4975-AAF8-C04B64C8AFB4}"/>
    <cellStyle name="Normal 4 2 4 3 5 3" xfId="5977" xr:uid="{00000000-0005-0000-0000-00009D130000}"/>
    <cellStyle name="Normal 4 2 4 3 5 3 2" xfId="14419" xr:uid="{5945C2F7-B381-441D-B20F-456DB9AE1205}"/>
    <cellStyle name="Normal 4 2 4 3 5 4" xfId="10201" xr:uid="{61479490-9243-4028-969D-7A06EBE53215}"/>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38883B7D-BA7F-4590-9A6F-470D3F378E49}"/>
    <cellStyle name="Normal 4 2 4 3 6 2 3" xfId="12759" xr:uid="{F5BD4B14-FF28-4C6B-8EF5-F476F2B268E7}"/>
    <cellStyle name="Normal 4 2 4 3 6 3" xfId="6390" xr:uid="{00000000-0005-0000-0000-0000A1130000}"/>
    <cellStyle name="Normal 4 2 4 3 6 3 2" xfId="14832" xr:uid="{2A0421A4-5D99-4067-9461-BB002B5E48FA}"/>
    <cellStyle name="Normal 4 2 4 3 6 4" xfId="10614" xr:uid="{9FD5BBB8-FF74-4317-92A2-1797EEEC1747}"/>
    <cellStyle name="Normal 4 2 4 3 7" xfId="2519" xr:uid="{00000000-0005-0000-0000-0000A2130000}"/>
    <cellStyle name="Normal 4 2 4 3 7 2" xfId="6803" xr:uid="{00000000-0005-0000-0000-0000A3130000}"/>
    <cellStyle name="Normal 4 2 4 3 7 2 2" xfId="15245" xr:uid="{C8DF9940-A476-4B35-9C9A-9398162205AA}"/>
    <cellStyle name="Normal 4 2 4 3 7 3" xfId="11027" xr:uid="{858C8978-58B9-444C-A8B4-88C51F545B86}"/>
    <cellStyle name="Normal 4 2 4 3 8" xfId="4738" xr:uid="{00000000-0005-0000-0000-0000A4130000}"/>
    <cellStyle name="Normal 4 2 4 3 8 2" xfId="13180" xr:uid="{D167A888-F201-4266-BA11-D3BDB7FFCB13}"/>
    <cellStyle name="Normal 4 2 4 3 9" xfId="8962" xr:uid="{E53CB8B7-03E3-4EE7-A82E-578F4E05D899}"/>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6B337BD6-C3B1-41D0-A321-42B43463D714}"/>
    <cellStyle name="Normal 4 2 4 4 2 2 3" xfId="11522" xr:uid="{F667E677-F17B-4CDE-BE0A-4795497A8D0B}"/>
    <cellStyle name="Normal 4 2 4 4 2 3" xfId="5153" xr:uid="{00000000-0005-0000-0000-0000A9130000}"/>
    <cellStyle name="Normal 4 2 4 4 2 3 2" xfId="13595" xr:uid="{344DF61D-B3B7-4DA6-9A1D-FC1A2A662C5A}"/>
    <cellStyle name="Normal 4 2 4 4 2 4" xfId="9377" xr:uid="{B5FDDC17-F754-476B-A80D-8983513DA883}"/>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9F057279-7E5D-4617-B0A0-60CB8328B844}"/>
    <cellStyle name="Normal 4 2 4 4 3 2 3" xfId="11935" xr:uid="{70734955-5DA7-4311-9DB8-AE69E5503D20}"/>
    <cellStyle name="Normal 4 2 4 4 3 3" xfId="5566" xr:uid="{00000000-0005-0000-0000-0000AD130000}"/>
    <cellStyle name="Normal 4 2 4 4 3 3 2" xfId="14008" xr:uid="{3CA6820F-23E1-4A09-AF6F-5ED77CE0BBEC}"/>
    <cellStyle name="Normal 4 2 4 4 3 4" xfId="9790" xr:uid="{BE78EEE0-1831-4733-84E2-5224F3A884FA}"/>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1BD970AE-F5EA-4AC9-AC7C-7E84267F220B}"/>
    <cellStyle name="Normal 4 2 4 4 4 2 3" xfId="12348" xr:uid="{19D37A5C-CA70-47BF-9723-1CFCBDC48911}"/>
    <cellStyle name="Normal 4 2 4 4 4 3" xfId="5979" xr:uid="{00000000-0005-0000-0000-0000B1130000}"/>
    <cellStyle name="Normal 4 2 4 4 4 3 2" xfId="14421" xr:uid="{CD711CD0-3132-49D6-BA36-830DC3F7356B}"/>
    <cellStyle name="Normal 4 2 4 4 4 4" xfId="10203" xr:uid="{5C72DF20-6A18-49CD-91E0-9ED82D981505}"/>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175CDF18-D36E-449B-AF30-66AA0A6090E7}"/>
    <cellStyle name="Normal 4 2 4 4 5 2 3" xfId="12761" xr:uid="{71E3CD71-DD49-4F88-9930-A5161E35503A}"/>
    <cellStyle name="Normal 4 2 4 4 5 3" xfId="6392" xr:uid="{00000000-0005-0000-0000-0000B5130000}"/>
    <cellStyle name="Normal 4 2 4 4 5 3 2" xfId="14834" xr:uid="{D649C9BF-6C52-41DE-A43A-961D448596AD}"/>
    <cellStyle name="Normal 4 2 4 4 5 4" xfId="10616" xr:uid="{32AE1A5A-B286-4D76-961C-1762EB5333F8}"/>
    <cellStyle name="Normal 4 2 4 4 6" xfId="2521" xr:uid="{00000000-0005-0000-0000-0000B6130000}"/>
    <cellStyle name="Normal 4 2 4 4 6 2" xfId="6805" xr:uid="{00000000-0005-0000-0000-0000B7130000}"/>
    <cellStyle name="Normal 4 2 4 4 6 2 2" xfId="15247" xr:uid="{28877EE0-11C4-42C6-81C2-E802010C30D5}"/>
    <cellStyle name="Normal 4 2 4 4 6 3" xfId="11029" xr:uid="{A4FFA6A8-95B3-4B30-A25D-7CAED470F86B}"/>
    <cellStyle name="Normal 4 2 4 4 7" xfId="4740" xr:uid="{00000000-0005-0000-0000-0000B8130000}"/>
    <cellStyle name="Normal 4 2 4 4 7 2" xfId="13182" xr:uid="{58D1C339-91F8-464F-8160-34A1B1FA963B}"/>
    <cellStyle name="Normal 4 2 4 4 8" xfId="8964" xr:uid="{22A03374-8D9C-4F98-9CDB-8F7155726F1E}"/>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86F427C8-1E78-4F20-92D0-14ED6884FC91}"/>
    <cellStyle name="Normal 4 2 4 5 2 3" xfId="11515" xr:uid="{55F5B032-A4C4-42CA-B6EE-1776FD01AE94}"/>
    <cellStyle name="Normal 4 2 4 5 3" xfId="5146" xr:uid="{00000000-0005-0000-0000-0000BC130000}"/>
    <cellStyle name="Normal 4 2 4 5 3 2" xfId="13588" xr:uid="{0CC3F195-CBB7-4887-8401-6BE5A0921DD0}"/>
    <cellStyle name="Normal 4 2 4 5 4" xfId="9370" xr:uid="{FF89C71B-9BA7-4675-8587-8293D7247E32}"/>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D88F4284-C65B-4CA7-BBC6-82C527756E68}"/>
    <cellStyle name="Normal 4 2 4 6 2 3" xfId="11928" xr:uid="{45435FAE-5B3A-41AF-822C-9B3301510F47}"/>
    <cellStyle name="Normal 4 2 4 6 3" xfId="5559" xr:uid="{00000000-0005-0000-0000-0000C0130000}"/>
    <cellStyle name="Normal 4 2 4 6 3 2" xfId="14001" xr:uid="{A9ADB758-E58A-4660-A084-E5B09B0FE94E}"/>
    <cellStyle name="Normal 4 2 4 6 4" xfId="9783" xr:uid="{8BB55D38-47D3-4022-AB1F-12CFBED17492}"/>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6E929695-1459-4ED7-BF24-AB94EE16109C}"/>
    <cellStyle name="Normal 4 2 4 7 2 3" xfId="12341" xr:uid="{BBF3F951-91AC-4F2E-AE8A-C4656FB46668}"/>
    <cellStyle name="Normal 4 2 4 7 3" xfId="5972" xr:uid="{00000000-0005-0000-0000-0000C4130000}"/>
    <cellStyle name="Normal 4 2 4 7 3 2" xfId="14414" xr:uid="{6488452C-1125-4E09-9B80-2BD08C203861}"/>
    <cellStyle name="Normal 4 2 4 7 4" xfId="10196" xr:uid="{1097EFA3-5171-43AA-B518-17576038726C}"/>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4DCAAF79-0608-490A-86F1-C83C22B6C248}"/>
    <cellStyle name="Normal 4 2 4 8 2 3" xfId="12754" xr:uid="{C6C9ACE0-D250-4252-9F83-A83DA81CE54E}"/>
    <cellStyle name="Normal 4 2 4 8 3" xfId="6385" xr:uid="{00000000-0005-0000-0000-0000C8130000}"/>
    <cellStyle name="Normal 4 2 4 8 3 2" xfId="14827" xr:uid="{EE54D4B8-D90B-49E5-9278-7CAD53FF2914}"/>
    <cellStyle name="Normal 4 2 4 8 4" xfId="10609" xr:uid="{EDF8234D-91A6-4CF5-B099-7A41FC5664DC}"/>
    <cellStyle name="Normal 4 2 4 9" xfId="2514" xr:uid="{00000000-0005-0000-0000-0000C9130000}"/>
    <cellStyle name="Normal 4 2 4 9 2" xfId="6798" xr:uid="{00000000-0005-0000-0000-0000CA130000}"/>
    <cellStyle name="Normal 4 2 4 9 2 2" xfId="15240" xr:uid="{0FD7110E-5D3F-4F01-A8F0-DB23877121A0}"/>
    <cellStyle name="Normal 4 2 4 9 3" xfId="11022" xr:uid="{0C5CDB8D-6F9F-4CC0-843A-5732C349E71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8039E773-4D72-412E-A0B4-C545DF817D7A}"/>
    <cellStyle name="Normal 4 2 5 2 2 2 3" xfId="11524" xr:uid="{1B2236BD-4DBA-4D35-BE40-A669620C3CE9}"/>
    <cellStyle name="Normal 4 2 5 2 2 3" xfId="5155" xr:uid="{00000000-0005-0000-0000-0000D0130000}"/>
    <cellStyle name="Normal 4 2 5 2 2 3 2" xfId="13597" xr:uid="{3E46EB40-929A-49CC-80AB-0B11FCDE1F59}"/>
    <cellStyle name="Normal 4 2 5 2 2 4" xfId="9379" xr:uid="{76F5ABC4-6CFD-421B-A581-F2010894793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463C1D5A-E940-4C67-AEA1-FD797A7FF4EC}"/>
    <cellStyle name="Normal 4 2 5 2 3 2 3" xfId="11937" xr:uid="{BBA00C13-6246-4536-8242-290A1D7B05DB}"/>
    <cellStyle name="Normal 4 2 5 2 3 3" xfId="5568" xr:uid="{00000000-0005-0000-0000-0000D4130000}"/>
    <cellStyle name="Normal 4 2 5 2 3 3 2" xfId="14010" xr:uid="{58E5C130-483C-4945-BF2E-A38DA7927BD2}"/>
    <cellStyle name="Normal 4 2 5 2 3 4" xfId="9792" xr:uid="{B854EC56-CF0B-4214-B73E-AB64E9A6266A}"/>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B642C4C1-AC8B-4F20-BE00-4598D15833E9}"/>
    <cellStyle name="Normal 4 2 5 2 4 2 3" xfId="12350" xr:uid="{0601DFD0-53D9-4506-92B2-F2F454B84A21}"/>
    <cellStyle name="Normal 4 2 5 2 4 3" xfId="5981" xr:uid="{00000000-0005-0000-0000-0000D8130000}"/>
    <cellStyle name="Normal 4 2 5 2 4 3 2" xfId="14423" xr:uid="{34275267-CF80-4ABA-B6F1-156DB1049AED}"/>
    <cellStyle name="Normal 4 2 5 2 4 4" xfId="10205" xr:uid="{5A05ED7E-8AA2-491A-932E-52591A981AFA}"/>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8D238F13-6B12-46DF-89C0-181C78185D79}"/>
    <cellStyle name="Normal 4 2 5 2 5 2 3" xfId="12763" xr:uid="{92076308-B351-422C-988F-7169C59B3CB9}"/>
    <cellStyle name="Normal 4 2 5 2 5 3" xfId="6394" xr:uid="{00000000-0005-0000-0000-0000DC130000}"/>
    <cellStyle name="Normal 4 2 5 2 5 3 2" xfId="14836" xr:uid="{3270C232-8981-487D-879C-77ED5E3D6257}"/>
    <cellStyle name="Normal 4 2 5 2 5 4" xfId="10618" xr:uid="{247CCD47-64A0-41D9-A9AA-043D7BF101DB}"/>
    <cellStyle name="Normal 4 2 5 2 6" xfId="2523" xr:uid="{00000000-0005-0000-0000-0000DD130000}"/>
    <cellStyle name="Normal 4 2 5 2 6 2" xfId="6807" xr:uid="{00000000-0005-0000-0000-0000DE130000}"/>
    <cellStyle name="Normal 4 2 5 2 6 2 2" xfId="15249" xr:uid="{C53C3671-08DD-4CCB-8D5B-9DCC5021B804}"/>
    <cellStyle name="Normal 4 2 5 2 6 3" xfId="11031" xr:uid="{81F088C5-6177-4E8B-9C27-D2254974904D}"/>
    <cellStyle name="Normal 4 2 5 2 7" xfId="4742" xr:uid="{00000000-0005-0000-0000-0000DF130000}"/>
    <cellStyle name="Normal 4 2 5 2 7 2" xfId="13184" xr:uid="{44BF73D5-28C3-4A2A-A558-973C78579CBC}"/>
    <cellStyle name="Normal 4 2 5 2 8" xfId="8966" xr:uid="{9A1838E1-EB9D-4E08-9B86-6FEA7D8EBC2A}"/>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D8C1DFDF-A29E-4EDB-BE56-018C915ACE67}"/>
    <cellStyle name="Normal 4 2 5 3 2 3" xfId="11523" xr:uid="{99776982-ECB2-41C4-A1DA-4DA5BE3EC6B6}"/>
    <cellStyle name="Normal 4 2 5 3 3" xfId="5154" xr:uid="{00000000-0005-0000-0000-0000E3130000}"/>
    <cellStyle name="Normal 4 2 5 3 3 2" xfId="13596" xr:uid="{3F06E79B-306E-4ED2-AF1B-F4C37750DC8B}"/>
    <cellStyle name="Normal 4 2 5 3 4" xfId="9378" xr:uid="{CE1EBF18-1951-4625-9BE5-1DE29E0B7F66}"/>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86A4FA12-E0A3-4687-91F9-4AC5A8EB49BE}"/>
    <cellStyle name="Normal 4 2 5 4 2 3" xfId="11936" xr:uid="{85DDBC3F-B0A7-4A8F-B185-92E14E766847}"/>
    <cellStyle name="Normal 4 2 5 4 3" xfId="5567" xr:uid="{00000000-0005-0000-0000-0000E7130000}"/>
    <cellStyle name="Normal 4 2 5 4 3 2" xfId="14009" xr:uid="{FD41558E-524C-4387-81DD-6361A8BD2CF5}"/>
    <cellStyle name="Normal 4 2 5 4 4" xfId="9791" xr:uid="{90DAA763-EB4D-4E2A-96A7-091A611FE2E3}"/>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EAD12C81-AE37-4543-97B7-CAE9F0612C5B}"/>
    <cellStyle name="Normal 4 2 5 5 2 3" xfId="12349" xr:uid="{9115EB31-F3FF-453B-91E5-8790F8C547D0}"/>
    <cellStyle name="Normal 4 2 5 5 3" xfId="5980" xr:uid="{00000000-0005-0000-0000-0000EB130000}"/>
    <cellStyle name="Normal 4 2 5 5 3 2" xfId="14422" xr:uid="{CAEA329B-FDE1-452E-AE1D-EDA10ADA7D8E}"/>
    <cellStyle name="Normal 4 2 5 5 4" xfId="10204" xr:uid="{EBB0CDDB-DCE6-4B8E-B7AE-4E1E8B9038CB}"/>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BF7F1661-2AD9-49BF-BFF3-E3FD72F46178}"/>
    <cellStyle name="Normal 4 2 5 6 2 3" xfId="12762" xr:uid="{AA873B29-9627-49BC-8EA6-289315881FDC}"/>
    <cellStyle name="Normal 4 2 5 6 3" xfId="6393" xr:uid="{00000000-0005-0000-0000-0000EF130000}"/>
    <cellStyle name="Normal 4 2 5 6 3 2" xfId="14835" xr:uid="{4546C670-3E29-42D5-AB2A-87313851CCB1}"/>
    <cellStyle name="Normal 4 2 5 6 4" xfId="10617" xr:uid="{F3534C41-8CEF-47BD-9407-59049F38E9BE}"/>
    <cellStyle name="Normal 4 2 5 7" xfId="2522" xr:uid="{00000000-0005-0000-0000-0000F0130000}"/>
    <cellStyle name="Normal 4 2 5 7 2" xfId="6806" xr:uid="{00000000-0005-0000-0000-0000F1130000}"/>
    <cellStyle name="Normal 4 2 5 7 2 2" xfId="15248" xr:uid="{E2D2CA63-B3B5-4B39-9B73-D2C12E687282}"/>
    <cellStyle name="Normal 4 2 5 7 3" xfId="11030" xr:uid="{CEF30965-A267-46FC-A10A-94760B755F74}"/>
    <cellStyle name="Normal 4 2 5 8" xfId="4741" xr:uid="{00000000-0005-0000-0000-0000F2130000}"/>
    <cellStyle name="Normal 4 2 5 8 2" xfId="13183" xr:uid="{8F875E92-C36B-49AC-BF2F-0C2651843C7C}"/>
    <cellStyle name="Normal 4 2 5 9" xfId="8965" xr:uid="{73CE76C6-9515-4370-BA93-6FEA8B950F8A}"/>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6EF35608-2AB3-4062-9270-621AF3BD3062}"/>
    <cellStyle name="Normal 4 2 6 2 2 3" xfId="11525" xr:uid="{95A48D3B-4E7E-460B-A827-B6111C9A6DC3}"/>
    <cellStyle name="Normal 4 2 6 2 3" xfId="5156" xr:uid="{00000000-0005-0000-0000-0000F7130000}"/>
    <cellStyle name="Normal 4 2 6 2 3 2" xfId="13598" xr:uid="{54FACAB4-5A1D-425F-A6C9-31E7A38BC37B}"/>
    <cellStyle name="Normal 4 2 6 2 4" xfId="9380" xr:uid="{00F9F76B-B93D-4BCB-A535-4B1DC43038DA}"/>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CA70FB2B-5BF5-4EB7-94FD-37116165E475}"/>
    <cellStyle name="Normal 4 2 6 3 2 3" xfId="11938" xr:uid="{4D718E0E-AF0C-4701-BEB2-8B9CEDA84394}"/>
    <cellStyle name="Normal 4 2 6 3 3" xfId="5569" xr:uid="{00000000-0005-0000-0000-0000FB130000}"/>
    <cellStyle name="Normal 4 2 6 3 3 2" xfId="14011" xr:uid="{49256987-BA80-4DB5-BE9F-0695B401778E}"/>
    <cellStyle name="Normal 4 2 6 3 4" xfId="9793" xr:uid="{7C721EE1-8FD0-4F7F-BC05-FF922F1714C0}"/>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A282FBC7-C16B-4149-82FE-5C2207F623A2}"/>
    <cellStyle name="Normal 4 2 6 4 2 3" xfId="12351" xr:uid="{65D69025-55F0-4EB3-AACE-1A5265ED4694}"/>
    <cellStyle name="Normal 4 2 6 4 3" xfId="5982" xr:uid="{00000000-0005-0000-0000-0000FF130000}"/>
    <cellStyle name="Normal 4 2 6 4 3 2" xfId="14424" xr:uid="{3E82BDD3-DA65-436F-BBFC-3F012DF5C719}"/>
    <cellStyle name="Normal 4 2 6 4 4" xfId="10206" xr:uid="{C910B0A3-F1C5-4839-A1A9-399BBB4D5A46}"/>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E7095578-F501-43A6-8BBD-2417841E02E7}"/>
    <cellStyle name="Normal 4 2 6 5 2 3" xfId="12764" xr:uid="{358F728B-7025-45AE-A799-0C146ADD7AFA}"/>
    <cellStyle name="Normal 4 2 6 5 3" xfId="6395" xr:uid="{00000000-0005-0000-0000-000003140000}"/>
    <cellStyle name="Normal 4 2 6 5 3 2" xfId="14837" xr:uid="{D2DFCAEE-19D5-4569-A80B-410D4285D1B9}"/>
    <cellStyle name="Normal 4 2 6 5 4" xfId="10619" xr:uid="{2EA786FA-8A35-4293-9D9B-51983A3C8D4C}"/>
    <cellStyle name="Normal 4 2 6 6" xfId="2524" xr:uid="{00000000-0005-0000-0000-000004140000}"/>
    <cellStyle name="Normal 4 2 6 6 2" xfId="6808" xr:uid="{00000000-0005-0000-0000-000005140000}"/>
    <cellStyle name="Normal 4 2 6 6 2 2" xfId="15250" xr:uid="{BF006287-389B-4A3A-AB82-43CDE72BC22E}"/>
    <cellStyle name="Normal 4 2 6 6 3" xfId="11032" xr:uid="{94CF229B-3A5F-4DF7-83A3-B0FDE9839727}"/>
    <cellStyle name="Normal 4 2 6 7" xfId="4743" xr:uid="{00000000-0005-0000-0000-000006140000}"/>
    <cellStyle name="Normal 4 2 6 7 2" xfId="13185" xr:uid="{DB7399A5-4AFD-442A-933F-80DEDB198AF1}"/>
    <cellStyle name="Normal 4 2 6 8" xfId="8967" xr:uid="{144CF4F2-4811-4047-8294-815242BD54BB}"/>
    <cellStyle name="Normal 4 3" xfId="366" xr:uid="{00000000-0005-0000-0000-000007140000}"/>
    <cellStyle name="Normal 4 3 10" xfId="8968" xr:uid="{4656B7FD-C57B-4D57-86F7-E97459AEA788}"/>
    <cellStyle name="Normal 4 3 2" xfId="367" xr:uid="{00000000-0005-0000-0000-000008140000}"/>
    <cellStyle name="Normal 4 3 2 2" xfId="368" xr:uid="{00000000-0005-0000-0000-000009140000}"/>
    <cellStyle name="Normal 4 3 2 2 2" xfId="369" xr:uid="{00000000-0005-0000-0000-00000A140000}"/>
    <cellStyle name="Normal 4 3 2 2 2 10" xfId="8969" xr:uid="{3DA4ED8C-B33A-4371-AF37-40977FA65AF7}"/>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467F1200-1AC6-44AB-B075-20216EB76EA4}"/>
    <cellStyle name="Normal 4 3 2 2 2 2 2 2 2 3" xfId="11529" xr:uid="{2E2F612B-7C86-4B05-B61E-71C14A70A760}"/>
    <cellStyle name="Normal 4 3 2 2 2 2 2 2 3" xfId="5160" xr:uid="{00000000-0005-0000-0000-000010140000}"/>
    <cellStyle name="Normal 4 3 2 2 2 2 2 2 3 2" xfId="13602" xr:uid="{7174A19F-C631-4235-A0B4-BE10C0CA7E9C}"/>
    <cellStyle name="Normal 4 3 2 2 2 2 2 2 4" xfId="9384" xr:uid="{F11997CB-F2A8-4F61-A68F-02F981C14C0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4A4D09FD-4E8B-4F28-B0A5-BCC25ACA0A0F}"/>
    <cellStyle name="Normal 4 3 2 2 2 2 2 3 2 3" xfId="11942" xr:uid="{32CF83FF-04A8-4CA7-83A7-803325572B3E}"/>
    <cellStyle name="Normal 4 3 2 2 2 2 2 3 3" xfId="5573" xr:uid="{00000000-0005-0000-0000-000014140000}"/>
    <cellStyle name="Normal 4 3 2 2 2 2 2 3 3 2" xfId="14015" xr:uid="{06BD454A-1F53-417A-9553-4F35EF4FB682}"/>
    <cellStyle name="Normal 4 3 2 2 2 2 2 3 4" xfId="9797" xr:uid="{1055F011-F38A-410E-BE11-C4A1D737DAF8}"/>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2BD75B37-4571-4901-9A42-A29AC21F8EA0}"/>
    <cellStyle name="Normal 4 3 2 2 2 2 2 4 2 3" xfId="12355" xr:uid="{4E39537F-02F6-4C34-8315-A047B1A3E865}"/>
    <cellStyle name="Normal 4 3 2 2 2 2 2 4 3" xfId="5986" xr:uid="{00000000-0005-0000-0000-000018140000}"/>
    <cellStyle name="Normal 4 3 2 2 2 2 2 4 3 2" xfId="14428" xr:uid="{E9956D87-CAEF-447D-94BD-FBE8C5352EDF}"/>
    <cellStyle name="Normal 4 3 2 2 2 2 2 4 4" xfId="10210" xr:uid="{CA147F06-E12A-435C-AFD0-B022E83AF3E6}"/>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DB446672-E533-46DC-9209-BB874596075F}"/>
    <cellStyle name="Normal 4 3 2 2 2 2 2 5 2 3" xfId="12768" xr:uid="{4ABD677E-D545-489E-B2E4-97CC479DD275}"/>
    <cellStyle name="Normal 4 3 2 2 2 2 2 5 3" xfId="6399" xr:uid="{00000000-0005-0000-0000-00001C140000}"/>
    <cellStyle name="Normal 4 3 2 2 2 2 2 5 3 2" xfId="14841" xr:uid="{96FA1E63-BEE8-4CE0-BB28-644390BCEEF2}"/>
    <cellStyle name="Normal 4 3 2 2 2 2 2 5 4" xfId="10623" xr:uid="{A8C88CCF-2120-4DD7-8170-DED45B4C20FC}"/>
    <cellStyle name="Normal 4 3 2 2 2 2 2 6" xfId="2528" xr:uid="{00000000-0005-0000-0000-00001D140000}"/>
    <cellStyle name="Normal 4 3 2 2 2 2 2 6 2" xfId="6812" xr:uid="{00000000-0005-0000-0000-00001E140000}"/>
    <cellStyle name="Normal 4 3 2 2 2 2 2 6 2 2" xfId="15254" xr:uid="{B57BCD36-307B-47C3-908D-2D14B9600F54}"/>
    <cellStyle name="Normal 4 3 2 2 2 2 2 6 3" xfId="11036" xr:uid="{C242D599-4CF3-4DA5-8AF0-8F43AE6F386D}"/>
    <cellStyle name="Normal 4 3 2 2 2 2 2 7" xfId="4747" xr:uid="{00000000-0005-0000-0000-00001F140000}"/>
    <cellStyle name="Normal 4 3 2 2 2 2 2 7 2" xfId="13189" xr:uid="{BA8BF141-1196-4D65-A3BA-24E1491696DF}"/>
    <cellStyle name="Normal 4 3 2 2 2 2 2 8" xfId="8971" xr:uid="{34877287-E02E-4BB8-83C3-7ADB9FAF197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08E1C1AD-0B5C-4CF3-879E-27DC7C3B7A5F}"/>
    <cellStyle name="Normal 4 3 2 2 2 2 3 2 3" xfId="11528" xr:uid="{5A92D874-D84F-492C-81FE-4A90C635CAD9}"/>
    <cellStyle name="Normal 4 3 2 2 2 2 3 3" xfId="5159" xr:uid="{00000000-0005-0000-0000-000023140000}"/>
    <cellStyle name="Normal 4 3 2 2 2 2 3 3 2" xfId="13601" xr:uid="{7EBAA431-9D2B-4571-BFC6-348CD77C5765}"/>
    <cellStyle name="Normal 4 3 2 2 2 2 3 4" xfId="9383" xr:uid="{5ECE5218-1CCB-4861-AF9C-5C86AFE03CAD}"/>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322C1C02-2B27-43DC-B034-43369A102F68}"/>
    <cellStyle name="Normal 4 3 2 2 2 2 4 2 3" xfId="11941" xr:uid="{707B0500-8D3A-4139-ABCF-522539012A30}"/>
    <cellStyle name="Normal 4 3 2 2 2 2 4 3" xfId="5572" xr:uid="{00000000-0005-0000-0000-000027140000}"/>
    <cellStyle name="Normal 4 3 2 2 2 2 4 3 2" xfId="14014" xr:uid="{8029EF01-FB03-40AF-A430-E67E34DE77AD}"/>
    <cellStyle name="Normal 4 3 2 2 2 2 4 4" xfId="9796" xr:uid="{6F4EDB17-1FEE-4E2B-9D80-7499807022DF}"/>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F481F7AD-B05A-42F4-B56C-E45888853EC1}"/>
    <cellStyle name="Normal 4 3 2 2 2 2 5 2 3" xfId="12354" xr:uid="{FA95FB41-07E2-4F23-8B7E-637A5F951778}"/>
    <cellStyle name="Normal 4 3 2 2 2 2 5 3" xfId="5985" xr:uid="{00000000-0005-0000-0000-00002B140000}"/>
    <cellStyle name="Normal 4 3 2 2 2 2 5 3 2" xfId="14427" xr:uid="{6996E835-C513-466C-A67A-7C6E06C9CE72}"/>
    <cellStyle name="Normal 4 3 2 2 2 2 5 4" xfId="10209" xr:uid="{35F4B497-B9DE-466F-8DA0-4422A00FC8A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9656FB18-5CC0-45E1-9FFF-7F04BB2656D1}"/>
    <cellStyle name="Normal 4 3 2 2 2 2 6 2 3" xfId="12767" xr:uid="{719CEC0A-03E3-4837-B1DF-6D4D8052080C}"/>
    <cellStyle name="Normal 4 3 2 2 2 2 6 3" xfId="6398" xr:uid="{00000000-0005-0000-0000-00002F140000}"/>
    <cellStyle name="Normal 4 3 2 2 2 2 6 3 2" xfId="14840" xr:uid="{92C3CB81-3012-4672-AC25-317A87495192}"/>
    <cellStyle name="Normal 4 3 2 2 2 2 6 4" xfId="10622" xr:uid="{848AC6E0-87D6-4C8F-B6A4-24E67D0130A1}"/>
    <cellStyle name="Normal 4 3 2 2 2 2 7" xfId="2527" xr:uid="{00000000-0005-0000-0000-000030140000}"/>
    <cellStyle name="Normal 4 3 2 2 2 2 7 2" xfId="6811" xr:uid="{00000000-0005-0000-0000-000031140000}"/>
    <cellStyle name="Normal 4 3 2 2 2 2 7 2 2" xfId="15253" xr:uid="{0FE36EB4-FC0C-4286-B426-2432D380A371}"/>
    <cellStyle name="Normal 4 3 2 2 2 2 7 3" xfId="11035" xr:uid="{90F314B5-D6FF-4545-8450-9651F938EAF5}"/>
    <cellStyle name="Normal 4 3 2 2 2 2 8" xfId="4746" xr:uid="{00000000-0005-0000-0000-000032140000}"/>
    <cellStyle name="Normal 4 3 2 2 2 2 8 2" xfId="13188" xr:uid="{22B7DAF5-3F73-4BFB-8973-56875661FDCB}"/>
    <cellStyle name="Normal 4 3 2 2 2 2 9" xfId="8970" xr:uid="{8620F590-40EE-4A72-82D3-9D85FC9A96D6}"/>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B62C6731-AFBF-451D-9755-8B39C8AD6036}"/>
    <cellStyle name="Normal 4 3 2 2 2 3 2 2 3" xfId="11530" xr:uid="{424CF7CB-C394-4CFC-A964-01BD6FC4C95B}"/>
    <cellStyle name="Normal 4 3 2 2 2 3 2 3" xfId="5161" xr:uid="{00000000-0005-0000-0000-000037140000}"/>
    <cellStyle name="Normal 4 3 2 2 2 3 2 3 2" xfId="13603" xr:uid="{6EBFDB10-14E9-4E5A-88B7-D89DC3AC8082}"/>
    <cellStyle name="Normal 4 3 2 2 2 3 2 4" xfId="9385" xr:uid="{B5FF33E7-6C8E-4F59-8F72-70D70DB4AE63}"/>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21E14653-2268-43E8-8F71-7C574B274176}"/>
    <cellStyle name="Normal 4 3 2 2 2 3 3 2 3" xfId="11943" xr:uid="{ED1EB261-415C-43D3-89AC-87423A668E3A}"/>
    <cellStyle name="Normal 4 3 2 2 2 3 3 3" xfId="5574" xr:uid="{00000000-0005-0000-0000-00003B140000}"/>
    <cellStyle name="Normal 4 3 2 2 2 3 3 3 2" xfId="14016" xr:uid="{64D90C8C-1610-4619-8F3F-1EE8E77C6F33}"/>
    <cellStyle name="Normal 4 3 2 2 2 3 3 4" xfId="9798" xr:uid="{E6F7420F-BD26-4907-B1D2-52395289A947}"/>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3EC66254-A3F1-48C6-9F93-5B09B6C81FC8}"/>
    <cellStyle name="Normal 4 3 2 2 2 3 4 2 3" xfId="12356" xr:uid="{997A3B76-8863-4BDE-99D4-839AE508CB3A}"/>
    <cellStyle name="Normal 4 3 2 2 2 3 4 3" xfId="5987" xr:uid="{00000000-0005-0000-0000-00003F140000}"/>
    <cellStyle name="Normal 4 3 2 2 2 3 4 3 2" xfId="14429" xr:uid="{066C6220-B5F2-4AC0-A1E3-CA97C5A36395}"/>
    <cellStyle name="Normal 4 3 2 2 2 3 4 4" xfId="10211" xr:uid="{69AD6ACE-6F72-4B81-AAA0-E802767F0718}"/>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3C8C0613-3750-407C-AD06-65DCE70555A8}"/>
    <cellStyle name="Normal 4 3 2 2 2 3 5 2 3" xfId="12769" xr:uid="{BF254008-A9C5-4867-828E-7072284EE00B}"/>
    <cellStyle name="Normal 4 3 2 2 2 3 5 3" xfId="6400" xr:uid="{00000000-0005-0000-0000-000043140000}"/>
    <cellStyle name="Normal 4 3 2 2 2 3 5 3 2" xfId="14842" xr:uid="{EECBED5C-974E-47C3-A524-C6A90DABA205}"/>
    <cellStyle name="Normal 4 3 2 2 2 3 5 4" xfId="10624" xr:uid="{027F3FEB-A049-4B61-B635-7C4C28992DE2}"/>
    <cellStyle name="Normal 4 3 2 2 2 3 6" xfId="2529" xr:uid="{00000000-0005-0000-0000-000044140000}"/>
    <cellStyle name="Normal 4 3 2 2 2 3 6 2" xfId="6813" xr:uid="{00000000-0005-0000-0000-000045140000}"/>
    <cellStyle name="Normal 4 3 2 2 2 3 6 2 2" xfId="15255" xr:uid="{E5B532D8-0CBA-4D5A-8E9D-7C1145D199FA}"/>
    <cellStyle name="Normal 4 3 2 2 2 3 6 3" xfId="11037" xr:uid="{E31340EA-4105-42A6-933A-54AE38D269C9}"/>
    <cellStyle name="Normal 4 3 2 2 2 3 7" xfId="4748" xr:uid="{00000000-0005-0000-0000-000046140000}"/>
    <cellStyle name="Normal 4 3 2 2 2 3 7 2" xfId="13190" xr:uid="{EFAA7834-EB32-4FFC-9A51-DE3E54B30960}"/>
    <cellStyle name="Normal 4 3 2 2 2 3 8" xfId="8972" xr:uid="{CFA2A0EA-A9CD-48C6-BBED-5E68FFC4D062}"/>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DEFE6C78-8758-487B-BEBA-B339074E54C0}"/>
    <cellStyle name="Normal 4 3 2 2 2 4 2 3" xfId="11527" xr:uid="{27B880D9-E6E6-49DC-AC86-073CBB9F63CE}"/>
    <cellStyle name="Normal 4 3 2 2 2 4 3" xfId="5158" xr:uid="{00000000-0005-0000-0000-00004A140000}"/>
    <cellStyle name="Normal 4 3 2 2 2 4 3 2" xfId="13600" xr:uid="{63303139-0507-4C8E-BA74-414858B4B0A1}"/>
    <cellStyle name="Normal 4 3 2 2 2 4 4" xfId="9382" xr:uid="{1E7254FC-6626-4DE0-8BBB-8011BB681CA4}"/>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9099D7E-10B0-49FE-8A3F-D584F0CEFE0B}"/>
    <cellStyle name="Normal 4 3 2 2 2 5 2 3" xfId="11940" xr:uid="{962C117B-E3A1-4245-AE88-B68269733D97}"/>
    <cellStyle name="Normal 4 3 2 2 2 5 3" xfId="5571" xr:uid="{00000000-0005-0000-0000-00004E140000}"/>
    <cellStyle name="Normal 4 3 2 2 2 5 3 2" xfId="14013" xr:uid="{0D6E5AA4-CED7-4D59-9721-C9AB5BEFFB2E}"/>
    <cellStyle name="Normal 4 3 2 2 2 5 4" xfId="9795" xr:uid="{C72AEEC4-DC9A-423A-ACBF-1E9FE05D1EBC}"/>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36EE35D6-F882-4EDC-857D-4CFA091BD8E3}"/>
    <cellStyle name="Normal 4 3 2 2 2 6 2 3" xfId="12353" xr:uid="{937A68C6-0AA6-41F8-B97B-29E71CC112E4}"/>
    <cellStyle name="Normal 4 3 2 2 2 6 3" xfId="5984" xr:uid="{00000000-0005-0000-0000-000052140000}"/>
    <cellStyle name="Normal 4 3 2 2 2 6 3 2" xfId="14426" xr:uid="{1F5438EE-BB20-4B6D-B8D9-37B2DECD6C05}"/>
    <cellStyle name="Normal 4 3 2 2 2 6 4" xfId="10208" xr:uid="{A37A1338-9E7E-4D41-9D41-9EA3605ACE8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0EC7D33C-1C27-47DA-AEE5-1C6CA0A3B4E1}"/>
    <cellStyle name="Normal 4 3 2 2 2 7 2 3" xfId="12766" xr:uid="{E2A3EF21-81A3-4E84-81B7-4D5B56BA20E6}"/>
    <cellStyle name="Normal 4 3 2 2 2 7 3" xfId="6397" xr:uid="{00000000-0005-0000-0000-000056140000}"/>
    <cellStyle name="Normal 4 3 2 2 2 7 3 2" xfId="14839" xr:uid="{E26C59D3-DB1E-456A-825C-7A9FF155FA9D}"/>
    <cellStyle name="Normal 4 3 2 2 2 7 4" xfId="10621" xr:uid="{7344A7FF-53C2-48C8-807F-22CB264ECCB4}"/>
    <cellStyle name="Normal 4 3 2 2 2 8" xfId="2526" xr:uid="{00000000-0005-0000-0000-000057140000}"/>
    <cellStyle name="Normal 4 3 2 2 2 8 2" xfId="6810" xr:uid="{00000000-0005-0000-0000-000058140000}"/>
    <cellStyle name="Normal 4 3 2 2 2 8 2 2" xfId="15252" xr:uid="{F0FD9C5D-57B4-41D7-A29C-2DA8751351BD}"/>
    <cellStyle name="Normal 4 3 2 2 2 8 3" xfId="11034" xr:uid="{7E84FD97-2000-4636-9B7E-A5476E0BBEFB}"/>
    <cellStyle name="Normal 4 3 2 2 2 9" xfId="4745" xr:uid="{00000000-0005-0000-0000-000059140000}"/>
    <cellStyle name="Normal 4 3 2 2 2 9 2" xfId="13187" xr:uid="{9D5D50A2-D36E-498D-8EB0-3A5D38B946C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F9615CE3-C2DF-45AC-AD22-86B5A53F401C}"/>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529CB129-A1A9-484F-AF78-AEB30841F1C9}"/>
    <cellStyle name="Normal 4 3 3 2 2 2 2 3" xfId="11533" xr:uid="{B5A8414C-60C6-4313-8FEB-C667705386C3}"/>
    <cellStyle name="Normal 4 3 3 2 2 2 3" xfId="5164" xr:uid="{00000000-0005-0000-0000-000063140000}"/>
    <cellStyle name="Normal 4 3 3 2 2 2 3 2" xfId="13606" xr:uid="{D2699D65-9E1B-4ABF-9DF5-7FC51F78FB68}"/>
    <cellStyle name="Normal 4 3 3 2 2 2 4" xfId="9388" xr:uid="{8D2A5B7C-3C3A-41AB-86C2-C725B192D3B6}"/>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DF082686-7E0F-4DDD-A1F8-AD8D7176FB46}"/>
    <cellStyle name="Normal 4 3 3 2 2 3 2 3" xfId="11946" xr:uid="{25360109-D0D1-4979-A9D2-2DB0DF33EB6B}"/>
    <cellStyle name="Normal 4 3 3 2 2 3 3" xfId="5577" xr:uid="{00000000-0005-0000-0000-000067140000}"/>
    <cellStyle name="Normal 4 3 3 2 2 3 3 2" xfId="14019" xr:uid="{057D9738-42AE-4D0F-A847-A053F0CCD04E}"/>
    <cellStyle name="Normal 4 3 3 2 2 3 4" xfId="9801" xr:uid="{AF174F85-21BB-473F-97C8-C5B59A24A5C6}"/>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F4B5CEC-A124-4EA1-AD61-94D32FF8CA27}"/>
    <cellStyle name="Normal 4 3 3 2 2 4 2 3" xfId="12359" xr:uid="{328A7D12-D1FB-4DA8-B06F-9B79BA057C65}"/>
    <cellStyle name="Normal 4 3 3 2 2 4 3" xfId="5990" xr:uid="{00000000-0005-0000-0000-00006B140000}"/>
    <cellStyle name="Normal 4 3 3 2 2 4 3 2" xfId="14432" xr:uid="{18BB5075-2B71-4B8B-AA90-DE7FF2776531}"/>
    <cellStyle name="Normal 4 3 3 2 2 4 4" xfId="10214" xr:uid="{3E740074-472A-46D6-92E1-6B8502274019}"/>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DA80DACF-6D6F-4045-9062-4A2F877118A5}"/>
    <cellStyle name="Normal 4 3 3 2 2 5 2 3" xfId="12772" xr:uid="{0DD14602-03A6-4225-B51A-91F9C68F3CD7}"/>
    <cellStyle name="Normal 4 3 3 2 2 5 3" xfId="6403" xr:uid="{00000000-0005-0000-0000-00006F140000}"/>
    <cellStyle name="Normal 4 3 3 2 2 5 3 2" xfId="14845" xr:uid="{B8FFB588-DB79-40FA-8FF2-28941D08917A}"/>
    <cellStyle name="Normal 4 3 3 2 2 5 4" xfId="10627" xr:uid="{5E155385-8653-4F61-B7BB-5B39B14AB91C}"/>
    <cellStyle name="Normal 4 3 3 2 2 6" xfId="2532" xr:uid="{00000000-0005-0000-0000-000070140000}"/>
    <cellStyle name="Normal 4 3 3 2 2 6 2" xfId="6816" xr:uid="{00000000-0005-0000-0000-000071140000}"/>
    <cellStyle name="Normal 4 3 3 2 2 6 2 2" xfId="15258" xr:uid="{67D54B2A-1015-439C-A19A-1BD2B705B1F1}"/>
    <cellStyle name="Normal 4 3 3 2 2 6 3" xfId="11040" xr:uid="{5495ED69-5C27-45C8-8D50-BA831928D208}"/>
    <cellStyle name="Normal 4 3 3 2 2 7" xfId="4751" xr:uid="{00000000-0005-0000-0000-000072140000}"/>
    <cellStyle name="Normal 4 3 3 2 2 7 2" xfId="13193" xr:uid="{A2437123-2721-4C93-BB6B-559220E8E957}"/>
    <cellStyle name="Normal 4 3 3 2 2 8" xfId="8975" xr:uid="{F3D8D872-E54A-42DB-8402-33BFE42A225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E5FBD32C-C681-4C4B-AE86-0EA802658646}"/>
    <cellStyle name="Normal 4 3 3 2 3 2 3" xfId="11532" xr:uid="{A72A5BC0-0651-46F0-9B2C-7024DF9EA750}"/>
    <cellStyle name="Normal 4 3 3 2 3 3" xfId="5163" xr:uid="{00000000-0005-0000-0000-000076140000}"/>
    <cellStyle name="Normal 4 3 3 2 3 3 2" xfId="13605" xr:uid="{E3CFF9C3-1E8D-4BA3-A295-D04AF2167B50}"/>
    <cellStyle name="Normal 4 3 3 2 3 4" xfId="9387" xr:uid="{21B19010-23BB-430E-BBAC-0EE45B2F2BDA}"/>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990F505F-42BB-4DB8-81AC-9D1A2D6BBCED}"/>
    <cellStyle name="Normal 4 3 3 2 4 2 3" xfId="11945" xr:uid="{54073CA6-2269-4DC7-B6EE-1E1B2873BC7A}"/>
    <cellStyle name="Normal 4 3 3 2 4 3" xfId="5576" xr:uid="{00000000-0005-0000-0000-00007A140000}"/>
    <cellStyle name="Normal 4 3 3 2 4 3 2" xfId="14018" xr:uid="{CE6A0A88-6D65-4A07-A95F-8C00E3CFD3E0}"/>
    <cellStyle name="Normal 4 3 3 2 4 4" xfId="9800" xr:uid="{D812CC85-44AC-4D49-B965-C3653B32317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595F53B2-3AC7-4A16-9FED-60DB7B2F8D29}"/>
    <cellStyle name="Normal 4 3 3 2 5 2 3" xfId="12358" xr:uid="{4397CD1C-ED83-409E-8840-6968DB07A37D}"/>
    <cellStyle name="Normal 4 3 3 2 5 3" xfId="5989" xr:uid="{00000000-0005-0000-0000-00007E140000}"/>
    <cellStyle name="Normal 4 3 3 2 5 3 2" xfId="14431" xr:uid="{CA68E800-CE57-464D-A5C9-95F3441BBE84}"/>
    <cellStyle name="Normal 4 3 3 2 5 4" xfId="10213" xr:uid="{65FB0C4B-E574-420A-B0B9-0BE7FA450CE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1948734C-C5D3-48EA-8384-1FA94374CCF2}"/>
    <cellStyle name="Normal 4 3 3 2 6 2 3" xfId="12771" xr:uid="{97D495B4-5580-43AE-B352-C1CF73D3FFDD}"/>
    <cellStyle name="Normal 4 3 3 2 6 3" xfId="6402" xr:uid="{00000000-0005-0000-0000-000082140000}"/>
    <cellStyle name="Normal 4 3 3 2 6 3 2" xfId="14844" xr:uid="{492279EF-6FE6-4BB4-A20E-9E4A4912D543}"/>
    <cellStyle name="Normal 4 3 3 2 6 4" xfId="10626" xr:uid="{9EC0351D-DF91-4FB2-9512-6E78113E33DA}"/>
    <cellStyle name="Normal 4 3 3 2 7" xfId="2531" xr:uid="{00000000-0005-0000-0000-000083140000}"/>
    <cellStyle name="Normal 4 3 3 2 7 2" xfId="6815" xr:uid="{00000000-0005-0000-0000-000084140000}"/>
    <cellStyle name="Normal 4 3 3 2 7 2 2" xfId="15257" xr:uid="{128C71A3-C1A6-4F0F-9231-D635E4E21BAC}"/>
    <cellStyle name="Normal 4 3 3 2 7 3" xfId="11039" xr:uid="{4CA8428C-4E39-4D7E-9836-33B14AEEBEC9}"/>
    <cellStyle name="Normal 4 3 3 2 8" xfId="4750" xr:uid="{00000000-0005-0000-0000-000085140000}"/>
    <cellStyle name="Normal 4 3 3 2 8 2" xfId="13192" xr:uid="{EA087F68-F3B9-4C02-AA22-5DEE2034E4A7}"/>
    <cellStyle name="Normal 4 3 3 2 9" xfId="8974" xr:uid="{6009B27B-45DB-48FA-ADEE-6FC4B836B8A6}"/>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B9A9E734-B98F-4116-AA84-43FB2C15CB36}"/>
    <cellStyle name="Normal 4 3 3 3 2 2 3" xfId="11534" xr:uid="{A03EBF48-0ED3-483B-AD32-6D585A81D006}"/>
    <cellStyle name="Normal 4 3 3 3 2 3" xfId="5165" xr:uid="{00000000-0005-0000-0000-00008A140000}"/>
    <cellStyle name="Normal 4 3 3 3 2 3 2" xfId="13607" xr:uid="{7AFE92A6-A082-474D-9A20-44E20D2CC0BC}"/>
    <cellStyle name="Normal 4 3 3 3 2 4" xfId="9389" xr:uid="{DBD2B6C6-C254-4952-941D-6497BC54ECA5}"/>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7271D840-A304-43AB-991C-1F19CE9DDE88}"/>
    <cellStyle name="Normal 4 3 3 3 3 2 3" xfId="11947" xr:uid="{4C145600-57B5-46EB-AD49-8780DB3EA059}"/>
    <cellStyle name="Normal 4 3 3 3 3 3" xfId="5578" xr:uid="{00000000-0005-0000-0000-00008E140000}"/>
    <cellStyle name="Normal 4 3 3 3 3 3 2" xfId="14020" xr:uid="{13036AFA-540D-462F-998D-AFB62BD3AD71}"/>
    <cellStyle name="Normal 4 3 3 3 3 4" xfId="9802" xr:uid="{D6CBC85F-FA65-479A-9ABF-6C816D22B295}"/>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EA20634C-4D51-4FCE-8A9B-01E4B9892848}"/>
    <cellStyle name="Normal 4 3 3 3 4 2 3" xfId="12360" xr:uid="{6858EEB9-2C1A-44FE-A9AB-B0788625950A}"/>
    <cellStyle name="Normal 4 3 3 3 4 3" xfId="5991" xr:uid="{00000000-0005-0000-0000-000092140000}"/>
    <cellStyle name="Normal 4 3 3 3 4 3 2" xfId="14433" xr:uid="{9331CE48-1908-4FF3-9FCD-4C5A0D7E7A6F}"/>
    <cellStyle name="Normal 4 3 3 3 4 4" xfId="10215" xr:uid="{90C8DD9A-8D06-4FFD-9BC4-022C825309C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DE7905B9-74A3-4561-B7D1-404B50745B1E}"/>
    <cellStyle name="Normal 4 3 3 3 5 2 3" xfId="12773" xr:uid="{14ABC64E-5815-445D-A0B4-B25911CA64F4}"/>
    <cellStyle name="Normal 4 3 3 3 5 3" xfId="6404" xr:uid="{00000000-0005-0000-0000-000096140000}"/>
    <cellStyle name="Normal 4 3 3 3 5 3 2" xfId="14846" xr:uid="{BE4DEB65-4ACF-4365-BEC7-724001848418}"/>
    <cellStyle name="Normal 4 3 3 3 5 4" xfId="10628" xr:uid="{625B06B8-662F-460E-8265-15369B154DF2}"/>
    <cellStyle name="Normal 4 3 3 3 6" xfId="2533" xr:uid="{00000000-0005-0000-0000-000097140000}"/>
    <cellStyle name="Normal 4 3 3 3 6 2" xfId="6817" xr:uid="{00000000-0005-0000-0000-000098140000}"/>
    <cellStyle name="Normal 4 3 3 3 6 2 2" xfId="15259" xr:uid="{89591A54-24DF-4BDD-8B3D-6C3C39C9BD4D}"/>
    <cellStyle name="Normal 4 3 3 3 6 3" xfId="11041" xr:uid="{1A11F615-A796-47D9-9334-0EB5C6975BC0}"/>
    <cellStyle name="Normal 4 3 3 3 7" xfId="4752" xr:uid="{00000000-0005-0000-0000-000099140000}"/>
    <cellStyle name="Normal 4 3 3 3 7 2" xfId="13194" xr:uid="{F0309B00-FD57-4211-82F4-C385F2FD668A}"/>
    <cellStyle name="Normal 4 3 3 3 8" xfId="8976" xr:uid="{148D3CD2-BB0F-4E29-B53B-092B65A0B812}"/>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A38AB709-FE8D-4F98-AB28-1062F3C72FDD}"/>
    <cellStyle name="Normal 4 3 3 4 2 3" xfId="11531" xr:uid="{0AC32702-76BB-4D49-9B75-D04698B8FFBE}"/>
    <cellStyle name="Normal 4 3 3 4 3" xfId="5162" xr:uid="{00000000-0005-0000-0000-00009D140000}"/>
    <cellStyle name="Normal 4 3 3 4 3 2" xfId="13604" xr:uid="{4D122294-7C0E-4BC3-98DC-DD83120F1D88}"/>
    <cellStyle name="Normal 4 3 3 4 4" xfId="9386" xr:uid="{90BBD42F-4B61-4B1E-8614-544CC6875CF1}"/>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DD341456-448F-42C0-AE0B-A8C2D564D053}"/>
    <cellStyle name="Normal 4 3 3 5 2 3" xfId="11944" xr:uid="{8DB3754F-F087-49AC-9F14-D27ED11BD70A}"/>
    <cellStyle name="Normal 4 3 3 5 3" xfId="5575" xr:uid="{00000000-0005-0000-0000-0000A1140000}"/>
    <cellStyle name="Normal 4 3 3 5 3 2" xfId="14017" xr:uid="{9A964A44-7E35-4718-ADBB-BEBCED49EE09}"/>
    <cellStyle name="Normal 4 3 3 5 4" xfId="9799" xr:uid="{B71EF07B-11FE-4D06-B4D1-6A7279D1CB84}"/>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65245D6E-2F9D-4584-8432-B40FC68A267C}"/>
    <cellStyle name="Normal 4 3 3 6 2 3" xfId="12357" xr:uid="{6A86DF1C-EA4B-4E92-93D6-6917B7464366}"/>
    <cellStyle name="Normal 4 3 3 6 3" xfId="5988" xr:uid="{00000000-0005-0000-0000-0000A5140000}"/>
    <cellStyle name="Normal 4 3 3 6 3 2" xfId="14430" xr:uid="{137A0A17-8138-44FC-8966-AFE493AF484B}"/>
    <cellStyle name="Normal 4 3 3 6 4" xfId="10212" xr:uid="{A0C6DC0D-8BD2-4E5D-9A82-46685E225DD5}"/>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EDA171B3-E9BA-49DA-88F8-3848F6D938D2}"/>
    <cellStyle name="Normal 4 3 3 7 2 3" xfId="12770" xr:uid="{854EE51D-C77B-4B7F-B70A-8052F6E76F81}"/>
    <cellStyle name="Normal 4 3 3 7 3" xfId="6401" xr:uid="{00000000-0005-0000-0000-0000A9140000}"/>
    <cellStyle name="Normal 4 3 3 7 3 2" xfId="14843" xr:uid="{09A3AA2C-9177-428E-AD82-4F649BBE6745}"/>
    <cellStyle name="Normal 4 3 3 7 4" xfId="10625" xr:uid="{C635804F-E5AA-4686-BEA4-EC0488F6C13A}"/>
    <cellStyle name="Normal 4 3 3 8" xfId="2530" xr:uid="{00000000-0005-0000-0000-0000AA140000}"/>
    <cellStyle name="Normal 4 3 3 8 2" xfId="6814" xr:uid="{00000000-0005-0000-0000-0000AB140000}"/>
    <cellStyle name="Normal 4 3 3 8 2 2" xfId="15256" xr:uid="{6F49930C-87AF-46F3-9869-C14651483220}"/>
    <cellStyle name="Normal 4 3 3 8 3" xfId="11038" xr:uid="{D031CF23-7AB1-45C5-AAA1-51CAC781ED2E}"/>
    <cellStyle name="Normal 4 3 3 9" xfId="4749" xr:uid="{00000000-0005-0000-0000-0000AC140000}"/>
    <cellStyle name="Normal 4 3 3 9 2" xfId="13191" xr:uid="{40050CF1-8E40-4FD6-B660-0193BAF9683B}"/>
    <cellStyle name="Normal 4 3 4" xfId="842" xr:uid="{00000000-0005-0000-0000-0000AD140000}"/>
    <cellStyle name="Normal 4 3 4 2" xfId="3079" xr:uid="{00000000-0005-0000-0000-0000AE140000}"/>
    <cellStyle name="Normal 4 3 4 2 2" xfId="7302" xr:uid="{00000000-0005-0000-0000-0000AF140000}"/>
    <cellStyle name="Normal 4 3 4 2 2 2" xfId="15744" xr:uid="{85DD950A-3F1A-421E-8CB6-8670F21B19E4}"/>
    <cellStyle name="Normal 4 3 4 2 3" xfId="11526" xr:uid="{0FFF7AD2-A879-4335-95FE-ADCB4190E4B1}"/>
    <cellStyle name="Normal 4 3 4 3" xfId="5157" xr:uid="{00000000-0005-0000-0000-0000B0140000}"/>
    <cellStyle name="Normal 4 3 4 3 2" xfId="13599" xr:uid="{99A13E68-5C34-4EFC-AC63-3956D45FE689}"/>
    <cellStyle name="Normal 4 3 4 4" xfId="9381" xr:uid="{487AE08C-4592-4464-B978-337599B4D8D1}"/>
    <cellStyle name="Normal 4 3 5" xfId="1262" xr:uid="{00000000-0005-0000-0000-0000B1140000}"/>
    <cellStyle name="Normal 4 3 5 2" xfId="3492" xr:uid="{00000000-0005-0000-0000-0000B2140000}"/>
    <cellStyle name="Normal 4 3 5 2 2" xfId="7715" xr:uid="{00000000-0005-0000-0000-0000B3140000}"/>
    <cellStyle name="Normal 4 3 5 2 2 2" xfId="16157" xr:uid="{C7786710-52CA-42F2-8623-7A3A61B2553B}"/>
    <cellStyle name="Normal 4 3 5 2 3" xfId="11939" xr:uid="{BA66CCA5-557A-4244-94B1-A2FB382BEBF8}"/>
    <cellStyle name="Normal 4 3 5 3" xfId="5570" xr:uid="{00000000-0005-0000-0000-0000B4140000}"/>
    <cellStyle name="Normal 4 3 5 3 2" xfId="14012" xr:uid="{30D14976-6D7F-42CA-8926-52B93610A7AD}"/>
    <cellStyle name="Normal 4 3 5 4" xfId="9794" xr:uid="{BAC072F8-C53B-4D8E-B04D-4D3219CC492E}"/>
    <cellStyle name="Normal 4 3 6" xfId="1675" xr:uid="{00000000-0005-0000-0000-0000B5140000}"/>
    <cellStyle name="Normal 4 3 6 2" xfId="3905" xr:uid="{00000000-0005-0000-0000-0000B6140000}"/>
    <cellStyle name="Normal 4 3 6 2 2" xfId="8128" xr:uid="{00000000-0005-0000-0000-0000B7140000}"/>
    <cellStyle name="Normal 4 3 6 2 2 2" xfId="16570" xr:uid="{B02F7CB4-0787-43AF-9D39-03477181FD3C}"/>
    <cellStyle name="Normal 4 3 6 2 3" xfId="12352" xr:uid="{91A98488-0552-485D-BF12-CB649B9F3631}"/>
    <cellStyle name="Normal 4 3 6 3" xfId="5983" xr:uid="{00000000-0005-0000-0000-0000B8140000}"/>
    <cellStyle name="Normal 4 3 6 3 2" xfId="14425" xr:uid="{731CBDFB-FFC1-46EF-92E2-F9E433A4AFD2}"/>
    <cellStyle name="Normal 4 3 6 4" xfId="10207" xr:uid="{BE8104F6-4FCA-4A7B-8C5D-E33586CF8298}"/>
    <cellStyle name="Normal 4 3 7" xfId="2089" xr:uid="{00000000-0005-0000-0000-0000B9140000}"/>
    <cellStyle name="Normal 4 3 7 2" xfId="4318" xr:uid="{00000000-0005-0000-0000-0000BA140000}"/>
    <cellStyle name="Normal 4 3 7 2 2" xfId="8541" xr:uid="{00000000-0005-0000-0000-0000BB140000}"/>
    <cellStyle name="Normal 4 3 7 2 2 2" xfId="16983" xr:uid="{92D83B3C-0C49-4AE9-B08C-C1EB19453666}"/>
    <cellStyle name="Normal 4 3 7 2 3" xfId="12765" xr:uid="{CBE3E0FC-6E15-4FA3-96A9-36BBDD9BEB06}"/>
    <cellStyle name="Normal 4 3 7 3" xfId="6396" xr:uid="{00000000-0005-0000-0000-0000BC140000}"/>
    <cellStyle name="Normal 4 3 7 3 2" xfId="14838" xr:uid="{1F08FB34-11CD-4C88-8F65-927F4A2696FF}"/>
    <cellStyle name="Normal 4 3 7 4" xfId="10620" xr:uid="{3C18F898-E0EB-4407-B146-E1C186BD56CC}"/>
    <cellStyle name="Normal 4 3 8" xfId="2525" xr:uid="{00000000-0005-0000-0000-0000BD140000}"/>
    <cellStyle name="Normal 4 3 8 2" xfId="6809" xr:uid="{00000000-0005-0000-0000-0000BE140000}"/>
    <cellStyle name="Normal 4 3 8 2 2" xfId="15251" xr:uid="{20CA6562-B478-4CE9-BF36-2FEC07852CAD}"/>
    <cellStyle name="Normal 4 3 8 3" xfId="11033" xr:uid="{B79F0023-DE4E-4CF4-8874-CDEC3C30377E}"/>
    <cellStyle name="Normal 4 3 9" xfId="4744" xr:uid="{00000000-0005-0000-0000-0000BF140000}"/>
    <cellStyle name="Normal 4 3 9 2" xfId="13186" xr:uid="{8BB251E7-F219-4FF6-BAD0-3C5C7BFBE92C}"/>
    <cellStyle name="Normal 4 4" xfId="378" xr:uid="{00000000-0005-0000-0000-0000C0140000}"/>
    <cellStyle name="Normal 4 4 10" xfId="2534" xr:uid="{00000000-0005-0000-0000-0000C1140000}"/>
    <cellStyle name="Normal 4 4 10 2" xfId="6818" xr:uid="{00000000-0005-0000-0000-0000C2140000}"/>
    <cellStyle name="Normal 4 4 10 2 2" xfId="15260" xr:uid="{D189F918-4FA9-4A5E-992C-0E93C14924B4}"/>
    <cellStyle name="Normal 4 4 10 3" xfId="11042" xr:uid="{7FD7DF70-907E-4DB8-8775-9CD74D3911B4}"/>
    <cellStyle name="Normal 4 4 11" xfId="4753" xr:uid="{00000000-0005-0000-0000-0000C3140000}"/>
    <cellStyle name="Normal 4 4 11 2" xfId="13195" xr:uid="{8C5FEA03-9EC0-4AD0-BFB3-8762E1FA01D4}"/>
    <cellStyle name="Normal 4 4 12" xfId="8977" xr:uid="{9D53E3E1-E426-4072-98A4-6B8A46ECD5B5}"/>
    <cellStyle name="Normal 4 4 2" xfId="379" xr:uid="{00000000-0005-0000-0000-0000C4140000}"/>
    <cellStyle name="Normal 4 4 2 10" xfId="4754" xr:uid="{00000000-0005-0000-0000-0000C5140000}"/>
    <cellStyle name="Normal 4 4 2 10 2" xfId="13196" xr:uid="{6870E2B5-8646-4823-B8B2-673317AD79DE}"/>
    <cellStyle name="Normal 4 4 2 11" xfId="8978" xr:uid="{CECF6F55-876C-4CEC-AC36-0496C4EA28C8}"/>
    <cellStyle name="Normal 4 4 2 2" xfId="380" xr:uid="{00000000-0005-0000-0000-0000C6140000}"/>
    <cellStyle name="Normal 4 4 2 2 10" xfId="8979" xr:uid="{D10C43DF-0F99-475C-BF55-58A37332CC92}"/>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09A71E3D-727E-4200-9335-10D53A88AD60}"/>
    <cellStyle name="Normal 4 4 2 2 2 2 2 2 3" xfId="11539" xr:uid="{3FD7D080-C34A-4EBA-AC25-373C8CC206B6}"/>
    <cellStyle name="Normal 4 4 2 2 2 2 2 3" xfId="5170" xr:uid="{00000000-0005-0000-0000-0000CC140000}"/>
    <cellStyle name="Normal 4 4 2 2 2 2 2 3 2" xfId="13612" xr:uid="{D29462F7-DF58-4E9F-9B6B-8D68229E5A92}"/>
    <cellStyle name="Normal 4 4 2 2 2 2 2 4" xfId="9394" xr:uid="{63943988-ED20-481D-A90C-87CAE0FEA13E}"/>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C5216EE6-59F5-4B35-80B6-740E7B7CF3D9}"/>
    <cellStyle name="Normal 4 4 2 2 2 2 3 2 3" xfId="11952" xr:uid="{5DE89795-2F46-4D72-9A69-7CE613B53A68}"/>
    <cellStyle name="Normal 4 4 2 2 2 2 3 3" xfId="5583" xr:uid="{00000000-0005-0000-0000-0000D0140000}"/>
    <cellStyle name="Normal 4 4 2 2 2 2 3 3 2" xfId="14025" xr:uid="{143918DC-3731-4EE9-98BC-ED874E5B8A6B}"/>
    <cellStyle name="Normal 4 4 2 2 2 2 3 4" xfId="9807" xr:uid="{77BE4319-8585-4E9E-82B6-2DA9E90292F9}"/>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7AD11E73-1CEA-4EED-986A-5CC22D964492}"/>
    <cellStyle name="Normal 4 4 2 2 2 2 4 2 3" xfId="12365" xr:uid="{C897B29F-9B1E-4EE0-B7D1-94133F55BFC0}"/>
    <cellStyle name="Normal 4 4 2 2 2 2 4 3" xfId="5996" xr:uid="{00000000-0005-0000-0000-0000D4140000}"/>
    <cellStyle name="Normal 4 4 2 2 2 2 4 3 2" xfId="14438" xr:uid="{1369C750-83EE-452E-9320-61C38AA6A868}"/>
    <cellStyle name="Normal 4 4 2 2 2 2 4 4" xfId="10220" xr:uid="{3883C240-73EA-4233-817B-AA39F779F6D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29D1A65E-C374-46FD-B7BF-1376B9AF1A43}"/>
    <cellStyle name="Normal 4 4 2 2 2 2 5 2 3" xfId="12778" xr:uid="{6ED44DC3-EDD1-4803-945A-A016A4AB88EE}"/>
    <cellStyle name="Normal 4 4 2 2 2 2 5 3" xfId="6409" xr:uid="{00000000-0005-0000-0000-0000D8140000}"/>
    <cellStyle name="Normal 4 4 2 2 2 2 5 3 2" xfId="14851" xr:uid="{6B43D099-366A-4410-A667-A14556B2B416}"/>
    <cellStyle name="Normal 4 4 2 2 2 2 5 4" xfId="10633" xr:uid="{9885547D-6D3F-4E8E-AEF4-6878841367F0}"/>
    <cellStyle name="Normal 4 4 2 2 2 2 6" xfId="2538" xr:uid="{00000000-0005-0000-0000-0000D9140000}"/>
    <cellStyle name="Normal 4 4 2 2 2 2 6 2" xfId="6822" xr:uid="{00000000-0005-0000-0000-0000DA140000}"/>
    <cellStyle name="Normal 4 4 2 2 2 2 6 2 2" xfId="15264" xr:uid="{12120EB0-D750-4099-B8E2-3B48A2A8F4EC}"/>
    <cellStyle name="Normal 4 4 2 2 2 2 6 3" xfId="11046" xr:uid="{7D191D77-18F7-4FF8-8FF2-2900B068F969}"/>
    <cellStyle name="Normal 4 4 2 2 2 2 7" xfId="4757" xr:uid="{00000000-0005-0000-0000-0000DB140000}"/>
    <cellStyle name="Normal 4 4 2 2 2 2 7 2" xfId="13199" xr:uid="{26B4F5AB-07B8-45B9-847C-E98085965D37}"/>
    <cellStyle name="Normal 4 4 2 2 2 2 8" xfId="8981" xr:uid="{49B61591-B9B8-40CD-897B-A0727B08E93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10979CBB-F3D4-481C-90B3-5779ECD9EB6C}"/>
    <cellStyle name="Normal 4 4 2 2 2 3 2 3" xfId="11538" xr:uid="{76C77DE9-126E-4732-AD7C-DA1465A8E3B0}"/>
    <cellStyle name="Normal 4 4 2 2 2 3 3" xfId="5169" xr:uid="{00000000-0005-0000-0000-0000DF140000}"/>
    <cellStyle name="Normal 4 4 2 2 2 3 3 2" xfId="13611" xr:uid="{D6D945BD-0A9F-40E9-B4EB-465C9A175D7D}"/>
    <cellStyle name="Normal 4 4 2 2 2 3 4" xfId="9393" xr:uid="{A366E824-C9A9-4BD4-B289-FEC2AC768B84}"/>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C789D273-A9C1-473F-94AD-0450FFFE2BB2}"/>
    <cellStyle name="Normal 4 4 2 2 2 4 2 3" xfId="11951" xr:uid="{62AB8D38-CD04-4EF2-82B5-601693B4DEB9}"/>
    <cellStyle name="Normal 4 4 2 2 2 4 3" xfId="5582" xr:uid="{00000000-0005-0000-0000-0000E3140000}"/>
    <cellStyle name="Normal 4 4 2 2 2 4 3 2" xfId="14024" xr:uid="{F432B166-A55F-4EB4-B094-7AA6A8EEE2A1}"/>
    <cellStyle name="Normal 4 4 2 2 2 4 4" xfId="9806" xr:uid="{923FBC05-326A-47FF-A2EC-65D9AA21DF8D}"/>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FC3B8FC4-084B-4460-8B0D-0AE4F5CB6157}"/>
    <cellStyle name="Normal 4 4 2 2 2 5 2 3" xfId="12364" xr:uid="{ACABD7B1-D14E-4737-A9F7-EC482296A08C}"/>
    <cellStyle name="Normal 4 4 2 2 2 5 3" xfId="5995" xr:uid="{00000000-0005-0000-0000-0000E7140000}"/>
    <cellStyle name="Normal 4 4 2 2 2 5 3 2" xfId="14437" xr:uid="{84AA98FC-C9FB-425C-81E3-10026739BB82}"/>
    <cellStyle name="Normal 4 4 2 2 2 5 4" xfId="10219" xr:uid="{D432DC20-34F0-4E7D-BAD7-F83515DFF30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14EAF8A7-B6E6-49C2-AAE7-E4DADAE61EF2}"/>
    <cellStyle name="Normal 4 4 2 2 2 6 2 3" xfId="12777" xr:uid="{80692B37-FA46-4762-BD25-0DD1750DAE2A}"/>
    <cellStyle name="Normal 4 4 2 2 2 6 3" xfId="6408" xr:uid="{00000000-0005-0000-0000-0000EB140000}"/>
    <cellStyle name="Normal 4 4 2 2 2 6 3 2" xfId="14850" xr:uid="{C5A70C6B-92D0-44E8-8CD6-3F24CAEA5578}"/>
    <cellStyle name="Normal 4 4 2 2 2 6 4" xfId="10632" xr:uid="{BCA17542-56AB-4D76-8284-883DD2847DF4}"/>
    <cellStyle name="Normal 4 4 2 2 2 7" xfId="2537" xr:uid="{00000000-0005-0000-0000-0000EC140000}"/>
    <cellStyle name="Normal 4 4 2 2 2 7 2" xfId="6821" xr:uid="{00000000-0005-0000-0000-0000ED140000}"/>
    <cellStyle name="Normal 4 4 2 2 2 7 2 2" xfId="15263" xr:uid="{29FB59E2-FDB6-416F-A2EA-7D5587E2303C}"/>
    <cellStyle name="Normal 4 4 2 2 2 7 3" xfId="11045" xr:uid="{5FB88AF0-B768-4004-851A-36175502A6BF}"/>
    <cellStyle name="Normal 4 4 2 2 2 8" xfId="4756" xr:uid="{00000000-0005-0000-0000-0000EE140000}"/>
    <cellStyle name="Normal 4 4 2 2 2 8 2" xfId="13198" xr:uid="{E623FBC0-0A8E-4B32-8CC8-0FB66ED99D0B}"/>
    <cellStyle name="Normal 4 4 2 2 2 9" xfId="8980" xr:uid="{A0F256B2-0539-4E3F-B18C-DCE890C30D9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682DEE0A-DAA5-43E3-A5D0-4D6A86341899}"/>
    <cellStyle name="Normal 4 4 2 2 3 2 2 3" xfId="11540" xr:uid="{76E6DAEE-4080-4375-8029-EC1AFADD4343}"/>
    <cellStyle name="Normal 4 4 2 2 3 2 3" xfId="5171" xr:uid="{00000000-0005-0000-0000-0000F3140000}"/>
    <cellStyle name="Normal 4 4 2 2 3 2 3 2" xfId="13613" xr:uid="{66BB2C0D-1BD8-4AF6-B515-6D47B275D3C2}"/>
    <cellStyle name="Normal 4 4 2 2 3 2 4" xfId="9395" xr:uid="{0AB7DBFB-A7EF-4818-847F-BFD917B76673}"/>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E888C17E-D698-4883-A552-786A1990E999}"/>
    <cellStyle name="Normal 4 4 2 2 3 3 2 3" xfId="11953" xr:uid="{8A24B16E-AE9A-43CD-BE34-845EC374208F}"/>
    <cellStyle name="Normal 4 4 2 2 3 3 3" xfId="5584" xr:uid="{00000000-0005-0000-0000-0000F7140000}"/>
    <cellStyle name="Normal 4 4 2 2 3 3 3 2" xfId="14026" xr:uid="{20082AEA-8EAB-4EDB-B3D6-912B4513A00E}"/>
    <cellStyle name="Normal 4 4 2 2 3 3 4" xfId="9808" xr:uid="{F94A58D3-493B-4075-B4AE-2B00903AFAB1}"/>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F0CAD4D1-D488-4351-A65E-ADEAAF347253}"/>
    <cellStyle name="Normal 4 4 2 2 3 4 2 3" xfId="12366" xr:uid="{B9DDDF18-6C3A-42F1-BBE9-73CB93C2194C}"/>
    <cellStyle name="Normal 4 4 2 2 3 4 3" xfId="5997" xr:uid="{00000000-0005-0000-0000-0000FB140000}"/>
    <cellStyle name="Normal 4 4 2 2 3 4 3 2" xfId="14439" xr:uid="{9A57A82D-10CD-4432-A3B2-646FCE6919FB}"/>
    <cellStyle name="Normal 4 4 2 2 3 4 4" xfId="10221" xr:uid="{822866B0-A424-4350-9B26-9F86249EAA37}"/>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A4D4927C-2E3D-40FB-9F82-383E6EF5BBE4}"/>
    <cellStyle name="Normal 4 4 2 2 3 5 2 3" xfId="12779" xr:uid="{542179D3-B839-4024-B446-B064623A70D3}"/>
    <cellStyle name="Normal 4 4 2 2 3 5 3" xfId="6410" xr:uid="{00000000-0005-0000-0000-0000FF140000}"/>
    <cellStyle name="Normal 4 4 2 2 3 5 3 2" xfId="14852" xr:uid="{2E42542F-AACC-475C-8618-D6F2130E1DF3}"/>
    <cellStyle name="Normal 4 4 2 2 3 5 4" xfId="10634" xr:uid="{7A3DD010-54B1-402C-8D05-65269A3A777E}"/>
    <cellStyle name="Normal 4 4 2 2 3 6" xfId="2539" xr:uid="{00000000-0005-0000-0000-000000150000}"/>
    <cellStyle name="Normal 4 4 2 2 3 6 2" xfId="6823" xr:uid="{00000000-0005-0000-0000-000001150000}"/>
    <cellStyle name="Normal 4 4 2 2 3 6 2 2" xfId="15265" xr:uid="{E7A98D8A-4F40-4C5B-B893-FF6126F88B47}"/>
    <cellStyle name="Normal 4 4 2 2 3 6 3" xfId="11047" xr:uid="{EE085743-B1DC-4FC2-A299-3549B69EB147}"/>
    <cellStyle name="Normal 4 4 2 2 3 7" xfId="4758" xr:uid="{00000000-0005-0000-0000-000002150000}"/>
    <cellStyle name="Normal 4 4 2 2 3 7 2" xfId="13200" xr:uid="{727B3ADF-981B-4D38-9276-244E751F2163}"/>
    <cellStyle name="Normal 4 4 2 2 3 8" xfId="8982" xr:uid="{53A7B084-E884-4F1F-AFD6-0D31B4EB101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FB172FFB-18EF-47A0-97DB-1C4294B9916A}"/>
    <cellStyle name="Normal 4 4 2 2 4 2 3" xfId="11537" xr:uid="{0FA35D1F-3189-4471-AA62-9679E423A6CC}"/>
    <cellStyle name="Normal 4 4 2 2 4 3" xfId="5168" xr:uid="{00000000-0005-0000-0000-000006150000}"/>
    <cellStyle name="Normal 4 4 2 2 4 3 2" xfId="13610" xr:uid="{112F0EB7-CAC7-4158-B3C6-180457B439A2}"/>
    <cellStyle name="Normal 4 4 2 2 4 4" xfId="9392" xr:uid="{9D94ADF9-2DF5-430D-980E-0CC11F4A03AD}"/>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190A8839-4B3A-4B63-A302-5F5674996447}"/>
    <cellStyle name="Normal 4 4 2 2 5 2 3" xfId="11950" xr:uid="{017CDB42-3E5C-435F-AEEC-0B99BE393459}"/>
    <cellStyle name="Normal 4 4 2 2 5 3" xfId="5581" xr:uid="{00000000-0005-0000-0000-00000A150000}"/>
    <cellStyle name="Normal 4 4 2 2 5 3 2" xfId="14023" xr:uid="{68490C6A-EBFE-4A9C-AA4F-1A1EA1D47D8D}"/>
    <cellStyle name="Normal 4 4 2 2 5 4" xfId="9805" xr:uid="{1ACC4E99-A97C-4DB1-BD37-19832298F719}"/>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23CB9ED1-5CCF-4883-8FB3-D07C27254D3E}"/>
    <cellStyle name="Normal 4 4 2 2 6 2 3" xfId="12363" xr:uid="{ABB60A4D-D888-4753-9EB0-EEB7CCCAB576}"/>
    <cellStyle name="Normal 4 4 2 2 6 3" xfId="5994" xr:uid="{00000000-0005-0000-0000-00000E150000}"/>
    <cellStyle name="Normal 4 4 2 2 6 3 2" xfId="14436" xr:uid="{8874C369-3BE2-4876-A173-AA5597A366EC}"/>
    <cellStyle name="Normal 4 4 2 2 6 4" xfId="10218" xr:uid="{3D50B1BB-EDFB-47B7-8171-6DFD3E5DC92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7C35CB27-5658-492F-B03A-753A9C9B471C}"/>
    <cellStyle name="Normal 4 4 2 2 7 2 3" xfId="12776" xr:uid="{E4F62DA4-DD7D-4C0C-AC83-58069A4D2ABD}"/>
    <cellStyle name="Normal 4 4 2 2 7 3" xfId="6407" xr:uid="{00000000-0005-0000-0000-000012150000}"/>
    <cellStyle name="Normal 4 4 2 2 7 3 2" xfId="14849" xr:uid="{524DC333-B49D-47D3-B111-2CAC6DA2EA09}"/>
    <cellStyle name="Normal 4 4 2 2 7 4" xfId="10631" xr:uid="{67E68751-A81C-454F-A1FF-38C6C2EB0543}"/>
    <cellStyle name="Normal 4 4 2 2 8" xfId="2536" xr:uid="{00000000-0005-0000-0000-000013150000}"/>
    <cellStyle name="Normal 4 4 2 2 8 2" xfId="6820" xr:uid="{00000000-0005-0000-0000-000014150000}"/>
    <cellStyle name="Normal 4 4 2 2 8 2 2" xfId="15262" xr:uid="{9BB3BD11-E785-49B0-B263-978450BDBC6F}"/>
    <cellStyle name="Normal 4 4 2 2 8 3" xfId="11044" xr:uid="{B4D29504-A388-4AB9-AF39-BE5116C34B62}"/>
    <cellStyle name="Normal 4 4 2 2 9" xfId="4755" xr:uid="{00000000-0005-0000-0000-000015150000}"/>
    <cellStyle name="Normal 4 4 2 2 9 2" xfId="13197" xr:uid="{65169B1F-A523-4FB1-8057-EAE29DC1BB5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E4F4FE44-1AD8-43A4-BD6D-B549F2F1B4C2}"/>
    <cellStyle name="Normal 4 4 2 3 2 2 2 3" xfId="11542" xr:uid="{70B90803-095C-4C6F-B23F-5C369AE1AC4F}"/>
    <cellStyle name="Normal 4 4 2 3 2 2 3" xfId="5173" xr:uid="{00000000-0005-0000-0000-00001B150000}"/>
    <cellStyle name="Normal 4 4 2 3 2 2 3 2" xfId="13615" xr:uid="{4329AC61-B3A7-4048-95BC-312BCCE336B3}"/>
    <cellStyle name="Normal 4 4 2 3 2 2 4" xfId="9397" xr:uid="{04DF5259-DAE2-43CC-B58D-750D9892060F}"/>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13435D0A-547A-45A2-A18F-4B06004C8331}"/>
    <cellStyle name="Normal 4 4 2 3 2 3 2 3" xfId="11955" xr:uid="{247D71F2-9A57-44BC-8C80-5FF830553A27}"/>
    <cellStyle name="Normal 4 4 2 3 2 3 3" xfId="5586" xr:uid="{00000000-0005-0000-0000-00001F150000}"/>
    <cellStyle name="Normal 4 4 2 3 2 3 3 2" xfId="14028" xr:uid="{853C2097-A0C9-4EC7-AE4E-A1D71C8DEA67}"/>
    <cellStyle name="Normal 4 4 2 3 2 3 4" xfId="9810" xr:uid="{04D59DF0-B74A-45D1-ABBB-3B5B789809D6}"/>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21488EEC-F904-4080-B7E0-CEF81817941A}"/>
    <cellStyle name="Normal 4 4 2 3 2 4 2 3" xfId="12368" xr:uid="{10A022D9-4E3B-4A6F-9097-DF9777943F43}"/>
    <cellStyle name="Normal 4 4 2 3 2 4 3" xfId="5999" xr:uid="{00000000-0005-0000-0000-000023150000}"/>
    <cellStyle name="Normal 4 4 2 3 2 4 3 2" xfId="14441" xr:uid="{26CC6947-9D3F-4BAB-87B5-A1DB1E96F559}"/>
    <cellStyle name="Normal 4 4 2 3 2 4 4" xfId="10223" xr:uid="{9E22506C-6E95-48C2-8B8B-85D28B970615}"/>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19E5566A-CCFA-405E-914B-CFC48E65877F}"/>
    <cellStyle name="Normal 4 4 2 3 2 5 2 3" xfId="12781" xr:uid="{2D140DFC-7DFE-4C29-8761-0B331EBED99A}"/>
    <cellStyle name="Normal 4 4 2 3 2 5 3" xfId="6412" xr:uid="{00000000-0005-0000-0000-000027150000}"/>
    <cellStyle name="Normal 4 4 2 3 2 5 3 2" xfId="14854" xr:uid="{FF58C7EA-1222-4268-8CBC-48D0CA4146CE}"/>
    <cellStyle name="Normal 4 4 2 3 2 5 4" xfId="10636" xr:uid="{E0549001-1092-4345-A9BC-72C17455EA98}"/>
    <cellStyle name="Normal 4 4 2 3 2 6" xfId="2541" xr:uid="{00000000-0005-0000-0000-000028150000}"/>
    <cellStyle name="Normal 4 4 2 3 2 6 2" xfId="6825" xr:uid="{00000000-0005-0000-0000-000029150000}"/>
    <cellStyle name="Normal 4 4 2 3 2 6 2 2" xfId="15267" xr:uid="{F6B4FA22-68E0-4A48-804F-FA28FBB1F089}"/>
    <cellStyle name="Normal 4 4 2 3 2 6 3" xfId="11049" xr:uid="{A1CB5E76-0B4A-47C3-8E52-5DBB2EA79745}"/>
    <cellStyle name="Normal 4 4 2 3 2 7" xfId="4760" xr:uid="{00000000-0005-0000-0000-00002A150000}"/>
    <cellStyle name="Normal 4 4 2 3 2 7 2" xfId="13202" xr:uid="{537C7B74-F249-45CA-8BDC-0B50EA982CF6}"/>
    <cellStyle name="Normal 4 4 2 3 2 8" xfId="8984" xr:uid="{C3FC5058-E812-4E64-B24D-0B76CC19F950}"/>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7D740750-797A-4681-B4CB-AED38CC795E6}"/>
    <cellStyle name="Normal 4 4 2 3 3 2 3" xfId="11541" xr:uid="{B014E30F-3EA9-4999-93C5-3177D355D760}"/>
    <cellStyle name="Normal 4 4 2 3 3 3" xfId="5172" xr:uid="{00000000-0005-0000-0000-00002E150000}"/>
    <cellStyle name="Normal 4 4 2 3 3 3 2" xfId="13614" xr:uid="{D68DD05B-D6D2-4AB7-AB4E-1CC0B8D65AE4}"/>
    <cellStyle name="Normal 4 4 2 3 3 4" xfId="9396" xr:uid="{766896E4-099E-4C1C-A4B6-A149E950F40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9D41A5D7-30B1-4356-8D25-EA752076BD26}"/>
    <cellStyle name="Normal 4 4 2 3 4 2 3" xfId="11954" xr:uid="{5AA95EA7-76F1-4D8D-9E90-885BF9A12041}"/>
    <cellStyle name="Normal 4 4 2 3 4 3" xfId="5585" xr:uid="{00000000-0005-0000-0000-000032150000}"/>
    <cellStyle name="Normal 4 4 2 3 4 3 2" xfId="14027" xr:uid="{4F23709D-C49B-4F21-94CB-02099A5FF6CE}"/>
    <cellStyle name="Normal 4 4 2 3 4 4" xfId="9809" xr:uid="{E7ED4DA6-5C5C-40C8-ACF8-EC97C891471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47CDA27C-E058-40D7-A9B1-E0316F891019}"/>
    <cellStyle name="Normal 4 4 2 3 5 2 3" xfId="12367" xr:uid="{82754723-46D2-42B9-83F7-FFCEB70A639C}"/>
    <cellStyle name="Normal 4 4 2 3 5 3" xfId="5998" xr:uid="{00000000-0005-0000-0000-000036150000}"/>
    <cellStyle name="Normal 4 4 2 3 5 3 2" xfId="14440" xr:uid="{0B175676-AD3A-4BAB-891F-5FA305BA077A}"/>
    <cellStyle name="Normal 4 4 2 3 5 4" xfId="10222" xr:uid="{91C3AD74-D669-484C-9AF6-FC921171D2E0}"/>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6EFF597C-5014-46BE-9845-75E11DB1573C}"/>
    <cellStyle name="Normal 4 4 2 3 6 2 3" xfId="12780" xr:uid="{E3762C7E-4627-4D20-9737-EEB81C03D70D}"/>
    <cellStyle name="Normal 4 4 2 3 6 3" xfId="6411" xr:uid="{00000000-0005-0000-0000-00003A150000}"/>
    <cellStyle name="Normal 4 4 2 3 6 3 2" xfId="14853" xr:uid="{338A3FDF-A52B-43F9-95DE-789AC02BE339}"/>
    <cellStyle name="Normal 4 4 2 3 6 4" xfId="10635" xr:uid="{FBDB7EE8-B39A-4749-87C9-71579635449C}"/>
    <cellStyle name="Normal 4 4 2 3 7" xfId="2540" xr:uid="{00000000-0005-0000-0000-00003B150000}"/>
    <cellStyle name="Normal 4 4 2 3 7 2" xfId="6824" xr:uid="{00000000-0005-0000-0000-00003C150000}"/>
    <cellStyle name="Normal 4 4 2 3 7 2 2" xfId="15266" xr:uid="{45EBD3AB-92C1-4B5E-91CE-D9F222A354F8}"/>
    <cellStyle name="Normal 4 4 2 3 7 3" xfId="11048" xr:uid="{C0DCD0B3-C623-41D0-A8E9-2F13BBA668AD}"/>
    <cellStyle name="Normal 4 4 2 3 8" xfId="4759" xr:uid="{00000000-0005-0000-0000-00003D150000}"/>
    <cellStyle name="Normal 4 4 2 3 8 2" xfId="13201" xr:uid="{B87D0B73-821A-4FBE-ACA9-38CE9A6F5A04}"/>
    <cellStyle name="Normal 4 4 2 3 9" xfId="8983" xr:uid="{32C08679-ED43-43B9-BFBC-ECC03E26827F}"/>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5F6F95E-329F-4FA3-8985-C8E95C3417ED}"/>
    <cellStyle name="Normal 4 4 2 4 2 2 3" xfId="11543" xr:uid="{E5964EFD-65AA-4415-8CC6-357B442C23D5}"/>
    <cellStyle name="Normal 4 4 2 4 2 3" xfId="5174" xr:uid="{00000000-0005-0000-0000-000042150000}"/>
    <cellStyle name="Normal 4 4 2 4 2 3 2" xfId="13616" xr:uid="{01295A45-05D2-4D47-9563-92BA112B481B}"/>
    <cellStyle name="Normal 4 4 2 4 2 4" xfId="9398" xr:uid="{890C28F8-2C88-433F-A7B8-31D8532A80D7}"/>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DF131F6A-A5D1-42A2-AC73-C745DBA10D8B}"/>
    <cellStyle name="Normal 4 4 2 4 3 2 3" xfId="11956" xr:uid="{E4CE225D-F3A1-4684-9230-94D165E55BEA}"/>
    <cellStyle name="Normal 4 4 2 4 3 3" xfId="5587" xr:uid="{00000000-0005-0000-0000-000046150000}"/>
    <cellStyle name="Normal 4 4 2 4 3 3 2" xfId="14029" xr:uid="{13CAE808-EB4B-4892-A56F-450F193D87AF}"/>
    <cellStyle name="Normal 4 4 2 4 3 4" xfId="9811" xr:uid="{5271CEAB-04B1-4866-A062-7437FFF8702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D3C426C8-B10D-47B5-BABF-CDADD230938D}"/>
    <cellStyle name="Normal 4 4 2 4 4 2 3" xfId="12369" xr:uid="{FB417996-15E5-4E37-95C1-0D25D9365A5B}"/>
    <cellStyle name="Normal 4 4 2 4 4 3" xfId="6000" xr:uid="{00000000-0005-0000-0000-00004A150000}"/>
    <cellStyle name="Normal 4 4 2 4 4 3 2" xfId="14442" xr:uid="{300630D7-F0C2-4C0E-920D-CC80DE3E3284}"/>
    <cellStyle name="Normal 4 4 2 4 4 4" xfId="10224" xr:uid="{AF616D00-B585-4693-8414-D7831C7FA479}"/>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95AC4305-96B6-4234-B3CA-F70FDCC20206}"/>
    <cellStyle name="Normal 4 4 2 4 5 2 3" xfId="12782" xr:uid="{9902234A-CB4A-4817-BE0F-0E7508990D0E}"/>
    <cellStyle name="Normal 4 4 2 4 5 3" xfId="6413" xr:uid="{00000000-0005-0000-0000-00004E150000}"/>
    <cellStyle name="Normal 4 4 2 4 5 3 2" xfId="14855" xr:uid="{1D4FC268-B142-435D-A028-DCF7372652DA}"/>
    <cellStyle name="Normal 4 4 2 4 5 4" xfId="10637" xr:uid="{C75C507D-0548-4599-AE95-A600331E40BE}"/>
    <cellStyle name="Normal 4 4 2 4 6" xfId="2542" xr:uid="{00000000-0005-0000-0000-00004F150000}"/>
    <cellStyle name="Normal 4 4 2 4 6 2" xfId="6826" xr:uid="{00000000-0005-0000-0000-000050150000}"/>
    <cellStyle name="Normal 4 4 2 4 6 2 2" xfId="15268" xr:uid="{9EBC5546-BB8F-4306-B476-1484AB7ECBA7}"/>
    <cellStyle name="Normal 4 4 2 4 6 3" xfId="11050" xr:uid="{E9D84159-9D4E-4E1E-955E-F020F344B27C}"/>
    <cellStyle name="Normal 4 4 2 4 7" xfId="4761" xr:uid="{00000000-0005-0000-0000-000051150000}"/>
    <cellStyle name="Normal 4 4 2 4 7 2" xfId="13203" xr:uid="{5DCD958F-233C-4143-B4D8-5B731C7A05AD}"/>
    <cellStyle name="Normal 4 4 2 4 8" xfId="8985" xr:uid="{352BE675-A5BD-4C55-B284-A0BBDC4B8F23}"/>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1CCD50F0-5C78-4792-8BCB-7FF4C192283F}"/>
    <cellStyle name="Normal 4 4 2 5 2 3" xfId="11536" xr:uid="{C13C0CF4-A823-4E28-96EA-EB3AB37886A7}"/>
    <cellStyle name="Normal 4 4 2 5 3" xfId="5167" xr:uid="{00000000-0005-0000-0000-000055150000}"/>
    <cellStyle name="Normal 4 4 2 5 3 2" xfId="13609" xr:uid="{74A185BB-52E5-4662-BF86-690A7723E0A7}"/>
    <cellStyle name="Normal 4 4 2 5 4" xfId="9391" xr:uid="{ABE1228A-4758-4465-917B-3C061440472D}"/>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4AAB7DD6-2A07-4446-98F4-FDCD6B5CA32F}"/>
    <cellStyle name="Normal 4 4 2 6 2 3" xfId="11949" xr:uid="{E3ED1BB4-D4ED-4C0E-B5C1-3F0FE3DA4B7D}"/>
    <cellStyle name="Normal 4 4 2 6 3" xfId="5580" xr:uid="{00000000-0005-0000-0000-000059150000}"/>
    <cellStyle name="Normal 4 4 2 6 3 2" xfId="14022" xr:uid="{66EA0F89-6B5C-4B3F-9274-4927B835E17D}"/>
    <cellStyle name="Normal 4 4 2 6 4" xfId="9804" xr:uid="{B67CC40F-40A3-4482-8D28-1529648722AC}"/>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6FA70625-F27D-4BEA-AC61-656919E4D9F5}"/>
    <cellStyle name="Normal 4 4 2 7 2 3" xfId="12362" xr:uid="{2467D60C-46AC-4B2B-84F0-2DD76A7B54CC}"/>
    <cellStyle name="Normal 4 4 2 7 3" xfId="5993" xr:uid="{00000000-0005-0000-0000-00005D150000}"/>
    <cellStyle name="Normal 4 4 2 7 3 2" xfId="14435" xr:uid="{A8D28CB8-5AA2-4937-B02A-9384B1B1202B}"/>
    <cellStyle name="Normal 4 4 2 7 4" xfId="10217" xr:uid="{D30E3538-06B1-458F-8488-97A82A03E3B8}"/>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1FC0EAA6-A296-4EC2-8CBE-3E1D525B427A}"/>
    <cellStyle name="Normal 4 4 2 8 2 3" xfId="12775" xr:uid="{073276A3-67D3-4D5A-8F28-2F8EE9DD5A40}"/>
    <cellStyle name="Normal 4 4 2 8 3" xfId="6406" xr:uid="{00000000-0005-0000-0000-000061150000}"/>
    <cellStyle name="Normal 4 4 2 8 3 2" xfId="14848" xr:uid="{004D878B-DC3B-4345-8B1D-4CFBB294BAF5}"/>
    <cellStyle name="Normal 4 4 2 8 4" xfId="10630" xr:uid="{A2595662-FCF8-4D99-94EE-F341699203BC}"/>
    <cellStyle name="Normal 4 4 2 9" xfId="2535" xr:uid="{00000000-0005-0000-0000-000062150000}"/>
    <cellStyle name="Normal 4 4 2 9 2" xfId="6819" xr:uid="{00000000-0005-0000-0000-000063150000}"/>
    <cellStyle name="Normal 4 4 2 9 2 2" xfId="15261" xr:uid="{36212D01-80AC-45A4-B0EE-9A1547CE7A83}"/>
    <cellStyle name="Normal 4 4 2 9 3" xfId="11043" xr:uid="{D891D534-C1E9-4236-B534-B0DE25A0E6A7}"/>
    <cellStyle name="Normal 4 4 3" xfId="387" xr:uid="{00000000-0005-0000-0000-000064150000}"/>
    <cellStyle name="Normal 4 4 3 10" xfId="8986" xr:uid="{E468DB94-1588-43AF-BA13-6E78C087717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6008A262-0FAA-4512-ADB9-83D900088DBA}"/>
    <cellStyle name="Normal 4 4 3 2 2 2 2 3" xfId="11546" xr:uid="{2EBC7A9E-7D69-480A-A1A8-B25BFFDA663A}"/>
    <cellStyle name="Normal 4 4 3 2 2 2 3" xfId="5177" xr:uid="{00000000-0005-0000-0000-00006A150000}"/>
    <cellStyle name="Normal 4 4 3 2 2 2 3 2" xfId="13619" xr:uid="{CFD3723C-843B-44D6-A02D-99F5ACA45213}"/>
    <cellStyle name="Normal 4 4 3 2 2 2 4" xfId="9401" xr:uid="{67A5AAE1-5949-41D2-8D2F-B1CFE402FEA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813B0D7F-4269-4CB2-BA40-D4D1A37B65AB}"/>
    <cellStyle name="Normal 4 4 3 2 2 3 2 3" xfId="11959" xr:uid="{1C73299D-EFB3-45D6-8836-D0A08FA16BFD}"/>
    <cellStyle name="Normal 4 4 3 2 2 3 3" xfId="5590" xr:uid="{00000000-0005-0000-0000-00006E150000}"/>
    <cellStyle name="Normal 4 4 3 2 2 3 3 2" xfId="14032" xr:uid="{24C7D9E6-8ED8-47FC-A3C4-6CF2BB761916}"/>
    <cellStyle name="Normal 4 4 3 2 2 3 4" xfId="9814" xr:uid="{2EF43802-F468-401F-8345-13D9974C9684}"/>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2BFFEC94-0540-4ED4-9565-98E3A8C88611}"/>
    <cellStyle name="Normal 4 4 3 2 2 4 2 3" xfId="12372" xr:uid="{5C48CAB7-B801-4A34-BB2F-15A44B0813D7}"/>
    <cellStyle name="Normal 4 4 3 2 2 4 3" xfId="6003" xr:uid="{00000000-0005-0000-0000-000072150000}"/>
    <cellStyle name="Normal 4 4 3 2 2 4 3 2" xfId="14445" xr:uid="{93A759EF-08A1-4A7A-83A6-48E1D9733E7D}"/>
    <cellStyle name="Normal 4 4 3 2 2 4 4" xfId="10227" xr:uid="{96EB1F8F-8E4A-4C42-8CAC-77F7AD96F46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B0028CCA-5046-417A-B925-9005ED593291}"/>
    <cellStyle name="Normal 4 4 3 2 2 5 2 3" xfId="12785" xr:uid="{3F31A876-0FFA-46A9-9AB5-FD375CCA7679}"/>
    <cellStyle name="Normal 4 4 3 2 2 5 3" xfId="6416" xr:uid="{00000000-0005-0000-0000-000076150000}"/>
    <cellStyle name="Normal 4 4 3 2 2 5 3 2" xfId="14858" xr:uid="{91FB3CC7-ECAA-46FB-B5A3-C86FAF1B3503}"/>
    <cellStyle name="Normal 4 4 3 2 2 5 4" xfId="10640" xr:uid="{746A137C-D9D5-4A9B-8268-BEB3EA260292}"/>
    <cellStyle name="Normal 4 4 3 2 2 6" xfId="2545" xr:uid="{00000000-0005-0000-0000-000077150000}"/>
    <cellStyle name="Normal 4 4 3 2 2 6 2" xfId="6829" xr:uid="{00000000-0005-0000-0000-000078150000}"/>
    <cellStyle name="Normal 4 4 3 2 2 6 2 2" xfId="15271" xr:uid="{4F3E2947-AC5C-4A48-807F-CAF406522565}"/>
    <cellStyle name="Normal 4 4 3 2 2 6 3" xfId="11053" xr:uid="{232AECCC-3FB0-4E06-AD37-41198E664149}"/>
    <cellStyle name="Normal 4 4 3 2 2 7" xfId="4764" xr:uid="{00000000-0005-0000-0000-000079150000}"/>
    <cellStyle name="Normal 4 4 3 2 2 7 2" xfId="13206" xr:uid="{45B2EF76-4101-42EF-A784-53E0FC8F3D91}"/>
    <cellStyle name="Normal 4 4 3 2 2 8" xfId="8988" xr:uid="{1A5A01AD-0583-46D2-8D5B-9E8053818575}"/>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6C6CEF0F-ED1F-4E0A-90D9-B26C8DB3C8E9}"/>
    <cellStyle name="Normal 4 4 3 2 3 2 3" xfId="11545" xr:uid="{C54F1FB2-5771-4831-BB0B-5EAE60D12FB9}"/>
    <cellStyle name="Normal 4 4 3 2 3 3" xfId="5176" xr:uid="{00000000-0005-0000-0000-00007D150000}"/>
    <cellStyle name="Normal 4 4 3 2 3 3 2" xfId="13618" xr:uid="{571878E7-A531-4B11-BEB2-C6161CA6DE7D}"/>
    <cellStyle name="Normal 4 4 3 2 3 4" xfId="9400" xr:uid="{748F86B4-D53B-4B75-AE23-CA37D91AA947}"/>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916C9185-FF96-4A96-8046-6927117D5EAC}"/>
    <cellStyle name="Normal 4 4 3 2 4 2 3" xfId="11958" xr:uid="{687A082A-BDBC-4970-82C2-CEED7C12E5B1}"/>
    <cellStyle name="Normal 4 4 3 2 4 3" xfId="5589" xr:uid="{00000000-0005-0000-0000-000081150000}"/>
    <cellStyle name="Normal 4 4 3 2 4 3 2" xfId="14031" xr:uid="{2DC8B4E1-15DB-46DC-886E-2AA9A9BD4737}"/>
    <cellStyle name="Normal 4 4 3 2 4 4" xfId="9813" xr:uid="{1B5C1AA4-56A1-498B-BCD0-69E496E79631}"/>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39EF04D7-2EF7-4FD9-95E0-5CE43CE93298}"/>
    <cellStyle name="Normal 4 4 3 2 5 2 3" xfId="12371" xr:uid="{21F393DC-68CC-4910-92EE-29C88D13AC06}"/>
    <cellStyle name="Normal 4 4 3 2 5 3" xfId="6002" xr:uid="{00000000-0005-0000-0000-000085150000}"/>
    <cellStyle name="Normal 4 4 3 2 5 3 2" xfId="14444" xr:uid="{6CAC6D4D-3DCE-4F80-A09F-29DD6C429FE3}"/>
    <cellStyle name="Normal 4 4 3 2 5 4" xfId="10226" xr:uid="{623FE270-FB16-42B2-A529-CE58A0728D6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97936411-DD80-4104-BAEB-5BBEC5069352}"/>
    <cellStyle name="Normal 4 4 3 2 6 2 3" xfId="12784" xr:uid="{0388EC85-E217-463C-BBAE-A37C6AD90504}"/>
    <cellStyle name="Normal 4 4 3 2 6 3" xfId="6415" xr:uid="{00000000-0005-0000-0000-000089150000}"/>
    <cellStyle name="Normal 4 4 3 2 6 3 2" xfId="14857" xr:uid="{FB62A2E3-1D12-42C8-9F1E-143C7E44EB09}"/>
    <cellStyle name="Normal 4 4 3 2 6 4" xfId="10639" xr:uid="{91D72FC3-987D-4316-8243-EE8C737657F1}"/>
    <cellStyle name="Normal 4 4 3 2 7" xfId="2544" xr:uid="{00000000-0005-0000-0000-00008A150000}"/>
    <cellStyle name="Normal 4 4 3 2 7 2" xfId="6828" xr:uid="{00000000-0005-0000-0000-00008B150000}"/>
    <cellStyle name="Normal 4 4 3 2 7 2 2" xfId="15270" xr:uid="{B6D64BB8-952E-4513-BBA7-2C562CB97BD9}"/>
    <cellStyle name="Normal 4 4 3 2 7 3" xfId="11052" xr:uid="{454656FD-6496-4B02-B5C8-E690B7FC52A2}"/>
    <cellStyle name="Normal 4 4 3 2 8" xfId="4763" xr:uid="{00000000-0005-0000-0000-00008C150000}"/>
    <cellStyle name="Normal 4 4 3 2 8 2" xfId="13205" xr:uid="{EC46EBFF-5422-4308-8687-A0EA3231C180}"/>
    <cellStyle name="Normal 4 4 3 2 9" xfId="8987" xr:uid="{5D05E02F-113D-4FC5-AE96-0A2CCF14C36F}"/>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DFA1BAEF-68FF-4FD3-A85E-7B10D3AD1B44}"/>
    <cellStyle name="Normal 4 4 3 3 2 2 3" xfId="11547" xr:uid="{CAD7063A-AFCB-4C0B-BBCD-FACDFD3495F0}"/>
    <cellStyle name="Normal 4 4 3 3 2 3" xfId="5178" xr:uid="{00000000-0005-0000-0000-000091150000}"/>
    <cellStyle name="Normal 4 4 3 3 2 3 2" xfId="13620" xr:uid="{F228C1F9-4F39-446D-89BF-2BB872AA4624}"/>
    <cellStyle name="Normal 4 4 3 3 2 4" xfId="9402" xr:uid="{36321EA7-C1E7-40BB-9EF0-DACBA1572F4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99363D1A-C2EC-42B1-9F96-B00E08C90C05}"/>
    <cellStyle name="Normal 4 4 3 3 3 2 3" xfId="11960" xr:uid="{86A868D1-66DE-4204-A1C0-E9748496F7C5}"/>
    <cellStyle name="Normal 4 4 3 3 3 3" xfId="5591" xr:uid="{00000000-0005-0000-0000-000095150000}"/>
    <cellStyle name="Normal 4 4 3 3 3 3 2" xfId="14033" xr:uid="{0DBF58E2-C660-45A0-969C-6B1322485BCC}"/>
    <cellStyle name="Normal 4 4 3 3 3 4" xfId="9815" xr:uid="{28453E22-A23B-4A96-AD57-4DB9264EA65B}"/>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D15F940E-409A-428E-B39F-88A195A81B6F}"/>
    <cellStyle name="Normal 4 4 3 3 4 2 3" xfId="12373" xr:uid="{FF799914-19E2-4BA0-BD0B-73E616B76D59}"/>
    <cellStyle name="Normal 4 4 3 3 4 3" xfId="6004" xr:uid="{00000000-0005-0000-0000-000099150000}"/>
    <cellStyle name="Normal 4 4 3 3 4 3 2" xfId="14446" xr:uid="{317A5D1A-A0F2-4D7E-B79B-709C6643582A}"/>
    <cellStyle name="Normal 4 4 3 3 4 4" xfId="10228" xr:uid="{64CE33EC-0EE6-499F-9EF2-DC687A3E63A8}"/>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BD56889B-5D81-4265-AEA2-3AEDA1A6E361}"/>
    <cellStyle name="Normal 4 4 3 3 5 2 3" xfId="12786" xr:uid="{AAF149B2-BDB9-4F60-B42E-039C55E883A8}"/>
    <cellStyle name="Normal 4 4 3 3 5 3" xfId="6417" xr:uid="{00000000-0005-0000-0000-00009D150000}"/>
    <cellStyle name="Normal 4 4 3 3 5 3 2" xfId="14859" xr:uid="{52EDE199-3E29-4A26-BD88-548FFDD82C3D}"/>
    <cellStyle name="Normal 4 4 3 3 5 4" xfId="10641" xr:uid="{119BBB9A-00B0-4504-926C-9D83120F67B4}"/>
    <cellStyle name="Normal 4 4 3 3 6" xfId="2546" xr:uid="{00000000-0005-0000-0000-00009E150000}"/>
    <cellStyle name="Normal 4 4 3 3 6 2" xfId="6830" xr:uid="{00000000-0005-0000-0000-00009F150000}"/>
    <cellStyle name="Normal 4 4 3 3 6 2 2" xfId="15272" xr:uid="{381774A9-6E3E-4805-A7EE-41CED79783EA}"/>
    <cellStyle name="Normal 4 4 3 3 6 3" xfId="11054" xr:uid="{CBF3819F-40EB-45CB-8BFB-14B0B4924E01}"/>
    <cellStyle name="Normal 4 4 3 3 7" xfId="4765" xr:uid="{00000000-0005-0000-0000-0000A0150000}"/>
    <cellStyle name="Normal 4 4 3 3 7 2" xfId="13207" xr:uid="{12C66569-68F7-4824-80FA-83CCF694CBB6}"/>
    <cellStyle name="Normal 4 4 3 3 8" xfId="8989" xr:uid="{D044A967-DD5E-4B58-AA5C-271582DED300}"/>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51DA821B-27CA-41FD-A29E-3FAC39FC465D}"/>
    <cellStyle name="Normal 4 4 3 4 2 3" xfId="11544" xr:uid="{73C3D5DF-A0DC-419C-9B67-A704A9235ADC}"/>
    <cellStyle name="Normal 4 4 3 4 3" xfId="5175" xr:uid="{00000000-0005-0000-0000-0000A4150000}"/>
    <cellStyle name="Normal 4 4 3 4 3 2" xfId="13617" xr:uid="{298F988D-9607-45A0-BE76-875EE2C6C981}"/>
    <cellStyle name="Normal 4 4 3 4 4" xfId="9399" xr:uid="{7750AFB2-6649-4E06-B1D1-C3A41D9BA14F}"/>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12515806-C793-4F35-8C0A-148D20A4E630}"/>
    <cellStyle name="Normal 4 4 3 5 2 3" xfId="11957" xr:uid="{450018E7-14EB-48A9-BA96-2E19F07DF5AC}"/>
    <cellStyle name="Normal 4 4 3 5 3" xfId="5588" xr:uid="{00000000-0005-0000-0000-0000A8150000}"/>
    <cellStyle name="Normal 4 4 3 5 3 2" xfId="14030" xr:uid="{7CAC871E-E544-469A-A076-0AA60B7345C7}"/>
    <cellStyle name="Normal 4 4 3 5 4" xfId="9812" xr:uid="{4DED3D97-9D5E-4A65-94BF-9DD5661CDBC4}"/>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1357B7A8-9FAE-4FAF-8696-81048480C267}"/>
    <cellStyle name="Normal 4 4 3 6 2 3" xfId="12370" xr:uid="{2A57A58B-93F4-466F-BBAE-5CD52191085F}"/>
    <cellStyle name="Normal 4 4 3 6 3" xfId="6001" xr:uid="{00000000-0005-0000-0000-0000AC150000}"/>
    <cellStyle name="Normal 4 4 3 6 3 2" xfId="14443" xr:uid="{3ED578C0-EFFD-4706-BB24-0259A245313D}"/>
    <cellStyle name="Normal 4 4 3 6 4" xfId="10225" xr:uid="{6746C2DE-C932-48BA-A8FE-5B4A16C3E77F}"/>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8E1DB268-C1A9-42CF-A6A9-04D13EE852C9}"/>
    <cellStyle name="Normal 4 4 3 7 2 3" xfId="12783" xr:uid="{40EC6B65-6223-42A2-B05F-B59A527FDC4C}"/>
    <cellStyle name="Normal 4 4 3 7 3" xfId="6414" xr:uid="{00000000-0005-0000-0000-0000B0150000}"/>
    <cellStyle name="Normal 4 4 3 7 3 2" xfId="14856" xr:uid="{913502D7-43DD-4688-AB8B-CB59FEB5ED48}"/>
    <cellStyle name="Normal 4 4 3 7 4" xfId="10638" xr:uid="{110A6535-D4D7-4559-B620-10C1297AFF69}"/>
    <cellStyle name="Normal 4 4 3 8" xfId="2543" xr:uid="{00000000-0005-0000-0000-0000B1150000}"/>
    <cellStyle name="Normal 4 4 3 8 2" xfId="6827" xr:uid="{00000000-0005-0000-0000-0000B2150000}"/>
    <cellStyle name="Normal 4 4 3 8 2 2" xfId="15269" xr:uid="{93861F36-370D-41C5-A803-1B982F39CAFD}"/>
    <cellStyle name="Normal 4 4 3 8 3" xfId="11051" xr:uid="{B250CD9B-0CC9-4706-98C6-61156C22B38B}"/>
    <cellStyle name="Normal 4 4 3 9" xfId="4762" xr:uid="{00000000-0005-0000-0000-0000B3150000}"/>
    <cellStyle name="Normal 4 4 3 9 2" xfId="13204" xr:uid="{1CA73C64-7B92-46C7-8032-E8E20044BE5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B8EF0B30-F5CB-4C81-9F9D-74FDCDC6DB12}"/>
    <cellStyle name="Normal 4 4 4 2 2 2 3" xfId="11549" xr:uid="{F175E24E-F232-4FE4-B67D-971A056EF9EB}"/>
    <cellStyle name="Normal 4 4 4 2 2 3" xfId="5180" xr:uid="{00000000-0005-0000-0000-0000B9150000}"/>
    <cellStyle name="Normal 4 4 4 2 2 3 2" xfId="13622" xr:uid="{0A004398-1C37-4EFC-9350-831AD530F8B0}"/>
    <cellStyle name="Normal 4 4 4 2 2 4" xfId="9404" xr:uid="{C2C16A45-4E79-4FA1-A897-E0E032CF71D4}"/>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AD5B4E08-1672-4C0D-8155-B96E4EBFF248}"/>
    <cellStyle name="Normal 4 4 4 2 3 2 3" xfId="11962" xr:uid="{BBA5DA94-861E-46CD-9F26-36BFFDCB1D75}"/>
    <cellStyle name="Normal 4 4 4 2 3 3" xfId="5593" xr:uid="{00000000-0005-0000-0000-0000BD150000}"/>
    <cellStyle name="Normal 4 4 4 2 3 3 2" xfId="14035" xr:uid="{3D651E15-4F78-4855-9C6D-94B45FAC23AA}"/>
    <cellStyle name="Normal 4 4 4 2 3 4" xfId="9817" xr:uid="{9451C0FC-5E83-461F-9B93-0037DDD6DEED}"/>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9D0D12A0-03B0-4507-90A5-0EAD4F9ACC5C}"/>
    <cellStyle name="Normal 4 4 4 2 4 2 3" xfId="12375" xr:uid="{9BB3287B-7FA7-4001-88B6-2EF034851F54}"/>
    <cellStyle name="Normal 4 4 4 2 4 3" xfId="6006" xr:uid="{00000000-0005-0000-0000-0000C1150000}"/>
    <cellStyle name="Normal 4 4 4 2 4 3 2" xfId="14448" xr:uid="{A1E1267C-0BC8-45F7-81AB-C009FD902940}"/>
    <cellStyle name="Normal 4 4 4 2 4 4" xfId="10230" xr:uid="{082AB456-9931-4DC1-830B-FF3C2A2C28A5}"/>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19CA596B-B950-40E7-B188-34FE915D4B5D}"/>
    <cellStyle name="Normal 4 4 4 2 5 2 3" xfId="12788" xr:uid="{E710DA64-FB4C-4BEA-B480-F6B2CAD01BF5}"/>
    <cellStyle name="Normal 4 4 4 2 5 3" xfId="6419" xr:uid="{00000000-0005-0000-0000-0000C5150000}"/>
    <cellStyle name="Normal 4 4 4 2 5 3 2" xfId="14861" xr:uid="{0F9D27C7-819C-4840-B534-2102A094C014}"/>
    <cellStyle name="Normal 4 4 4 2 5 4" xfId="10643" xr:uid="{131EAAB4-78A1-4DFF-8832-05BDE76B90AB}"/>
    <cellStyle name="Normal 4 4 4 2 6" xfId="2548" xr:uid="{00000000-0005-0000-0000-0000C6150000}"/>
    <cellStyle name="Normal 4 4 4 2 6 2" xfId="6832" xr:uid="{00000000-0005-0000-0000-0000C7150000}"/>
    <cellStyle name="Normal 4 4 4 2 6 2 2" xfId="15274" xr:uid="{318A8D30-2319-4355-8304-F784FE5F0230}"/>
    <cellStyle name="Normal 4 4 4 2 6 3" xfId="11056" xr:uid="{416324BD-BC82-49FA-A006-C5DE96F99DDC}"/>
    <cellStyle name="Normal 4 4 4 2 7" xfId="4767" xr:uid="{00000000-0005-0000-0000-0000C8150000}"/>
    <cellStyle name="Normal 4 4 4 2 7 2" xfId="13209" xr:uid="{75C200FC-7F7B-4862-BA74-4AE3CBDA6A8E}"/>
    <cellStyle name="Normal 4 4 4 2 8" xfId="8991" xr:uid="{BE7E9093-7D5F-4A65-B0C4-B5108DB80B4A}"/>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9C503D5D-6EC1-46A0-B82A-79FDD058A731}"/>
    <cellStyle name="Normal 4 4 4 3 2 3" xfId="11548" xr:uid="{35061C6C-2C85-4F4D-972E-1761DA2E16F8}"/>
    <cellStyle name="Normal 4 4 4 3 3" xfId="5179" xr:uid="{00000000-0005-0000-0000-0000CC150000}"/>
    <cellStyle name="Normal 4 4 4 3 3 2" xfId="13621" xr:uid="{E661A0B5-1BFB-48C9-AA85-276CF09572E8}"/>
    <cellStyle name="Normal 4 4 4 3 4" xfId="9403" xr:uid="{E375B930-7F0E-4722-AEBA-0DC0A46B4327}"/>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91675255-4875-4C65-8EA4-E1C7C1E27E79}"/>
    <cellStyle name="Normal 4 4 4 4 2 3" xfId="11961" xr:uid="{4314AE79-98E6-4939-AC03-6D487671D7DA}"/>
    <cellStyle name="Normal 4 4 4 4 3" xfId="5592" xr:uid="{00000000-0005-0000-0000-0000D0150000}"/>
    <cellStyle name="Normal 4 4 4 4 3 2" xfId="14034" xr:uid="{F6AE0561-2D50-428C-B14A-261265E35D77}"/>
    <cellStyle name="Normal 4 4 4 4 4" xfId="9816" xr:uid="{832A4E52-F572-4539-A35C-1F62626632D2}"/>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72ECF7F5-4028-4BA8-BA13-0706226D0505}"/>
    <cellStyle name="Normal 4 4 4 5 2 3" xfId="12374" xr:uid="{87AF1EEB-2FF1-49A3-AF13-E15DFB06544A}"/>
    <cellStyle name="Normal 4 4 4 5 3" xfId="6005" xr:uid="{00000000-0005-0000-0000-0000D4150000}"/>
    <cellStyle name="Normal 4 4 4 5 3 2" xfId="14447" xr:uid="{85C64769-AD93-492B-8F67-043F76ECA9FF}"/>
    <cellStyle name="Normal 4 4 4 5 4" xfId="10229" xr:uid="{2E9DDF1E-866A-4C92-A42C-E630047DA643}"/>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9A591345-FDEB-4952-BA2F-FAD220A3A98E}"/>
    <cellStyle name="Normal 4 4 4 6 2 3" xfId="12787" xr:uid="{26223704-9364-4F84-A0F0-F1E5E8429802}"/>
    <cellStyle name="Normal 4 4 4 6 3" xfId="6418" xr:uid="{00000000-0005-0000-0000-0000D8150000}"/>
    <cellStyle name="Normal 4 4 4 6 3 2" xfId="14860" xr:uid="{528E02C1-4480-4362-AB9E-DBAD32945C1E}"/>
    <cellStyle name="Normal 4 4 4 6 4" xfId="10642" xr:uid="{F587D7E5-D2F7-4B53-B0F4-77C55D9B51EC}"/>
    <cellStyle name="Normal 4 4 4 7" xfId="2547" xr:uid="{00000000-0005-0000-0000-0000D9150000}"/>
    <cellStyle name="Normal 4 4 4 7 2" xfId="6831" xr:uid="{00000000-0005-0000-0000-0000DA150000}"/>
    <cellStyle name="Normal 4 4 4 7 2 2" xfId="15273" xr:uid="{995FE808-C013-4DE9-BB6C-F7E04190A223}"/>
    <cellStyle name="Normal 4 4 4 7 3" xfId="11055" xr:uid="{E997CC2D-569E-4B93-8F45-5CF9BC19C72D}"/>
    <cellStyle name="Normal 4 4 4 8" xfId="4766" xr:uid="{00000000-0005-0000-0000-0000DB150000}"/>
    <cellStyle name="Normal 4 4 4 8 2" xfId="13208" xr:uid="{82A059E6-0E9D-4E91-95BA-35816FD8C14B}"/>
    <cellStyle name="Normal 4 4 4 9" xfId="8990" xr:uid="{3DDC861B-7227-4207-8BC2-B63254F2F88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98E04005-836A-45A0-98F0-0CC00CD8A6D9}"/>
    <cellStyle name="Normal 4 4 5 2 2 3" xfId="11550" xr:uid="{8F067E1A-1C63-427A-ACA2-3F5E5B766006}"/>
    <cellStyle name="Normal 4 4 5 2 3" xfId="5181" xr:uid="{00000000-0005-0000-0000-0000E0150000}"/>
    <cellStyle name="Normal 4 4 5 2 3 2" xfId="13623" xr:uid="{A1256356-EE08-4151-B4A2-A804BD9DEB19}"/>
    <cellStyle name="Normal 4 4 5 2 4" xfId="9405" xr:uid="{3D165C38-3FC0-4475-9EA0-BD212F29A0F1}"/>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D7139224-1D3B-49E4-89B9-0C7C3818BE32}"/>
    <cellStyle name="Normal 4 4 5 3 2 3" xfId="11963" xr:uid="{2800B449-75F3-43E4-82A5-F349B0A3D499}"/>
    <cellStyle name="Normal 4 4 5 3 3" xfId="5594" xr:uid="{00000000-0005-0000-0000-0000E4150000}"/>
    <cellStyle name="Normal 4 4 5 3 3 2" xfId="14036" xr:uid="{51B9695C-7827-4DC8-B1C6-3EB5B06B4A29}"/>
    <cellStyle name="Normal 4 4 5 3 4" xfId="9818" xr:uid="{743C5992-1799-49E9-AAD9-EC6455F6ED2B}"/>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A6829D73-12EE-4DE5-85F4-038094E4DD8F}"/>
    <cellStyle name="Normal 4 4 5 4 2 3" xfId="12376" xr:uid="{D86F8233-8D07-4493-B244-E46A4088A38B}"/>
    <cellStyle name="Normal 4 4 5 4 3" xfId="6007" xr:uid="{00000000-0005-0000-0000-0000E8150000}"/>
    <cellStyle name="Normal 4 4 5 4 3 2" xfId="14449" xr:uid="{BF3C5E87-63E2-43B2-95B1-6D3E45B44F15}"/>
    <cellStyle name="Normal 4 4 5 4 4" xfId="10231" xr:uid="{44F5355A-85E0-4C3A-9ED0-A24F93BBEF87}"/>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E56525D4-7254-4DDB-B521-772A29D0D5FD}"/>
    <cellStyle name="Normal 4 4 5 5 2 3" xfId="12789" xr:uid="{C37792AE-DB2B-4EAC-8369-4E70242F8385}"/>
    <cellStyle name="Normal 4 4 5 5 3" xfId="6420" xr:uid="{00000000-0005-0000-0000-0000EC150000}"/>
    <cellStyle name="Normal 4 4 5 5 3 2" xfId="14862" xr:uid="{2D5F64FE-32CD-4936-880F-89CDAA437AAD}"/>
    <cellStyle name="Normal 4 4 5 5 4" xfId="10644" xr:uid="{F88C4217-C1D1-435D-B235-3DD9AAE0F882}"/>
    <cellStyle name="Normal 4 4 5 6" xfId="2549" xr:uid="{00000000-0005-0000-0000-0000ED150000}"/>
    <cellStyle name="Normal 4 4 5 6 2" xfId="6833" xr:uid="{00000000-0005-0000-0000-0000EE150000}"/>
    <cellStyle name="Normal 4 4 5 6 2 2" xfId="15275" xr:uid="{FEBE229E-87CB-4200-9AC6-973E4C515221}"/>
    <cellStyle name="Normal 4 4 5 6 3" xfId="11057" xr:uid="{8A3F3B38-F112-4A61-BE2B-A9D9DA475866}"/>
    <cellStyle name="Normal 4 4 5 7" xfId="4768" xr:uid="{00000000-0005-0000-0000-0000EF150000}"/>
    <cellStyle name="Normal 4 4 5 7 2" xfId="13210" xr:uid="{BE4E1DC6-EFCE-4F95-8AFB-7D8027CF54DF}"/>
    <cellStyle name="Normal 4 4 5 8" xfId="8992" xr:uid="{A6B1BD64-8B77-4AC5-A35A-208F8FD8AC5B}"/>
    <cellStyle name="Normal 4 4 6" xfId="853" xr:uid="{00000000-0005-0000-0000-0000F0150000}"/>
    <cellStyle name="Normal 4 4 6 2" xfId="3088" xr:uid="{00000000-0005-0000-0000-0000F1150000}"/>
    <cellStyle name="Normal 4 4 6 2 2" xfId="7311" xr:uid="{00000000-0005-0000-0000-0000F2150000}"/>
    <cellStyle name="Normal 4 4 6 2 2 2" xfId="15753" xr:uid="{A4D729AB-7DA6-4356-8DCA-E88198DC9609}"/>
    <cellStyle name="Normal 4 4 6 2 3" xfId="11535" xr:uid="{7D40E3E1-0429-4D69-9A9C-8FD7C434CEA3}"/>
    <cellStyle name="Normal 4 4 6 3" xfId="5166" xr:uid="{00000000-0005-0000-0000-0000F3150000}"/>
    <cellStyle name="Normal 4 4 6 3 2" xfId="13608" xr:uid="{C2F0974B-C2AB-41B4-9029-410073FFD6F1}"/>
    <cellStyle name="Normal 4 4 6 4" xfId="9390" xr:uid="{B8CD97A1-310F-4C30-A7C2-9D70665D2160}"/>
    <cellStyle name="Normal 4 4 7" xfId="1271" xr:uid="{00000000-0005-0000-0000-0000F4150000}"/>
    <cellStyle name="Normal 4 4 7 2" xfId="3501" xr:uid="{00000000-0005-0000-0000-0000F5150000}"/>
    <cellStyle name="Normal 4 4 7 2 2" xfId="7724" xr:uid="{00000000-0005-0000-0000-0000F6150000}"/>
    <cellStyle name="Normal 4 4 7 2 2 2" xfId="16166" xr:uid="{55B8A6C1-13ED-4C65-880E-A0C1F79BF0D4}"/>
    <cellStyle name="Normal 4 4 7 2 3" xfId="11948" xr:uid="{C43B6C5E-EDE6-47B4-AD90-0EDC7233520A}"/>
    <cellStyle name="Normal 4 4 7 3" xfId="5579" xr:uid="{00000000-0005-0000-0000-0000F7150000}"/>
    <cellStyle name="Normal 4 4 7 3 2" xfId="14021" xr:uid="{F5775181-650B-46AC-8307-8D48E8A8E716}"/>
    <cellStyle name="Normal 4 4 7 4" xfId="9803" xr:uid="{64912F67-EE3D-40F2-B38D-453D1AFB8F5D}"/>
    <cellStyle name="Normal 4 4 8" xfId="1684" xr:uid="{00000000-0005-0000-0000-0000F8150000}"/>
    <cellStyle name="Normal 4 4 8 2" xfId="3914" xr:uid="{00000000-0005-0000-0000-0000F9150000}"/>
    <cellStyle name="Normal 4 4 8 2 2" xfId="8137" xr:uid="{00000000-0005-0000-0000-0000FA150000}"/>
    <cellStyle name="Normal 4 4 8 2 2 2" xfId="16579" xr:uid="{369FA932-B722-4AA1-8F82-7D82D1932FA1}"/>
    <cellStyle name="Normal 4 4 8 2 3" xfId="12361" xr:uid="{9EE75291-E7B4-4136-B8D2-4B1A498091ED}"/>
    <cellStyle name="Normal 4 4 8 3" xfId="5992" xr:uid="{00000000-0005-0000-0000-0000FB150000}"/>
    <cellStyle name="Normal 4 4 8 3 2" xfId="14434" xr:uid="{F8DD668D-682C-409F-BFB5-F2174D21E3EF}"/>
    <cellStyle name="Normal 4 4 8 4" xfId="10216" xr:uid="{7F308F16-0E08-4C23-8C13-F2F368645EB3}"/>
    <cellStyle name="Normal 4 4 9" xfId="2098" xr:uid="{00000000-0005-0000-0000-0000FC150000}"/>
    <cellStyle name="Normal 4 4 9 2" xfId="4327" xr:uid="{00000000-0005-0000-0000-0000FD150000}"/>
    <cellStyle name="Normal 4 4 9 2 2" xfId="8550" xr:uid="{00000000-0005-0000-0000-0000FE150000}"/>
    <cellStyle name="Normal 4 4 9 2 2 2" xfId="16992" xr:uid="{8CBE0BF4-9A8C-4278-9153-D897E415C16F}"/>
    <cellStyle name="Normal 4 4 9 2 3" xfId="12774" xr:uid="{5652D11D-5E14-4A19-968A-4913FA70C043}"/>
    <cellStyle name="Normal 4 4 9 3" xfId="6405" xr:uid="{00000000-0005-0000-0000-0000FF150000}"/>
    <cellStyle name="Normal 4 4 9 3 2" xfId="14847" xr:uid="{A8D7A212-64BB-42AD-8ABC-15864ABA56F2}"/>
    <cellStyle name="Normal 4 4 9 4" xfId="10629" xr:uid="{1C0ADD5B-4C25-4B1E-9A39-2A20B50E210B}"/>
    <cellStyle name="Normal 4 5" xfId="394" xr:uid="{00000000-0005-0000-0000-000000160000}"/>
    <cellStyle name="Normal 4 6" xfId="395" xr:uid="{00000000-0005-0000-0000-000001160000}"/>
    <cellStyle name="Normal 4 6 10" xfId="4769" xr:uid="{00000000-0005-0000-0000-000002160000}"/>
    <cellStyle name="Normal 4 6 10 2" xfId="13211" xr:uid="{F77DCEEC-41A4-48EF-83D6-F6BD14A66C0C}"/>
    <cellStyle name="Normal 4 6 11" xfId="8993" xr:uid="{21947EB0-4B73-4D25-A26F-583AB6A42E8A}"/>
    <cellStyle name="Normal 4 6 2" xfId="396" xr:uid="{00000000-0005-0000-0000-000003160000}"/>
    <cellStyle name="Normal 4 6 2 10" xfId="8994" xr:uid="{710BECB5-2CAB-44F3-B407-23606A74DC5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8DD5F1CA-0977-494E-BFB9-DE724B26FB45}"/>
    <cellStyle name="Normal 4 6 2 2 2 2 2 3" xfId="11554" xr:uid="{6A13D8B1-82D5-4866-8852-DDF43CE5CFC4}"/>
    <cellStyle name="Normal 4 6 2 2 2 2 3" xfId="5185" xr:uid="{00000000-0005-0000-0000-000009160000}"/>
    <cellStyle name="Normal 4 6 2 2 2 2 3 2" xfId="13627" xr:uid="{754868EB-1210-41BD-99D0-00F200FD04F5}"/>
    <cellStyle name="Normal 4 6 2 2 2 2 4" xfId="9409" xr:uid="{B6577B6C-2829-4DDC-930A-4E95F4EDF068}"/>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494B9DC6-3C8E-4CF2-86CD-1782ADBA4BB6}"/>
    <cellStyle name="Normal 4 6 2 2 2 3 2 3" xfId="11967" xr:uid="{B239CDEB-3B3C-4B0B-B8A3-584EE746D96A}"/>
    <cellStyle name="Normal 4 6 2 2 2 3 3" xfId="5598" xr:uid="{00000000-0005-0000-0000-00000D160000}"/>
    <cellStyle name="Normal 4 6 2 2 2 3 3 2" xfId="14040" xr:uid="{F9C05F06-1B73-4E30-970B-B5A7DB30A561}"/>
    <cellStyle name="Normal 4 6 2 2 2 3 4" xfId="9822" xr:uid="{95578E1A-FE02-4002-B57D-383F02F6F2BF}"/>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571545D5-3997-4748-A282-ADC564CBB636}"/>
    <cellStyle name="Normal 4 6 2 2 2 4 2 3" xfId="12380" xr:uid="{BBD23F46-213D-4D5F-8064-8635EFE7C363}"/>
    <cellStyle name="Normal 4 6 2 2 2 4 3" xfId="6011" xr:uid="{00000000-0005-0000-0000-000011160000}"/>
    <cellStyle name="Normal 4 6 2 2 2 4 3 2" xfId="14453" xr:uid="{009F4E84-F9EE-4A8E-8C42-347F9E4EA9ED}"/>
    <cellStyle name="Normal 4 6 2 2 2 4 4" xfId="10235" xr:uid="{5A548D1F-C80D-4686-81B3-44F7291E5FF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7C89B485-4C84-4763-9102-B973B91BDB59}"/>
    <cellStyle name="Normal 4 6 2 2 2 5 2 3" xfId="12793" xr:uid="{45B85112-51EC-41A1-B9AF-0DF1C061D1FB}"/>
    <cellStyle name="Normal 4 6 2 2 2 5 3" xfId="6424" xr:uid="{00000000-0005-0000-0000-000015160000}"/>
    <cellStyle name="Normal 4 6 2 2 2 5 3 2" xfId="14866" xr:uid="{4281C6EF-C311-4F54-9985-AC252AE61E2B}"/>
    <cellStyle name="Normal 4 6 2 2 2 5 4" xfId="10648" xr:uid="{FDE1299E-985F-4DA4-8076-364198F7ADA0}"/>
    <cellStyle name="Normal 4 6 2 2 2 6" xfId="2553" xr:uid="{00000000-0005-0000-0000-000016160000}"/>
    <cellStyle name="Normal 4 6 2 2 2 6 2" xfId="6837" xr:uid="{00000000-0005-0000-0000-000017160000}"/>
    <cellStyle name="Normal 4 6 2 2 2 6 2 2" xfId="15279" xr:uid="{F5CBDA56-BCD1-46DA-AEDF-B9596B009A24}"/>
    <cellStyle name="Normal 4 6 2 2 2 6 3" xfId="11061" xr:uid="{30A30601-F323-4213-942F-12F3F4B98C8C}"/>
    <cellStyle name="Normal 4 6 2 2 2 7" xfId="4772" xr:uid="{00000000-0005-0000-0000-000018160000}"/>
    <cellStyle name="Normal 4 6 2 2 2 7 2" xfId="13214" xr:uid="{646EE926-B79C-42D4-BABA-11415F823F7D}"/>
    <cellStyle name="Normal 4 6 2 2 2 8" xfId="8996" xr:uid="{760CAB17-F2E5-4A26-BFA3-451B9D70463D}"/>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15752C67-BA82-46A5-A23C-D18165BD35D5}"/>
    <cellStyle name="Normal 4 6 2 2 3 2 3" xfId="11553" xr:uid="{080A56B3-6C59-4679-806D-86B7D23AAF13}"/>
    <cellStyle name="Normal 4 6 2 2 3 3" xfId="5184" xr:uid="{00000000-0005-0000-0000-00001C160000}"/>
    <cellStyle name="Normal 4 6 2 2 3 3 2" xfId="13626" xr:uid="{D2548E9B-8350-4D01-8BB8-1625A0870126}"/>
    <cellStyle name="Normal 4 6 2 2 3 4" xfId="9408" xr:uid="{5FAD3BD0-8734-45DD-A5E4-B5213E6B8636}"/>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F5E3AFAA-070E-43BC-BAB0-FA93C52C5A54}"/>
    <cellStyle name="Normal 4 6 2 2 4 2 3" xfId="11966" xr:uid="{C1BEE148-D6C5-4D9D-974C-04E4AEDD807E}"/>
    <cellStyle name="Normal 4 6 2 2 4 3" xfId="5597" xr:uid="{00000000-0005-0000-0000-000020160000}"/>
    <cellStyle name="Normal 4 6 2 2 4 3 2" xfId="14039" xr:uid="{828F99A3-17ED-465C-B422-EF2B572F2681}"/>
    <cellStyle name="Normal 4 6 2 2 4 4" xfId="9821" xr:uid="{A403EFA9-B565-44EB-B8E1-075233FBD56A}"/>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9042892A-78EE-40D3-B9BD-1F765C96DC8C}"/>
    <cellStyle name="Normal 4 6 2 2 5 2 3" xfId="12379" xr:uid="{BE540355-FC34-424E-B424-260EFAE8EB14}"/>
    <cellStyle name="Normal 4 6 2 2 5 3" xfId="6010" xr:uid="{00000000-0005-0000-0000-000024160000}"/>
    <cellStyle name="Normal 4 6 2 2 5 3 2" xfId="14452" xr:uid="{0291C07D-CF31-4BAB-AFA4-00F8A35C2E44}"/>
    <cellStyle name="Normal 4 6 2 2 5 4" xfId="10234" xr:uid="{18BFCABA-8E73-4F9D-982A-06E7E6CE546D}"/>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832E7809-8ED8-42F5-ADA1-4A223FD8146C}"/>
    <cellStyle name="Normal 4 6 2 2 6 2 3" xfId="12792" xr:uid="{1C1C5F19-C585-4468-B6C0-62A45857FEE1}"/>
    <cellStyle name="Normal 4 6 2 2 6 3" xfId="6423" xr:uid="{00000000-0005-0000-0000-000028160000}"/>
    <cellStyle name="Normal 4 6 2 2 6 3 2" xfId="14865" xr:uid="{6685C171-527E-4DF2-BEC7-BF2252734728}"/>
    <cellStyle name="Normal 4 6 2 2 6 4" xfId="10647" xr:uid="{0CFEF22C-8638-4CB3-8148-A8FF56C64531}"/>
    <cellStyle name="Normal 4 6 2 2 7" xfId="2552" xr:uid="{00000000-0005-0000-0000-000029160000}"/>
    <cellStyle name="Normal 4 6 2 2 7 2" xfId="6836" xr:uid="{00000000-0005-0000-0000-00002A160000}"/>
    <cellStyle name="Normal 4 6 2 2 7 2 2" xfId="15278" xr:uid="{8D67FFB5-273F-4824-B526-15538F2F6F09}"/>
    <cellStyle name="Normal 4 6 2 2 7 3" xfId="11060" xr:uid="{1850D332-BDB3-43AA-88D5-1DDB965CAD2D}"/>
    <cellStyle name="Normal 4 6 2 2 8" xfId="4771" xr:uid="{00000000-0005-0000-0000-00002B160000}"/>
    <cellStyle name="Normal 4 6 2 2 8 2" xfId="13213" xr:uid="{548589B4-07C1-43B9-9FDE-DDF2E6558511}"/>
    <cellStyle name="Normal 4 6 2 2 9" xfId="8995" xr:uid="{66FE6CEB-BFF0-4362-8703-D948724042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CB467C6E-C0B7-43CF-BF30-11DF7C6EC058}"/>
    <cellStyle name="Normal 4 6 2 3 2 2 3" xfId="11555" xr:uid="{7E6A61BE-FDF7-4924-88A7-CEDA63993FEE}"/>
    <cellStyle name="Normal 4 6 2 3 2 3" xfId="5186" xr:uid="{00000000-0005-0000-0000-000030160000}"/>
    <cellStyle name="Normal 4 6 2 3 2 3 2" xfId="13628" xr:uid="{1D354181-3271-4675-8AF5-1F26891E2243}"/>
    <cellStyle name="Normal 4 6 2 3 2 4" xfId="9410" xr:uid="{C362C240-3BBC-4968-BD3D-D1D31F2DC0B6}"/>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40F830A0-BB9C-4554-9C9F-7637C5760CF9}"/>
    <cellStyle name="Normal 4 6 2 3 3 2 3" xfId="11968" xr:uid="{6B7D13D8-9744-4027-B55F-03F6738225CB}"/>
    <cellStyle name="Normal 4 6 2 3 3 3" xfId="5599" xr:uid="{00000000-0005-0000-0000-000034160000}"/>
    <cellStyle name="Normal 4 6 2 3 3 3 2" xfId="14041" xr:uid="{9F098B27-BF62-4BFE-A6D1-68A50BF29321}"/>
    <cellStyle name="Normal 4 6 2 3 3 4" xfId="9823" xr:uid="{1727F7B8-85FF-4C22-B01B-20F1BDB33C8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3FE47F61-7AC4-41BA-81EC-E838DFA99BFE}"/>
    <cellStyle name="Normal 4 6 2 3 4 2 3" xfId="12381" xr:uid="{D4AF7A78-77BF-4685-BF77-6F3388F7929C}"/>
    <cellStyle name="Normal 4 6 2 3 4 3" xfId="6012" xr:uid="{00000000-0005-0000-0000-000038160000}"/>
    <cellStyle name="Normal 4 6 2 3 4 3 2" xfId="14454" xr:uid="{E877471C-E4B7-4CA0-995C-200F9E6B0963}"/>
    <cellStyle name="Normal 4 6 2 3 4 4" xfId="10236" xr:uid="{6B034220-7986-4139-89B8-47B62E9AB8A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65811F10-9E0B-403E-AEAF-AA8F167C3F9B}"/>
    <cellStyle name="Normal 4 6 2 3 5 2 3" xfId="12794" xr:uid="{0F2E5E7F-C743-4E1C-8A72-5A411BC8BECD}"/>
    <cellStyle name="Normal 4 6 2 3 5 3" xfId="6425" xr:uid="{00000000-0005-0000-0000-00003C160000}"/>
    <cellStyle name="Normal 4 6 2 3 5 3 2" xfId="14867" xr:uid="{EC9F4B81-4E31-48F7-AA87-6023CEB7A56A}"/>
    <cellStyle name="Normal 4 6 2 3 5 4" xfId="10649" xr:uid="{9880F0DF-B7BB-432D-BC76-520D144B99CD}"/>
    <cellStyle name="Normal 4 6 2 3 6" xfId="2554" xr:uid="{00000000-0005-0000-0000-00003D160000}"/>
    <cellStyle name="Normal 4 6 2 3 6 2" xfId="6838" xr:uid="{00000000-0005-0000-0000-00003E160000}"/>
    <cellStyle name="Normal 4 6 2 3 6 2 2" xfId="15280" xr:uid="{A8BC7FA5-F9CA-48D6-A8EB-8119B76D6D9B}"/>
    <cellStyle name="Normal 4 6 2 3 6 3" xfId="11062" xr:uid="{FF873C82-A680-433F-AC8C-A97EBF3F3E53}"/>
    <cellStyle name="Normal 4 6 2 3 7" xfId="4773" xr:uid="{00000000-0005-0000-0000-00003F160000}"/>
    <cellStyle name="Normal 4 6 2 3 7 2" xfId="13215" xr:uid="{DC30C995-4D29-4218-B16D-2BF9169B673C}"/>
    <cellStyle name="Normal 4 6 2 3 8" xfId="8997" xr:uid="{BCDD164E-7047-418C-9819-8E4764979B4A}"/>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D9D134B9-B961-4E7D-AE90-2EC6A70B3F55}"/>
    <cellStyle name="Normal 4 6 2 4 2 3" xfId="11552" xr:uid="{242C56FA-ADCE-431E-A3F1-82CEACAD6421}"/>
    <cellStyle name="Normal 4 6 2 4 3" xfId="5183" xr:uid="{00000000-0005-0000-0000-000043160000}"/>
    <cellStyle name="Normal 4 6 2 4 3 2" xfId="13625" xr:uid="{0288A5D2-E7BB-4F17-A1E0-D4036795D08C}"/>
    <cellStyle name="Normal 4 6 2 4 4" xfId="9407" xr:uid="{9FF0A67E-82A9-403D-9C17-B6FE897DDFE7}"/>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4506B385-CC88-4860-8F4C-8CD4D45CFBC9}"/>
    <cellStyle name="Normal 4 6 2 5 2 3" xfId="11965" xr:uid="{661A0665-8BA2-44DD-8E2A-033698842172}"/>
    <cellStyle name="Normal 4 6 2 5 3" xfId="5596" xr:uid="{00000000-0005-0000-0000-000047160000}"/>
    <cellStyle name="Normal 4 6 2 5 3 2" xfId="14038" xr:uid="{A8E32C9F-A45B-4990-86D8-FC9431E38AF3}"/>
    <cellStyle name="Normal 4 6 2 5 4" xfId="9820" xr:uid="{ADEE7CDD-5D9F-4940-A9FD-FC787017456D}"/>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A6F4291F-5BA7-40A0-9D84-316BD7D35F4A}"/>
    <cellStyle name="Normal 4 6 2 6 2 3" xfId="12378" xr:uid="{5AC06DAB-C857-48EF-8D21-D280ED89CA06}"/>
    <cellStyle name="Normal 4 6 2 6 3" xfId="6009" xr:uid="{00000000-0005-0000-0000-00004B160000}"/>
    <cellStyle name="Normal 4 6 2 6 3 2" xfId="14451" xr:uid="{8B974BE9-A0B6-4FC8-949D-D0406C31A709}"/>
    <cellStyle name="Normal 4 6 2 6 4" xfId="10233" xr:uid="{B5B5DAC1-F315-46F4-9102-53B5EABD40CC}"/>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88D5722C-00D7-4EA0-85EA-4235A0013C17}"/>
    <cellStyle name="Normal 4 6 2 7 2 3" xfId="12791" xr:uid="{5AC545D5-A137-436D-8C43-CDEDFF82DABF}"/>
    <cellStyle name="Normal 4 6 2 7 3" xfId="6422" xr:uid="{00000000-0005-0000-0000-00004F160000}"/>
    <cellStyle name="Normal 4 6 2 7 3 2" xfId="14864" xr:uid="{0F2336F8-E847-4CAF-98EB-85076A6B027D}"/>
    <cellStyle name="Normal 4 6 2 7 4" xfId="10646" xr:uid="{68C08A93-BD4D-4C27-B8B2-D999619C1674}"/>
    <cellStyle name="Normal 4 6 2 8" xfId="2551" xr:uid="{00000000-0005-0000-0000-000050160000}"/>
    <cellStyle name="Normal 4 6 2 8 2" xfId="6835" xr:uid="{00000000-0005-0000-0000-000051160000}"/>
    <cellStyle name="Normal 4 6 2 8 2 2" xfId="15277" xr:uid="{E863F6BB-5DBC-4307-A17B-FB3CFD520E6C}"/>
    <cellStyle name="Normal 4 6 2 8 3" xfId="11059" xr:uid="{AFBB46D4-355B-406F-A8D0-4BCC1303758A}"/>
    <cellStyle name="Normal 4 6 2 9" xfId="4770" xr:uid="{00000000-0005-0000-0000-000052160000}"/>
    <cellStyle name="Normal 4 6 2 9 2" xfId="13212" xr:uid="{4C278573-06A8-45DB-9D20-3A8C5C6BBCF4}"/>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BFCE1375-829F-4036-A87B-E3241BE3A842}"/>
    <cellStyle name="Normal 4 6 3 2 2 2 3" xfId="11557" xr:uid="{ABF0F67F-2E7E-4B06-93B8-1F17CF427464}"/>
    <cellStyle name="Normal 4 6 3 2 2 3" xfId="5188" xr:uid="{00000000-0005-0000-0000-000058160000}"/>
    <cellStyle name="Normal 4 6 3 2 2 3 2" xfId="13630" xr:uid="{ABD6A774-79DC-4B76-AFEB-38F429E59381}"/>
    <cellStyle name="Normal 4 6 3 2 2 4" xfId="9412" xr:uid="{2E75D004-F87F-4B44-9780-7BCAA9FD2C7B}"/>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D220AA3A-2E8F-4B97-9718-20A777560316}"/>
    <cellStyle name="Normal 4 6 3 2 3 2 3" xfId="11970" xr:uid="{5A97EB7F-2809-4396-AA4A-592058896E63}"/>
    <cellStyle name="Normal 4 6 3 2 3 3" xfId="5601" xr:uid="{00000000-0005-0000-0000-00005C160000}"/>
    <cellStyle name="Normal 4 6 3 2 3 3 2" xfId="14043" xr:uid="{40ED597F-DDE4-42DA-AC8A-93BC64B9BC99}"/>
    <cellStyle name="Normal 4 6 3 2 3 4" xfId="9825" xr:uid="{109CCC65-EAB4-4AD4-9800-E08F1A4208C6}"/>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F81384AA-2E9B-4644-A541-66C60356058E}"/>
    <cellStyle name="Normal 4 6 3 2 4 2 3" xfId="12383" xr:uid="{A2E03792-E862-4739-ADCE-59B09B1AF804}"/>
    <cellStyle name="Normal 4 6 3 2 4 3" xfId="6014" xr:uid="{00000000-0005-0000-0000-000060160000}"/>
    <cellStyle name="Normal 4 6 3 2 4 3 2" xfId="14456" xr:uid="{DF79B660-EE59-468D-B1F2-C0068567E24D}"/>
    <cellStyle name="Normal 4 6 3 2 4 4" xfId="10238" xr:uid="{1A5FBF3A-28FB-4EFA-B358-6108F45596F7}"/>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EF536BAF-E3A7-4202-BC0B-27F1B2289789}"/>
    <cellStyle name="Normal 4 6 3 2 5 2 3" xfId="12796" xr:uid="{A85088FF-FFE3-42B7-88EC-69F1C7B2E25B}"/>
    <cellStyle name="Normal 4 6 3 2 5 3" xfId="6427" xr:uid="{00000000-0005-0000-0000-000064160000}"/>
    <cellStyle name="Normal 4 6 3 2 5 3 2" xfId="14869" xr:uid="{04FA6453-7A92-4C53-8368-4C598AB302A4}"/>
    <cellStyle name="Normal 4 6 3 2 5 4" xfId="10651" xr:uid="{6D2AA060-BFE6-4CC3-B4CC-FC050CF69CFF}"/>
    <cellStyle name="Normal 4 6 3 2 6" xfId="2556" xr:uid="{00000000-0005-0000-0000-000065160000}"/>
    <cellStyle name="Normal 4 6 3 2 6 2" xfId="6840" xr:uid="{00000000-0005-0000-0000-000066160000}"/>
    <cellStyle name="Normal 4 6 3 2 6 2 2" xfId="15282" xr:uid="{A853C37C-991E-44D5-B0E0-F55CE24B5BD7}"/>
    <cellStyle name="Normal 4 6 3 2 6 3" xfId="11064" xr:uid="{C7A0839D-5120-4265-91A5-952DA96CA53F}"/>
    <cellStyle name="Normal 4 6 3 2 7" xfId="4775" xr:uid="{00000000-0005-0000-0000-000067160000}"/>
    <cellStyle name="Normal 4 6 3 2 7 2" xfId="13217" xr:uid="{1849DF40-323C-45A1-A4E8-6921903A9EA4}"/>
    <cellStyle name="Normal 4 6 3 2 8" xfId="8999" xr:uid="{F39A4312-79A2-4AEE-B4FA-C399A242A5ED}"/>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1D3A2FF6-2611-4638-A910-8D9703859DDD}"/>
    <cellStyle name="Normal 4 6 3 3 2 3" xfId="11556" xr:uid="{6881DFDF-D968-4957-9B04-7175ABC4C7EA}"/>
    <cellStyle name="Normal 4 6 3 3 3" xfId="5187" xr:uid="{00000000-0005-0000-0000-00006B160000}"/>
    <cellStyle name="Normal 4 6 3 3 3 2" xfId="13629" xr:uid="{60B5C2B5-9546-4E57-96B9-CF617739D56D}"/>
    <cellStyle name="Normal 4 6 3 3 4" xfId="9411" xr:uid="{CB808AEF-9AE1-4E04-98CA-FD23281EF66C}"/>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654482C0-493D-4C76-AC4D-7E0506F057A6}"/>
    <cellStyle name="Normal 4 6 3 4 2 3" xfId="11969" xr:uid="{A42C6438-A4AA-4EB7-BEB2-62C7E0E0CF3E}"/>
    <cellStyle name="Normal 4 6 3 4 3" xfId="5600" xr:uid="{00000000-0005-0000-0000-00006F160000}"/>
    <cellStyle name="Normal 4 6 3 4 3 2" xfId="14042" xr:uid="{BEDBAA08-E60C-4BC5-BC42-4AF9DC8D8CFC}"/>
    <cellStyle name="Normal 4 6 3 4 4" xfId="9824" xr:uid="{5B93CE7F-FB17-4E8C-8EC6-7E76F74878E1}"/>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8A3199B5-2AE7-46FB-AC6D-04F15F338ACC}"/>
    <cellStyle name="Normal 4 6 3 5 2 3" xfId="12382" xr:uid="{1BE411CC-B76D-4E01-9C56-CFBEE6E2DD46}"/>
    <cellStyle name="Normal 4 6 3 5 3" xfId="6013" xr:uid="{00000000-0005-0000-0000-000073160000}"/>
    <cellStyle name="Normal 4 6 3 5 3 2" xfId="14455" xr:uid="{EFCF0C05-6BC6-4B77-9F79-C187FA35AB89}"/>
    <cellStyle name="Normal 4 6 3 5 4" xfId="10237" xr:uid="{CC759630-4E52-4D9D-9511-C9A8F94D45BB}"/>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E947FB1F-C6EB-4AD1-819E-DB081D7E8B5D}"/>
    <cellStyle name="Normal 4 6 3 6 2 3" xfId="12795" xr:uid="{FFA609E7-5436-4F89-966E-C64BD4B40E35}"/>
    <cellStyle name="Normal 4 6 3 6 3" xfId="6426" xr:uid="{00000000-0005-0000-0000-000077160000}"/>
    <cellStyle name="Normal 4 6 3 6 3 2" xfId="14868" xr:uid="{CCE0E89E-4327-4F16-BFE5-4CFA5D292712}"/>
    <cellStyle name="Normal 4 6 3 6 4" xfId="10650" xr:uid="{2027D827-C96A-44ED-975B-4C3BE2565555}"/>
    <cellStyle name="Normal 4 6 3 7" xfId="2555" xr:uid="{00000000-0005-0000-0000-000078160000}"/>
    <cellStyle name="Normal 4 6 3 7 2" xfId="6839" xr:uid="{00000000-0005-0000-0000-000079160000}"/>
    <cellStyle name="Normal 4 6 3 7 2 2" xfId="15281" xr:uid="{EAD56A2B-4C24-4B39-BFC3-C26D48D55267}"/>
    <cellStyle name="Normal 4 6 3 7 3" xfId="11063" xr:uid="{0BF7E674-276B-43AB-B651-32FAAA12A99F}"/>
    <cellStyle name="Normal 4 6 3 8" xfId="4774" xr:uid="{00000000-0005-0000-0000-00007A160000}"/>
    <cellStyle name="Normal 4 6 3 8 2" xfId="13216" xr:uid="{C9831244-3721-44AF-A08A-73A6A5F1E353}"/>
    <cellStyle name="Normal 4 6 3 9" xfId="8998" xr:uid="{1522B8CE-E0C9-4005-AEF5-1D2468B92F17}"/>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386B17DD-52A2-450A-A7AD-BC00F635DF23}"/>
    <cellStyle name="Normal 4 6 4 2 2 3" xfId="11558" xr:uid="{D8BF7F63-3CC2-49CE-B80D-54515D7CA60D}"/>
    <cellStyle name="Normal 4 6 4 2 3" xfId="5189" xr:uid="{00000000-0005-0000-0000-00007F160000}"/>
    <cellStyle name="Normal 4 6 4 2 3 2" xfId="13631" xr:uid="{D4CA0DB0-18C8-42D2-B2D7-CF6080A5A6F5}"/>
    <cellStyle name="Normal 4 6 4 2 4" xfId="9413" xr:uid="{9F9550D7-6423-406B-95AE-80E60B15D14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D5FB0EF8-5398-4F29-8D67-178C463F3F49}"/>
    <cellStyle name="Normal 4 6 4 3 2 3" xfId="11971" xr:uid="{77B9D992-D563-404A-B433-89CCC8D12E61}"/>
    <cellStyle name="Normal 4 6 4 3 3" xfId="5602" xr:uid="{00000000-0005-0000-0000-000083160000}"/>
    <cellStyle name="Normal 4 6 4 3 3 2" xfId="14044" xr:uid="{3B776E50-6445-4A14-9391-5036F8DC9A95}"/>
    <cellStyle name="Normal 4 6 4 3 4" xfId="9826" xr:uid="{F804CCFD-19ED-45FD-B74A-55223B347698}"/>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DF41CC1E-489C-400F-8BAF-BF3ADEE9936E}"/>
    <cellStyle name="Normal 4 6 4 4 2 3" xfId="12384" xr:uid="{0CCF39BD-ADC5-4F74-9AF6-0FB6158F5EE7}"/>
    <cellStyle name="Normal 4 6 4 4 3" xfId="6015" xr:uid="{00000000-0005-0000-0000-000087160000}"/>
    <cellStyle name="Normal 4 6 4 4 3 2" xfId="14457" xr:uid="{FDA8F6B8-5164-4ECF-AE75-982336735AA4}"/>
    <cellStyle name="Normal 4 6 4 4 4" xfId="10239" xr:uid="{28DD19E4-5BD8-478D-A2DF-BA864FA51432}"/>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1524E341-25A0-4723-BEC0-6802D34B984C}"/>
    <cellStyle name="Normal 4 6 4 5 2 3" xfId="12797" xr:uid="{E163AA4E-878D-4B34-9783-D3669193EBE7}"/>
    <cellStyle name="Normal 4 6 4 5 3" xfId="6428" xr:uid="{00000000-0005-0000-0000-00008B160000}"/>
    <cellStyle name="Normal 4 6 4 5 3 2" xfId="14870" xr:uid="{8DC32C26-E2D0-42D8-917A-29014C28BA5F}"/>
    <cellStyle name="Normal 4 6 4 5 4" xfId="10652" xr:uid="{B9A05235-E931-470C-863A-EC38213E0168}"/>
    <cellStyle name="Normal 4 6 4 6" xfId="2557" xr:uid="{00000000-0005-0000-0000-00008C160000}"/>
    <cellStyle name="Normal 4 6 4 6 2" xfId="6841" xr:uid="{00000000-0005-0000-0000-00008D160000}"/>
    <cellStyle name="Normal 4 6 4 6 2 2" xfId="15283" xr:uid="{7DEED813-76D4-403A-AE17-C28216C9E5A8}"/>
    <cellStyle name="Normal 4 6 4 6 3" xfId="11065" xr:uid="{6555FA3B-4956-4748-A1B0-E2FCF6A77A7C}"/>
    <cellStyle name="Normal 4 6 4 7" xfId="4776" xr:uid="{00000000-0005-0000-0000-00008E160000}"/>
    <cellStyle name="Normal 4 6 4 7 2" xfId="13218" xr:uid="{53E8CFB4-7581-4643-94B4-83AF47402A63}"/>
    <cellStyle name="Normal 4 6 4 8" xfId="9000" xr:uid="{3AC16BF4-4D84-4D66-AD2F-1EE3E6B26114}"/>
    <cellStyle name="Normal 4 6 5" xfId="869" xr:uid="{00000000-0005-0000-0000-00008F160000}"/>
    <cellStyle name="Normal 4 6 5 2" xfId="3104" xr:uid="{00000000-0005-0000-0000-000090160000}"/>
    <cellStyle name="Normal 4 6 5 2 2" xfId="7327" xr:uid="{00000000-0005-0000-0000-000091160000}"/>
    <cellStyle name="Normal 4 6 5 2 2 2" xfId="15769" xr:uid="{8617769D-4133-431A-8F0B-2B181107F017}"/>
    <cellStyle name="Normal 4 6 5 2 3" xfId="11551" xr:uid="{FB9CCA16-D622-4928-BD9E-B22489588CAF}"/>
    <cellStyle name="Normal 4 6 5 3" xfId="5182" xr:uid="{00000000-0005-0000-0000-000092160000}"/>
    <cellStyle name="Normal 4 6 5 3 2" xfId="13624" xr:uid="{77A9586D-DDC8-4F23-AC61-6F33E0F287C2}"/>
    <cellStyle name="Normal 4 6 5 4" xfId="9406" xr:uid="{EB4172AE-C6DF-44DA-A69F-9D15E6801415}"/>
    <cellStyle name="Normal 4 6 6" xfId="1287" xr:uid="{00000000-0005-0000-0000-000093160000}"/>
    <cellStyle name="Normal 4 6 6 2" xfId="3517" xr:uid="{00000000-0005-0000-0000-000094160000}"/>
    <cellStyle name="Normal 4 6 6 2 2" xfId="7740" xr:uid="{00000000-0005-0000-0000-000095160000}"/>
    <cellStyle name="Normal 4 6 6 2 2 2" xfId="16182" xr:uid="{7FC7B8FE-E266-4C25-9BBB-D1CF12CD8BC6}"/>
    <cellStyle name="Normal 4 6 6 2 3" xfId="11964" xr:uid="{E7CA9813-1EFD-40A4-8A0A-87C4BDA2A665}"/>
    <cellStyle name="Normal 4 6 6 3" xfId="5595" xr:uid="{00000000-0005-0000-0000-000096160000}"/>
    <cellStyle name="Normal 4 6 6 3 2" xfId="14037" xr:uid="{13AC4055-2210-41B2-BFBD-DFEABC5904C6}"/>
    <cellStyle name="Normal 4 6 6 4" xfId="9819" xr:uid="{36567E27-08FB-461E-AE9C-61E7497FD0B0}"/>
    <cellStyle name="Normal 4 6 7" xfId="1700" xr:uid="{00000000-0005-0000-0000-000097160000}"/>
    <cellStyle name="Normal 4 6 7 2" xfId="3930" xr:uid="{00000000-0005-0000-0000-000098160000}"/>
    <cellStyle name="Normal 4 6 7 2 2" xfId="8153" xr:uid="{00000000-0005-0000-0000-000099160000}"/>
    <cellStyle name="Normal 4 6 7 2 2 2" xfId="16595" xr:uid="{73509F4F-BD91-46A9-9F7C-E3354FB57C95}"/>
    <cellStyle name="Normal 4 6 7 2 3" xfId="12377" xr:uid="{7D7E41BC-BD54-4F29-A751-7FA5AC800CA7}"/>
    <cellStyle name="Normal 4 6 7 3" xfId="6008" xr:uid="{00000000-0005-0000-0000-00009A160000}"/>
    <cellStyle name="Normal 4 6 7 3 2" xfId="14450" xr:uid="{2FA41FDC-2E60-445C-9D74-D6EB9E35D098}"/>
    <cellStyle name="Normal 4 6 7 4" xfId="10232" xr:uid="{67D1307D-FFCB-455D-8BAF-917DE4592AE1}"/>
    <cellStyle name="Normal 4 6 8" xfId="2114" xr:uid="{00000000-0005-0000-0000-00009B160000}"/>
    <cellStyle name="Normal 4 6 8 2" xfId="4343" xr:uid="{00000000-0005-0000-0000-00009C160000}"/>
    <cellStyle name="Normal 4 6 8 2 2" xfId="8566" xr:uid="{00000000-0005-0000-0000-00009D160000}"/>
    <cellStyle name="Normal 4 6 8 2 2 2" xfId="17008" xr:uid="{7F12B0D4-C7F2-4412-8ED9-B15B0055E23E}"/>
    <cellStyle name="Normal 4 6 8 2 3" xfId="12790" xr:uid="{592A401E-3595-46A2-893D-05A9768ADB5A}"/>
    <cellStyle name="Normal 4 6 8 3" xfId="6421" xr:uid="{00000000-0005-0000-0000-00009E160000}"/>
    <cellStyle name="Normal 4 6 8 3 2" xfId="14863" xr:uid="{45B7E5D2-24DB-4E18-BAA1-6981BF75D542}"/>
    <cellStyle name="Normal 4 6 8 4" xfId="10645" xr:uid="{54AEF122-6467-4E4A-A6E6-E5495326134B}"/>
    <cellStyle name="Normal 4 6 9" xfId="2550" xr:uid="{00000000-0005-0000-0000-00009F160000}"/>
    <cellStyle name="Normal 4 6 9 2" xfId="6834" xr:uid="{00000000-0005-0000-0000-0000A0160000}"/>
    <cellStyle name="Normal 4 6 9 2 2" xfId="15276" xr:uid="{E0B1C273-28FA-476D-8C1A-D4093466CED5}"/>
    <cellStyle name="Normal 4 6 9 3" xfId="11058" xr:uid="{E123BEEE-68D1-4E36-85F1-0EE0A1CF4D94}"/>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0DF622FA-47DA-4C52-99B5-BBD9070C6301}"/>
    <cellStyle name="Normal 4 7 2 2 2 3" xfId="11560" xr:uid="{71A6B956-FB40-4D61-BCD5-BABC251ECF4D}"/>
    <cellStyle name="Normal 4 7 2 2 3" xfId="5191" xr:uid="{00000000-0005-0000-0000-0000A6160000}"/>
    <cellStyle name="Normal 4 7 2 2 3 2" xfId="13633" xr:uid="{751A10A6-6C88-4AB4-B010-52FD32AB8374}"/>
    <cellStyle name="Normal 4 7 2 2 4" xfId="9415" xr:uid="{AE235174-7488-4164-BF40-16BB74A4B05B}"/>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E278189C-7F99-45B6-B126-3A67853D360A}"/>
    <cellStyle name="Normal 4 7 2 3 2 3" xfId="11973" xr:uid="{1D2210D9-0CE6-47AE-A540-170D47F9DE11}"/>
    <cellStyle name="Normal 4 7 2 3 3" xfId="5604" xr:uid="{00000000-0005-0000-0000-0000AA160000}"/>
    <cellStyle name="Normal 4 7 2 3 3 2" xfId="14046" xr:uid="{60AF3D59-C373-43F2-843B-4C0B99B9EA73}"/>
    <cellStyle name="Normal 4 7 2 3 4" xfId="9828" xr:uid="{00023146-5674-4F4A-9F0F-99992611A88B}"/>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79F87180-E98C-4B50-9511-2F66D15897A8}"/>
    <cellStyle name="Normal 4 7 2 4 2 3" xfId="12386" xr:uid="{A4C66598-99C6-485C-A2EC-C097D6793AC9}"/>
    <cellStyle name="Normal 4 7 2 4 3" xfId="6017" xr:uid="{00000000-0005-0000-0000-0000AE160000}"/>
    <cellStyle name="Normal 4 7 2 4 3 2" xfId="14459" xr:uid="{A8A17840-0181-4A5E-B5C3-20FD19A020CC}"/>
    <cellStyle name="Normal 4 7 2 4 4" xfId="10241" xr:uid="{BE965447-46A5-4C73-85D0-097F8B55455C}"/>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07AB1C35-D6DF-4DE3-B819-1EFB399FDCB3}"/>
    <cellStyle name="Normal 4 7 2 5 2 3" xfId="12799" xr:uid="{25CBB4F9-14CB-4BDB-8DDF-0E385FA25A98}"/>
    <cellStyle name="Normal 4 7 2 5 3" xfId="6430" xr:uid="{00000000-0005-0000-0000-0000B2160000}"/>
    <cellStyle name="Normal 4 7 2 5 3 2" xfId="14872" xr:uid="{867ACDE5-CCED-4B5D-ACB5-DEF86CF7E53C}"/>
    <cellStyle name="Normal 4 7 2 5 4" xfId="10654" xr:uid="{0BF2DA2E-5CE8-4C64-A8FD-7A7B88151A4A}"/>
    <cellStyle name="Normal 4 7 2 6" xfId="2559" xr:uid="{00000000-0005-0000-0000-0000B3160000}"/>
    <cellStyle name="Normal 4 7 2 6 2" xfId="6843" xr:uid="{00000000-0005-0000-0000-0000B4160000}"/>
    <cellStyle name="Normal 4 7 2 6 2 2" xfId="15285" xr:uid="{22914EBE-7A59-4780-8829-EE046EAF5696}"/>
    <cellStyle name="Normal 4 7 2 6 3" xfId="11067" xr:uid="{5BBAD4E0-6279-4A27-B428-41314390ED45}"/>
    <cellStyle name="Normal 4 7 2 7" xfId="4778" xr:uid="{00000000-0005-0000-0000-0000B5160000}"/>
    <cellStyle name="Normal 4 7 2 7 2" xfId="13220" xr:uid="{D10A483E-10FA-4D3D-8596-C616E91CB0DC}"/>
    <cellStyle name="Normal 4 7 2 8" xfId="9002" xr:uid="{3195418B-D9E1-4ECA-A593-243A391EDD45}"/>
    <cellStyle name="Normal 4 7 3" xfId="877" xr:uid="{00000000-0005-0000-0000-0000B6160000}"/>
    <cellStyle name="Normal 4 7 3 2" xfId="3112" xr:uid="{00000000-0005-0000-0000-0000B7160000}"/>
    <cellStyle name="Normal 4 7 3 2 2" xfId="7335" xr:uid="{00000000-0005-0000-0000-0000B8160000}"/>
    <cellStyle name="Normal 4 7 3 2 2 2" xfId="15777" xr:uid="{EB7C0EB4-3381-4C31-B2DE-BB4B5DF76A90}"/>
    <cellStyle name="Normal 4 7 3 2 3" xfId="11559" xr:uid="{70560A5A-704C-4F72-BD8B-85B96EE4EC35}"/>
    <cellStyle name="Normal 4 7 3 3" xfId="5190" xr:uid="{00000000-0005-0000-0000-0000B9160000}"/>
    <cellStyle name="Normal 4 7 3 3 2" xfId="13632" xr:uid="{A00E9343-F8DF-49E3-B96D-E488A0BF823D}"/>
    <cellStyle name="Normal 4 7 3 4" xfId="9414" xr:uid="{45897024-C9E6-4DE9-AA05-3FDAFC2AB5AC}"/>
    <cellStyle name="Normal 4 7 4" xfId="1295" xr:uid="{00000000-0005-0000-0000-0000BA160000}"/>
    <cellStyle name="Normal 4 7 4 2" xfId="3525" xr:uid="{00000000-0005-0000-0000-0000BB160000}"/>
    <cellStyle name="Normal 4 7 4 2 2" xfId="7748" xr:uid="{00000000-0005-0000-0000-0000BC160000}"/>
    <cellStyle name="Normal 4 7 4 2 2 2" xfId="16190" xr:uid="{B99F32E6-700D-4B9D-B7A0-3605EBAC65CC}"/>
    <cellStyle name="Normal 4 7 4 2 3" xfId="11972" xr:uid="{20693595-F85D-4373-99D5-10DC1FF29C86}"/>
    <cellStyle name="Normal 4 7 4 3" xfId="5603" xr:uid="{00000000-0005-0000-0000-0000BD160000}"/>
    <cellStyle name="Normal 4 7 4 3 2" xfId="14045" xr:uid="{2A801780-B68B-409F-842C-75C9FE5E6D04}"/>
    <cellStyle name="Normal 4 7 4 4" xfId="9827" xr:uid="{13E623E6-921F-4EE8-989C-7D957E10496C}"/>
    <cellStyle name="Normal 4 7 5" xfId="1708" xr:uid="{00000000-0005-0000-0000-0000BE160000}"/>
    <cellStyle name="Normal 4 7 5 2" xfId="3938" xr:uid="{00000000-0005-0000-0000-0000BF160000}"/>
    <cellStyle name="Normal 4 7 5 2 2" xfId="8161" xr:uid="{00000000-0005-0000-0000-0000C0160000}"/>
    <cellStyle name="Normal 4 7 5 2 2 2" xfId="16603" xr:uid="{0D22ACCF-1662-4638-8D95-07A399DC6F69}"/>
    <cellStyle name="Normal 4 7 5 2 3" xfId="12385" xr:uid="{FB55224B-53C2-41A3-BFF4-C439EC3A9CA2}"/>
    <cellStyle name="Normal 4 7 5 3" xfId="6016" xr:uid="{00000000-0005-0000-0000-0000C1160000}"/>
    <cellStyle name="Normal 4 7 5 3 2" xfId="14458" xr:uid="{5C5022DF-5351-4CA1-82FD-01B335AD907E}"/>
    <cellStyle name="Normal 4 7 5 4" xfId="10240" xr:uid="{3AA66759-EF5B-4BEA-8C4A-F6BA992D596C}"/>
    <cellStyle name="Normal 4 7 6" xfId="2122" xr:uid="{00000000-0005-0000-0000-0000C2160000}"/>
    <cellStyle name="Normal 4 7 6 2" xfId="4351" xr:uid="{00000000-0005-0000-0000-0000C3160000}"/>
    <cellStyle name="Normal 4 7 6 2 2" xfId="8574" xr:uid="{00000000-0005-0000-0000-0000C4160000}"/>
    <cellStyle name="Normal 4 7 6 2 2 2" xfId="17016" xr:uid="{5D2CA48A-5D83-4866-BA02-A10C5293D0C0}"/>
    <cellStyle name="Normal 4 7 6 2 3" xfId="12798" xr:uid="{ADC16905-B47B-4480-8714-92B9DAE9B313}"/>
    <cellStyle name="Normal 4 7 6 3" xfId="6429" xr:uid="{00000000-0005-0000-0000-0000C5160000}"/>
    <cellStyle name="Normal 4 7 6 3 2" xfId="14871" xr:uid="{7C50C88C-0F9E-4216-828F-3180A5769778}"/>
    <cellStyle name="Normal 4 7 6 4" xfId="10653" xr:uid="{BA496868-2980-4F4B-91CA-5EC35CADA7B9}"/>
    <cellStyle name="Normal 4 7 7" xfId="2558" xr:uid="{00000000-0005-0000-0000-0000C6160000}"/>
    <cellStyle name="Normal 4 7 7 2" xfId="6842" xr:uid="{00000000-0005-0000-0000-0000C7160000}"/>
    <cellStyle name="Normal 4 7 7 2 2" xfId="15284" xr:uid="{B98C784C-3021-441F-95AA-0262E47F45C5}"/>
    <cellStyle name="Normal 4 7 7 3" xfId="11066" xr:uid="{61493595-9DAE-4452-9F3F-42A8574CD622}"/>
    <cellStyle name="Normal 4 7 8" xfId="4777" xr:uid="{00000000-0005-0000-0000-0000C8160000}"/>
    <cellStyle name="Normal 4 7 8 2" xfId="13219" xr:uid="{5DEDD884-C91A-4491-8D51-FBA2521ACD18}"/>
    <cellStyle name="Normal 4 7 9" xfId="9001" xr:uid="{ABC389AC-7509-48E2-A31A-BA29080BB751}"/>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A9D50939-479D-4538-BCB3-7390D172DFF1}"/>
    <cellStyle name="Normal 4 8 2 2 3" xfId="11561" xr:uid="{3790625D-C4CB-4A29-868A-48F036B90892}"/>
    <cellStyle name="Normal 4 8 2 3" xfId="5192" xr:uid="{00000000-0005-0000-0000-0000CD160000}"/>
    <cellStyle name="Normal 4 8 2 3 2" xfId="13634" xr:uid="{27D288EE-ACEB-4836-A548-1EF5156CD02B}"/>
    <cellStyle name="Normal 4 8 2 4" xfId="9416" xr:uid="{18521F0A-F551-491E-B474-328135463514}"/>
    <cellStyle name="Normal 4 8 3" xfId="1297" xr:uid="{00000000-0005-0000-0000-0000CE160000}"/>
    <cellStyle name="Normal 4 8 3 2" xfId="3527" xr:uid="{00000000-0005-0000-0000-0000CF160000}"/>
    <cellStyle name="Normal 4 8 3 2 2" xfId="7750" xr:uid="{00000000-0005-0000-0000-0000D0160000}"/>
    <cellStyle name="Normal 4 8 3 2 2 2" xfId="16192" xr:uid="{F562E94E-516D-40E4-AE9B-FF1556A4C4C3}"/>
    <cellStyle name="Normal 4 8 3 2 3" xfId="11974" xr:uid="{369B14E2-CDA6-4501-9C54-019245364919}"/>
    <cellStyle name="Normal 4 8 3 3" xfId="5605" xr:uid="{00000000-0005-0000-0000-0000D1160000}"/>
    <cellStyle name="Normal 4 8 3 3 2" xfId="14047" xr:uid="{FFB6DCF6-9FD7-4895-A2D6-B41FC550A756}"/>
    <cellStyle name="Normal 4 8 3 4" xfId="9829" xr:uid="{21DF10E5-6A27-4DB9-B44E-CAA641A68C61}"/>
    <cellStyle name="Normal 4 8 4" xfId="1710" xr:uid="{00000000-0005-0000-0000-0000D2160000}"/>
    <cellStyle name="Normal 4 8 4 2" xfId="3940" xr:uid="{00000000-0005-0000-0000-0000D3160000}"/>
    <cellStyle name="Normal 4 8 4 2 2" xfId="8163" xr:uid="{00000000-0005-0000-0000-0000D4160000}"/>
    <cellStyle name="Normal 4 8 4 2 2 2" xfId="16605" xr:uid="{356BA8E6-B67A-4656-AF4A-BD35BE702875}"/>
    <cellStyle name="Normal 4 8 4 2 3" xfId="12387" xr:uid="{C275EB34-0374-4723-B5FD-26BA7CFFD174}"/>
    <cellStyle name="Normal 4 8 4 3" xfId="6018" xr:uid="{00000000-0005-0000-0000-0000D5160000}"/>
    <cellStyle name="Normal 4 8 4 3 2" xfId="14460" xr:uid="{B75A9CEB-7DF3-4D90-B58B-13EAF0CBF972}"/>
    <cellStyle name="Normal 4 8 4 4" xfId="10242" xr:uid="{35AE5F29-370C-4FC7-A336-D97D16B1439F}"/>
    <cellStyle name="Normal 4 8 5" xfId="2124" xr:uid="{00000000-0005-0000-0000-0000D6160000}"/>
    <cellStyle name="Normal 4 8 5 2" xfId="4353" xr:uid="{00000000-0005-0000-0000-0000D7160000}"/>
    <cellStyle name="Normal 4 8 5 2 2" xfId="8576" xr:uid="{00000000-0005-0000-0000-0000D8160000}"/>
    <cellStyle name="Normal 4 8 5 2 2 2" xfId="17018" xr:uid="{66DD5D57-58AA-41E4-B935-A9F9DC9A06A4}"/>
    <cellStyle name="Normal 4 8 5 2 3" xfId="12800" xr:uid="{BB7C1EF6-5858-4477-970C-98B1F0C141A6}"/>
    <cellStyle name="Normal 4 8 5 3" xfId="6431" xr:uid="{00000000-0005-0000-0000-0000D9160000}"/>
    <cellStyle name="Normal 4 8 5 3 2" xfId="14873" xr:uid="{1D7FDB3C-727A-4D75-AEE9-B4B90C6AC163}"/>
    <cellStyle name="Normal 4 8 5 4" xfId="10655" xr:uid="{4B9D8A1F-15B1-4F1F-8D60-28BC857EDA21}"/>
    <cellStyle name="Normal 4 8 6" xfId="2560" xr:uid="{00000000-0005-0000-0000-0000DA160000}"/>
    <cellStyle name="Normal 4 8 6 2" xfId="6844" xr:uid="{00000000-0005-0000-0000-0000DB160000}"/>
    <cellStyle name="Normal 4 8 6 2 2" xfId="15286" xr:uid="{DB4D4496-0120-4BF5-82C7-62C59BE193FA}"/>
    <cellStyle name="Normal 4 8 6 3" xfId="11068" xr:uid="{1BF433BD-F3CA-47F4-A304-6883483DDDC9}"/>
    <cellStyle name="Normal 4 8 7" xfId="4779" xr:uid="{00000000-0005-0000-0000-0000DC160000}"/>
    <cellStyle name="Normal 4 8 7 2" xfId="13221" xr:uid="{E63CA008-3343-4FEF-8BFC-CFB836169C4D}"/>
    <cellStyle name="Normal 4 8 8" xfId="9003" xr:uid="{252A7908-0F42-4E1A-8716-59D6A107A7B0}"/>
    <cellStyle name="Normal 4 9" xfId="4716" xr:uid="{00000000-0005-0000-0000-0000DD160000}"/>
    <cellStyle name="Normal 4 9 2" xfId="13158" xr:uid="{C269276A-E508-4F37-8F83-4CDF40674E88}"/>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B5A6E51F-3EC3-48BC-B7D0-B7F48E87E506}"/>
    <cellStyle name="Normal 5 10 2 3" xfId="12388" xr:uid="{982B2368-B152-4283-9B0A-578151AC7971}"/>
    <cellStyle name="Normal 5 10 3" xfId="6019" xr:uid="{00000000-0005-0000-0000-0000E2160000}"/>
    <cellStyle name="Normal 5 10 3 2" xfId="14461" xr:uid="{1455F9AE-BB0F-49CC-8317-E7AE38C6BD27}"/>
    <cellStyle name="Normal 5 10 4" xfId="10243" xr:uid="{7DF79B46-A3D5-4282-905F-E6F6AC205A38}"/>
    <cellStyle name="Normal 5 11" xfId="2125" xr:uid="{00000000-0005-0000-0000-0000E3160000}"/>
    <cellStyle name="Normal 5 11 2" xfId="4354" xr:uid="{00000000-0005-0000-0000-0000E4160000}"/>
    <cellStyle name="Normal 5 11 2 2" xfId="8577" xr:uid="{00000000-0005-0000-0000-0000E5160000}"/>
    <cellStyle name="Normal 5 11 2 2 2" xfId="17019" xr:uid="{ABCCC221-083A-42C6-BEC9-BE7286DF0FBC}"/>
    <cellStyle name="Normal 5 11 2 3" xfId="12801" xr:uid="{07F3F910-5AF7-4A76-9F7F-A937AD18299F}"/>
    <cellStyle name="Normal 5 11 3" xfId="6432" xr:uid="{00000000-0005-0000-0000-0000E6160000}"/>
    <cellStyle name="Normal 5 11 3 2" xfId="14874" xr:uid="{A337D085-7FE2-4280-8793-0EE66215F3BB}"/>
    <cellStyle name="Normal 5 11 4" xfId="10656" xr:uid="{005C73AA-CFF7-4F70-928C-E9DCF177E7AC}"/>
    <cellStyle name="Normal 5 12" xfId="2561" xr:uid="{00000000-0005-0000-0000-0000E7160000}"/>
    <cellStyle name="Normal 5 12 2" xfId="6845" xr:uid="{00000000-0005-0000-0000-0000E8160000}"/>
    <cellStyle name="Normal 5 12 2 2" xfId="15287" xr:uid="{00FE9308-C4A8-433D-B57B-95747229FB41}"/>
    <cellStyle name="Normal 5 12 3" xfId="11069" xr:uid="{BD0401F9-4722-41C7-A994-3E5F6B9943D7}"/>
    <cellStyle name="Normal 5 13" xfId="4780" xr:uid="{00000000-0005-0000-0000-0000E9160000}"/>
    <cellStyle name="Normal 5 13 2" xfId="13222" xr:uid="{87BF9807-2FE6-4F13-B120-05944A29BB57}"/>
    <cellStyle name="Normal 5 14" xfId="9004" xr:uid="{A4C0F49B-5E06-488B-A320-268DE2EF3688}"/>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BD006D11-95CA-46C8-942D-169655476458}"/>
    <cellStyle name="Normal 5 2 10 2 3" xfId="12802" xr:uid="{F6E75269-B9DE-4085-A4B5-70F7745D20A5}"/>
    <cellStyle name="Normal 5 2 10 3" xfId="6433" xr:uid="{00000000-0005-0000-0000-0000EE160000}"/>
    <cellStyle name="Normal 5 2 10 3 2" xfId="14875" xr:uid="{E7E169E0-FC73-4570-B2F5-DB9D0E5869EF}"/>
    <cellStyle name="Normal 5 2 10 4" xfId="10657" xr:uid="{4470B19B-9F06-4461-8F9C-4F526B67A004}"/>
    <cellStyle name="Normal 5 2 11" xfId="2562" xr:uid="{00000000-0005-0000-0000-0000EF160000}"/>
    <cellStyle name="Normal 5 2 11 2" xfId="6846" xr:uid="{00000000-0005-0000-0000-0000F0160000}"/>
    <cellStyle name="Normal 5 2 11 2 2" xfId="15288" xr:uid="{A1A7DB16-5156-4FF6-916D-71B06C146D4F}"/>
    <cellStyle name="Normal 5 2 11 3" xfId="11070" xr:uid="{C68D3C75-8279-405B-A133-5E485FDF169A}"/>
    <cellStyle name="Normal 5 2 12" xfId="4781" xr:uid="{00000000-0005-0000-0000-0000F1160000}"/>
    <cellStyle name="Normal 5 2 12 2" xfId="13223" xr:uid="{93F2CA32-E166-46F7-B714-4C21E2A41A65}"/>
    <cellStyle name="Normal 5 2 13" xfId="9005" xr:uid="{75298E56-9543-4005-A4D7-B68280643A09}"/>
    <cellStyle name="Normal 5 2 2" xfId="408" xr:uid="{00000000-0005-0000-0000-0000F2160000}"/>
    <cellStyle name="Normal 5 2 2 10" xfId="2563" xr:uid="{00000000-0005-0000-0000-0000F3160000}"/>
    <cellStyle name="Normal 5 2 2 10 2" xfId="6847" xr:uid="{00000000-0005-0000-0000-0000F4160000}"/>
    <cellStyle name="Normal 5 2 2 10 2 2" xfId="15289" xr:uid="{44261A84-CF7E-4373-BF20-1C92518217F3}"/>
    <cellStyle name="Normal 5 2 2 10 3" xfId="11071" xr:uid="{08065716-1A11-4C7B-9B6D-CFC9A11D6FFF}"/>
    <cellStyle name="Normal 5 2 2 11" xfId="4782" xr:uid="{00000000-0005-0000-0000-0000F5160000}"/>
    <cellStyle name="Normal 5 2 2 11 2" xfId="13224" xr:uid="{959FD5D6-FF9F-4173-90AC-644E51B1F043}"/>
    <cellStyle name="Normal 5 2 2 12" xfId="9006" xr:uid="{F6545FF1-81F0-4D61-A34D-9C3BAD2A40DC}"/>
    <cellStyle name="Normal 5 2 2 2" xfId="409" xr:uid="{00000000-0005-0000-0000-0000F6160000}"/>
    <cellStyle name="Normal 5 2 2 2 10" xfId="4783" xr:uid="{00000000-0005-0000-0000-0000F7160000}"/>
    <cellStyle name="Normal 5 2 2 2 10 2" xfId="13225" xr:uid="{986E5EFC-FF6C-4FA9-A0F3-F9526970B786}"/>
    <cellStyle name="Normal 5 2 2 2 11" xfId="9007" xr:uid="{5CE4A14F-0233-4CD4-91AB-A236EC71BAB6}"/>
    <cellStyle name="Normal 5 2 2 2 2" xfId="410" xr:uid="{00000000-0005-0000-0000-0000F8160000}"/>
    <cellStyle name="Normal 5 2 2 2 2 10" xfId="9008" xr:uid="{616FA173-429B-4EE8-A94B-9A6F64FEBCCF}"/>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611C2116-ACA3-48B8-873C-A13326ED7CD3}"/>
    <cellStyle name="Normal 5 2 2 2 2 2 2 2 2 3" xfId="11568" xr:uid="{12051D2F-816E-4C2A-8007-4DF162161F1F}"/>
    <cellStyle name="Normal 5 2 2 2 2 2 2 2 3" xfId="5199" xr:uid="{00000000-0005-0000-0000-0000FE160000}"/>
    <cellStyle name="Normal 5 2 2 2 2 2 2 2 3 2" xfId="13641" xr:uid="{8D887025-3D80-4F47-BEAD-22FC145663E4}"/>
    <cellStyle name="Normal 5 2 2 2 2 2 2 2 4" xfId="9423" xr:uid="{64B6D97F-3C46-4AF2-B7BC-123AED80DC1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1345F286-6A20-48F0-883F-E58C8019AB21}"/>
    <cellStyle name="Normal 5 2 2 2 2 2 2 3 2 3" xfId="11981" xr:uid="{43F1B187-AEE2-4103-BF83-0EDACA8A4DE8}"/>
    <cellStyle name="Normal 5 2 2 2 2 2 2 3 3" xfId="5612" xr:uid="{00000000-0005-0000-0000-000002170000}"/>
    <cellStyle name="Normal 5 2 2 2 2 2 2 3 3 2" xfId="14054" xr:uid="{FDABC16A-6226-423D-8E5A-AF209E1F6883}"/>
    <cellStyle name="Normal 5 2 2 2 2 2 2 3 4" xfId="9836" xr:uid="{3702E37B-E9FB-46B0-8112-9879A6EC92FC}"/>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D5B8160B-B59C-460D-AB08-9235D3ECADE0}"/>
    <cellStyle name="Normal 5 2 2 2 2 2 2 4 2 3" xfId="12394" xr:uid="{ED5D947B-F065-4E1D-A1CE-E50782C29262}"/>
    <cellStyle name="Normal 5 2 2 2 2 2 2 4 3" xfId="6025" xr:uid="{00000000-0005-0000-0000-000006170000}"/>
    <cellStyle name="Normal 5 2 2 2 2 2 2 4 3 2" xfId="14467" xr:uid="{6EB37BE3-CF64-4519-9A62-42E87D215F26}"/>
    <cellStyle name="Normal 5 2 2 2 2 2 2 4 4" xfId="10249" xr:uid="{9366B17E-4A9C-4935-B71D-EBFBE4D48674}"/>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54F45D88-DAD5-46A5-A9C9-20C98867A80F}"/>
    <cellStyle name="Normal 5 2 2 2 2 2 2 5 2 3" xfId="12807" xr:uid="{FC4251E1-85F6-4086-9121-3C69C3FA2A19}"/>
    <cellStyle name="Normal 5 2 2 2 2 2 2 5 3" xfId="6438" xr:uid="{00000000-0005-0000-0000-00000A170000}"/>
    <cellStyle name="Normal 5 2 2 2 2 2 2 5 3 2" xfId="14880" xr:uid="{2C37E6F8-47F2-4D6E-95CD-B917686A207A}"/>
    <cellStyle name="Normal 5 2 2 2 2 2 2 5 4" xfId="10662" xr:uid="{DB84E9CB-EF5C-4C01-B4BA-1715B5790CE5}"/>
    <cellStyle name="Normal 5 2 2 2 2 2 2 6" xfId="2567" xr:uid="{00000000-0005-0000-0000-00000B170000}"/>
    <cellStyle name="Normal 5 2 2 2 2 2 2 6 2" xfId="6851" xr:uid="{00000000-0005-0000-0000-00000C170000}"/>
    <cellStyle name="Normal 5 2 2 2 2 2 2 6 2 2" xfId="15293" xr:uid="{0DE950FA-D6E9-436E-8588-C8029AA71496}"/>
    <cellStyle name="Normal 5 2 2 2 2 2 2 6 3" xfId="11075" xr:uid="{EA9BB09D-0F3A-4566-B277-44642613E7D0}"/>
    <cellStyle name="Normal 5 2 2 2 2 2 2 7" xfId="4786" xr:uid="{00000000-0005-0000-0000-00000D170000}"/>
    <cellStyle name="Normal 5 2 2 2 2 2 2 7 2" xfId="13228" xr:uid="{A34FEC82-AE08-4672-A312-765AB6E86E03}"/>
    <cellStyle name="Normal 5 2 2 2 2 2 2 8" xfId="9010" xr:uid="{783BD68F-62DE-4235-A0AD-58F8C1A2D1CA}"/>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D64A1700-3762-416F-8848-008D23DA2B2D}"/>
    <cellStyle name="Normal 5 2 2 2 2 2 3 2 3" xfId="11567" xr:uid="{3096E269-85EC-4762-9DF6-8499E30D21A9}"/>
    <cellStyle name="Normal 5 2 2 2 2 2 3 3" xfId="5198" xr:uid="{00000000-0005-0000-0000-000011170000}"/>
    <cellStyle name="Normal 5 2 2 2 2 2 3 3 2" xfId="13640" xr:uid="{7894390A-86CD-4BC0-BA69-C178412218E8}"/>
    <cellStyle name="Normal 5 2 2 2 2 2 3 4" xfId="9422" xr:uid="{C028AD00-AF11-4581-AC4B-89FC258D2226}"/>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AF4C6CBE-D05C-43B7-8B5E-A5526702078F}"/>
    <cellStyle name="Normal 5 2 2 2 2 2 4 2 3" xfId="11980" xr:uid="{6A7C001C-C036-4AD3-8596-4019398448C8}"/>
    <cellStyle name="Normal 5 2 2 2 2 2 4 3" xfId="5611" xr:uid="{00000000-0005-0000-0000-000015170000}"/>
    <cellStyle name="Normal 5 2 2 2 2 2 4 3 2" xfId="14053" xr:uid="{42D4E34F-E57A-4ED8-9F6A-F0A59129F804}"/>
    <cellStyle name="Normal 5 2 2 2 2 2 4 4" xfId="9835" xr:uid="{37960C40-9DE0-47CA-9A6A-3ED68547FC4F}"/>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3CCC6CDF-A109-4EB9-BA30-8796D90F9BBF}"/>
    <cellStyle name="Normal 5 2 2 2 2 2 5 2 3" xfId="12393" xr:uid="{2601AD3C-D18C-4BED-BC14-5A2363447EE3}"/>
    <cellStyle name="Normal 5 2 2 2 2 2 5 3" xfId="6024" xr:uid="{00000000-0005-0000-0000-000019170000}"/>
    <cellStyle name="Normal 5 2 2 2 2 2 5 3 2" xfId="14466" xr:uid="{C37D92F1-D327-4C43-9C92-71F0CFA2AA26}"/>
    <cellStyle name="Normal 5 2 2 2 2 2 5 4" xfId="10248" xr:uid="{90F66A91-1E39-47E6-A60C-FF847877CEAB}"/>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78204CBF-147A-4C64-A5CB-878B5455A0C5}"/>
    <cellStyle name="Normal 5 2 2 2 2 2 6 2 3" xfId="12806" xr:uid="{39974E41-1D43-4A73-B695-015068F59BFF}"/>
    <cellStyle name="Normal 5 2 2 2 2 2 6 3" xfId="6437" xr:uid="{00000000-0005-0000-0000-00001D170000}"/>
    <cellStyle name="Normal 5 2 2 2 2 2 6 3 2" xfId="14879" xr:uid="{251AD18D-4176-4B58-90E1-5BCD66358157}"/>
    <cellStyle name="Normal 5 2 2 2 2 2 6 4" xfId="10661" xr:uid="{E35B5E65-B575-4683-9889-153B3AD04710}"/>
    <cellStyle name="Normal 5 2 2 2 2 2 7" xfId="2566" xr:uid="{00000000-0005-0000-0000-00001E170000}"/>
    <cellStyle name="Normal 5 2 2 2 2 2 7 2" xfId="6850" xr:uid="{00000000-0005-0000-0000-00001F170000}"/>
    <cellStyle name="Normal 5 2 2 2 2 2 7 2 2" xfId="15292" xr:uid="{7758F3CE-929F-4E14-A6E7-A40EE21F7C62}"/>
    <cellStyle name="Normal 5 2 2 2 2 2 7 3" xfId="11074" xr:uid="{D9CBBC87-CE3B-43D1-9662-118E29C2C70C}"/>
    <cellStyle name="Normal 5 2 2 2 2 2 8" xfId="4785" xr:uid="{00000000-0005-0000-0000-000020170000}"/>
    <cellStyle name="Normal 5 2 2 2 2 2 8 2" xfId="13227" xr:uid="{FB7558F5-427A-419D-A76A-C8C6E201FD20}"/>
    <cellStyle name="Normal 5 2 2 2 2 2 9" xfId="9009" xr:uid="{C51C611D-0A41-41EF-A6CA-A58B7C986941}"/>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C8FD86F8-47BA-4729-8C27-D7CF47E7FD19}"/>
    <cellStyle name="Normal 5 2 2 2 2 3 2 2 3" xfId="11569" xr:uid="{E8FD8C06-4D2B-4613-95C9-152746ED916D}"/>
    <cellStyle name="Normal 5 2 2 2 2 3 2 3" xfId="5200" xr:uid="{00000000-0005-0000-0000-000025170000}"/>
    <cellStyle name="Normal 5 2 2 2 2 3 2 3 2" xfId="13642" xr:uid="{D8519F22-2205-4902-9209-AFB4F8DFAAEC}"/>
    <cellStyle name="Normal 5 2 2 2 2 3 2 4" xfId="9424" xr:uid="{B5EA4B9D-F8C9-485F-9189-0BEFDC74DE79}"/>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607067BD-6FBE-4ACE-99BF-D27322A47C0A}"/>
    <cellStyle name="Normal 5 2 2 2 2 3 3 2 3" xfId="11982" xr:uid="{CE4DA2AC-9E78-4DAF-8179-4A33D44D1AE5}"/>
    <cellStyle name="Normal 5 2 2 2 2 3 3 3" xfId="5613" xr:uid="{00000000-0005-0000-0000-000029170000}"/>
    <cellStyle name="Normal 5 2 2 2 2 3 3 3 2" xfId="14055" xr:uid="{266A96DD-0F2C-44F9-9C80-EAE5564187B6}"/>
    <cellStyle name="Normal 5 2 2 2 2 3 3 4" xfId="9837" xr:uid="{7B60D61C-5EF2-42B4-91B4-536D384BE1F3}"/>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1F569A68-99B9-444F-925A-BAAD37E444D6}"/>
    <cellStyle name="Normal 5 2 2 2 2 3 4 2 3" xfId="12395" xr:uid="{24E5D96F-5458-404A-92C4-D768BE95472F}"/>
    <cellStyle name="Normal 5 2 2 2 2 3 4 3" xfId="6026" xr:uid="{00000000-0005-0000-0000-00002D170000}"/>
    <cellStyle name="Normal 5 2 2 2 2 3 4 3 2" xfId="14468" xr:uid="{85CF2D38-DB77-4DFE-887C-BB634AD44D90}"/>
    <cellStyle name="Normal 5 2 2 2 2 3 4 4" xfId="10250" xr:uid="{36D29D0E-CC9F-4631-8EEB-635776D92844}"/>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15D1C34D-F33A-493E-B5C1-310D9329F774}"/>
    <cellStyle name="Normal 5 2 2 2 2 3 5 2 3" xfId="12808" xr:uid="{CA6B645B-9C22-4D1F-B22F-61325438A1C5}"/>
    <cellStyle name="Normal 5 2 2 2 2 3 5 3" xfId="6439" xr:uid="{00000000-0005-0000-0000-000031170000}"/>
    <cellStyle name="Normal 5 2 2 2 2 3 5 3 2" xfId="14881" xr:uid="{592ABAD7-A5FB-4B14-9772-1B3B60464C24}"/>
    <cellStyle name="Normal 5 2 2 2 2 3 5 4" xfId="10663" xr:uid="{21F01996-464E-4DD2-81BB-A082F5BE788B}"/>
    <cellStyle name="Normal 5 2 2 2 2 3 6" xfId="2568" xr:uid="{00000000-0005-0000-0000-000032170000}"/>
    <cellStyle name="Normal 5 2 2 2 2 3 6 2" xfId="6852" xr:uid="{00000000-0005-0000-0000-000033170000}"/>
    <cellStyle name="Normal 5 2 2 2 2 3 6 2 2" xfId="15294" xr:uid="{C26205CF-81CE-49AA-A269-368B8D225815}"/>
    <cellStyle name="Normal 5 2 2 2 2 3 6 3" xfId="11076" xr:uid="{FD18F4A2-5AAB-4E1E-886B-8CE9A7FCA23C}"/>
    <cellStyle name="Normal 5 2 2 2 2 3 7" xfId="4787" xr:uid="{00000000-0005-0000-0000-000034170000}"/>
    <cellStyle name="Normal 5 2 2 2 2 3 7 2" xfId="13229" xr:uid="{583EF324-D314-4206-8BAA-FA8B2172692B}"/>
    <cellStyle name="Normal 5 2 2 2 2 3 8" xfId="9011" xr:uid="{14324DE1-E7A0-47C5-9F68-28B238261BEF}"/>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0E403C5A-72A4-4943-99D0-FBB74E4C1E30}"/>
    <cellStyle name="Normal 5 2 2 2 2 4 2 3" xfId="11566" xr:uid="{BA774A20-D074-42A3-9CA9-5A6D6E4E11B9}"/>
    <cellStyle name="Normal 5 2 2 2 2 4 3" xfId="5197" xr:uid="{00000000-0005-0000-0000-000038170000}"/>
    <cellStyle name="Normal 5 2 2 2 2 4 3 2" xfId="13639" xr:uid="{268614A8-7B97-45C6-8ED1-F646AA59DEA3}"/>
    <cellStyle name="Normal 5 2 2 2 2 4 4" xfId="9421" xr:uid="{DDD1123C-1738-4DC5-B2AD-E69FB4B87EAF}"/>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1E3AD4FB-3F17-4E57-A63A-25DFAD515D00}"/>
    <cellStyle name="Normal 5 2 2 2 2 5 2 3" xfId="11979" xr:uid="{77D2B2CB-6A24-4EA6-96D1-609E236A1E5B}"/>
    <cellStyle name="Normal 5 2 2 2 2 5 3" xfId="5610" xr:uid="{00000000-0005-0000-0000-00003C170000}"/>
    <cellStyle name="Normal 5 2 2 2 2 5 3 2" xfId="14052" xr:uid="{3E8CFFCB-9645-4C63-A57B-4494A19901B1}"/>
    <cellStyle name="Normal 5 2 2 2 2 5 4" xfId="9834" xr:uid="{E2BD6506-BA32-4FA9-8D90-33E89C0E5FA2}"/>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8F9E2B86-0D04-423A-A808-728FBD10C402}"/>
    <cellStyle name="Normal 5 2 2 2 2 6 2 3" xfId="12392" xr:uid="{A2481C0A-6298-446F-85B1-49783FE5F2E7}"/>
    <cellStyle name="Normal 5 2 2 2 2 6 3" xfId="6023" xr:uid="{00000000-0005-0000-0000-000040170000}"/>
    <cellStyle name="Normal 5 2 2 2 2 6 3 2" xfId="14465" xr:uid="{A55A3840-91D9-479B-AA55-049628E840CF}"/>
    <cellStyle name="Normal 5 2 2 2 2 6 4" xfId="10247" xr:uid="{13929CEC-F7DF-49C8-A014-B30E46921E54}"/>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45136554-C9A4-4321-A822-E28AB60CCA88}"/>
    <cellStyle name="Normal 5 2 2 2 2 7 2 3" xfId="12805" xr:uid="{E3A79EBE-FBC3-48BD-84C3-858F3E7BD1FA}"/>
    <cellStyle name="Normal 5 2 2 2 2 7 3" xfId="6436" xr:uid="{00000000-0005-0000-0000-000044170000}"/>
    <cellStyle name="Normal 5 2 2 2 2 7 3 2" xfId="14878" xr:uid="{C7279176-0CDC-4038-BE78-9A735223538A}"/>
    <cellStyle name="Normal 5 2 2 2 2 7 4" xfId="10660" xr:uid="{2FAFC25D-2FFB-40A3-A9DC-AF95ED17AB85}"/>
    <cellStyle name="Normal 5 2 2 2 2 8" xfId="2565" xr:uid="{00000000-0005-0000-0000-000045170000}"/>
    <cellStyle name="Normal 5 2 2 2 2 8 2" xfId="6849" xr:uid="{00000000-0005-0000-0000-000046170000}"/>
    <cellStyle name="Normal 5 2 2 2 2 8 2 2" xfId="15291" xr:uid="{5A35146C-C806-404D-8D4E-71B18D85FE59}"/>
    <cellStyle name="Normal 5 2 2 2 2 8 3" xfId="11073" xr:uid="{224AFC5E-1383-42A9-9548-5B257316D1FD}"/>
    <cellStyle name="Normal 5 2 2 2 2 9" xfId="4784" xr:uid="{00000000-0005-0000-0000-000047170000}"/>
    <cellStyle name="Normal 5 2 2 2 2 9 2" xfId="13226" xr:uid="{DFB24BA7-5231-4B20-8869-A3145DF0A4A3}"/>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AD477532-30C4-42C5-96DD-6B33FF3F97DE}"/>
    <cellStyle name="Normal 5 2 2 2 3 2 2 2 3" xfId="11571" xr:uid="{23B7B811-EF96-417F-9911-47F43488FCDD}"/>
    <cellStyle name="Normal 5 2 2 2 3 2 2 3" xfId="5202" xr:uid="{00000000-0005-0000-0000-00004D170000}"/>
    <cellStyle name="Normal 5 2 2 2 3 2 2 3 2" xfId="13644" xr:uid="{6AF8F76D-252E-49CF-B686-7528DE4EF74C}"/>
    <cellStyle name="Normal 5 2 2 2 3 2 2 4" xfId="9426" xr:uid="{8D4982D5-6A34-45C4-93ED-9B13D61BD8B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C885FF71-472B-44B2-86CA-0636A4CFBAC3}"/>
    <cellStyle name="Normal 5 2 2 2 3 2 3 2 3" xfId="11984" xr:uid="{AD8EE248-B9C3-4DE4-BB92-8B309889C45C}"/>
    <cellStyle name="Normal 5 2 2 2 3 2 3 3" xfId="5615" xr:uid="{00000000-0005-0000-0000-000051170000}"/>
    <cellStyle name="Normal 5 2 2 2 3 2 3 3 2" xfId="14057" xr:uid="{27A0B613-CFCA-4168-80BD-37928BFCC81D}"/>
    <cellStyle name="Normal 5 2 2 2 3 2 3 4" xfId="9839" xr:uid="{143746E5-A23F-48C5-8621-D5C986F7D3C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5A737B22-018C-46B0-B2B6-5EE388FFA6C1}"/>
    <cellStyle name="Normal 5 2 2 2 3 2 4 2 3" xfId="12397" xr:uid="{AF7B221F-4362-43C9-ABF1-864176E2CBAB}"/>
    <cellStyle name="Normal 5 2 2 2 3 2 4 3" xfId="6028" xr:uid="{00000000-0005-0000-0000-000055170000}"/>
    <cellStyle name="Normal 5 2 2 2 3 2 4 3 2" xfId="14470" xr:uid="{D451896A-ED9F-473E-AFAB-8651F5B62B83}"/>
    <cellStyle name="Normal 5 2 2 2 3 2 4 4" xfId="10252" xr:uid="{7BC8AFAE-E467-4059-8852-CAB243227ED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E63188B9-8903-46D0-92A1-94612C292E22}"/>
    <cellStyle name="Normal 5 2 2 2 3 2 5 2 3" xfId="12810" xr:uid="{31F22177-AC41-4A25-861B-9D18969D79BE}"/>
    <cellStyle name="Normal 5 2 2 2 3 2 5 3" xfId="6441" xr:uid="{00000000-0005-0000-0000-000059170000}"/>
    <cellStyle name="Normal 5 2 2 2 3 2 5 3 2" xfId="14883" xr:uid="{9926F55A-418E-4166-A3E3-2C7131F5A135}"/>
    <cellStyle name="Normal 5 2 2 2 3 2 5 4" xfId="10665" xr:uid="{0581D5F1-86B3-45C2-A1F9-CCA52AB2B5B6}"/>
    <cellStyle name="Normal 5 2 2 2 3 2 6" xfId="2570" xr:uid="{00000000-0005-0000-0000-00005A170000}"/>
    <cellStyle name="Normal 5 2 2 2 3 2 6 2" xfId="6854" xr:uid="{00000000-0005-0000-0000-00005B170000}"/>
    <cellStyle name="Normal 5 2 2 2 3 2 6 2 2" xfId="15296" xr:uid="{10D65450-1970-4EAD-BC08-152607FD6D1B}"/>
    <cellStyle name="Normal 5 2 2 2 3 2 6 3" xfId="11078" xr:uid="{0FE84DCA-EFF1-414A-B4C0-25AEEF4C6934}"/>
    <cellStyle name="Normal 5 2 2 2 3 2 7" xfId="4789" xr:uid="{00000000-0005-0000-0000-00005C170000}"/>
    <cellStyle name="Normal 5 2 2 2 3 2 7 2" xfId="13231" xr:uid="{BA68E38A-812E-428B-B633-11342D34925D}"/>
    <cellStyle name="Normal 5 2 2 2 3 2 8" xfId="9013" xr:uid="{72448BE8-D2AA-49E1-9C0C-985C936AD7BF}"/>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194AD9BC-C34A-46DB-A628-8FAE4C931BBA}"/>
    <cellStyle name="Normal 5 2 2 2 3 3 2 3" xfId="11570" xr:uid="{AAD8142C-EF23-4577-A46E-7E1A94D0E4A3}"/>
    <cellStyle name="Normal 5 2 2 2 3 3 3" xfId="5201" xr:uid="{00000000-0005-0000-0000-000060170000}"/>
    <cellStyle name="Normal 5 2 2 2 3 3 3 2" xfId="13643" xr:uid="{324A025F-317F-48F0-9BEA-BD112562B55B}"/>
    <cellStyle name="Normal 5 2 2 2 3 3 4" xfId="9425" xr:uid="{4F16FCCE-0059-4D07-8A28-684C162FD9B4}"/>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312B3309-4AC0-49A1-9F04-5C0A8EF06E04}"/>
    <cellStyle name="Normal 5 2 2 2 3 4 2 3" xfId="11983" xr:uid="{9363A56D-E766-43BC-8373-6C5EAAA21217}"/>
    <cellStyle name="Normal 5 2 2 2 3 4 3" xfId="5614" xr:uid="{00000000-0005-0000-0000-000064170000}"/>
    <cellStyle name="Normal 5 2 2 2 3 4 3 2" xfId="14056" xr:uid="{43D23FD2-FF96-46A8-BB59-4D20220DEB92}"/>
    <cellStyle name="Normal 5 2 2 2 3 4 4" xfId="9838" xr:uid="{155473AE-2232-4CC7-8B44-1EBBDE6F441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DAC03452-12A7-43D2-972A-E147003AEDC5}"/>
    <cellStyle name="Normal 5 2 2 2 3 5 2 3" xfId="12396" xr:uid="{BF54340D-EAF0-4301-A289-97F508286DFB}"/>
    <cellStyle name="Normal 5 2 2 2 3 5 3" xfId="6027" xr:uid="{00000000-0005-0000-0000-000068170000}"/>
    <cellStyle name="Normal 5 2 2 2 3 5 3 2" xfId="14469" xr:uid="{2F8A98C6-F298-441E-A3C6-B29A820AE425}"/>
    <cellStyle name="Normal 5 2 2 2 3 5 4" xfId="10251" xr:uid="{F032076B-790D-4E11-9E20-CB59E67145B2}"/>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154CA0ED-EEA6-40CC-9761-B8F03BEB454D}"/>
    <cellStyle name="Normal 5 2 2 2 3 6 2 3" xfId="12809" xr:uid="{3DA13A36-0A87-4FC3-9473-FAA033D508BA}"/>
    <cellStyle name="Normal 5 2 2 2 3 6 3" xfId="6440" xr:uid="{00000000-0005-0000-0000-00006C170000}"/>
    <cellStyle name="Normal 5 2 2 2 3 6 3 2" xfId="14882" xr:uid="{935FE991-F3E1-4C3E-8B6F-6EFDF00ADCB4}"/>
    <cellStyle name="Normal 5 2 2 2 3 6 4" xfId="10664" xr:uid="{1853488C-CF00-4767-9AC2-4B32A267750D}"/>
    <cellStyle name="Normal 5 2 2 2 3 7" xfId="2569" xr:uid="{00000000-0005-0000-0000-00006D170000}"/>
    <cellStyle name="Normal 5 2 2 2 3 7 2" xfId="6853" xr:uid="{00000000-0005-0000-0000-00006E170000}"/>
    <cellStyle name="Normal 5 2 2 2 3 7 2 2" xfId="15295" xr:uid="{50E1C5F2-3C9F-4EE7-B8E5-04013DEF3069}"/>
    <cellStyle name="Normal 5 2 2 2 3 7 3" xfId="11077" xr:uid="{2C6F2D62-A0B3-4A5C-87B7-445581C89CD4}"/>
    <cellStyle name="Normal 5 2 2 2 3 8" xfId="4788" xr:uid="{00000000-0005-0000-0000-00006F170000}"/>
    <cellStyle name="Normal 5 2 2 2 3 8 2" xfId="13230" xr:uid="{82F5E524-AD05-4F73-98F2-E02C508D2738}"/>
    <cellStyle name="Normal 5 2 2 2 3 9" xfId="9012" xr:uid="{D5ED0B8D-0DC3-4323-AE5D-0E919D0CAC1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2B690293-04C2-4C7E-AF79-1402F7C31ABD}"/>
    <cellStyle name="Normal 5 2 2 2 4 2 2 3" xfId="11572" xr:uid="{565A07A9-7CC9-40DC-A328-0B7763BF2E92}"/>
    <cellStyle name="Normal 5 2 2 2 4 2 3" xfId="5203" xr:uid="{00000000-0005-0000-0000-000074170000}"/>
    <cellStyle name="Normal 5 2 2 2 4 2 3 2" xfId="13645" xr:uid="{213E67BE-96A1-4F18-A7A2-F4B2103C4D1F}"/>
    <cellStyle name="Normal 5 2 2 2 4 2 4" xfId="9427" xr:uid="{7BABE47E-87D5-41AC-BCEB-626F92BA6FE9}"/>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8B0E9088-3A8B-489A-A977-D88E2BF97AAC}"/>
    <cellStyle name="Normal 5 2 2 2 4 3 2 3" xfId="11985" xr:uid="{2A9DA7FA-0586-45EE-B45A-D1923DD5FBC9}"/>
    <cellStyle name="Normal 5 2 2 2 4 3 3" xfId="5616" xr:uid="{00000000-0005-0000-0000-000078170000}"/>
    <cellStyle name="Normal 5 2 2 2 4 3 3 2" xfId="14058" xr:uid="{36C8739D-37CF-45F4-94BA-66E40DEB87A7}"/>
    <cellStyle name="Normal 5 2 2 2 4 3 4" xfId="9840" xr:uid="{11804274-B338-4610-BC70-B96E74749FD6}"/>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61F3A1BD-2454-481A-AD8E-4A25C4888955}"/>
    <cellStyle name="Normal 5 2 2 2 4 4 2 3" xfId="12398" xr:uid="{4D52D350-93EC-4119-85E8-76C34A09CA9D}"/>
    <cellStyle name="Normal 5 2 2 2 4 4 3" xfId="6029" xr:uid="{00000000-0005-0000-0000-00007C170000}"/>
    <cellStyle name="Normal 5 2 2 2 4 4 3 2" xfId="14471" xr:uid="{DE9A8C8A-6F4E-4C89-AA5B-13E4F8097ECE}"/>
    <cellStyle name="Normal 5 2 2 2 4 4 4" xfId="10253" xr:uid="{B00F5B50-28AF-4C2D-BEDB-293EC57EC51B}"/>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569BB136-F7E1-4654-905D-B4FCAF46A45D}"/>
    <cellStyle name="Normal 5 2 2 2 4 5 2 3" xfId="12811" xr:uid="{4DBA5874-316E-4681-BC2B-904990C57CBD}"/>
    <cellStyle name="Normal 5 2 2 2 4 5 3" xfId="6442" xr:uid="{00000000-0005-0000-0000-000080170000}"/>
    <cellStyle name="Normal 5 2 2 2 4 5 3 2" xfId="14884" xr:uid="{0261F6F2-2607-4214-A644-01F7036D2C2D}"/>
    <cellStyle name="Normal 5 2 2 2 4 5 4" xfId="10666" xr:uid="{FC57EB63-9086-4FF9-B222-04214009EF6B}"/>
    <cellStyle name="Normal 5 2 2 2 4 6" xfId="2571" xr:uid="{00000000-0005-0000-0000-000081170000}"/>
    <cellStyle name="Normal 5 2 2 2 4 6 2" xfId="6855" xr:uid="{00000000-0005-0000-0000-000082170000}"/>
    <cellStyle name="Normal 5 2 2 2 4 6 2 2" xfId="15297" xr:uid="{979978DB-8DFB-4B9D-B9BB-2494A6C6DA21}"/>
    <cellStyle name="Normal 5 2 2 2 4 6 3" xfId="11079" xr:uid="{3633705B-9987-4BAC-BC27-73FBEB986093}"/>
    <cellStyle name="Normal 5 2 2 2 4 7" xfId="4790" xr:uid="{00000000-0005-0000-0000-000083170000}"/>
    <cellStyle name="Normal 5 2 2 2 4 7 2" xfId="13232" xr:uid="{8374CF96-7D53-4016-8F33-1744345B2995}"/>
    <cellStyle name="Normal 5 2 2 2 4 8" xfId="9014" xr:uid="{50A6D92B-5DAF-4A4A-AEB1-C93D3D7D2B7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E51F9439-25E1-45D2-8BA9-6C1F32A94B6B}"/>
    <cellStyle name="Normal 5 2 2 2 5 2 3" xfId="11565" xr:uid="{E54F05F5-8398-47BE-8261-9E60DAFCF462}"/>
    <cellStyle name="Normal 5 2 2 2 5 3" xfId="5196" xr:uid="{00000000-0005-0000-0000-000087170000}"/>
    <cellStyle name="Normal 5 2 2 2 5 3 2" xfId="13638" xr:uid="{D23EEE55-CDB1-4401-8229-87BF0FBB2FD7}"/>
    <cellStyle name="Normal 5 2 2 2 5 4" xfId="9420" xr:uid="{F664AE6A-9C50-4CD3-8C86-6DC849D5BE3E}"/>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0949279A-59D6-43EA-BEA5-83C1645E859D}"/>
    <cellStyle name="Normal 5 2 2 2 6 2 3" xfId="11978" xr:uid="{F5762AE5-9867-4B59-947D-995CE874F336}"/>
    <cellStyle name="Normal 5 2 2 2 6 3" xfId="5609" xr:uid="{00000000-0005-0000-0000-00008B170000}"/>
    <cellStyle name="Normal 5 2 2 2 6 3 2" xfId="14051" xr:uid="{3B30E663-2553-4970-A129-3500B3ECD655}"/>
    <cellStyle name="Normal 5 2 2 2 6 4" xfId="9833" xr:uid="{DC443563-C199-4558-8853-4FC293CAB922}"/>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1668C236-D83F-4A73-973F-C481D1A90112}"/>
    <cellStyle name="Normal 5 2 2 2 7 2 3" xfId="12391" xr:uid="{59DDCAA8-AA75-4E25-8988-223CF1F3B1D7}"/>
    <cellStyle name="Normal 5 2 2 2 7 3" xfId="6022" xr:uid="{00000000-0005-0000-0000-00008F170000}"/>
    <cellStyle name="Normal 5 2 2 2 7 3 2" xfId="14464" xr:uid="{C09A9EBC-52E0-40B8-8F95-A37DA8C803E8}"/>
    <cellStyle name="Normal 5 2 2 2 7 4" xfId="10246" xr:uid="{358CD574-114B-44A2-B32C-FED26B00C4A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13852AF3-5761-4DAA-9307-BF7FB01D3559}"/>
    <cellStyle name="Normal 5 2 2 2 8 2 3" xfId="12804" xr:uid="{F12BA87C-6463-475E-8F7C-C8E9F406CAC2}"/>
    <cellStyle name="Normal 5 2 2 2 8 3" xfId="6435" xr:uid="{00000000-0005-0000-0000-000093170000}"/>
    <cellStyle name="Normal 5 2 2 2 8 3 2" xfId="14877" xr:uid="{0DA44043-8C58-45C6-8446-1BC5DFD51752}"/>
    <cellStyle name="Normal 5 2 2 2 8 4" xfId="10659" xr:uid="{CE9AC653-6E91-4FDC-895F-14BD75B718AB}"/>
    <cellStyle name="Normal 5 2 2 2 9" xfId="2564" xr:uid="{00000000-0005-0000-0000-000094170000}"/>
    <cellStyle name="Normal 5 2 2 2 9 2" xfId="6848" xr:uid="{00000000-0005-0000-0000-000095170000}"/>
    <cellStyle name="Normal 5 2 2 2 9 2 2" xfId="15290" xr:uid="{8CCCDAC1-1D18-459A-B53F-64B554C77936}"/>
    <cellStyle name="Normal 5 2 2 2 9 3" xfId="11072" xr:uid="{69C5D45F-8A2F-4500-8515-EABC2E50CE1B}"/>
    <cellStyle name="Normal 5 2 2 3" xfId="417" xr:uid="{00000000-0005-0000-0000-000096170000}"/>
    <cellStyle name="Normal 5 2 2 3 10" xfId="9015" xr:uid="{C6507A02-C81A-4BF1-9CA5-FFF80E840CB6}"/>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7E1435AE-7389-4575-ADD0-51BBE5D0A5A7}"/>
    <cellStyle name="Normal 5 2 2 3 2 2 2 2 3" xfId="11575" xr:uid="{2E780404-712A-490E-A8D8-52DA083B2571}"/>
    <cellStyle name="Normal 5 2 2 3 2 2 2 3" xfId="5206" xr:uid="{00000000-0005-0000-0000-00009C170000}"/>
    <cellStyle name="Normal 5 2 2 3 2 2 2 3 2" xfId="13648" xr:uid="{278562D4-0BC2-4E4E-9F0D-944499FEDC59}"/>
    <cellStyle name="Normal 5 2 2 3 2 2 2 4" xfId="9430" xr:uid="{3E0196C6-EB0C-4D5D-B467-602A666662D9}"/>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3E4E034F-238D-43EC-8F53-78A69499FEC5}"/>
    <cellStyle name="Normal 5 2 2 3 2 2 3 2 3" xfId="11988" xr:uid="{D8C5C1A3-0098-48FD-9A90-E88B41AFB108}"/>
    <cellStyle name="Normal 5 2 2 3 2 2 3 3" xfId="5619" xr:uid="{00000000-0005-0000-0000-0000A0170000}"/>
    <cellStyle name="Normal 5 2 2 3 2 2 3 3 2" xfId="14061" xr:uid="{E1A8D98E-58C6-46DD-A6A4-286B33A80909}"/>
    <cellStyle name="Normal 5 2 2 3 2 2 3 4" xfId="9843" xr:uid="{930AE2EB-73AD-4251-B019-E2B1C7280F49}"/>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AF46FDE7-825B-4496-AD63-D7596FB0938B}"/>
    <cellStyle name="Normal 5 2 2 3 2 2 4 2 3" xfId="12401" xr:uid="{3CB5DA00-BE27-46EF-A1BD-D4A0778882AA}"/>
    <cellStyle name="Normal 5 2 2 3 2 2 4 3" xfId="6032" xr:uid="{00000000-0005-0000-0000-0000A4170000}"/>
    <cellStyle name="Normal 5 2 2 3 2 2 4 3 2" xfId="14474" xr:uid="{CCF6BFD2-C5D1-4EF7-8F39-489024A3F473}"/>
    <cellStyle name="Normal 5 2 2 3 2 2 4 4" xfId="10256" xr:uid="{438EBB39-50DF-47C1-8A2C-EFE5EC1843F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24E5110B-9061-44EE-BC65-1A0E4A12ECF6}"/>
    <cellStyle name="Normal 5 2 2 3 2 2 5 2 3" xfId="12814" xr:uid="{AEF33409-A32B-4CE2-ABD4-18917AFEE8AF}"/>
    <cellStyle name="Normal 5 2 2 3 2 2 5 3" xfId="6445" xr:uid="{00000000-0005-0000-0000-0000A8170000}"/>
    <cellStyle name="Normal 5 2 2 3 2 2 5 3 2" xfId="14887" xr:uid="{D115D6DF-5E76-411E-9D95-D4C36D772277}"/>
    <cellStyle name="Normal 5 2 2 3 2 2 5 4" xfId="10669" xr:uid="{222B3D9B-3A4D-4783-95B4-130E38F5C8BF}"/>
    <cellStyle name="Normal 5 2 2 3 2 2 6" xfId="2574" xr:uid="{00000000-0005-0000-0000-0000A9170000}"/>
    <cellStyle name="Normal 5 2 2 3 2 2 6 2" xfId="6858" xr:uid="{00000000-0005-0000-0000-0000AA170000}"/>
    <cellStyle name="Normal 5 2 2 3 2 2 6 2 2" xfId="15300" xr:uid="{96F5E72D-F34B-457F-BA6C-ED19FA9E8FAA}"/>
    <cellStyle name="Normal 5 2 2 3 2 2 6 3" xfId="11082" xr:uid="{D78ECE24-69D4-41F5-8901-B6076AFC6569}"/>
    <cellStyle name="Normal 5 2 2 3 2 2 7" xfId="4793" xr:uid="{00000000-0005-0000-0000-0000AB170000}"/>
    <cellStyle name="Normal 5 2 2 3 2 2 7 2" xfId="13235" xr:uid="{C04A37E7-8024-4916-BACF-620F41F85F1F}"/>
    <cellStyle name="Normal 5 2 2 3 2 2 8" xfId="9017" xr:uid="{EB0A5256-273A-4720-9A49-2114C30A10A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454785F0-6E39-46FF-B1A3-5B5F7E12AB85}"/>
    <cellStyle name="Normal 5 2 2 3 2 3 2 3" xfId="11574" xr:uid="{421720E5-7728-4C4B-8083-36AEEAAE761C}"/>
    <cellStyle name="Normal 5 2 2 3 2 3 3" xfId="5205" xr:uid="{00000000-0005-0000-0000-0000AF170000}"/>
    <cellStyle name="Normal 5 2 2 3 2 3 3 2" xfId="13647" xr:uid="{BF3D273F-8995-435E-AF35-0DB298148AA7}"/>
    <cellStyle name="Normal 5 2 2 3 2 3 4" xfId="9429" xr:uid="{31C30CF3-FA8F-42DC-B9FC-2E78287B94E3}"/>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D1776350-C5FF-480F-97A8-53687164EE03}"/>
    <cellStyle name="Normal 5 2 2 3 2 4 2 3" xfId="11987" xr:uid="{54997D39-6FB0-4C3F-A688-2BE0D39F0614}"/>
    <cellStyle name="Normal 5 2 2 3 2 4 3" xfId="5618" xr:uid="{00000000-0005-0000-0000-0000B3170000}"/>
    <cellStyle name="Normal 5 2 2 3 2 4 3 2" xfId="14060" xr:uid="{36D23CC4-9895-476D-B723-FB6188B34225}"/>
    <cellStyle name="Normal 5 2 2 3 2 4 4" xfId="9842" xr:uid="{4097CBE9-F7C4-412E-80CF-F2592F204ABB}"/>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E18257E0-2512-4433-B4B0-B5B3DB9740C6}"/>
    <cellStyle name="Normal 5 2 2 3 2 5 2 3" xfId="12400" xr:uid="{442EDC6A-2679-44ED-A1C2-0BBC5CFF68E4}"/>
    <cellStyle name="Normal 5 2 2 3 2 5 3" xfId="6031" xr:uid="{00000000-0005-0000-0000-0000B7170000}"/>
    <cellStyle name="Normal 5 2 2 3 2 5 3 2" xfId="14473" xr:uid="{5E782BB6-DF51-4C8F-876C-81E1715323CC}"/>
    <cellStyle name="Normal 5 2 2 3 2 5 4" xfId="10255" xr:uid="{8004886B-0172-45D4-8876-FC4933F99071}"/>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9F43A4E3-A172-45FC-AD6A-9AAA38E30B41}"/>
    <cellStyle name="Normal 5 2 2 3 2 6 2 3" xfId="12813" xr:uid="{43D898C6-F0D5-43A8-99C2-1E3BD4C9DE18}"/>
    <cellStyle name="Normal 5 2 2 3 2 6 3" xfId="6444" xr:uid="{00000000-0005-0000-0000-0000BB170000}"/>
    <cellStyle name="Normal 5 2 2 3 2 6 3 2" xfId="14886" xr:uid="{96F9D87B-85B3-447C-8377-834D90415F51}"/>
    <cellStyle name="Normal 5 2 2 3 2 6 4" xfId="10668" xr:uid="{A1DD892D-F995-429F-86E5-37AA9FD4BBB3}"/>
    <cellStyle name="Normal 5 2 2 3 2 7" xfId="2573" xr:uid="{00000000-0005-0000-0000-0000BC170000}"/>
    <cellStyle name="Normal 5 2 2 3 2 7 2" xfId="6857" xr:uid="{00000000-0005-0000-0000-0000BD170000}"/>
    <cellStyle name="Normal 5 2 2 3 2 7 2 2" xfId="15299" xr:uid="{CBA70430-8CB3-4D9E-BFC2-F7AFDE565965}"/>
    <cellStyle name="Normal 5 2 2 3 2 7 3" xfId="11081" xr:uid="{03CFB193-46BC-4DBD-8DD5-444886A82112}"/>
    <cellStyle name="Normal 5 2 2 3 2 8" xfId="4792" xr:uid="{00000000-0005-0000-0000-0000BE170000}"/>
    <cellStyle name="Normal 5 2 2 3 2 8 2" xfId="13234" xr:uid="{42CD615A-2B0A-4CAC-8E66-926309EB4CAA}"/>
    <cellStyle name="Normal 5 2 2 3 2 9" xfId="9016" xr:uid="{D582BC4E-A749-480D-812A-ACFEC4189F9D}"/>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E1364A67-E750-4E00-92D1-765863AA4003}"/>
    <cellStyle name="Normal 5 2 2 3 3 2 2 3" xfId="11576" xr:uid="{00D9B93D-9E0B-4D84-A0B5-B9AE562EDD78}"/>
    <cellStyle name="Normal 5 2 2 3 3 2 3" xfId="5207" xr:uid="{00000000-0005-0000-0000-0000C3170000}"/>
    <cellStyle name="Normal 5 2 2 3 3 2 3 2" xfId="13649" xr:uid="{ED6447C8-544B-4D27-8F41-5C96217F4F40}"/>
    <cellStyle name="Normal 5 2 2 3 3 2 4" xfId="9431" xr:uid="{B24E71E9-3108-4234-A7D6-4B06F815CD8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DD4D5864-1D14-440F-A4A7-E6AD0A378BE6}"/>
    <cellStyle name="Normal 5 2 2 3 3 3 2 3" xfId="11989" xr:uid="{18D8D53F-02AD-47C7-B12B-F6F6EAE710E1}"/>
    <cellStyle name="Normal 5 2 2 3 3 3 3" xfId="5620" xr:uid="{00000000-0005-0000-0000-0000C7170000}"/>
    <cellStyle name="Normal 5 2 2 3 3 3 3 2" xfId="14062" xr:uid="{9E6B3B89-3854-4827-96DE-CFE978D88108}"/>
    <cellStyle name="Normal 5 2 2 3 3 3 4" xfId="9844" xr:uid="{CDF250D5-EEF5-466F-9A6F-46EC69555477}"/>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567C65DD-1801-4459-BD63-3DDD02CA51D4}"/>
    <cellStyle name="Normal 5 2 2 3 3 4 2 3" xfId="12402" xr:uid="{C570CD34-D3AE-4162-AE6C-E65EABFFB634}"/>
    <cellStyle name="Normal 5 2 2 3 3 4 3" xfId="6033" xr:uid="{00000000-0005-0000-0000-0000CB170000}"/>
    <cellStyle name="Normal 5 2 2 3 3 4 3 2" xfId="14475" xr:uid="{A485E33C-1FFA-470A-B335-4D96DAB02AAD}"/>
    <cellStyle name="Normal 5 2 2 3 3 4 4" xfId="10257" xr:uid="{35A9FD96-D475-4490-A527-67460D6E12CF}"/>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3B4F394D-BB28-4DDC-B681-43D42864C5A3}"/>
    <cellStyle name="Normal 5 2 2 3 3 5 2 3" xfId="12815" xr:uid="{94D73D34-9356-4FE9-8769-55F6C320846F}"/>
    <cellStyle name="Normal 5 2 2 3 3 5 3" xfId="6446" xr:uid="{00000000-0005-0000-0000-0000CF170000}"/>
    <cellStyle name="Normal 5 2 2 3 3 5 3 2" xfId="14888" xr:uid="{4AEEA060-3BAF-474B-AAC5-9779CFB4B9FB}"/>
    <cellStyle name="Normal 5 2 2 3 3 5 4" xfId="10670" xr:uid="{AECA2299-99A6-460C-A44A-A63F8F42E96A}"/>
    <cellStyle name="Normal 5 2 2 3 3 6" xfId="2575" xr:uid="{00000000-0005-0000-0000-0000D0170000}"/>
    <cellStyle name="Normal 5 2 2 3 3 6 2" xfId="6859" xr:uid="{00000000-0005-0000-0000-0000D1170000}"/>
    <cellStyle name="Normal 5 2 2 3 3 6 2 2" xfId="15301" xr:uid="{6BA7EE86-E252-406C-A603-7C59BD87585B}"/>
    <cellStyle name="Normal 5 2 2 3 3 6 3" xfId="11083" xr:uid="{8CACEFD4-4CE7-4BF8-B949-8A9169F1C6B2}"/>
    <cellStyle name="Normal 5 2 2 3 3 7" xfId="4794" xr:uid="{00000000-0005-0000-0000-0000D2170000}"/>
    <cellStyle name="Normal 5 2 2 3 3 7 2" xfId="13236" xr:uid="{DC4F9062-ED89-4C83-9F76-A70CF16C37B8}"/>
    <cellStyle name="Normal 5 2 2 3 3 8" xfId="9018" xr:uid="{A6A66C10-FDAE-4BA7-8968-37C2612DEEC6}"/>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6602C322-08C2-49C4-8727-E03B38EDEF89}"/>
    <cellStyle name="Normal 5 2 2 3 4 2 3" xfId="11573" xr:uid="{10A0D2E6-4C50-4ADE-80F6-1B899673ABAA}"/>
    <cellStyle name="Normal 5 2 2 3 4 3" xfId="5204" xr:uid="{00000000-0005-0000-0000-0000D6170000}"/>
    <cellStyle name="Normal 5 2 2 3 4 3 2" xfId="13646" xr:uid="{FD1286D4-00D4-46F5-AF4C-A1BD66EFD96C}"/>
    <cellStyle name="Normal 5 2 2 3 4 4" xfId="9428" xr:uid="{EBF2508A-8A33-4E55-BEBA-A1C848854D79}"/>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4DA0BF43-6699-4023-B48C-009FD72A622A}"/>
    <cellStyle name="Normal 5 2 2 3 5 2 3" xfId="11986" xr:uid="{CF12F468-21AE-4EA9-9970-AF18B8E15810}"/>
    <cellStyle name="Normal 5 2 2 3 5 3" xfId="5617" xr:uid="{00000000-0005-0000-0000-0000DA170000}"/>
    <cellStyle name="Normal 5 2 2 3 5 3 2" xfId="14059" xr:uid="{20FDC0D1-04AC-4F6B-A8D0-C1C5F411A7DD}"/>
    <cellStyle name="Normal 5 2 2 3 5 4" xfId="9841" xr:uid="{20FF23AC-2B7F-4C9A-AE38-601898889CBB}"/>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2D4966AC-147D-4435-A6EA-0367F1EDF4B7}"/>
    <cellStyle name="Normal 5 2 2 3 6 2 3" xfId="12399" xr:uid="{36EEFC20-375E-4ACB-B75C-E05A6D4E55BC}"/>
    <cellStyle name="Normal 5 2 2 3 6 3" xfId="6030" xr:uid="{00000000-0005-0000-0000-0000DE170000}"/>
    <cellStyle name="Normal 5 2 2 3 6 3 2" xfId="14472" xr:uid="{E5EF18C2-9B0B-419B-B35A-5407D1E3DBDD}"/>
    <cellStyle name="Normal 5 2 2 3 6 4" xfId="10254" xr:uid="{527A3494-808A-4AEB-83C1-129F694626AA}"/>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7ED95035-F78B-4577-9756-F1AB49B3208E}"/>
    <cellStyle name="Normal 5 2 2 3 7 2 3" xfId="12812" xr:uid="{6FE8D333-7432-4FD5-AA1F-D6BFF90CA11D}"/>
    <cellStyle name="Normal 5 2 2 3 7 3" xfId="6443" xr:uid="{00000000-0005-0000-0000-0000E2170000}"/>
    <cellStyle name="Normal 5 2 2 3 7 3 2" xfId="14885" xr:uid="{086FE007-7FF3-42D3-961B-1D67E07E1A1A}"/>
    <cellStyle name="Normal 5 2 2 3 7 4" xfId="10667" xr:uid="{DC981B96-BC06-4C78-B287-1509D8178E54}"/>
    <cellStyle name="Normal 5 2 2 3 8" xfId="2572" xr:uid="{00000000-0005-0000-0000-0000E3170000}"/>
    <cellStyle name="Normal 5 2 2 3 8 2" xfId="6856" xr:uid="{00000000-0005-0000-0000-0000E4170000}"/>
    <cellStyle name="Normal 5 2 2 3 8 2 2" xfId="15298" xr:uid="{084529D7-65E8-4C9E-82E7-D2C4BE3ECB66}"/>
    <cellStyle name="Normal 5 2 2 3 8 3" xfId="11080" xr:uid="{974DC735-349A-4A42-9B01-3F9B01D91624}"/>
    <cellStyle name="Normal 5 2 2 3 9" xfId="4791" xr:uid="{00000000-0005-0000-0000-0000E5170000}"/>
    <cellStyle name="Normal 5 2 2 3 9 2" xfId="13233" xr:uid="{827AC826-F768-46F4-8C54-AA2FA4DD6C33}"/>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9F3257B9-5FEE-4A9B-8DE2-DE8BE58085B2}"/>
    <cellStyle name="Normal 5 2 2 4 2 2 2 3" xfId="11578" xr:uid="{D194BC51-7999-4949-B395-DBAE511909F0}"/>
    <cellStyle name="Normal 5 2 2 4 2 2 3" xfId="5209" xr:uid="{00000000-0005-0000-0000-0000EB170000}"/>
    <cellStyle name="Normal 5 2 2 4 2 2 3 2" xfId="13651" xr:uid="{BDD8D66D-174E-4BB1-80C4-30E8D9322353}"/>
    <cellStyle name="Normal 5 2 2 4 2 2 4" xfId="9433" xr:uid="{2AF88CD9-A77B-482A-9089-1D2E77F27CDF}"/>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1CE97381-C0AC-4CB8-8FF8-828CB24FAA94}"/>
    <cellStyle name="Normal 5 2 2 4 2 3 2 3" xfId="11991" xr:uid="{B6CF13A6-9FB7-494E-935B-34510249562B}"/>
    <cellStyle name="Normal 5 2 2 4 2 3 3" xfId="5622" xr:uid="{00000000-0005-0000-0000-0000EF170000}"/>
    <cellStyle name="Normal 5 2 2 4 2 3 3 2" xfId="14064" xr:uid="{0D952ECE-004C-4A6B-9860-F213A2EF506D}"/>
    <cellStyle name="Normal 5 2 2 4 2 3 4" xfId="9846" xr:uid="{23F575E9-BD9F-4849-A8E9-89183C758E19}"/>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7C4C5CDC-B575-4330-B449-25CB25E3346C}"/>
    <cellStyle name="Normal 5 2 2 4 2 4 2 3" xfId="12404" xr:uid="{C9F78A0C-E21B-4E22-970E-ECDD0640BEC3}"/>
    <cellStyle name="Normal 5 2 2 4 2 4 3" xfId="6035" xr:uid="{00000000-0005-0000-0000-0000F3170000}"/>
    <cellStyle name="Normal 5 2 2 4 2 4 3 2" xfId="14477" xr:uid="{BCB079C3-2C4D-4ADF-9E79-0967424B9A8F}"/>
    <cellStyle name="Normal 5 2 2 4 2 4 4" xfId="10259" xr:uid="{97F9F55E-8B7E-40D1-903B-D3DC6B02CE17}"/>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AC8EF8E1-6A10-4651-9662-5D49AC22C385}"/>
    <cellStyle name="Normal 5 2 2 4 2 5 2 3" xfId="12817" xr:uid="{B39A32FE-58E5-4CA6-91C5-1E73D3A512FF}"/>
    <cellStyle name="Normal 5 2 2 4 2 5 3" xfId="6448" xr:uid="{00000000-0005-0000-0000-0000F7170000}"/>
    <cellStyle name="Normal 5 2 2 4 2 5 3 2" xfId="14890" xr:uid="{E4A2AFED-C8EE-46D3-B51F-1DCD53448462}"/>
    <cellStyle name="Normal 5 2 2 4 2 5 4" xfId="10672" xr:uid="{79A56423-5A61-4F27-B086-8D4A4A6BA53B}"/>
    <cellStyle name="Normal 5 2 2 4 2 6" xfId="2577" xr:uid="{00000000-0005-0000-0000-0000F8170000}"/>
    <cellStyle name="Normal 5 2 2 4 2 6 2" xfId="6861" xr:uid="{00000000-0005-0000-0000-0000F9170000}"/>
    <cellStyle name="Normal 5 2 2 4 2 6 2 2" xfId="15303" xr:uid="{7DA53017-2D05-4D40-8EE3-4B4FE7AA98D9}"/>
    <cellStyle name="Normal 5 2 2 4 2 6 3" xfId="11085" xr:uid="{60AE8FD1-4EC1-405D-B455-A075095CE636}"/>
    <cellStyle name="Normal 5 2 2 4 2 7" xfId="4796" xr:uid="{00000000-0005-0000-0000-0000FA170000}"/>
    <cellStyle name="Normal 5 2 2 4 2 7 2" xfId="13238" xr:uid="{4F9B2ED2-4D5B-4834-B67C-A606E46DE4C0}"/>
    <cellStyle name="Normal 5 2 2 4 2 8" xfId="9020" xr:uid="{DA2FEB6C-F84E-4C9A-B953-85C82706E471}"/>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1D4D31F1-79E1-4EA4-8641-531843FD9B59}"/>
    <cellStyle name="Normal 5 2 2 4 3 2 3" xfId="11577" xr:uid="{B0A42024-18F7-47DF-97AA-EAC78E70B1BA}"/>
    <cellStyle name="Normal 5 2 2 4 3 3" xfId="5208" xr:uid="{00000000-0005-0000-0000-0000FE170000}"/>
    <cellStyle name="Normal 5 2 2 4 3 3 2" xfId="13650" xr:uid="{E14CFC20-D095-4265-AE39-859E43DCEAE5}"/>
    <cellStyle name="Normal 5 2 2 4 3 4" xfId="9432" xr:uid="{882EB9A3-C0C1-4390-97B5-7F32F4C40E29}"/>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36C8B18A-F2F9-45AE-8A87-92B1D05EE6D1}"/>
    <cellStyle name="Normal 5 2 2 4 4 2 3" xfId="11990" xr:uid="{060B9E40-3143-434B-B9DF-60AAB1A11BC8}"/>
    <cellStyle name="Normal 5 2 2 4 4 3" xfId="5621" xr:uid="{00000000-0005-0000-0000-000002180000}"/>
    <cellStyle name="Normal 5 2 2 4 4 3 2" xfId="14063" xr:uid="{765BCA00-2415-4ACF-BD6B-764FD20C7A8C}"/>
    <cellStyle name="Normal 5 2 2 4 4 4" xfId="9845" xr:uid="{C46604AA-1D43-46FB-8968-811878984632}"/>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AEF1300-214E-497F-97DA-87F3B3F16FA7}"/>
    <cellStyle name="Normal 5 2 2 4 5 2 3" xfId="12403" xr:uid="{34FD059B-8C16-4AD3-AC8F-663165A64621}"/>
    <cellStyle name="Normal 5 2 2 4 5 3" xfId="6034" xr:uid="{00000000-0005-0000-0000-000006180000}"/>
    <cellStyle name="Normal 5 2 2 4 5 3 2" xfId="14476" xr:uid="{8F01A5F8-A533-47C1-9596-B08AD386D59C}"/>
    <cellStyle name="Normal 5 2 2 4 5 4" xfId="10258" xr:uid="{C82E8E39-7549-4562-B722-A8FD130CD7D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DAF0CFAF-7C47-4FBA-983F-2EF1D1CABDF6}"/>
    <cellStyle name="Normal 5 2 2 4 6 2 3" xfId="12816" xr:uid="{893863D6-ED05-4D51-9F47-73813B02B163}"/>
    <cellStyle name="Normal 5 2 2 4 6 3" xfId="6447" xr:uid="{00000000-0005-0000-0000-00000A180000}"/>
    <cellStyle name="Normal 5 2 2 4 6 3 2" xfId="14889" xr:uid="{1BF9160D-E6F9-4B3C-AEA8-DD08B0F1B7EA}"/>
    <cellStyle name="Normal 5 2 2 4 6 4" xfId="10671" xr:uid="{8EB0D39E-D702-42B3-BACD-17D81603035F}"/>
    <cellStyle name="Normal 5 2 2 4 7" xfId="2576" xr:uid="{00000000-0005-0000-0000-00000B180000}"/>
    <cellStyle name="Normal 5 2 2 4 7 2" xfId="6860" xr:uid="{00000000-0005-0000-0000-00000C180000}"/>
    <cellStyle name="Normal 5 2 2 4 7 2 2" xfId="15302" xr:uid="{E0ADE9B2-99CB-4F2A-BEA2-B8F952FAFC19}"/>
    <cellStyle name="Normal 5 2 2 4 7 3" xfId="11084" xr:uid="{ABFF2E41-3D10-43D5-BCCE-4412818D44B5}"/>
    <cellStyle name="Normal 5 2 2 4 8" xfId="4795" xr:uid="{00000000-0005-0000-0000-00000D180000}"/>
    <cellStyle name="Normal 5 2 2 4 8 2" xfId="13237" xr:uid="{F9C9E3F4-13F3-4846-BF4C-5E0B6819D883}"/>
    <cellStyle name="Normal 5 2 2 4 9" xfId="9019" xr:uid="{01C19B54-7DD6-44CF-8119-E2AE232B8BA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68C44BBA-3192-48A2-8244-C170B41E8C15}"/>
    <cellStyle name="Normal 5 2 2 5 2 2 3" xfId="11579" xr:uid="{36FFF70E-8233-4CA2-8675-43D96ADAD998}"/>
    <cellStyle name="Normal 5 2 2 5 2 3" xfId="5210" xr:uid="{00000000-0005-0000-0000-000012180000}"/>
    <cellStyle name="Normal 5 2 2 5 2 3 2" xfId="13652" xr:uid="{7B62A305-173A-40F7-98D9-80654A7F5B21}"/>
    <cellStyle name="Normal 5 2 2 5 2 4" xfId="9434" xr:uid="{E0EE6897-FFAE-4360-B120-6182D308C078}"/>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A555268D-2CB5-45F9-8E5D-E0AF075E4518}"/>
    <cellStyle name="Normal 5 2 2 5 3 2 3" xfId="11992" xr:uid="{254F18BC-CD9C-4C0A-9DCD-277B3248B549}"/>
    <cellStyle name="Normal 5 2 2 5 3 3" xfId="5623" xr:uid="{00000000-0005-0000-0000-000016180000}"/>
    <cellStyle name="Normal 5 2 2 5 3 3 2" xfId="14065" xr:uid="{77909B82-649F-44BE-BB8E-B635FA78F32B}"/>
    <cellStyle name="Normal 5 2 2 5 3 4" xfId="9847" xr:uid="{98235471-C6FE-4102-B12D-D0EE57F1B7B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20D18D7E-7A9B-4B3A-9D0B-25898B18E8BC}"/>
    <cellStyle name="Normal 5 2 2 5 4 2 3" xfId="12405" xr:uid="{03BE65CF-3498-417D-815C-EA34881BA7A6}"/>
    <cellStyle name="Normal 5 2 2 5 4 3" xfId="6036" xr:uid="{00000000-0005-0000-0000-00001A180000}"/>
    <cellStyle name="Normal 5 2 2 5 4 3 2" xfId="14478" xr:uid="{6175DBA3-A9C9-4071-8708-4D18BB9D513E}"/>
    <cellStyle name="Normal 5 2 2 5 4 4" xfId="10260" xr:uid="{67F89259-D51A-4787-8DAB-2458C7EE6128}"/>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C547F3F9-B2A1-4D35-915F-3F9FE898E73A}"/>
    <cellStyle name="Normal 5 2 2 5 5 2 3" xfId="12818" xr:uid="{EFA6BED0-30F1-4FDA-9619-845F3C40546B}"/>
    <cellStyle name="Normal 5 2 2 5 5 3" xfId="6449" xr:uid="{00000000-0005-0000-0000-00001E180000}"/>
    <cellStyle name="Normal 5 2 2 5 5 3 2" xfId="14891" xr:uid="{165C9C06-A45D-4131-A775-253B9D73E718}"/>
    <cellStyle name="Normal 5 2 2 5 5 4" xfId="10673" xr:uid="{166A865E-EADE-4302-A1A1-EC6AB68FA805}"/>
    <cellStyle name="Normal 5 2 2 5 6" xfId="2578" xr:uid="{00000000-0005-0000-0000-00001F180000}"/>
    <cellStyle name="Normal 5 2 2 5 6 2" xfId="6862" xr:uid="{00000000-0005-0000-0000-000020180000}"/>
    <cellStyle name="Normal 5 2 2 5 6 2 2" xfId="15304" xr:uid="{FF2D0F8B-F56D-4D3F-AF4E-D6B4354D084F}"/>
    <cellStyle name="Normal 5 2 2 5 6 3" xfId="11086" xr:uid="{F6D0B2B2-2821-4525-961B-E95D2E303BCA}"/>
    <cellStyle name="Normal 5 2 2 5 7" xfId="4797" xr:uid="{00000000-0005-0000-0000-000021180000}"/>
    <cellStyle name="Normal 5 2 2 5 7 2" xfId="13239" xr:uid="{03416BB9-2E5C-4652-83AB-1401C83779B3}"/>
    <cellStyle name="Normal 5 2 2 5 8" xfId="9021" xr:uid="{C03C1337-134B-4723-BA85-09C118E1BF14}"/>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1FE88809-1A06-462A-8807-8272F465816D}"/>
    <cellStyle name="Normal 5 2 2 6 2 3" xfId="11564" xr:uid="{95BE27A1-95AE-465D-A61B-2ED3CE8E17B8}"/>
    <cellStyle name="Normal 5 2 2 6 3" xfId="5195" xr:uid="{00000000-0005-0000-0000-000025180000}"/>
    <cellStyle name="Normal 5 2 2 6 3 2" xfId="13637" xr:uid="{B8CF7766-4DDC-4F90-9B0B-071BFD430479}"/>
    <cellStyle name="Normal 5 2 2 6 4" xfId="9419" xr:uid="{8D5724B5-C6CA-4BAF-871F-995B75A85BAB}"/>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14A0B8BE-42DE-401B-B84D-EE88DDF4564A}"/>
    <cellStyle name="Normal 5 2 2 7 2 3" xfId="11977" xr:uid="{45EDC832-0361-4D2B-B0C6-F8317942AF0E}"/>
    <cellStyle name="Normal 5 2 2 7 3" xfId="5608" xr:uid="{00000000-0005-0000-0000-000029180000}"/>
    <cellStyle name="Normal 5 2 2 7 3 2" xfId="14050" xr:uid="{E4B81316-8D1F-43B0-9A08-AEC08DBFEF96}"/>
    <cellStyle name="Normal 5 2 2 7 4" xfId="9832" xr:uid="{2FFB6B19-B6ED-4D86-A2E1-136944827A98}"/>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387B62D6-F9FD-47E1-A3C8-16A6A81C5B75}"/>
    <cellStyle name="Normal 5 2 2 8 2 3" xfId="12390" xr:uid="{F0CD5383-4D71-4148-82FD-D58BFDFD7E3C}"/>
    <cellStyle name="Normal 5 2 2 8 3" xfId="6021" xr:uid="{00000000-0005-0000-0000-00002D180000}"/>
    <cellStyle name="Normal 5 2 2 8 3 2" xfId="14463" xr:uid="{5AAFFF31-CBE5-426D-9769-3F9E81123061}"/>
    <cellStyle name="Normal 5 2 2 8 4" xfId="10245" xr:uid="{D89AB3CF-71F7-410E-BB2C-A55F2616D4F3}"/>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EE2DD4FF-2CA8-4707-AE14-7F3B410C1F5F}"/>
    <cellStyle name="Normal 5 2 2 9 2 3" xfId="12803" xr:uid="{535F29F7-7000-4312-91DA-C027CB58C34B}"/>
    <cellStyle name="Normal 5 2 2 9 3" xfId="6434" xr:uid="{00000000-0005-0000-0000-000031180000}"/>
    <cellStyle name="Normal 5 2 2 9 3 2" xfId="14876" xr:uid="{2BE8F708-729C-47EE-B717-615E022E4A0A}"/>
    <cellStyle name="Normal 5 2 2 9 4" xfId="10658" xr:uid="{13BEB2FF-857D-486E-B6C2-67D06D22B93C}"/>
    <cellStyle name="Normal 5 2 3" xfId="424" xr:uid="{00000000-0005-0000-0000-000032180000}"/>
    <cellStyle name="Normal 5 2 3 10" xfId="4798" xr:uid="{00000000-0005-0000-0000-000033180000}"/>
    <cellStyle name="Normal 5 2 3 10 2" xfId="13240" xr:uid="{23A7522D-A700-4C45-AC39-D16BD59F8F4A}"/>
    <cellStyle name="Normal 5 2 3 11" xfId="9022" xr:uid="{77C39116-1BD9-46AA-9BD4-6CF7F1B6E611}"/>
    <cellStyle name="Normal 5 2 3 2" xfId="425" xr:uid="{00000000-0005-0000-0000-000034180000}"/>
    <cellStyle name="Normal 5 2 3 2 10" xfId="9023" xr:uid="{F00C607D-F250-4B26-B40B-CFC2B3F6C8A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CAFC031B-6936-4C1C-821B-AD443EA0204F}"/>
    <cellStyle name="Normal 5 2 3 2 2 2 2 2 3" xfId="11583" xr:uid="{D611F845-8FB5-4849-83AD-00CB096F1494}"/>
    <cellStyle name="Normal 5 2 3 2 2 2 2 3" xfId="5214" xr:uid="{00000000-0005-0000-0000-00003A180000}"/>
    <cellStyle name="Normal 5 2 3 2 2 2 2 3 2" xfId="13656" xr:uid="{424474FD-95E2-4515-8A0C-8C18A79009AE}"/>
    <cellStyle name="Normal 5 2 3 2 2 2 2 4" xfId="9438" xr:uid="{F4BBA7CB-093D-4F0D-9F6F-D252DFCC571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08347F37-96DD-471D-BB41-BCE46EF1A856}"/>
    <cellStyle name="Normal 5 2 3 2 2 2 3 2 3" xfId="11996" xr:uid="{0A76FBDC-A3AA-4340-92C5-F3C2422E8AAB}"/>
    <cellStyle name="Normal 5 2 3 2 2 2 3 3" xfId="5627" xr:uid="{00000000-0005-0000-0000-00003E180000}"/>
    <cellStyle name="Normal 5 2 3 2 2 2 3 3 2" xfId="14069" xr:uid="{441A62D2-1EDA-415F-87B9-8B2265F25993}"/>
    <cellStyle name="Normal 5 2 3 2 2 2 3 4" xfId="9851" xr:uid="{67BADF9D-3910-467A-9531-A0ACB7D4E2B4}"/>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7DF0F006-5C0F-4470-B461-6A02C325967D}"/>
    <cellStyle name="Normal 5 2 3 2 2 2 4 2 3" xfId="12409" xr:uid="{7983D137-251F-4D57-A7E7-E7144340B76A}"/>
    <cellStyle name="Normal 5 2 3 2 2 2 4 3" xfId="6040" xr:uid="{00000000-0005-0000-0000-000042180000}"/>
    <cellStyle name="Normal 5 2 3 2 2 2 4 3 2" xfId="14482" xr:uid="{5D21D6F1-2B9C-4146-9240-034C88F5E395}"/>
    <cellStyle name="Normal 5 2 3 2 2 2 4 4" xfId="10264" xr:uid="{BE1FACC7-E43C-4596-92EB-CA7CF687E694}"/>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DCB29D9E-0CFD-4E37-8342-D466F32E6F6C}"/>
    <cellStyle name="Normal 5 2 3 2 2 2 5 2 3" xfId="12822" xr:uid="{06255255-D211-4BB2-8CB7-15F400C72E92}"/>
    <cellStyle name="Normal 5 2 3 2 2 2 5 3" xfId="6453" xr:uid="{00000000-0005-0000-0000-000046180000}"/>
    <cellStyle name="Normal 5 2 3 2 2 2 5 3 2" xfId="14895" xr:uid="{13C39EEC-47A1-491A-8527-72F402DE1C00}"/>
    <cellStyle name="Normal 5 2 3 2 2 2 5 4" xfId="10677" xr:uid="{85AF6B22-1908-4574-8B08-F78B5E6590B7}"/>
    <cellStyle name="Normal 5 2 3 2 2 2 6" xfId="2582" xr:uid="{00000000-0005-0000-0000-000047180000}"/>
    <cellStyle name="Normal 5 2 3 2 2 2 6 2" xfId="6866" xr:uid="{00000000-0005-0000-0000-000048180000}"/>
    <cellStyle name="Normal 5 2 3 2 2 2 6 2 2" xfId="15308" xr:uid="{801F7075-2FB2-40E4-A981-3E1A300F9626}"/>
    <cellStyle name="Normal 5 2 3 2 2 2 6 3" xfId="11090" xr:uid="{506F9EBE-4B81-490D-896C-EAB2EA3C1AEB}"/>
    <cellStyle name="Normal 5 2 3 2 2 2 7" xfId="4801" xr:uid="{00000000-0005-0000-0000-000049180000}"/>
    <cellStyle name="Normal 5 2 3 2 2 2 7 2" xfId="13243" xr:uid="{C55CB212-31E1-4BF5-9CC1-D4F19B7B9E4A}"/>
    <cellStyle name="Normal 5 2 3 2 2 2 8" xfId="9025" xr:uid="{4828312E-7712-45C0-8A40-0317800B3CAC}"/>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00ECAC09-CCBA-4604-B0F1-7DEBA98D764B}"/>
    <cellStyle name="Normal 5 2 3 2 2 3 2 3" xfId="11582" xr:uid="{604C1266-1D8C-4364-8ED9-6C7E7DBB7CB6}"/>
    <cellStyle name="Normal 5 2 3 2 2 3 3" xfId="5213" xr:uid="{00000000-0005-0000-0000-00004D180000}"/>
    <cellStyle name="Normal 5 2 3 2 2 3 3 2" xfId="13655" xr:uid="{0ADBBDDE-56E5-444D-801B-46283CDFA86C}"/>
    <cellStyle name="Normal 5 2 3 2 2 3 4" xfId="9437" xr:uid="{0A1FA18F-20E4-4DA6-B3C9-4B20202AB034}"/>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4624B8EA-2F3E-4F6A-B5AC-47451ED6C86D}"/>
    <cellStyle name="Normal 5 2 3 2 2 4 2 3" xfId="11995" xr:uid="{4AC4C936-A0AE-4736-9CA3-8B7DD24A6B4C}"/>
    <cellStyle name="Normal 5 2 3 2 2 4 3" xfId="5626" xr:uid="{00000000-0005-0000-0000-000051180000}"/>
    <cellStyle name="Normal 5 2 3 2 2 4 3 2" xfId="14068" xr:uid="{420DCB5E-2DC2-4614-87FD-F3ADC10C3101}"/>
    <cellStyle name="Normal 5 2 3 2 2 4 4" xfId="9850" xr:uid="{A36853B7-59AC-4360-9E9F-8297861DCA05}"/>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B20E59DD-C60B-4E07-B759-7A30C98D600B}"/>
    <cellStyle name="Normal 5 2 3 2 2 5 2 3" xfId="12408" xr:uid="{7265D426-ED91-4449-920C-2668CA70B411}"/>
    <cellStyle name="Normal 5 2 3 2 2 5 3" xfId="6039" xr:uid="{00000000-0005-0000-0000-000055180000}"/>
    <cellStyle name="Normal 5 2 3 2 2 5 3 2" xfId="14481" xr:uid="{71C75780-A884-49EA-B72B-6414EAEF4142}"/>
    <cellStyle name="Normal 5 2 3 2 2 5 4" xfId="10263" xr:uid="{4F7B3F55-85F9-419E-84BE-65E36978437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B4FB8256-3C4B-4961-A245-D05A196E5325}"/>
    <cellStyle name="Normal 5 2 3 2 2 6 2 3" xfId="12821" xr:uid="{B5082405-8227-43DA-9E88-2108D427D4CA}"/>
    <cellStyle name="Normal 5 2 3 2 2 6 3" xfId="6452" xr:uid="{00000000-0005-0000-0000-000059180000}"/>
    <cellStyle name="Normal 5 2 3 2 2 6 3 2" xfId="14894" xr:uid="{2135D514-E4D8-448C-95BE-5CF35288ADCC}"/>
    <cellStyle name="Normal 5 2 3 2 2 6 4" xfId="10676" xr:uid="{34F2F2DC-534C-4BE2-9529-3ED1B101EA12}"/>
    <cellStyle name="Normal 5 2 3 2 2 7" xfId="2581" xr:uid="{00000000-0005-0000-0000-00005A180000}"/>
    <cellStyle name="Normal 5 2 3 2 2 7 2" xfId="6865" xr:uid="{00000000-0005-0000-0000-00005B180000}"/>
    <cellStyle name="Normal 5 2 3 2 2 7 2 2" xfId="15307" xr:uid="{F18C3C53-A777-4504-88C9-186D74E9DEB6}"/>
    <cellStyle name="Normal 5 2 3 2 2 7 3" xfId="11089" xr:uid="{0DA9A4D8-5666-4167-A3EE-BC54BC750A88}"/>
    <cellStyle name="Normal 5 2 3 2 2 8" xfId="4800" xr:uid="{00000000-0005-0000-0000-00005C180000}"/>
    <cellStyle name="Normal 5 2 3 2 2 8 2" xfId="13242" xr:uid="{CD202FB0-BF2E-4D09-8A13-A29E548895DC}"/>
    <cellStyle name="Normal 5 2 3 2 2 9" xfId="9024" xr:uid="{917AD9DD-D52B-488A-8C0E-6D708D06581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6147EAA5-61FA-48FE-8896-4CA5B9B966E6}"/>
    <cellStyle name="Normal 5 2 3 2 3 2 2 3" xfId="11584" xr:uid="{922FD24B-AD16-4BA1-AF1C-282DD59850B0}"/>
    <cellStyle name="Normal 5 2 3 2 3 2 3" xfId="5215" xr:uid="{00000000-0005-0000-0000-000061180000}"/>
    <cellStyle name="Normal 5 2 3 2 3 2 3 2" xfId="13657" xr:uid="{198CF9D5-DB70-44A1-AEC9-01400E90EA0F}"/>
    <cellStyle name="Normal 5 2 3 2 3 2 4" xfId="9439" xr:uid="{BC0AB3C6-2F68-43D4-85EF-C3FC8BA92CC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A4C177EC-8695-4183-A503-D0BEF3CE2728}"/>
    <cellStyle name="Normal 5 2 3 2 3 3 2 3" xfId="11997" xr:uid="{850BAB58-1C3C-45AB-85D3-E2D15F673835}"/>
    <cellStyle name="Normal 5 2 3 2 3 3 3" xfId="5628" xr:uid="{00000000-0005-0000-0000-000065180000}"/>
    <cellStyle name="Normal 5 2 3 2 3 3 3 2" xfId="14070" xr:uid="{C4B652A4-0514-4609-B3F3-4C0682B7C4F4}"/>
    <cellStyle name="Normal 5 2 3 2 3 3 4" xfId="9852" xr:uid="{7581FA5F-F065-4C6E-B67D-1B610D5D8E85}"/>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F27DBB11-16EF-4874-A222-8B379465F9D6}"/>
    <cellStyle name="Normal 5 2 3 2 3 4 2 3" xfId="12410" xr:uid="{E2700129-E758-4B00-88CE-BBAA85A34A2D}"/>
    <cellStyle name="Normal 5 2 3 2 3 4 3" xfId="6041" xr:uid="{00000000-0005-0000-0000-000069180000}"/>
    <cellStyle name="Normal 5 2 3 2 3 4 3 2" xfId="14483" xr:uid="{5642D352-BA40-49D8-8F65-106784629FBC}"/>
    <cellStyle name="Normal 5 2 3 2 3 4 4" xfId="10265" xr:uid="{B79624AE-737F-4C74-9445-C9401D6A7312}"/>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3EE3BDBB-86E5-4F46-957C-E7DAAD1D3DDE}"/>
    <cellStyle name="Normal 5 2 3 2 3 5 2 3" xfId="12823" xr:uid="{A7999258-4951-42F7-8F03-8B68FB9C4FA6}"/>
    <cellStyle name="Normal 5 2 3 2 3 5 3" xfId="6454" xr:uid="{00000000-0005-0000-0000-00006D180000}"/>
    <cellStyle name="Normal 5 2 3 2 3 5 3 2" xfId="14896" xr:uid="{DB440FEC-D54D-4589-951C-53D45FCD380C}"/>
    <cellStyle name="Normal 5 2 3 2 3 5 4" xfId="10678" xr:uid="{B95FF65F-E4EE-471F-933B-2B1321A6D015}"/>
    <cellStyle name="Normal 5 2 3 2 3 6" xfId="2583" xr:uid="{00000000-0005-0000-0000-00006E180000}"/>
    <cellStyle name="Normal 5 2 3 2 3 6 2" xfId="6867" xr:uid="{00000000-0005-0000-0000-00006F180000}"/>
    <cellStyle name="Normal 5 2 3 2 3 6 2 2" xfId="15309" xr:uid="{82604E14-936B-40B2-99A7-A8A6C2DF8D35}"/>
    <cellStyle name="Normal 5 2 3 2 3 6 3" xfId="11091" xr:uid="{AD83DD45-6FFA-4347-B152-5166A75C1006}"/>
    <cellStyle name="Normal 5 2 3 2 3 7" xfId="4802" xr:uid="{00000000-0005-0000-0000-000070180000}"/>
    <cellStyle name="Normal 5 2 3 2 3 7 2" xfId="13244" xr:uid="{77940BF9-2AED-4FEF-84F7-4AFF085175DA}"/>
    <cellStyle name="Normal 5 2 3 2 3 8" xfId="9026" xr:uid="{7D5D1278-8E01-4E38-B9DC-AF01ECD11B9B}"/>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E30EB777-C078-4131-B4C3-8DF58C1888AE}"/>
    <cellStyle name="Normal 5 2 3 2 4 2 3" xfId="11581" xr:uid="{9F5745DC-8DEB-4E28-8714-D53F6B37C614}"/>
    <cellStyle name="Normal 5 2 3 2 4 3" xfId="5212" xr:uid="{00000000-0005-0000-0000-000074180000}"/>
    <cellStyle name="Normal 5 2 3 2 4 3 2" xfId="13654" xr:uid="{A3127AC4-FB0C-4D70-B4CF-4C0E6E820E1D}"/>
    <cellStyle name="Normal 5 2 3 2 4 4" xfId="9436" xr:uid="{2CFC7812-B972-4B58-8286-809D9A903D28}"/>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FAA9B8F4-D43A-45EF-90EA-5574A06B4EC4}"/>
    <cellStyle name="Normal 5 2 3 2 5 2 3" xfId="11994" xr:uid="{527E9C8A-A043-4F21-949F-DEA4A4A29B61}"/>
    <cellStyle name="Normal 5 2 3 2 5 3" xfId="5625" xr:uid="{00000000-0005-0000-0000-000078180000}"/>
    <cellStyle name="Normal 5 2 3 2 5 3 2" xfId="14067" xr:uid="{371025CA-97CD-4FB7-99F8-303BF21C1A24}"/>
    <cellStyle name="Normal 5 2 3 2 5 4" xfId="9849" xr:uid="{2F3C406A-54FD-45A3-A691-6E83CFCE25A5}"/>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B9E3F751-E2A5-4777-81C0-F7F28DAA22A9}"/>
    <cellStyle name="Normal 5 2 3 2 6 2 3" xfId="12407" xr:uid="{F9425672-5039-4AAC-8E14-565495851347}"/>
    <cellStyle name="Normal 5 2 3 2 6 3" xfId="6038" xr:uid="{00000000-0005-0000-0000-00007C180000}"/>
    <cellStyle name="Normal 5 2 3 2 6 3 2" xfId="14480" xr:uid="{EFBE3728-3EF2-40BC-A788-7ABFD1D0F1DB}"/>
    <cellStyle name="Normal 5 2 3 2 6 4" xfId="10262" xr:uid="{7D99E687-1BE5-4EE3-96F5-6652C62AAA1E}"/>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FF0FA23B-1447-45CE-8679-E50C379BE482}"/>
    <cellStyle name="Normal 5 2 3 2 7 2 3" xfId="12820" xr:uid="{FA3214EE-A643-4737-B598-0C4FDC9A13BE}"/>
    <cellStyle name="Normal 5 2 3 2 7 3" xfId="6451" xr:uid="{00000000-0005-0000-0000-000080180000}"/>
    <cellStyle name="Normal 5 2 3 2 7 3 2" xfId="14893" xr:uid="{B33A6EC1-FA6C-4957-A765-AA0C0485F929}"/>
    <cellStyle name="Normal 5 2 3 2 7 4" xfId="10675" xr:uid="{22B642B8-D354-44B3-A011-1F514B8AF432}"/>
    <cellStyle name="Normal 5 2 3 2 8" xfId="2580" xr:uid="{00000000-0005-0000-0000-000081180000}"/>
    <cellStyle name="Normal 5 2 3 2 8 2" xfId="6864" xr:uid="{00000000-0005-0000-0000-000082180000}"/>
    <cellStyle name="Normal 5 2 3 2 8 2 2" xfId="15306" xr:uid="{9896E614-0323-4E98-89A1-C4B0E5F37FC9}"/>
    <cellStyle name="Normal 5 2 3 2 8 3" xfId="11088" xr:uid="{2BAE1E60-4A4E-481C-B3B1-C508B7A777A4}"/>
    <cellStyle name="Normal 5 2 3 2 9" xfId="4799" xr:uid="{00000000-0005-0000-0000-000083180000}"/>
    <cellStyle name="Normal 5 2 3 2 9 2" xfId="13241" xr:uid="{B08ED4F8-4857-484C-BBC8-F439899C8FC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FD7140BB-95B8-491C-8E7D-57B32F07E0FD}"/>
    <cellStyle name="Normal 5 2 3 3 2 2 2 3" xfId="11586" xr:uid="{4CAAC90A-11D3-4CAD-9D9C-EF9E49DC7D38}"/>
    <cellStyle name="Normal 5 2 3 3 2 2 3" xfId="5217" xr:uid="{00000000-0005-0000-0000-000089180000}"/>
    <cellStyle name="Normal 5 2 3 3 2 2 3 2" xfId="13659" xr:uid="{3F8F8BBC-0E0A-4130-921C-DAF0683C6885}"/>
    <cellStyle name="Normal 5 2 3 3 2 2 4" xfId="9441" xr:uid="{2FAA88B8-2959-4C24-930B-2320EEFC53D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86257ABB-F72D-411F-B040-A184D9D1D3C3}"/>
    <cellStyle name="Normal 5 2 3 3 2 3 2 3" xfId="11999" xr:uid="{DED4C048-6EDC-4C0D-B54E-AD091213111F}"/>
    <cellStyle name="Normal 5 2 3 3 2 3 3" xfId="5630" xr:uid="{00000000-0005-0000-0000-00008D180000}"/>
    <cellStyle name="Normal 5 2 3 3 2 3 3 2" xfId="14072" xr:uid="{D079EB90-DDC7-486F-BF6F-C1848F9B3B95}"/>
    <cellStyle name="Normal 5 2 3 3 2 3 4" xfId="9854" xr:uid="{C4869A12-5CC7-4F0A-A116-4DB0965E6B3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B1DB9B29-F098-404D-93FE-817DFA4F8C45}"/>
    <cellStyle name="Normal 5 2 3 3 2 4 2 3" xfId="12412" xr:uid="{583588EF-9944-4E04-BB25-05831C11D19E}"/>
    <cellStyle name="Normal 5 2 3 3 2 4 3" xfId="6043" xr:uid="{00000000-0005-0000-0000-000091180000}"/>
    <cellStyle name="Normal 5 2 3 3 2 4 3 2" xfId="14485" xr:uid="{8059586A-FC23-4B1C-AE0C-D7F529CDAAD4}"/>
    <cellStyle name="Normal 5 2 3 3 2 4 4" xfId="10267" xr:uid="{8220CF5D-3DCC-449D-BCD5-2CC440649524}"/>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4CB44EEA-DCC3-4AE0-8CE9-44A52235D5A2}"/>
    <cellStyle name="Normal 5 2 3 3 2 5 2 3" xfId="12825" xr:uid="{7BEC7640-789E-475B-9D6C-9F6B6FA5E7AE}"/>
    <cellStyle name="Normal 5 2 3 3 2 5 3" xfId="6456" xr:uid="{00000000-0005-0000-0000-000095180000}"/>
    <cellStyle name="Normal 5 2 3 3 2 5 3 2" xfId="14898" xr:uid="{AEFC6983-9FDB-4063-88B3-99B863A2EAFA}"/>
    <cellStyle name="Normal 5 2 3 3 2 5 4" xfId="10680" xr:uid="{1B0DBA55-BB5E-4DFB-849C-7233E961A380}"/>
    <cellStyle name="Normal 5 2 3 3 2 6" xfId="2585" xr:uid="{00000000-0005-0000-0000-000096180000}"/>
    <cellStyle name="Normal 5 2 3 3 2 6 2" xfId="6869" xr:uid="{00000000-0005-0000-0000-000097180000}"/>
    <cellStyle name="Normal 5 2 3 3 2 6 2 2" xfId="15311" xr:uid="{846B723E-E72E-4EB6-8508-B47CADC476D8}"/>
    <cellStyle name="Normal 5 2 3 3 2 6 3" xfId="11093" xr:uid="{C338BF01-FD73-438B-A10D-1FF9571D5F6A}"/>
    <cellStyle name="Normal 5 2 3 3 2 7" xfId="4804" xr:uid="{00000000-0005-0000-0000-000098180000}"/>
    <cellStyle name="Normal 5 2 3 3 2 7 2" xfId="13246" xr:uid="{74B6C9F0-18F6-48CD-AE8F-8DD0E72F5915}"/>
    <cellStyle name="Normal 5 2 3 3 2 8" xfId="9028" xr:uid="{9C3606EA-7AC5-4558-B364-E089660E41C2}"/>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F9C36160-CB60-4775-80C0-67896A30FA11}"/>
    <cellStyle name="Normal 5 2 3 3 3 2 3" xfId="11585" xr:uid="{50E7B8EC-21FD-45CA-A0F0-0547FBDE08A9}"/>
    <cellStyle name="Normal 5 2 3 3 3 3" xfId="5216" xr:uid="{00000000-0005-0000-0000-00009C180000}"/>
    <cellStyle name="Normal 5 2 3 3 3 3 2" xfId="13658" xr:uid="{F09E5E1A-447C-4974-AC07-C69ACCC6097B}"/>
    <cellStyle name="Normal 5 2 3 3 3 4" xfId="9440" xr:uid="{8D162EA3-13F5-40A0-B446-746A710D9AAE}"/>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81F48E5A-288A-4B95-A9F3-103839A59EDA}"/>
    <cellStyle name="Normal 5 2 3 3 4 2 3" xfId="11998" xr:uid="{5AECB793-0E40-43F1-BD7F-3781CDD0C7C9}"/>
    <cellStyle name="Normal 5 2 3 3 4 3" xfId="5629" xr:uid="{00000000-0005-0000-0000-0000A0180000}"/>
    <cellStyle name="Normal 5 2 3 3 4 3 2" xfId="14071" xr:uid="{6B65ABCA-D075-4E83-B526-4B2338D256B6}"/>
    <cellStyle name="Normal 5 2 3 3 4 4" xfId="9853" xr:uid="{0D6BEF15-D8FC-43AC-A379-85B8E281CC6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A0B21C9E-8527-4006-830E-50EAE48753AB}"/>
    <cellStyle name="Normal 5 2 3 3 5 2 3" xfId="12411" xr:uid="{78454B9C-AC02-4AAB-AB56-9F6A03329F85}"/>
    <cellStyle name="Normal 5 2 3 3 5 3" xfId="6042" xr:uid="{00000000-0005-0000-0000-0000A4180000}"/>
    <cellStyle name="Normal 5 2 3 3 5 3 2" xfId="14484" xr:uid="{5B85C564-2EB0-4FFA-B4D7-A58371C52293}"/>
    <cellStyle name="Normal 5 2 3 3 5 4" xfId="10266" xr:uid="{D33446E2-FC94-4258-ADF9-5290F8B5325C}"/>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8C6505F9-7CAC-4DC1-B305-F7C7AA2F8A63}"/>
    <cellStyle name="Normal 5 2 3 3 6 2 3" xfId="12824" xr:uid="{F9E337C0-0A44-437C-A9A9-B8466E1014AF}"/>
    <cellStyle name="Normal 5 2 3 3 6 3" xfId="6455" xr:uid="{00000000-0005-0000-0000-0000A8180000}"/>
    <cellStyle name="Normal 5 2 3 3 6 3 2" xfId="14897" xr:uid="{9239E25C-3E4B-432E-91F0-B8F96CAFE2C0}"/>
    <cellStyle name="Normal 5 2 3 3 6 4" xfId="10679" xr:uid="{170FD232-9B64-41B0-BF82-26B5178B3CAE}"/>
    <cellStyle name="Normal 5 2 3 3 7" xfId="2584" xr:uid="{00000000-0005-0000-0000-0000A9180000}"/>
    <cellStyle name="Normal 5 2 3 3 7 2" xfId="6868" xr:uid="{00000000-0005-0000-0000-0000AA180000}"/>
    <cellStyle name="Normal 5 2 3 3 7 2 2" xfId="15310" xr:uid="{5B29DF98-94CE-4B1B-B72A-DA5D30A75A47}"/>
    <cellStyle name="Normal 5 2 3 3 7 3" xfId="11092" xr:uid="{A8600E96-6C55-48C2-91AD-64B2D9192865}"/>
    <cellStyle name="Normal 5 2 3 3 8" xfId="4803" xr:uid="{00000000-0005-0000-0000-0000AB180000}"/>
    <cellStyle name="Normal 5 2 3 3 8 2" xfId="13245" xr:uid="{5B0B0CB3-EFDA-401E-8E0B-406FB9EBC66A}"/>
    <cellStyle name="Normal 5 2 3 3 9" xfId="9027" xr:uid="{B3002C34-D54E-48A6-89B9-AA8BDFA6D3F3}"/>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FFD516C2-9F4F-4C97-9413-730C25DEF6E4}"/>
    <cellStyle name="Normal 5 2 3 4 2 2 3" xfId="11587" xr:uid="{ED9704A5-A55A-469E-A2AF-88AFBD3ADC0E}"/>
    <cellStyle name="Normal 5 2 3 4 2 3" xfId="5218" xr:uid="{00000000-0005-0000-0000-0000B0180000}"/>
    <cellStyle name="Normal 5 2 3 4 2 3 2" xfId="13660" xr:uid="{ED8BB935-27AC-499E-BDCD-CF7EB8FBC803}"/>
    <cellStyle name="Normal 5 2 3 4 2 4" xfId="9442" xr:uid="{7A323F26-DD07-4B28-88C0-717E44BE1B0E}"/>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A99D9B78-CF56-4B09-9514-10C2B5679F76}"/>
    <cellStyle name="Normal 5 2 3 4 3 2 3" xfId="12000" xr:uid="{78BDC89C-16FE-46FC-8537-44E4742F6C87}"/>
    <cellStyle name="Normal 5 2 3 4 3 3" xfId="5631" xr:uid="{00000000-0005-0000-0000-0000B4180000}"/>
    <cellStyle name="Normal 5 2 3 4 3 3 2" xfId="14073" xr:uid="{43D9FBF8-0C38-4780-928B-2C98307D1D5C}"/>
    <cellStyle name="Normal 5 2 3 4 3 4" xfId="9855" xr:uid="{24B8BD23-625D-47C4-8D5C-F69C28ED8DAD}"/>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F0B5CD4B-5846-441F-839A-4954AC2E1C98}"/>
    <cellStyle name="Normal 5 2 3 4 4 2 3" xfId="12413" xr:uid="{8B72514D-0EFE-4614-ADD7-8D2997322CE2}"/>
    <cellStyle name="Normal 5 2 3 4 4 3" xfId="6044" xr:uid="{00000000-0005-0000-0000-0000B8180000}"/>
    <cellStyle name="Normal 5 2 3 4 4 3 2" xfId="14486" xr:uid="{FEEA4F43-CC4C-43DB-B604-86C5694D2F17}"/>
    <cellStyle name="Normal 5 2 3 4 4 4" xfId="10268" xr:uid="{83107DFB-B343-476D-86FD-06B2019D9AD2}"/>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6DE48BD4-B873-45E9-AF79-5161A2C1D4DC}"/>
    <cellStyle name="Normal 5 2 3 4 5 2 3" xfId="12826" xr:uid="{1EF76CF5-7F02-4446-BB22-8ADD880EA6B2}"/>
    <cellStyle name="Normal 5 2 3 4 5 3" xfId="6457" xr:uid="{00000000-0005-0000-0000-0000BC180000}"/>
    <cellStyle name="Normal 5 2 3 4 5 3 2" xfId="14899" xr:uid="{1A5BF5E5-7B83-47CB-90F5-FBFB8A4F42B2}"/>
    <cellStyle name="Normal 5 2 3 4 5 4" xfId="10681" xr:uid="{ED172F00-4019-4887-8EB2-9B2AAEF9E0D0}"/>
    <cellStyle name="Normal 5 2 3 4 6" xfId="2586" xr:uid="{00000000-0005-0000-0000-0000BD180000}"/>
    <cellStyle name="Normal 5 2 3 4 6 2" xfId="6870" xr:uid="{00000000-0005-0000-0000-0000BE180000}"/>
    <cellStyle name="Normal 5 2 3 4 6 2 2" xfId="15312" xr:uid="{6431081F-CE72-49BF-BA99-993485519651}"/>
    <cellStyle name="Normal 5 2 3 4 6 3" xfId="11094" xr:uid="{A6BE7802-7F30-453A-BD10-CF09B92615B5}"/>
    <cellStyle name="Normal 5 2 3 4 7" xfId="4805" xr:uid="{00000000-0005-0000-0000-0000BF180000}"/>
    <cellStyle name="Normal 5 2 3 4 7 2" xfId="13247" xr:uid="{3D3F3F93-B546-4149-99CD-1BD6366A6868}"/>
    <cellStyle name="Normal 5 2 3 4 8" xfId="9029" xr:uid="{05456E48-681D-4B81-BC37-5FA88442E503}"/>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D78EA963-B19E-4180-8331-2E88648A58ED}"/>
    <cellStyle name="Normal 5 2 3 5 2 3" xfId="11580" xr:uid="{D3270A79-63CA-40E7-B043-9064DBC594EA}"/>
    <cellStyle name="Normal 5 2 3 5 3" xfId="5211" xr:uid="{00000000-0005-0000-0000-0000C3180000}"/>
    <cellStyle name="Normal 5 2 3 5 3 2" xfId="13653" xr:uid="{41F7626C-4BB8-4AFA-8DF6-873D9499D513}"/>
    <cellStyle name="Normal 5 2 3 5 4" xfId="9435" xr:uid="{BE57F419-C6DB-4CF7-B735-CE5E9D47F3B9}"/>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98CBD834-DB5D-48A8-9F42-F17F8B8848E5}"/>
    <cellStyle name="Normal 5 2 3 6 2 3" xfId="11993" xr:uid="{2F41C665-4D34-48AE-83CD-42BD163A3BC9}"/>
    <cellStyle name="Normal 5 2 3 6 3" xfId="5624" xr:uid="{00000000-0005-0000-0000-0000C7180000}"/>
    <cellStyle name="Normal 5 2 3 6 3 2" xfId="14066" xr:uid="{4F5E60D5-9851-444E-B374-04C9C26FD430}"/>
    <cellStyle name="Normal 5 2 3 6 4" xfId="9848" xr:uid="{6A2E8895-EE2D-4AB7-AF26-CB8AB9C73784}"/>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FB4348DC-5326-4892-90D3-30AF9E012126}"/>
    <cellStyle name="Normal 5 2 3 7 2 3" xfId="12406" xr:uid="{AF158285-92EC-4510-83C8-99D0C6D8022D}"/>
    <cellStyle name="Normal 5 2 3 7 3" xfId="6037" xr:uid="{00000000-0005-0000-0000-0000CB180000}"/>
    <cellStyle name="Normal 5 2 3 7 3 2" xfId="14479" xr:uid="{AC6B17B1-BB87-4950-BD60-60F4CE951608}"/>
    <cellStyle name="Normal 5 2 3 7 4" xfId="10261" xr:uid="{4E067E3E-DD2A-450D-9698-163E12A5E604}"/>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D47E50D0-E982-4685-BC19-9863EC7D6915}"/>
    <cellStyle name="Normal 5 2 3 8 2 3" xfId="12819" xr:uid="{DC4B6D83-88C7-4FF5-862A-C5F2D5FCFA54}"/>
    <cellStyle name="Normal 5 2 3 8 3" xfId="6450" xr:uid="{00000000-0005-0000-0000-0000CF180000}"/>
    <cellStyle name="Normal 5 2 3 8 3 2" xfId="14892" xr:uid="{86E283ED-3219-44E0-86DC-456AC02A6F83}"/>
    <cellStyle name="Normal 5 2 3 8 4" xfId="10674" xr:uid="{A39D67BE-2D67-44F5-895F-35E2BEDAF829}"/>
    <cellStyle name="Normal 5 2 3 9" xfId="2579" xr:uid="{00000000-0005-0000-0000-0000D0180000}"/>
    <cellStyle name="Normal 5 2 3 9 2" xfId="6863" xr:uid="{00000000-0005-0000-0000-0000D1180000}"/>
    <cellStyle name="Normal 5 2 3 9 2 2" xfId="15305" xr:uid="{42033FDD-DB54-470D-A1D5-BF6B8AB20F60}"/>
    <cellStyle name="Normal 5 2 3 9 3" xfId="11087" xr:uid="{C747821F-A5F8-4143-A922-4028E04D1B33}"/>
    <cellStyle name="Normal 5 2 4" xfId="432" xr:uid="{00000000-0005-0000-0000-0000D2180000}"/>
    <cellStyle name="Normal 5 2 4 10" xfId="9030" xr:uid="{2789F74B-6382-41EC-98DB-5D21E8AFEF5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2AE259CD-3FCC-4EF0-9BBE-FADC03B3A136}"/>
    <cellStyle name="Normal 5 2 4 2 2 2 2 3" xfId="11590" xr:uid="{43BF35A8-9BF1-4324-B2E8-5B572E4CEBFE}"/>
    <cellStyle name="Normal 5 2 4 2 2 2 3" xfId="5221" xr:uid="{00000000-0005-0000-0000-0000D8180000}"/>
    <cellStyle name="Normal 5 2 4 2 2 2 3 2" xfId="13663" xr:uid="{79A0194D-39A6-4A2A-98EE-B8CE7EC69334}"/>
    <cellStyle name="Normal 5 2 4 2 2 2 4" xfId="9445" xr:uid="{CBB2DCC0-2CD6-42F0-BE9F-A198057AF1D3}"/>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D1D018C3-EC9E-44DF-B4E5-10E8CF6FC715}"/>
    <cellStyle name="Normal 5 2 4 2 2 3 2 3" xfId="12003" xr:uid="{492095A1-0AB2-4ED2-A44A-715DDCC07800}"/>
    <cellStyle name="Normal 5 2 4 2 2 3 3" xfId="5634" xr:uid="{00000000-0005-0000-0000-0000DC180000}"/>
    <cellStyle name="Normal 5 2 4 2 2 3 3 2" xfId="14076" xr:uid="{951313A7-B958-4D87-99A8-D4D7BB402F19}"/>
    <cellStyle name="Normal 5 2 4 2 2 3 4" xfId="9858" xr:uid="{B57D067E-A803-431E-B4B8-12638E741787}"/>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80B87AC7-8DC2-4415-83A2-19445A1FB684}"/>
    <cellStyle name="Normal 5 2 4 2 2 4 2 3" xfId="12416" xr:uid="{7C38DA66-F3FE-4013-BAB7-410C8F9F5453}"/>
    <cellStyle name="Normal 5 2 4 2 2 4 3" xfId="6047" xr:uid="{00000000-0005-0000-0000-0000E0180000}"/>
    <cellStyle name="Normal 5 2 4 2 2 4 3 2" xfId="14489" xr:uid="{0E3DA377-5BA5-43FA-9404-F925C8988E08}"/>
    <cellStyle name="Normal 5 2 4 2 2 4 4" xfId="10271" xr:uid="{DB8904A2-12F7-4A19-B6F6-D427C93170E3}"/>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D52042FF-6845-4B83-A329-0524C57BDD69}"/>
    <cellStyle name="Normal 5 2 4 2 2 5 2 3" xfId="12829" xr:uid="{ECDEAA8E-F20A-4DD2-B6B6-5BC515DF3BD5}"/>
    <cellStyle name="Normal 5 2 4 2 2 5 3" xfId="6460" xr:uid="{00000000-0005-0000-0000-0000E4180000}"/>
    <cellStyle name="Normal 5 2 4 2 2 5 3 2" xfId="14902" xr:uid="{68BFCD9D-9F40-4243-8763-D96129304839}"/>
    <cellStyle name="Normal 5 2 4 2 2 5 4" xfId="10684" xr:uid="{2822AFAE-B896-4D84-A1AE-4A0A0AF5908D}"/>
    <cellStyle name="Normal 5 2 4 2 2 6" xfId="2589" xr:uid="{00000000-0005-0000-0000-0000E5180000}"/>
    <cellStyle name="Normal 5 2 4 2 2 6 2" xfId="6873" xr:uid="{00000000-0005-0000-0000-0000E6180000}"/>
    <cellStyle name="Normal 5 2 4 2 2 6 2 2" xfId="15315" xr:uid="{3547129A-994E-41D7-8A20-DF0F170BE06A}"/>
    <cellStyle name="Normal 5 2 4 2 2 6 3" xfId="11097" xr:uid="{D04C32C0-66A4-4209-B48D-601F3041A799}"/>
    <cellStyle name="Normal 5 2 4 2 2 7" xfId="4808" xr:uid="{00000000-0005-0000-0000-0000E7180000}"/>
    <cellStyle name="Normal 5 2 4 2 2 7 2" xfId="13250" xr:uid="{30CB52CE-21E0-4214-A0DF-79CFDF92E014}"/>
    <cellStyle name="Normal 5 2 4 2 2 8" xfId="9032" xr:uid="{FE540DDB-5441-4CD9-93BE-96B551B525CB}"/>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CF938B64-9480-4309-9353-856D7CAC7169}"/>
    <cellStyle name="Normal 5 2 4 2 3 2 3" xfId="11589" xr:uid="{C50A6FDB-171E-4652-95D4-0F60E0EE3F5D}"/>
    <cellStyle name="Normal 5 2 4 2 3 3" xfId="5220" xr:uid="{00000000-0005-0000-0000-0000EB180000}"/>
    <cellStyle name="Normal 5 2 4 2 3 3 2" xfId="13662" xr:uid="{2675F791-77E4-4F67-BA1D-65B25D30637D}"/>
    <cellStyle name="Normal 5 2 4 2 3 4" xfId="9444" xr:uid="{79B0DE08-45F4-4FE7-9A7B-872A50B44C08}"/>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56C85B7C-FF4C-402B-A047-F72A1636B8CC}"/>
    <cellStyle name="Normal 5 2 4 2 4 2 3" xfId="12002" xr:uid="{8DF7F76F-3F09-4714-9D24-A320F6BFDC00}"/>
    <cellStyle name="Normal 5 2 4 2 4 3" xfId="5633" xr:uid="{00000000-0005-0000-0000-0000EF180000}"/>
    <cellStyle name="Normal 5 2 4 2 4 3 2" xfId="14075" xr:uid="{A1A47C06-C909-403B-98A2-8A19E6F12F96}"/>
    <cellStyle name="Normal 5 2 4 2 4 4" xfId="9857" xr:uid="{9BBB1BD7-8978-487D-9950-61EF79C4DFC2}"/>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80120C92-6E4F-4225-8319-187DAB0F6709}"/>
    <cellStyle name="Normal 5 2 4 2 5 2 3" xfId="12415" xr:uid="{9156B6BF-0CA6-45CE-8546-2F5FB503B4C5}"/>
    <cellStyle name="Normal 5 2 4 2 5 3" xfId="6046" xr:uid="{00000000-0005-0000-0000-0000F3180000}"/>
    <cellStyle name="Normal 5 2 4 2 5 3 2" xfId="14488" xr:uid="{7BE80B40-4AE0-4530-B1B5-991F5F174E18}"/>
    <cellStyle name="Normal 5 2 4 2 5 4" xfId="10270" xr:uid="{3430E1C2-7541-48DD-A51A-1744697D4BD7}"/>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8866534D-9756-4B69-90F5-0DC3F9AFB5FB}"/>
    <cellStyle name="Normal 5 2 4 2 6 2 3" xfId="12828" xr:uid="{6A95D285-8589-4D9E-95CE-ED85D5C5F8D5}"/>
    <cellStyle name="Normal 5 2 4 2 6 3" xfId="6459" xr:uid="{00000000-0005-0000-0000-0000F7180000}"/>
    <cellStyle name="Normal 5 2 4 2 6 3 2" xfId="14901" xr:uid="{B95C1ACB-C8C2-47AE-9BC4-DE06FA4F56F8}"/>
    <cellStyle name="Normal 5 2 4 2 6 4" xfId="10683" xr:uid="{9A95CC01-94B0-446D-9C31-9917C38D2A03}"/>
    <cellStyle name="Normal 5 2 4 2 7" xfId="2588" xr:uid="{00000000-0005-0000-0000-0000F8180000}"/>
    <cellStyle name="Normal 5 2 4 2 7 2" xfId="6872" xr:uid="{00000000-0005-0000-0000-0000F9180000}"/>
    <cellStyle name="Normal 5 2 4 2 7 2 2" xfId="15314" xr:uid="{205D7973-3BD9-46FF-8C74-34EB83D63FC8}"/>
    <cellStyle name="Normal 5 2 4 2 7 3" xfId="11096" xr:uid="{BCA92CB0-C26A-466B-A67E-A34863A3F96F}"/>
    <cellStyle name="Normal 5 2 4 2 8" xfId="4807" xr:uid="{00000000-0005-0000-0000-0000FA180000}"/>
    <cellStyle name="Normal 5 2 4 2 8 2" xfId="13249" xr:uid="{11039CB0-2928-439D-BC5A-A7120F787F2A}"/>
    <cellStyle name="Normal 5 2 4 2 9" xfId="9031" xr:uid="{1493D490-3155-4790-AB95-2D90EA220043}"/>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4E042FCF-63DF-4D0E-98E8-63B7EEAFC45C}"/>
    <cellStyle name="Normal 5 2 4 3 2 2 3" xfId="11591" xr:uid="{E0FB9B54-A43A-45AD-8BCE-F95BD3E5590D}"/>
    <cellStyle name="Normal 5 2 4 3 2 3" xfId="5222" xr:uid="{00000000-0005-0000-0000-0000FF180000}"/>
    <cellStyle name="Normal 5 2 4 3 2 3 2" xfId="13664" xr:uid="{1578FC38-52C3-444C-BFAF-B816A153FE2A}"/>
    <cellStyle name="Normal 5 2 4 3 2 4" xfId="9446" xr:uid="{3BC05411-D61E-4714-B84F-40F885D52CCA}"/>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045020BF-5430-400B-88F3-EB6BEFC23818}"/>
    <cellStyle name="Normal 5 2 4 3 3 2 3" xfId="12004" xr:uid="{9EA66023-7124-47BA-83B6-8ADB1B231DC9}"/>
    <cellStyle name="Normal 5 2 4 3 3 3" xfId="5635" xr:uid="{00000000-0005-0000-0000-000003190000}"/>
    <cellStyle name="Normal 5 2 4 3 3 3 2" xfId="14077" xr:uid="{F42321E5-DD6E-476D-8E70-72534D53AAE5}"/>
    <cellStyle name="Normal 5 2 4 3 3 4" xfId="9859" xr:uid="{F7A3D7A9-434F-4E8E-B423-AA64DB849182}"/>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73585F07-7EB4-466B-8B8F-F4CEB95D904B}"/>
    <cellStyle name="Normal 5 2 4 3 4 2 3" xfId="12417" xr:uid="{704D16F3-978B-4EC5-8A96-4AF58604D2C7}"/>
    <cellStyle name="Normal 5 2 4 3 4 3" xfId="6048" xr:uid="{00000000-0005-0000-0000-000007190000}"/>
    <cellStyle name="Normal 5 2 4 3 4 3 2" xfId="14490" xr:uid="{823055F5-1070-4400-875E-76CF0CA20D00}"/>
    <cellStyle name="Normal 5 2 4 3 4 4" xfId="10272" xr:uid="{A26FEED5-23EF-479D-9261-B124CB836DE9}"/>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B179126C-B200-47CE-9AF5-F9A2D2DF01AC}"/>
    <cellStyle name="Normal 5 2 4 3 5 2 3" xfId="12830" xr:uid="{8F636A67-7AAB-4972-B72A-E9BB9045247B}"/>
    <cellStyle name="Normal 5 2 4 3 5 3" xfId="6461" xr:uid="{00000000-0005-0000-0000-00000B190000}"/>
    <cellStyle name="Normal 5 2 4 3 5 3 2" xfId="14903" xr:uid="{9B2E1DA4-AA12-4103-A60B-D757F174978A}"/>
    <cellStyle name="Normal 5 2 4 3 5 4" xfId="10685" xr:uid="{031E2F41-0010-48C1-B4DD-9375B2C8E390}"/>
    <cellStyle name="Normal 5 2 4 3 6" xfId="2590" xr:uid="{00000000-0005-0000-0000-00000C190000}"/>
    <cellStyle name="Normal 5 2 4 3 6 2" xfId="6874" xr:uid="{00000000-0005-0000-0000-00000D190000}"/>
    <cellStyle name="Normal 5 2 4 3 6 2 2" xfId="15316" xr:uid="{B8F8BE80-687E-4424-B963-8242B9ED7C75}"/>
    <cellStyle name="Normal 5 2 4 3 6 3" xfId="11098" xr:uid="{57FF7BFE-5957-4371-92FD-0A5CBB7296F3}"/>
    <cellStyle name="Normal 5 2 4 3 7" xfId="4809" xr:uid="{00000000-0005-0000-0000-00000E190000}"/>
    <cellStyle name="Normal 5 2 4 3 7 2" xfId="13251" xr:uid="{5CC3D6C6-FA82-41F6-8AC8-55EBB40EEDD8}"/>
    <cellStyle name="Normal 5 2 4 3 8" xfId="9033" xr:uid="{55DE01AA-CF23-44AE-AC71-D824A2CD3E89}"/>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155C06A4-41AF-4238-B4DD-01563874D4F5}"/>
    <cellStyle name="Normal 5 2 4 4 2 3" xfId="11588" xr:uid="{D90638C4-7D1C-4FB9-90B2-23830C722B30}"/>
    <cellStyle name="Normal 5 2 4 4 3" xfId="5219" xr:uid="{00000000-0005-0000-0000-000012190000}"/>
    <cellStyle name="Normal 5 2 4 4 3 2" xfId="13661" xr:uid="{70925B06-C847-4F95-8ADE-93C7C262AD82}"/>
    <cellStyle name="Normal 5 2 4 4 4" xfId="9443" xr:uid="{CD1311C2-1E52-4E3C-A453-51CA6B1F4AF7}"/>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B4AEA125-9884-4025-99F1-7D6B3B912009}"/>
    <cellStyle name="Normal 5 2 4 5 2 3" xfId="12001" xr:uid="{3EB53E08-6ABA-4113-B058-5746BA3C4899}"/>
    <cellStyle name="Normal 5 2 4 5 3" xfId="5632" xr:uid="{00000000-0005-0000-0000-000016190000}"/>
    <cellStyle name="Normal 5 2 4 5 3 2" xfId="14074" xr:uid="{AB0474FB-EFEA-420C-A0DB-482DF37EC939}"/>
    <cellStyle name="Normal 5 2 4 5 4" xfId="9856" xr:uid="{D6B2438D-9007-4425-B728-20D4CFD748C4}"/>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49017B2E-9B1E-4B05-AECA-C8A1EA2C692B}"/>
    <cellStyle name="Normal 5 2 4 6 2 3" xfId="12414" xr:uid="{7004AEDF-E831-47E8-B30F-EB7F36F6CA56}"/>
    <cellStyle name="Normal 5 2 4 6 3" xfId="6045" xr:uid="{00000000-0005-0000-0000-00001A190000}"/>
    <cellStyle name="Normal 5 2 4 6 3 2" xfId="14487" xr:uid="{D65B709A-7627-45D6-A87D-4361DE9C343F}"/>
    <cellStyle name="Normal 5 2 4 6 4" xfId="10269" xr:uid="{DE5E06EF-624C-4E2D-A646-077ACEC8DCC1}"/>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B2F83D2-CCD3-4F0F-9E0D-7565C463991B}"/>
    <cellStyle name="Normal 5 2 4 7 2 3" xfId="12827" xr:uid="{69FE7FC4-7110-4E81-BC39-DC101D1FAC6F}"/>
    <cellStyle name="Normal 5 2 4 7 3" xfId="6458" xr:uid="{00000000-0005-0000-0000-00001E190000}"/>
    <cellStyle name="Normal 5 2 4 7 3 2" xfId="14900" xr:uid="{07A61609-BB0C-48A0-AC43-C0670E50DF3C}"/>
    <cellStyle name="Normal 5 2 4 7 4" xfId="10682" xr:uid="{DB12BBB5-1122-4586-A5E9-BF89C7559580}"/>
    <cellStyle name="Normal 5 2 4 8" xfId="2587" xr:uid="{00000000-0005-0000-0000-00001F190000}"/>
    <cellStyle name="Normal 5 2 4 8 2" xfId="6871" xr:uid="{00000000-0005-0000-0000-000020190000}"/>
    <cellStyle name="Normal 5 2 4 8 2 2" xfId="15313" xr:uid="{A44B7CCE-4C6F-4F6E-9930-1DFE362A9A30}"/>
    <cellStyle name="Normal 5 2 4 8 3" xfId="11095" xr:uid="{42F2434E-57E8-4494-9BFF-4B8945A34069}"/>
    <cellStyle name="Normal 5 2 4 9" xfId="4806" xr:uid="{00000000-0005-0000-0000-000021190000}"/>
    <cellStyle name="Normal 5 2 4 9 2" xfId="13248" xr:uid="{086F8F39-5196-4E38-9139-BDF340CC507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B7AACFC1-B145-42CC-AEB5-A09D3B7C979F}"/>
    <cellStyle name="Normal 5 2 5 2 2 2 3" xfId="11593" xr:uid="{252C73E1-BAEC-4F16-99F8-44C0631E9057}"/>
    <cellStyle name="Normal 5 2 5 2 2 3" xfId="5224" xr:uid="{00000000-0005-0000-0000-000027190000}"/>
    <cellStyle name="Normal 5 2 5 2 2 3 2" xfId="13666" xr:uid="{B0E747EA-1F49-4770-B234-6CFCA6B16006}"/>
    <cellStyle name="Normal 5 2 5 2 2 4" xfId="9448" xr:uid="{68F8006E-1B0B-4CD5-9E68-AEC305B03A76}"/>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3F2C2D8D-DA45-4919-8AA3-488A85427A2E}"/>
    <cellStyle name="Normal 5 2 5 2 3 2 3" xfId="12006" xr:uid="{D9C2EA1F-24CC-4449-B70C-C8047B952F43}"/>
    <cellStyle name="Normal 5 2 5 2 3 3" xfId="5637" xr:uid="{00000000-0005-0000-0000-00002B190000}"/>
    <cellStyle name="Normal 5 2 5 2 3 3 2" xfId="14079" xr:uid="{0FB8B66B-2BFB-4F95-B6F3-CEB4CA65C14D}"/>
    <cellStyle name="Normal 5 2 5 2 3 4" xfId="9861" xr:uid="{CDA9DCD7-8328-4683-ABC9-9B7F5FA1F999}"/>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64E4F9E1-5F87-46FE-8299-A7F6F51791F7}"/>
    <cellStyle name="Normal 5 2 5 2 4 2 3" xfId="12419" xr:uid="{202ACA27-3979-4B38-86D0-2BF3D75A867C}"/>
    <cellStyle name="Normal 5 2 5 2 4 3" xfId="6050" xr:uid="{00000000-0005-0000-0000-00002F190000}"/>
    <cellStyle name="Normal 5 2 5 2 4 3 2" xfId="14492" xr:uid="{23A73BA3-35D7-4A1E-B638-82706C906797}"/>
    <cellStyle name="Normal 5 2 5 2 4 4" xfId="10274" xr:uid="{3E98825D-6E6F-4549-BC1F-48534820369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72BFAE8C-1058-4985-A646-AA9F9C53204E}"/>
    <cellStyle name="Normal 5 2 5 2 5 2 3" xfId="12832" xr:uid="{F909C82B-1B50-4EB8-BC87-0740E0DA08D0}"/>
    <cellStyle name="Normal 5 2 5 2 5 3" xfId="6463" xr:uid="{00000000-0005-0000-0000-000033190000}"/>
    <cellStyle name="Normal 5 2 5 2 5 3 2" xfId="14905" xr:uid="{B8BEC1E7-84B2-4EAE-AB8F-F6AD2695474E}"/>
    <cellStyle name="Normal 5 2 5 2 5 4" xfId="10687" xr:uid="{CBBD9CB4-BA98-44DB-BCC6-31C4D94999A3}"/>
    <cellStyle name="Normal 5 2 5 2 6" xfId="2592" xr:uid="{00000000-0005-0000-0000-000034190000}"/>
    <cellStyle name="Normal 5 2 5 2 6 2" xfId="6876" xr:uid="{00000000-0005-0000-0000-000035190000}"/>
    <cellStyle name="Normal 5 2 5 2 6 2 2" xfId="15318" xr:uid="{ACA63E7B-0B46-4C83-8E08-5E91A1ADBBB4}"/>
    <cellStyle name="Normal 5 2 5 2 6 3" xfId="11100" xr:uid="{2439EEAE-DFB8-4EBA-90DF-D117D022D601}"/>
    <cellStyle name="Normal 5 2 5 2 7" xfId="4811" xr:uid="{00000000-0005-0000-0000-000036190000}"/>
    <cellStyle name="Normal 5 2 5 2 7 2" xfId="13253" xr:uid="{C8C1451D-19F8-445D-8469-0C614A301BEA}"/>
    <cellStyle name="Normal 5 2 5 2 8" xfId="9035" xr:uid="{CD74B07A-C5CC-4737-A4B0-AB1869A47FC6}"/>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D63379F9-8480-44D0-8E06-C09DF66907D0}"/>
    <cellStyle name="Normal 5 2 5 3 2 3" xfId="11592" xr:uid="{E720F2BC-D9EB-4141-8A8E-42EF1929AABA}"/>
    <cellStyle name="Normal 5 2 5 3 3" xfId="5223" xr:uid="{00000000-0005-0000-0000-00003A190000}"/>
    <cellStyle name="Normal 5 2 5 3 3 2" xfId="13665" xr:uid="{11B4D007-52E0-4941-9B25-ECE9D881CD2F}"/>
    <cellStyle name="Normal 5 2 5 3 4" xfId="9447" xr:uid="{5FAE5BA4-B901-44F4-BD2C-92EFEF500521}"/>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3C5DA9DE-5EA0-4C43-99EE-505E0F03F69B}"/>
    <cellStyle name="Normal 5 2 5 4 2 3" xfId="12005" xr:uid="{064CD1B5-77DC-440F-9DC3-EE0CEB0AACEC}"/>
    <cellStyle name="Normal 5 2 5 4 3" xfId="5636" xr:uid="{00000000-0005-0000-0000-00003E190000}"/>
    <cellStyle name="Normal 5 2 5 4 3 2" xfId="14078" xr:uid="{7630B563-86DD-47C4-977A-CFA5F5E59B7F}"/>
    <cellStyle name="Normal 5 2 5 4 4" xfId="9860" xr:uid="{34C2643E-2306-438C-AE01-1ACB66A393EC}"/>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EF1E1F00-228E-4847-925C-24B2B04D9E89}"/>
    <cellStyle name="Normal 5 2 5 5 2 3" xfId="12418" xr:uid="{33040D63-9A81-469E-8412-93BDBAD3A74E}"/>
    <cellStyle name="Normal 5 2 5 5 3" xfId="6049" xr:uid="{00000000-0005-0000-0000-000042190000}"/>
    <cellStyle name="Normal 5 2 5 5 3 2" xfId="14491" xr:uid="{027834EE-CCC8-48BE-B489-F805E9DF906B}"/>
    <cellStyle name="Normal 5 2 5 5 4" xfId="10273" xr:uid="{54FA5A41-104A-4F38-BB1A-17A0AB643A1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6D9900C4-F690-4419-BAE2-9C0E2932305E}"/>
    <cellStyle name="Normal 5 2 5 6 2 3" xfId="12831" xr:uid="{2B760804-15C1-4EDD-885B-6DA9D6E54BD3}"/>
    <cellStyle name="Normal 5 2 5 6 3" xfId="6462" xr:uid="{00000000-0005-0000-0000-000046190000}"/>
    <cellStyle name="Normal 5 2 5 6 3 2" xfId="14904" xr:uid="{A16DEF64-9DF6-4B77-A5A6-8E0F21FDB5CB}"/>
    <cellStyle name="Normal 5 2 5 6 4" xfId="10686" xr:uid="{598979A1-E75D-4887-9D1A-C32E636EC415}"/>
    <cellStyle name="Normal 5 2 5 7" xfId="2591" xr:uid="{00000000-0005-0000-0000-000047190000}"/>
    <cellStyle name="Normal 5 2 5 7 2" xfId="6875" xr:uid="{00000000-0005-0000-0000-000048190000}"/>
    <cellStyle name="Normal 5 2 5 7 2 2" xfId="15317" xr:uid="{EADED786-4F9A-49A1-9983-18C4B6D73E4F}"/>
    <cellStyle name="Normal 5 2 5 7 3" xfId="11099" xr:uid="{DE260073-02BF-4BE4-A836-48C3659DECAB}"/>
    <cellStyle name="Normal 5 2 5 8" xfId="4810" xr:uid="{00000000-0005-0000-0000-000049190000}"/>
    <cellStyle name="Normal 5 2 5 8 2" xfId="13252" xr:uid="{4C30E241-62C2-4525-9B61-CC291EC9C01B}"/>
    <cellStyle name="Normal 5 2 5 9" xfId="9034" xr:uid="{CA0C6742-AB1A-49BC-AE5A-656566BC2ACA}"/>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189435CD-0575-4D74-BA0E-774A515388D5}"/>
    <cellStyle name="Normal 5 2 6 2 2 3" xfId="11594" xr:uid="{6F48CCD5-1F79-4DDC-AFDC-FC99FF0ED28D}"/>
    <cellStyle name="Normal 5 2 6 2 3" xfId="5225" xr:uid="{00000000-0005-0000-0000-00004E190000}"/>
    <cellStyle name="Normal 5 2 6 2 3 2" xfId="13667" xr:uid="{CE0CCE8D-3953-4EEB-AFA5-C3520D527C78}"/>
    <cellStyle name="Normal 5 2 6 2 4" xfId="9449" xr:uid="{D9315268-6206-4CD7-87CF-8EB903538931}"/>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91A34480-100B-4385-AE15-DB834870E70F}"/>
    <cellStyle name="Normal 5 2 6 3 2 3" xfId="12007" xr:uid="{37FAA555-9246-4AAE-8F52-1790A7FB92EC}"/>
    <cellStyle name="Normal 5 2 6 3 3" xfId="5638" xr:uid="{00000000-0005-0000-0000-000052190000}"/>
    <cellStyle name="Normal 5 2 6 3 3 2" xfId="14080" xr:uid="{3FAF845F-A253-433D-8BF0-B5D417D73614}"/>
    <cellStyle name="Normal 5 2 6 3 4" xfId="9862" xr:uid="{BCA804D6-972D-4217-8545-7F6E36C7D180}"/>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EB687CD1-9FE2-437E-81C7-575CAD33E3BA}"/>
    <cellStyle name="Normal 5 2 6 4 2 3" xfId="12420" xr:uid="{14C71971-538C-4075-BCE7-93893D48D77E}"/>
    <cellStyle name="Normal 5 2 6 4 3" xfId="6051" xr:uid="{00000000-0005-0000-0000-000056190000}"/>
    <cellStyle name="Normal 5 2 6 4 3 2" xfId="14493" xr:uid="{3A2E1D82-4AE8-4E0F-8492-2988C0CA27E5}"/>
    <cellStyle name="Normal 5 2 6 4 4" xfId="10275" xr:uid="{A11B8E6E-6051-4B62-B090-132F8F5E4139}"/>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DCB68DE8-72B7-401C-AA4D-FF2B2BCE6925}"/>
    <cellStyle name="Normal 5 2 6 5 2 3" xfId="12833" xr:uid="{CA6B404A-9108-4B65-8C23-4182B5277ED3}"/>
    <cellStyle name="Normal 5 2 6 5 3" xfId="6464" xr:uid="{00000000-0005-0000-0000-00005A190000}"/>
    <cellStyle name="Normal 5 2 6 5 3 2" xfId="14906" xr:uid="{E1385123-48CE-47F0-AC9A-9D5B20E4C8E3}"/>
    <cellStyle name="Normal 5 2 6 5 4" xfId="10688" xr:uid="{8C225651-2A18-4B2E-A396-10D6CE396F67}"/>
    <cellStyle name="Normal 5 2 6 6" xfId="2593" xr:uid="{00000000-0005-0000-0000-00005B190000}"/>
    <cellStyle name="Normal 5 2 6 6 2" xfId="6877" xr:uid="{00000000-0005-0000-0000-00005C190000}"/>
    <cellStyle name="Normal 5 2 6 6 2 2" xfId="15319" xr:uid="{2F29E3C3-9708-439F-9EEC-B2107D8DDB84}"/>
    <cellStyle name="Normal 5 2 6 6 3" xfId="11101" xr:uid="{98C182B6-7B5E-41B7-9B8F-6CB701423F76}"/>
    <cellStyle name="Normal 5 2 6 7" xfId="4812" xr:uid="{00000000-0005-0000-0000-00005D190000}"/>
    <cellStyle name="Normal 5 2 6 7 2" xfId="13254" xr:uid="{2E0091C9-0EDB-4721-BCED-10EF91B3F471}"/>
    <cellStyle name="Normal 5 2 6 8" xfId="9036" xr:uid="{E5293CE5-65EE-4268-9FA4-F90A05452043}"/>
    <cellStyle name="Normal 5 2 7" xfId="881" xr:uid="{00000000-0005-0000-0000-00005E190000}"/>
    <cellStyle name="Normal 5 2 7 2" xfId="3116" xr:uid="{00000000-0005-0000-0000-00005F190000}"/>
    <cellStyle name="Normal 5 2 7 2 2" xfId="7339" xr:uid="{00000000-0005-0000-0000-000060190000}"/>
    <cellStyle name="Normal 5 2 7 2 2 2" xfId="15781" xr:uid="{7265364C-0829-4491-B8F4-17D17C2CC590}"/>
    <cellStyle name="Normal 5 2 7 2 3" xfId="11563" xr:uid="{C3D8DEAE-EE2B-42F0-8A26-CFD5D3B0DB13}"/>
    <cellStyle name="Normal 5 2 7 3" xfId="5194" xr:uid="{00000000-0005-0000-0000-000061190000}"/>
    <cellStyle name="Normal 5 2 7 3 2" xfId="13636" xr:uid="{72BA069D-3BC7-4F52-8F05-F537C20EDC8C}"/>
    <cellStyle name="Normal 5 2 7 4" xfId="9418" xr:uid="{62A50A76-7FA1-4FB7-86D6-C771140881F8}"/>
    <cellStyle name="Normal 5 2 8" xfId="1299" xr:uid="{00000000-0005-0000-0000-000062190000}"/>
    <cellStyle name="Normal 5 2 8 2" xfId="3529" xr:uid="{00000000-0005-0000-0000-000063190000}"/>
    <cellStyle name="Normal 5 2 8 2 2" xfId="7752" xr:uid="{00000000-0005-0000-0000-000064190000}"/>
    <cellStyle name="Normal 5 2 8 2 2 2" xfId="16194" xr:uid="{098EA1C6-108C-4205-BBA1-9F7B6E328683}"/>
    <cellStyle name="Normal 5 2 8 2 3" xfId="11976" xr:uid="{C36D5609-B592-4F36-9FA9-5343BCCCE48B}"/>
    <cellStyle name="Normal 5 2 8 3" xfId="5607" xr:uid="{00000000-0005-0000-0000-000065190000}"/>
    <cellStyle name="Normal 5 2 8 3 2" xfId="14049" xr:uid="{165BE572-9577-4111-8C6E-76CB318F72A2}"/>
    <cellStyle name="Normal 5 2 8 4" xfId="9831" xr:uid="{8EBC3D45-2D1F-4737-9E70-CD7B87CDFC80}"/>
    <cellStyle name="Normal 5 2 9" xfId="1712" xr:uid="{00000000-0005-0000-0000-000066190000}"/>
    <cellStyle name="Normal 5 2 9 2" xfId="3942" xr:uid="{00000000-0005-0000-0000-000067190000}"/>
    <cellStyle name="Normal 5 2 9 2 2" xfId="8165" xr:uid="{00000000-0005-0000-0000-000068190000}"/>
    <cellStyle name="Normal 5 2 9 2 2 2" xfId="16607" xr:uid="{E750D446-E5C8-4A87-AC57-BD15BC3C2EAB}"/>
    <cellStyle name="Normal 5 2 9 2 3" xfId="12389" xr:uid="{E3E51DF0-6014-4BE5-B3CB-8AFDCCB752ED}"/>
    <cellStyle name="Normal 5 2 9 3" xfId="6020" xr:uid="{00000000-0005-0000-0000-000069190000}"/>
    <cellStyle name="Normal 5 2 9 3 2" xfId="14462" xr:uid="{3E7121AF-63CB-498A-89B1-631930299E9A}"/>
    <cellStyle name="Normal 5 2 9 4" xfId="10244" xr:uid="{A9622E42-6EC4-4E7A-B8B1-FACC8FF3AD5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8AC5F9D4-79F1-43E3-9FDF-4F6547E6AA96}"/>
    <cellStyle name="Normal 5 3 10 2 3" xfId="12834" xr:uid="{C08EB2CE-3D76-4FE9-9763-9BD3B722B9EF}"/>
    <cellStyle name="Normal 5 3 10 3" xfId="6465" xr:uid="{00000000-0005-0000-0000-00006E190000}"/>
    <cellStyle name="Normal 5 3 10 3 2" xfId="14907" xr:uid="{942E43D8-4295-4E2E-B344-A458BBD6FFE0}"/>
    <cellStyle name="Normal 5 3 10 4" xfId="10689" xr:uid="{A8CA98D3-C731-49EE-A87E-9180709E55BE}"/>
    <cellStyle name="Normal 5 3 11" xfId="2594" xr:uid="{00000000-0005-0000-0000-00006F190000}"/>
    <cellStyle name="Normal 5 3 11 2" xfId="6878" xr:uid="{00000000-0005-0000-0000-000070190000}"/>
    <cellStyle name="Normal 5 3 11 2 2" xfId="15320" xr:uid="{98947477-4315-4078-AEDA-B7A6AF949FCD}"/>
    <cellStyle name="Normal 5 3 11 3" xfId="11102" xr:uid="{BDEF4CC0-C523-4853-932D-9B56C4D7BB2B}"/>
    <cellStyle name="Normal 5 3 12" xfId="4813" xr:uid="{00000000-0005-0000-0000-000071190000}"/>
    <cellStyle name="Normal 5 3 12 2" xfId="13255" xr:uid="{DBDFC979-1120-4388-BB3B-F1D5EA59F747}"/>
    <cellStyle name="Normal 5 3 13" xfId="9037" xr:uid="{51FD0248-86B5-470C-BAF7-97CF687E06E3}"/>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987C7DFF-555A-430F-B69F-7A50CE99534F}"/>
    <cellStyle name="Normal 5 3 3 11" xfId="9038" xr:uid="{90FFCBA2-1BEE-4FB3-9DCC-2A2E8D15F060}"/>
    <cellStyle name="Normal 5 3 3 2" xfId="442" xr:uid="{00000000-0005-0000-0000-000076190000}"/>
    <cellStyle name="Normal 5 3 3 2 10" xfId="9039" xr:uid="{1F319AAA-254C-422D-B394-813068C5EFE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F72337B4-09F8-4212-AC10-C49B9D5A5BE8}"/>
    <cellStyle name="Normal 5 3 3 2 2 2 2 2 3" xfId="11599" xr:uid="{DC94650B-1B22-4FC4-85F5-ADE8CD3801F1}"/>
    <cellStyle name="Normal 5 3 3 2 2 2 2 3" xfId="5230" xr:uid="{00000000-0005-0000-0000-00007C190000}"/>
    <cellStyle name="Normal 5 3 3 2 2 2 2 3 2" xfId="13672" xr:uid="{EAC126F4-318A-4B1A-87DB-392195707316}"/>
    <cellStyle name="Normal 5 3 3 2 2 2 2 4" xfId="9454" xr:uid="{0593497D-F2A8-48DC-AA4C-442A1F10E67F}"/>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FABDFAD1-9B9F-4BA3-AB90-1E4240F7940D}"/>
    <cellStyle name="Normal 5 3 3 2 2 2 3 2 3" xfId="12012" xr:uid="{A8E06505-0B81-45CE-AFE5-2528CB78B897}"/>
    <cellStyle name="Normal 5 3 3 2 2 2 3 3" xfId="5643" xr:uid="{00000000-0005-0000-0000-000080190000}"/>
    <cellStyle name="Normal 5 3 3 2 2 2 3 3 2" xfId="14085" xr:uid="{D01711C3-C2CC-4525-903D-9E728B62CE56}"/>
    <cellStyle name="Normal 5 3 3 2 2 2 3 4" xfId="9867" xr:uid="{CCAF8227-AABF-4FF0-9D5E-DF8FCAE13AE9}"/>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80006FDB-4D86-4D07-8D6B-A6EF5A0654F8}"/>
    <cellStyle name="Normal 5 3 3 2 2 2 4 2 3" xfId="12425" xr:uid="{7588CC74-2A08-45C9-AF3A-E7BBCD6706D4}"/>
    <cellStyle name="Normal 5 3 3 2 2 2 4 3" xfId="6056" xr:uid="{00000000-0005-0000-0000-000084190000}"/>
    <cellStyle name="Normal 5 3 3 2 2 2 4 3 2" xfId="14498" xr:uid="{DB3638CA-EF04-4F4E-B767-8E2ED1480697}"/>
    <cellStyle name="Normal 5 3 3 2 2 2 4 4" xfId="10280" xr:uid="{B309849A-A846-4930-AB34-435ED1A39CBA}"/>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88606DD9-8C76-469D-A222-568B63E99792}"/>
    <cellStyle name="Normal 5 3 3 2 2 2 5 2 3" xfId="12838" xr:uid="{E73119EE-ADC2-431C-A95C-34FD8AA807E5}"/>
    <cellStyle name="Normal 5 3 3 2 2 2 5 3" xfId="6469" xr:uid="{00000000-0005-0000-0000-000088190000}"/>
    <cellStyle name="Normal 5 3 3 2 2 2 5 3 2" xfId="14911" xr:uid="{F1562716-69B6-4732-9E7A-23AB4712A52F}"/>
    <cellStyle name="Normal 5 3 3 2 2 2 5 4" xfId="10693" xr:uid="{CE9871D9-632D-4CAD-834A-3307C4BCEC26}"/>
    <cellStyle name="Normal 5 3 3 2 2 2 6" xfId="2598" xr:uid="{00000000-0005-0000-0000-000089190000}"/>
    <cellStyle name="Normal 5 3 3 2 2 2 6 2" xfId="6882" xr:uid="{00000000-0005-0000-0000-00008A190000}"/>
    <cellStyle name="Normal 5 3 3 2 2 2 6 2 2" xfId="15324" xr:uid="{7D677486-9740-480C-946F-18A648AB0C62}"/>
    <cellStyle name="Normal 5 3 3 2 2 2 6 3" xfId="11106" xr:uid="{9EDE86EB-9E2B-412E-B60A-332ABBCCF647}"/>
    <cellStyle name="Normal 5 3 3 2 2 2 7" xfId="4817" xr:uid="{00000000-0005-0000-0000-00008B190000}"/>
    <cellStyle name="Normal 5 3 3 2 2 2 7 2" xfId="13259" xr:uid="{AC5D5598-F5E4-4B80-A71E-2C043522F8DA}"/>
    <cellStyle name="Normal 5 3 3 2 2 2 8" xfId="9041" xr:uid="{A76687CA-021D-4800-A735-974B9B66C0B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5446497-FE0D-4363-9E5D-0FBA4111A522}"/>
    <cellStyle name="Normal 5 3 3 2 2 3 2 3" xfId="11598" xr:uid="{36932C0A-9002-43B8-8294-4B3166163118}"/>
    <cellStyle name="Normal 5 3 3 2 2 3 3" xfId="5229" xr:uid="{00000000-0005-0000-0000-00008F190000}"/>
    <cellStyle name="Normal 5 3 3 2 2 3 3 2" xfId="13671" xr:uid="{B6493BE7-B2F8-47CE-A33F-35ACF15B8DE0}"/>
    <cellStyle name="Normal 5 3 3 2 2 3 4" xfId="9453" xr:uid="{3FEBA6BC-623D-400C-B3E8-E6BAF682C995}"/>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72628671-2EF2-4FBB-BF35-A06295AE4F2C}"/>
    <cellStyle name="Normal 5 3 3 2 2 4 2 3" xfId="12011" xr:uid="{8CD91D42-680C-4211-988F-8C0786ED38EC}"/>
    <cellStyle name="Normal 5 3 3 2 2 4 3" xfId="5642" xr:uid="{00000000-0005-0000-0000-000093190000}"/>
    <cellStyle name="Normal 5 3 3 2 2 4 3 2" xfId="14084" xr:uid="{61B3A0F7-A5A5-4609-88DF-3C84A451FFE7}"/>
    <cellStyle name="Normal 5 3 3 2 2 4 4" xfId="9866" xr:uid="{6E5C4A81-5B00-4CEA-A870-BE76028FF1DF}"/>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524E83C8-0921-44F9-8144-0478DD23F13E}"/>
    <cellStyle name="Normal 5 3 3 2 2 5 2 3" xfId="12424" xr:uid="{207BA618-10B9-45AA-BADB-72730E9CB015}"/>
    <cellStyle name="Normal 5 3 3 2 2 5 3" xfId="6055" xr:uid="{00000000-0005-0000-0000-000097190000}"/>
    <cellStyle name="Normal 5 3 3 2 2 5 3 2" xfId="14497" xr:uid="{903F9801-081A-4C53-971C-CFE0AE24F965}"/>
    <cellStyle name="Normal 5 3 3 2 2 5 4" xfId="10279" xr:uid="{EB496DE0-A248-4C1F-ABBA-07AABE9A117E}"/>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BFE421F6-D94E-4055-B4FC-BD4832797423}"/>
    <cellStyle name="Normal 5 3 3 2 2 6 2 3" xfId="12837" xr:uid="{2BD3DBE8-D76F-4BE2-82F8-482CF5FA1EC2}"/>
    <cellStyle name="Normal 5 3 3 2 2 6 3" xfId="6468" xr:uid="{00000000-0005-0000-0000-00009B190000}"/>
    <cellStyle name="Normal 5 3 3 2 2 6 3 2" xfId="14910" xr:uid="{561BFFC7-2AD5-4048-B28B-DC1F26795F46}"/>
    <cellStyle name="Normal 5 3 3 2 2 6 4" xfId="10692" xr:uid="{6FB4DA9F-726C-4F22-B620-D29D77901905}"/>
    <cellStyle name="Normal 5 3 3 2 2 7" xfId="2597" xr:uid="{00000000-0005-0000-0000-00009C190000}"/>
    <cellStyle name="Normal 5 3 3 2 2 7 2" xfId="6881" xr:uid="{00000000-0005-0000-0000-00009D190000}"/>
    <cellStyle name="Normal 5 3 3 2 2 7 2 2" xfId="15323" xr:uid="{7EC33AF9-E964-44A9-AFDE-7AF3B3929A93}"/>
    <cellStyle name="Normal 5 3 3 2 2 7 3" xfId="11105" xr:uid="{458632C3-C6F3-482E-8A81-43EDF7464B4D}"/>
    <cellStyle name="Normal 5 3 3 2 2 8" xfId="4816" xr:uid="{00000000-0005-0000-0000-00009E190000}"/>
    <cellStyle name="Normal 5 3 3 2 2 8 2" xfId="13258" xr:uid="{E335E4F0-4050-4F98-9325-6EAB83D68E5D}"/>
    <cellStyle name="Normal 5 3 3 2 2 9" xfId="9040" xr:uid="{FD3B18BE-E523-4121-9BC1-BCD2EDA14A6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40CB9D19-96BA-4E36-9465-8C9857476267}"/>
    <cellStyle name="Normal 5 3 3 2 3 2 2 3" xfId="11600" xr:uid="{7263FE2A-4DC7-4FFC-9388-4D8EF5AC84CF}"/>
    <cellStyle name="Normal 5 3 3 2 3 2 3" xfId="5231" xr:uid="{00000000-0005-0000-0000-0000A3190000}"/>
    <cellStyle name="Normal 5 3 3 2 3 2 3 2" xfId="13673" xr:uid="{B8303334-C6F7-4F56-9C0B-F361FFCDCC8C}"/>
    <cellStyle name="Normal 5 3 3 2 3 2 4" xfId="9455" xr:uid="{CAB279A1-B185-4ECE-B934-2D32DEA44B4B}"/>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F59575DB-A707-4017-B843-FEC78A8D93D2}"/>
    <cellStyle name="Normal 5 3 3 2 3 3 2 3" xfId="12013" xr:uid="{35BBA746-33B3-4942-942A-508535CC1D5A}"/>
    <cellStyle name="Normal 5 3 3 2 3 3 3" xfId="5644" xr:uid="{00000000-0005-0000-0000-0000A7190000}"/>
    <cellStyle name="Normal 5 3 3 2 3 3 3 2" xfId="14086" xr:uid="{86314308-8AFF-4D13-9675-28793C0C761B}"/>
    <cellStyle name="Normal 5 3 3 2 3 3 4" xfId="9868" xr:uid="{0D640DDB-D077-48FE-B533-78ACA06719BE}"/>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542BC4C1-D64E-4499-B3EE-C16AEEA85358}"/>
    <cellStyle name="Normal 5 3 3 2 3 4 2 3" xfId="12426" xr:uid="{88B9AF9E-0A50-4C42-A6EE-958AD3AAE026}"/>
    <cellStyle name="Normal 5 3 3 2 3 4 3" xfId="6057" xr:uid="{00000000-0005-0000-0000-0000AB190000}"/>
    <cellStyle name="Normal 5 3 3 2 3 4 3 2" xfId="14499" xr:uid="{C309A102-A32A-4247-B90E-7DAA1B4369DD}"/>
    <cellStyle name="Normal 5 3 3 2 3 4 4" xfId="10281" xr:uid="{9DE2DEAC-EA80-4904-917C-356E933B9EFA}"/>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4EDC1055-53D4-4CB9-9168-9DDBE2DFA6ED}"/>
    <cellStyle name="Normal 5 3 3 2 3 5 2 3" xfId="12839" xr:uid="{D6B03F20-A4EA-48AC-87D2-2DEB98926805}"/>
    <cellStyle name="Normal 5 3 3 2 3 5 3" xfId="6470" xr:uid="{00000000-0005-0000-0000-0000AF190000}"/>
    <cellStyle name="Normal 5 3 3 2 3 5 3 2" xfId="14912" xr:uid="{5C79E63D-4BB8-4983-AC41-E567F5E98AF1}"/>
    <cellStyle name="Normal 5 3 3 2 3 5 4" xfId="10694" xr:uid="{8B7C3CA2-7D87-4B05-84DA-85CDB1491415}"/>
    <cellStyle name="Normal 5 3 3 2 3 6" xfId="2599" xr:uid="{00000000-0005-0000-0000-0000B0190000}"/>
    <cellStyle name="Normal 5 3 3 2 3 6 2" xfId="6883" xr:uid="{00000000-0005-0000-0000-0000B1190000}"/>
    <cellStyle name="Normal 5 3 3 2 3 6 2 2" xfId="15325" xr:uid="{04F4E60E-F055-4B7D-BECB-C12C17CBF382}"/>
    <cellStyle name="Normal 5 3 3 2 3 6 3" xfId="11107" xr:uid="{784F41FB-0808-46BE-A09D-B4360411C272}"/>
    <cellStyle name="Normal 5 3 3 2 3 7" xfId="4818" xr:uid="{00000000-0005-0000-0000-0000B2190000}"/>
    <cellStyle name="Normal 5 3 3 2 3 7 2" xfId="13260" xr:uid="{350833AF-B75E-413D-9CB6-E21EF36BA7C1}"/>
    <cellStyle name="Normal 5 3 3 2 3 8" xfId="9042" xr:uid="{3F2E5D6A-1CA2-4820-8E7C-20DBD3475966}"/>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4AF369B9-7631-4750-AEE7-CD33301986A9}"/>
    <cellStyle name="Normal 5 3 3 2 4 2 3" xfId="11597" xr:uid="{6FD056C9-2D2F-4B28-BC78-30000CF9CAF8}"/>
    <cellStyle name="Normal 5 3 3 2 4 3" xfId="5228" xr:uid="{00000000-0005-0000-0000-0000B6190000}"/>
    <cellStyle name="Normal 5 3 3 2 4 3 2" xfId="13670" xr:uid="{69531341-A716-423B-A898-7F3C4F3C9D44}"/>
    <cellStyle name="Normal 5 3 3 2 4 4" xfId="9452" xr:uid="{0CC6C088-854B-4B31-92E0-6E2BD3D63FA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38B09C7A-50D4-4A58-90B2-60B521A08E95}"/>
    <cellStyle name="Normal 5 3 3 2 5 2 3" xfId="12010" xr:uid="{F9504655-185D-4122-A75A-3C3371205E55}"/>
    <cellStyle name="Normal 5 3 3 2 5 3" xfId="5641" xr:uid="{00000000-0005-0000-0000-0000BA190000}"/>
    <cellStyle name="Normal 5 3 3 2 5 3 2" xfId="14083" xr:uid="{93FD7506-5294-42AC-8E42-4310627A95F4}"/>
    <cellStyle name="Normal 5 3 3 2 5 4" xfId="9865" xr:uid="{B722581D-1967-4B83-8A1C-353CD59C1FEF}"/>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DE3E372A-2E2C-4A12-BBD9-9CCE5BAD0C3A}"/>
    <cellStyle name="Normal 5 3 3 2 6 2 3" xfId="12423" xr:uid="{70FCFA69-58D3-4C08-988F-0FE9411E0BB2}"/>
    <cellStyle name="Normal 5 3 3 2 6 3" xfId="6054" xr:uid="{00000000-0005-0000-0000-0000BE190000}"/>
    <cellStyle name="Normal 5 3 3 2 6 3 2" xfId="14496" xr:uid="{7376CADF-8449-4D6A-9E12-33AFE50B1360}"/>
    <cellStyle name="Normal 5 3 3 2 6 4" xfId="10278" xr:uid="{9B2D4332-C421-4E95-8F40-06DCB3DE50EF}"/>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C7EAF2D9-36B8-4D26-9928-BE1F30668879}"/>
    <cellStyle name="Normal 5 3 3 2 7 2 3" xfId="12836" xr:uid="{43F09B67-2590-48E2-967A-4A6F6C493E60}"/>
    <cellStyle name="Normal 5 3 3 2 7 3" xfId="6467" xr:uid="{00000000-0005-0000-0000-0000C2190000}"/>
    <cellStyle name="Normal 5 3 3 2 7 3 2" xfId="14909" xr:uid="{14A69612-E6AC-40FA-ADDC-DAF360AAAC1F}"/>
    <cellStyle name="Normal 5 3 3 2 7 4" xfId="10691" xr:uid="{00CD917E-62C7-40C7-9A4D-A92876D9E8D3}"/>
    <cellStyle name="Normal 5 3 3 2 8" xfId="2596" xr:uid="{00000000-0005-0000-0000-0000C3190000}"/>
    <cellStyle name="Normal 5 3 3 2 8 2" xfId="6880" xr:uid="{00000000-0005-0000-0000-0000C4190000}"/>
    <cellStyle name="Normal 5 3 3 2 8 2 2" xfId="15322" xr:uid="{1AD24066-C6BF-4167-B853-49A863060DAF}"/>
    <cellStyle name="Normal 5 3 3 2 8 3" xfId="11104" xr:uid="{DBE88CED-6F48-43AD-8236-FF6AC613CDBB}"/>
    <cellStyle name="Normal 5 3 3 2 9" xfId="4815" xr:uid="{00000000-0005-0000-0000-0000C5190000}"/>
    <cellStyle name="Normal 5 3 3 2 9 2" xfId="13257" xr:uid="{01949326-FAB5-4A80-9FAE-E9099B51882B}"/>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24471B1-E211-49FB-9F99-EFCDCE6754B1}"/>
    <cellStyle name="Normal 5 3 3 3 2 2 2 3" xfId="11602" xr:uid="{FDEC4D65-DD60-4CF1-BD6F-9B2BC1DA51C7}"/>
    <cellStyle name="Normal 5 3 3 3 2 2 3" xfId="5233" xr:uid="{00000000-0005-0000-0000-0000CB190000}"/>
    <cellStyle name="Normal 5 3 3 3 2 2 3 2" xfId="13675" xr:uid="{AA1A7CCB-B786-4199-8113-A8E863812F46}"/>
    <cellStyle name="Normal 5 3 3 3 2 2 4" xfId="9457" xr:uid="{826E871E-5FA1-4B70-A9B9-1B1248FC6BB5}"/>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E6178C0E-FCB1-472D-ACAC-6A67D964BFAF}"/>
    <cellStyle name="Normal 5 3 3 3 2 3 2 3" xfId="12015" xr:uid="{A708209B-7D12-40F6-948B-93BB5CB920FD}"/>
    <cellStyle name="Normal 5 3 3 3 2 3 3" xfId="5646" xr:uid="{00000000-0005-0000-0000-0000CF190000}"/>
    <cellStyle name="Normal 5 3 3 3 2 3 3 2" xfId="14088" xr:uid="{479AF71B-62BE-47EA-8AD2-CE6490784193}"/>
    <cellStyle name="Normal 5 3 3 3 2 3 4" xfId="9870" xr:uid="{435E0D95-F84C-4D45-B9B5-04A7D8DAA6B2}"/>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F64D8C76-9167-4153-851E-164F82BBABAA}"/>
    <cellStyle name="Normal 5 3 3 3 2 4 2 3" xfId="12428" xr:uid="{625A0E7B-D430-4279-B3F2-AD95CEB36D5D}"/>
    <cellStyle name="Normal 5 3 3 3 2 4 3" xfId="6059" xr:uid="{00000000-0005-0000-0000-0000D3190000}"/>
    <cellStyle name="Normal 5 3 3 3 2 4 3 2" xfId="14501" xr:uid="{9CAE60C2-3C03-4798-86E0-A8089942A344}"/>
    <cellStyle name="Normal 5 3 3 3 2 4 4" xfId="10283" xr:uid="{280A285B-0595-4D76-B038-7A6F7EAC993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6EC4C746-24CE-4FD5-950F-7B15F847EE57}"/>
    <cellStyle name="Normal 5 3 3 3 2 5 2 3" xfId="12841" xr:uid="{CFB722EA-4DE8-40C0-A847-E6BC8E63BE35}"/>
    <cellStyle name="Normal 5 3 3 3 2 5 3" xfId="6472" xr:uid="{00000000-0005-0000-0000-0000D7190000}"/>
    <cellStyle name="Normal 5 3 3 3 2 5 3 2" xfId="14914" xr:uid="{C3FF6EB7-3B7E-4741-BCEF-7B5EA0C2F32F}"/>
    <cellStyle name="Normal 5 3 3 3 2 5 4" xfId="10696" xr:uid="{93028D5C-0EED-4643-B66E-3A8CEAEE774B}"/>
    <cellStyle name="Normal 5 3 3 3 2 6" xfId="2601" xr:uid="{00000000-0005-0000-0000-0000D8190000}"/>
    <cellStyle name="Normal 5 3 3 3 2 6 2" xfId="6885" xr:uid="{00000000-0005-0000-0000-0000D9190000}"/>
    <cellStyle name="Normal 5 3 3 3 2 6 2 2" xfId="15327" xr:uid="{0DEBFAFD-2BCD-41B4-939A-EC1C170F06A1}"/>
    <cellStyle name="Normal 5 3 3 3 2 6 3" xfId="11109" xr:uid="{9199D92E-C8ED-4FC3-9622-A4F006D2CB40}"/>
    <cellStyle name="Normal 5 3 3 3 2 7" xfId="4820" xr:uid="{00000000-0005-0000-0000-0000DA190000}"/>
    <cellStyle name="Normal 5 3 3 3 2 7 2" xfId="13262" xr:uid="{61C89080-1448-4EF8-B73E-ABBCFC3AADED}"/>
    <cellStyle name="Normal 5 3 3 3 2 8" xfId="9044" xr:uid="{C951D02C-6F9C-4BE8-9D69-9FC54B8D47DE}"/>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F9D7659D-FDE3-4834-8F8F-FEC22A32C5F3}"/>
    <cellStyle name="Normal 5 3 3 3 3 2 3" xfId="11601" xr:uid="{CB18EB82-64FE-455F-AD10-85482B8A6FC9}"/>
    <cellStyle name="Normal 5 3 3 3 3 3" xfId="5232" xr:uid="{00000000-0005-0000-0000-0000DE190000}"/>
    <cellStyle name="Normal 5 3 3 3 3 3 2" xfId="13674" xr:uid="{A1A838F9-DC19-4004-AA8B-632B8AD7F8E6}"/>
    <cellStyle name="Normal 5 3 3 3 3 4" xfId="9456" xr:uid="{C6B1C70F-8C86-4952-A6DC-045E2A6F31B3}"/>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E34885EC-6F3B-49F3-8C4A-96D1AB105DF2}"/>
    <cellStyle name="Normal 5 3 3 3 4 2 3" xfId="12014" xr:uid="{E9B4FD02-74B9-4994-AAA7-D253F1436B49}"/>
    <cellStyle name="Normal 5 3 3 3 4 3" xfId="5645" xr:uid="{00000000-0005-0000-0000-0000E2190000}"/>
    <cellStyle name="Normal 5 3 3 3 4 3 2" xfId="14087" xr:uid="{40A5BCD8-7173-4225-BA69-C3338FEDB409}"/>
    <cellStyle name="Normal 5 3 3 3 4 4" xfId="9869" xr:uid="{3B7A4265-EFF4-4883-8F3F-3F81DE9682F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CCE5647E-000A-4D10-94D2-91F4807B7802}"/>
    <cellStyle name="Normal 5 3 3 3 5 2 3" xfId="12427" xr:uid="{99F7A709-BF17-4B17-92B1-F69F79F1672F}"/>
    <cellStyle name="Normal 5 3 3 3 5 3" xfId="6058" xr:uid="{00000000-0005-0000-0000-0000E6190000}"/>
    <cellStyle name="Normal 5 3 3 3 5 3 2" xfId="14500" xr:uid="{C1220425-936E-46B2-BDB7-1312B7472109}"/>
    <cellStyle name="Normal 5 3 3 3 5 4" xfId="10282" xr:uid="{AE5DA9C7-4363-4BF9-86FB-857E5BE9D76A}"/>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BAC025AC-E4A8-4DC6-9BBA-D298345CC6DD}"/>
    <cellStyle name="Normal 5 3 3 3 6 2 3" xfId="12840" xr:uid="{71D2B8D9-3679-4A20-B68C-FB74B4F3B50A}"/>
    <cellStyle name="Normal 5 3 3 3 6 3" xfId="6471" xr:uid="{00000000-0005-0000-0000-0000EA190000}"/>
    <cellStyle name="Normal 5 3 3 3 6 3 2" xfId="14913" xr:uid="{FCE2C0D0-4CC5-42C1-B5FA-8EB937A163E1}"/>
    <cellStyle name="Normal 5 3 3 3 6 4" xfId="10695" xr:uid="{75584CE8-3BD2-4C04-94AC-5D300A017BA8}"/>
    <cellStyle name="Normal 5 3 3 3 7" xfId="2600" xr:uid="{00000000-0005-0000-0000-0000EB190000}"/>
    <cellStyle name="Normal 5 3 3 3 7 2" xfId="6884" xr:uid="{00000000-0005-0000-0000-0000EC190000}"/>
    <cellStyle name="Normal 5 3 3 3 7 2 2" xfId="15326" xr:uid="{29D83D27-9909-4619-9C53-51B3CCE3A670}"/>
    <cellStyle name="Normal 5 3 3 3 7 3" xfId="11108" xr:uid="{1CE0DB49-7493-4505-A423-369B17619913}"/>
    <cellStyle name="Normal 5 3 3 3 8" xfId="4819" xr:uid="{00000000-0005-0000-0000-0000ED190000}"/>
    <cellStyle name="Normal 5 3 3 3 8 2" xfId="13261" xr:uid="{D3747AB8-BFAE-4456-946C-97FEE652CD7A}"/>
    <cellStyle name="Normal 5 3 3 3 9" xfId="9043" xr:uid="{E5BEE1A2-E79C-4A63-B458-38EBF396A34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BAF44E9D-E5DC-4747-AE38-BAEACD41C813}"/>
    <cellStyle name="Normal 5 3 3 4 2 2 3" xfId="11603" xr:uid="{ABB89A8E-7C94-468A-8BEF-DEB0817474BC}"/>
    <cellStyle name="Normal 5 3 3 4 2 3" xfId="5234" xr:uid="{00000000-0005-0000-0000-0000F2190000}"/>
    <cellStyle name="Normal 5 3 3 4 2 3 2" xfId="13676" xr:uid="{708B20B9-9597-45F8-99D5-24352D9EAE77}"/>
    <cellStyle name="Normal 5 3 3 4 2 4" xfId="9458" xr:uid="{2CEAE494-4179-49D7-898F-3B31268E67F9}"/>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F2824B70-413E-4FF4-8093-13392419F865}"/>
    <cellStyle name="Normal 5 3 3 4 3 2 3" xfId="12016" xr:uid="{F66485A7-05BD-4EE7-921D-EB9153964EF5}"/>
    <cellStyle name="Normal 5 3 3 4 3 3" xfId="5647" xr:uid="{00000000-0005-0000-0000-0000F6190000}"/>
    <cellStyle name="Normal 5 3 3 4 3 3 2" xfId="14089" xr:uid="{FCADF4AD-E302-4D0F-B729-80C61F452F7F}"/>
    <cellStyle name="Normal 5 3 3 4 3 4" xfId="9871" xr:uid="{C9532642-4A23-4AB9-8DE2-24692E6DF57C}"/>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96AF0AF7-CD06-49FE-B629-DDE5466F8856}"/>
    <cellStyle name="Normal 5 3 3 4 4 2 3" xfId="12429" xr:uid="{FBBF6759-A71E-4A4C-A35E-EFE50B497B49}"/>
    <cellStyle name="Normal 5 3 3 4 4 3" xfId="6060" xr:uid="{00000000-0005-0000-0000-0000FA190000}"/>
    <cellStyle name="Normal 5 3 3 4 4 3 2" xfId="14502" xr:uid="{575EAD46-7F56-405D-82F8-1A747E9F458F}"/>
    <cellStyle name="Normal 5 3 3 4 4 4" xfId="10284" xr:uid="{89FEE697-497D-45AE-826C-4594C5D2E5EC}"/>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B270CEEC-E538-4CC3-89E9-E28427E99570}"/>
    <cellStyle name="Normal 5 3 3 4 5 2 3" xfId="12842" xr:uid="{6E4ECADA-D04A-456F-BF4F-634940923A41}"/>
    <cellStyle name="Normal 5 3 3 4 5 3" xfId="6473" xr:uid="{00000000-0005-0000-0000-0000FE190000}"/>
    <cellStyle name="Normal 5 3 3 4 5 3 2" xfId="14915" xr:uid="{42A34C3F-46D3-4A93-A229-E1753C0CAA87}"/>
    <cellStyle name="Normal 5 3 3 4 5 4" xfId="10697" xr:uid="{1D2C47B3-0BD8-43DA-BF1C-066384C8F918}"/>
    <cellStyle name="Normal 5 3 3 4 6" xfId="2602" xr:uid="{00000000-0005-0000-0000-0000FF190000}"/>
    <cellStyle name="Normal 5 3 3 4 6 2" xfId="6886" xr:uid="{00000000-0005-0000-0000-0000001A0000}"/>
    <cellStyle name="Normal 5 3 3 4 6 2 2" xfId="15328" xr:uid="{CD3A9299-E37E-47F4-85D0-4842BC87505D}"/>
    <cellStyle name="Normal 5 3 3 4 6 3" xfId="11110" xr:uid="{BD33C41B-ACF8-44D5-B205-D17576C34548}"/>
    <cellStyle name="Normal 5 3 3 4 7" xfId="4821" xr:uid="{00000000-0005-0000-0000-0000011A0000}"/>
    <cellStyle name="Normal 5 3 3 4 7 2" xfId="13263" xr:uid="{4E2C47E1-531F-4442-9DAD-3BE5F5B3F9C7}"/>
    <cellStyle name="Normal 5 3 3 4 8" xfId="9045" xr:uid="{94E4FE5F-3251-46AE-BA49-C092BC4AFBB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1F2C4F48-E0CB-4507-86C4-D43B7E9E2EEA}"/>
    <cellStyle name="Normal 5 3 3 5 2 3" xfId="11596" xr:uid="{62C294FB-58D5-41F4-B9DD-FF86D5C907A3}"/>
    <cellStyle name="Normal 5 3 3 5 3" xfId="5227" xr:uid="{00000000-0005-0000-0000-0000051A0000}"/>
    <cellStyle name="Normal 5 3 3 5 3 2" xfId="13669" xr:uid="{929A142F-CC62-45C3-A29E-A6891AD4DC70}"/>
    <cellStyle name="Normal 5 3 3 5 4" xfId="9451" xr:uid="{AE581306-4EA1-4C5D-8220-1EBDBAE795E0}"/>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981847A7-329E-4BA8-9313-35A862514083}"/>
    <cellStyle name="Normal 5 3 3 6 2 3" xfId="12009" xr:uid="{164ECD63-01C6-4656-BBEC-0D9B517FFFF9}"/>
    <cellStyle name="Normal 5 3 3 6 3" xfId="5640" xr:uid="{00000000-0005-0000-0000-0000091A0000}"/>
    <cellStyle name="Normal 5 3 3 6 3 2" xfId="14082" xr:uid="{50E1F1AA-7127-4221-AE59-E8513FE92F50}"/>
    <cellStyle name="Normal 5 3 3 6 4" xfId="9864" xr:uid="{0CED653F-ADB9-4756-8FE6-EB52B61A988E}"/>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6BF22660-7D86-45EE-82E5-5E567AD86BD7}"/>
    <cellStyle name="Normal 5 3 3 7 2 3" xfId="12422" xr:uid="{207F8CA5-204D-4080-A5BF-D7DB50E953FD}"/>
    <cellStyle name="Normal 5 3 3 7 3" xfId="6053" xr:uid="{00000000-0005-0000-0000-00000D1A0000}"/>
    <cellStyle name="Normal 5 3 3 7 3 2" xfId="14495" xr:uid="{903D0340-1354-47A3-9091-F568055C4C25}"/>
    <cellStyle name="Normal 5 3 3 7 4" xfId="10277" xr:uid="{4DE3D19D-56FE-4C5C-98F4-5BAA89675B35}"/>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6C2DE0EA-215C-4C7A-A3CF-99BD174CED8A}"/>
    <cellStyle name="Normal 5 3 3 8 2 3" xfId="12835" xr:uid="{BB6FA06F-5FAA-455D-809F-C59B34DCE897}"/>
    <cellStyle name="Normal 5 3 3 8 3" xfId="6466" xr:uid="{00000000-0005-0000-0000-0000111A0000}"/>
    <cellStyle name="Normal 5 3 3 8 3 2" xfId="14908" xr:uid="{E4C5740B-341A-48A3-BDC4-DAA9A3427931}"/>
    <cellStyle name="Normal 5 3 3 8 4" xfId="10690" xr:uid="{65F8F267-4CBF-4206-B7CA-9BDDC3D848F5}"/>
    <cellStyle name="Normal 5 3 3 9" xfId="2595" xr:uid="{00000000-0005-0000-0000-0000121A0000}"/>
    <cellStyle name="Normal 5 3 3 9 2" xfId="6879" xr:uid="{00000000-0005-0000-0000-0000131A0000}"/>
    <cellStyle name="Normal 5 3 3 9 2 2" xfId="15321" xr:uid="{B2C47D1C-87FA-4358-A913-497BE973043D}"/>
    <cellStyle name="Normal 5 3 3 9 3" xfId="11103" xr:uid="{EA9724AD-95C8-4C37-8448-11BAC956EE7B}"/>
    <cellStyle name="Normal 5 3 4" xfId="449" xr:uid="{00000000-0005-0000-0000-0000141A0000}"/>
    <cellStyle name="Normal 5 3 4 10" xfId="9046" xr:uid="{6186CF91-031A-4F25-9FAC-09765C44F366}"/>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5543ECDE-E6C1-446B-B088-B44E44942C33}"/>
    <cellStyle name="Normal 5 3 4 2 2 2 2 3" xfId="11606" xr:uid="{33006714-EA82-4892-AACF-6316BB1AAA85}"/>
    <cellStyle name="Normal 5 3 4 2 2 2 3" xfId="5237" xr:uid="{00000000-0005-0000-0000-00001A1A0000}"/>
    <cellStyle name="Normal 5 3 4 2 2 2 3 2" xfId="13679" xr:uid="{DEB273E3-3704-431F-B685-46C93A3A3E82}"/>
    <cellStyle name="Normal 5 3 4 2 2 2 4" xfId="9461" xr:uid="{6B545C8A-72FE-4B29-98C6-1F0C78F05DA6}"/>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E8FFE25B-1F29-4F18-ADC8-4CF9A647D4BD}"/>
    <cellStyle name="Normal 5 3 4 2 2 3 2 3" xfId="12019" xr:uid="{F8566D34-42E8-4E9E-B187-F2EC2DC835EC}"/>
    <cellStyle name="Normal 5 3 4 2 2 3 3" xfId="5650" xr:uid="{00000000-0005-0000-0000-00001E1A0000}"/>
    <cellStyle name="Normal 5 3 4 2 2 3 3 2" xfId="14092" xr:uid="{B299C347-DEE7-4621-B357-7FE31A9BF123}"/>
    <cellStyle name="Normal 5 3 4 2 2 3 4" xfId="9874" xr:uid="{70E56769-E16E-493D-8D20-0B6F9053041E}"/>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0B10DA7-031F-428F-B1FC-C3D372BBAA5C}"/>
    <cellStyle name="Normal 5 3 4 2 2 4 2 3" xfId="12432" xr:uid="{B0EFBD64-7665-4CBD-8949-3FBA090E349D}"/>
    <cellStyle name="Normal 5 3 4 2 2 4 3" xfId="6063" xr:uid="{00000000-0005-0000-0000-0000221A0000}"/>
    <cellStyle name="Normal 5 3 4 2 2 4 3 2" xfId="14505" xr:uid="{26B7BCB1-571B-4BE5-AE75-4C6310FF07B3}"/>
    <cellStyle name="Normal 5 3 4 2 2 4 4" xfId="10287" xr:uid="{926935E5-3507-43E1-A5EF-E940B21C57C5}"/>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350B50C5-A9CB-4707-9E74-F6EE86AA7FB4}"/>
    <cellStyle name="Normal 5 3 4 2 2 5 2 3" xfId="12845" xr:uid="{16269172-CDCA-4E83-BC2D-CF84DC524493}"/>
    <cellStyle name="Normal 5 3 4 2 2 5 3" xfId="6476" xr:uid="{00000000-0005-0000-0000-0000261A0000}"/>
    <cellStyle name="Normal 5 3 4 2 2 5 3 2" xfId="14918" xr:uid="{DA3DA475-B704-442C-B41C-3CF78298AC95}"/>
    <cellStyle name="Normal 5 3 4 2 2 5 4" xfId="10700" xr:uid="{D42354C9-A584-4B99-8C35-EAE52D23E492}"/>
    <cellStyle name="Normal 5 3 4 2 2 6" xfId="2605" xr:uid="{00000000-0005-0000-0000-0000271A0000}"/>
    <cellStyle name="Normal 5 3 4 2 2 6 2" xfId="6889" xr:uid="{00000000-0005-0000-0000-0000281A0000}"/>
    <cellStyle name="Normal 5 3 4 2 2 6 2 2" xfId="15331" xr:uid="{F1019912-A484-4460-81AA-360F811FE356}"/>
    <cellStyle name="Normal 5 3 4 2 2 6 3" xfId="11113" xr:uid="{4CAB636C-CF97-49D8-A7C7-DDCE9F9C683B}"/>
    <cellStyle name="Normal 5 3 4 2 2 7" xfId="4824" xr:uid="{00000000-0005-0000-0000-0000291A0000}"/>
    <cellStyle name="Normal 5 3 4 2 2 7 2" xfId="13266" xr:uid="{68C5195A-86D6-45F7-89F5-154277105376}"/>
    <cellStyle name="Normal 5 3 4 2 2 8" xfId="9048" xr:uid="{DD274FB8-972E-4D05-8A05-F5AE27F3B1D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E630239F-CB71-4E81-8399-F78C73FDF6AA}"/>
    <cellStyle name="Normal 5 3 4 2 3 2 3" xfId="11605" xr:uid="{C3F9D5AE-287C-44F0-8BD0-89FEE824AEA3}"/>
    <cellStyle name="Normal 5 3 4 2 3 3" xfId="5236" xr:uid="{00000000-0005-0000-0000-00002D1A0000}"/>
    <cellStyle name="Normal 5 3 4 2 3 3 2" xfId="13678" xr:uid="{960546CB-B800-46A5-B8A4-D52D5F26C1DC}"/>
    <cellStyle name="Normal 5 3 4 2 3 4" xfId="9460" xr:uid="{051E8EE9-0386-426C-944C-31844801268D}"/>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E48474FB-7988-469A-8CA5-5C941CE9CB65}"/>
    <cellStyle name="Normal 5 3 4 2 4 2 3" xfId="12018" xr:uid="{CEFEF6D5-C9B5-4431-B084-80639B3C40EA}"/>
    <cellStyle name="Normal 5 3 4 2 4 3" xfId="5649" xr:uid="{00000000-0005-0000-0000-0000311A0000}"/>
    <cellStyle name="Normal 5 3 4 2 4 3 2" xfId="14091" xr:uid="{FB8AFD33-1701-423D-967D-C5CB800CB664}"/>
    <cellStyle name="Normal 5 3 4 2 4 4" xfId="9873" xr:uid="{82F699FC-DF8C-418A-8E6C-854C2DD49EB5}"/>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1E794207-C273-4171-A905-F0BA53D550E5}"/>
    <cellStyle name="Normal 5 3 4 2 5 2 3" xfId="12431" xr:uid="{D7A2362B-E28D-436E-B433-1A63E4444D24}"/>
    <cellStyle name="Normal 5 3 4 2 5 3" xfId="6062" xr:uid="{00000000-0005-0000-0000-0000351A0000}"/>
    <cellStyle name="Normal 5 3 4 2 5 3 2" xfId="14504" xr:uid="{D698A485-CFE1-49A7-9BF8-2BA6EC037996}"/>
    <cellStyle name="Normal 5 3 4 2 5 4" xfId="10286" xr:uid="{FFF29507-A1D8-4ED4-8FB1-A5EBA146ACD5}"/>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A994A84A-772D-4851-A12C-A33ED986B707}"/>
    <cellStyle name="Normal 5 3 4 2 6 2 3" xfId="12844" xr:uid="{67A441B8-EC57-4BF4-BB5F-037336288C15}"/>
    <cellStyle name="Normal 5 3 4 2 6 3" xfId="6475" xr:uid="{00000000-0005-0000-0000-0000391A0000}"/>
    <cellStyle name="Normal 5 3 4 2 6 3 2" xfId="14917" xr:uid="{D8AC7D6F-2922-4F03-B00D-CA9D33E3CAA0}"/>
    <cellStyle name="Normal 5 3 4 2 6 4" xfId="10699" xr:uid="{9EA69986-F7E2-42FE-B946-A6BB46A7A85F}"/>
    <cellStyle name="Normal 5 3 4 2 7" xfId="2604" xr:uid="{00000000-0005-0000-0000-00003A1A0000}"/>
    <cellStyle name="Normal 5 3 4 2 7 2" xfId="6888" xr:uid="{00000000-0005-0000-0000-00003B1A0000}"/>
    <cellStyle name="Normal 5 3 4 2 7 2 2" xfId="15330" xr:uid="{780CC40F-8A13-45B4-A6CC-7BB221105192}"/>
    <cellStyle name="Normal 5 3 4 2 7 3" xfId="11112" xr:uid="{A00320FE-9DD9-43B0-B663-BEEBF9682144}"/>
    <cellStyle name="Normal 5 3 4 2 8" xfId="4823" xr:uid="{00000000-0005-0000-0000-00003C1A0000}"/>
    <cellStyle name="Normal 5 3 4 2 8 2" xfId="13265" xr:uid="{093CC455-E06E-4A6A-9AC6-A815074B95BE}"/>
    <cellStyle name="Normal 5 3 4 2 9" xfId="9047" xr:uid="{0F7A3683-3E79-435D-A284-E72AACE7AA76}"/>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D2F8E205-DBD4-4ADE-B8A3-41E9DFE3CF8E}"/>
    <cellStyle name="Normal 5 3 4 3 2 2 3" xfId="11607" xr:uid="{E7B1DCFB-32F9-4043-83C2-9DA99983A28F}"/>
    <cellStyle name="Normal 5 3 4 3 2 3" xfId="5238" xr:uid="{00000000-0005-0000-0000-0000411A0000}"/>
    <cellStyle name="Normal 5 3 4 3 2 3 2" xfId="13680" xr:uid="{C9BB16B1-7DD3-4CBD-9128-9DEC3FA46B74}"/>
    <cellStyle name="Normal 5 3 4 3 2 4" xfId="9462" xr:uid="{83F8D8A7-EDCB-4C8A-AD53-226639DC2BD7}"/>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5EA168AA-9709-4621-931B-6B49D793AB7A}"/>
    <cellStyle name="Normal 5 3 4 3 3 2 3" xfId="12020" xr:uid="{BD51B2A7-AE08-4B03-ABBC-66E8803EEDDD}"/>
    <cellStyle name="Normal 5 3 4 3 3 3" xfId="5651" xr:uid="{00000000-0005-0000-0000-0000451A0000}"/>
    <cellStyle name="Normal 5 3 4 3 3 3 2" xfId="14093" xr:uid="{17CD60EB-98E3-4E1F-9DE3-236208DEC709}"/>
    <cellStyle name="Normal 5 3 4 3 3 4" xfId="9875" xr:uid="{517EE686-EDAE-427C-A05B-EE5992AAC2C4}"/>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F852F586-0568-40B1-8421-BA8A5DE5B70F}"/>
    <cellStyle name="Normal 5 3 4 3 4 2 3" xfId="12433" xr:uid="{59A7769B-D903-4833-B381-51F9CD146774}"/>
    <cellStyle name="Normal 5 3 4 3 4 3" xfId="6064" xr:uid="{00000000-0005-0000-0000-0000491A0000}"/>
    <cellStyle name="Normal 5 3 4 3 4 3 2" xfId="14506" xr:uid="{2004662F-CE12-4AA2-A3D9-CE9521C9CEAA}"/>
    <cellStyle name="Normal 5 3 4 3 4 4" xfId="10288" xr:uid="{275972C7-1585-41ED-A917-DC5C302EC2F5}"/>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853D57D6-66A3-482A-83F3-DBCE1D5EA0FE}"/>
    <cellStyle name="Normal 5 3 4 3 5 2 3" xfId="12846" xr:uid="{D057A41F-3822-44F1-9126-D8FB5F5455F6}"/>
    <cellStyle name="Normal 5 3 4 3 5 3" xfId="6477" xr:uid="{00000000-0005-0000-0000-00004D1A0000}"/>
    <cellStyle name="Normal 5 3 4 3 5 3 2" xfId="14919" xr:uid="{EC010E4C-F0A6-4FC0-98DF-66F6F0CD780C}"/>
    <cellStyle name="Normal 5 3 4 3 5 4" xfId="10701" xr:uid="{8C8CC23B-1BB0-496C-946A-0AFF2046FC92}"/>
    <cellStyle name="Normal 5 3 4 3 6" xfId="2606" xr:uid="{00000000-0005-0000-0000-00004E1A0000}"/>
    <cellStyle name="Normal 5 3 4 3 6 2" xfId="6890" xr:uid="{00000000-0005-0000-0000-00004F1A0000}"/>
    <cellStyle name="Normal 5 3 4 3 6 2 2" xfId="15332" xr:uid="{02F4FB60-360D-4A28-92E9-54C751056474}"/>
    <cellStyle name="Normal 5 3 4 3 6 3" xfId="11114" xr:uid="{39D073BE-064E-4699-814B-BF7CFB704977}"/>
    <cellStyle name="Normal 5 3 4 3 7" xfId="4825" xr:uid="{00000000-0005-0000-0000-0000501A0000}"/>
    <cellStyle name="Normal 5 3 4 3 7 2" xfId="13267" xr:uid="{1E0D9C7C-CD3C-4E4E-908E-0DF641F93FC4}"/>
    <cellStyle name="Normal 5 3 4 3 8" xfId="9049" xr:uid="{A06FB40E-9349-4B7E-A73B-3E52582CF4E2}"/>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4D3B90B9-AB9D-4AC9-83BC-EE7AC15181B4}"/>
    <cellStyle name="Normal 5 3 4 4 2 3" xfId="11604" xr:uid="{2324C936-4A46-4646-AB2A-20593103392E}"/>
    <cellStyle name="Normal 5 3 4 4 3" xfId="5235" xr:uid="{00000000-0005-0000-0000-0000541A0000}"/>
    <cellStyle name="Normal 5 3 4 4 3 2" xfId="13677" xr:uid="{8A32388A-C968-4B55-A0EC-02099BD131C2}"/>
    <cellStyle name="Normal 5 3 4 4 4" xfId="9459" xr:uid="{9C0A31D7-6948-4B47-9AA5-1F4BAF0B99C0}"/>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AB5D706A-F050-4C21-931A-41C412D1077E}"/>
    <cellStyle name="Normal 5 3 4 5 2 3" xfId="12017" xr:uid="{6DE014FA-0F63-4E2C-B483-8668D74A26F3}"/>
    <cellStyle name="Normal 5 3 4 5 3" xfId="5648" xr:uid="{00000000-0005-0000-0000-0000581A0000}"/>
    <cellStyle name="Normal 5 3 4 5 3 2" xfId="14090" xr:uid="{90DF9A24-BCB9-455B-8282-3A4AD16D57DE}"/>
    <cellStyle name="Normal 5 3 4 5 4" xfId="9872" xr:uid="{3DF81E2A-85B6-4F2E-A245-A3DA6522FAED}"/>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A665BA44-1E45-4772-BB67-46090BA77E86}"/>
    <cellStyle name="Normal 5 3 4 6 2 3" xfId="12430" xr:uid="{1D3D1792-42E8-45F9-9E6E-6E75AFE91F77}"/>
    <cellStyle name="Normal 5 3 4 6 3" xfId="6061" xr:uid="{00000000-0005-0000-0000-00005C1A0000}"/>
    <cellStyle name="Normal 5 3 4 6 3 2" xfId="14503" xr:uid="{EF2AC128-7382-4F94-B99C-CC445DA008C5}"/>
    <cellStyle name="Normal 5 3 4 6 4" xfId="10285" xr:uid="{7D1FE6BC-370F-402D-8FB0-E8782A245BC9}"/>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0EC872F7-7A07-40D8-8C43-86B112C43B4D}"/>
    <cellStyle name="Normal 5 3 4 7 2 3" xfId="12843" xr:uid="{9FE3B1FA-CF22-4B76-A9B6-94AE7515E8BC}"/>
    <cellStyle name="Normal 5 3 4 7 3" xfId="6474" xr:uid="{00000000-0005-0000-0000-0000601A0000}"/>
    <cellStyle name="Normal 5 3 4 7 3 2" xfId="14916" xr:uid="{6C4C8CD5-0224-4B9E-8EF2-9C4AD26F27D4}"/>
    <cellStyle name="Normal 5 3 4 7 4" xfId="10698" xr:uid="{C8A99549-BA04-4012-B94E-0E5CD58FDC97}"/>
    <cellStyle name="Normal 5 3 4 8" xfId="2603" xr:uid="{00000000-0005-0000-0000-0000611A0000}"/>
    <cellStyle name="Normal 5 3 4 8 2" xfId="6887" xr:uid="{00000000-0005-0000-0000-0000621A0000}"/>
    <cellStyle name="Normal 5 3 4 8 2 2" xfId="15329" xr:uid="{B15EDF85-02B4-41FE-86BB-3F696DAAAADC}"/>
    <cellStyle name="Normal 5 3 4 8 3" xfId="11111" xr:uid="{A278A5C4-51C7-4404-B5D1-40C34FBED5CD}"/>
    <cellStyle name="Normal 5 3 4 9" xfId="4822" xr:uid="{00000000-0005-0000-0000-0000631A0000}"/>
    <cellStyle name="Normal 5 3 4 9 2" xfId="13264" xr:uid="{889AED9B-8E2A-4196-A920-7EF56DD6107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AA535110-1CF8-45C2-80CD-E93CB26EB12F}"/>
    <cellStyle name="Normal 5 3 5 2 2 2 3" xfId="11609" xr:uid="{BDF557D6-B8AA-4CD6-9EA2-8D8DE77D991D}"/>
    <cellStyle name="Normal 5 3 5 2 2 3" xfId="5240" xr:uid="{00000000-0005-0000-0000-0000691A0000}"/>
    <cellStyle name="Normal 5 3 5 2 2 3 2" xfId="13682" xr:uid="{DEAE37B0-5BB5-49C7-8569-A1318C7B3FF4}"/>
    <cellStyle name="Normal 5 3 5 2 2 4" xfId="9464" xr:uid="{8F5DA07C-4833-4507-97DE-83293953EE51}"/>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2D19BD21-280D-4686-9A96-37FF708D0625}"/>
    <cellStyle name="Normal 5 3 5 2 3 2 3" xfId="12022" xr:uid="{64B76E5F-C253-4308-86DC-D015C996E6AA}"/>
    <cellStyle name="Normal 5 3 5 2 3 3" xfId="5653" xr:uid="{00000000-0005-0000-0000-00006D1A0000}"/>
    <cellStyle name="Normal 5 3 5 2 3 3 2" xfId="14095" xr:uid="{AE97C5C2-5EB9-491C-A10C-A6CAD6338BC3}"/>
    <cellStyle name="Normal 5 3 5 2 3 4" xfId="9877" xr:uid="{23DD40DA-24F2-4ACE-80FA-2CA66D3986F5}"/>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3E3BB9E7-96CC-48A4-99A0-C4EEE607FFDF}"/>
    <cellStyle name="Normal 5 3 5 2 4 2 3" xfId="12435" xr:uid="{44EDDE21-8C82-4AC4-9B13-9BA723048662}"/>
    <cellStyle name="Normal 5 3 5 2 4 3" xfId="6066" xr:uid="{00000000-0005-0000-0000-0000711A0000}"/>
    <cellStyle name="Normal 5 3 5 2 4 3 2" xfId="14508" xr:uid="{1B02D546-D1A0-4F54-B507-931F12EF8BD4}"/>
    <cellStyle name="Normal 5 3 5 2 4 4" xfId="10290" xr:uid="{240071C8-95DF-40CC-9F93-D3980678CFE4}"/>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93095CD-FC0B-4CFC-97BE-0B5F8759CAEB}"/>
    <cellStyle name="Normal 5 3 5 2 5 2 3" xfId="12848" xr:uid="{D71E607E-163A-4655-AD6B-B2F99E88B137}"/>
    <cellStyle name="Normal 5 3 5 2 5 3" xfId="6479" xr:uid="{00000000-0005-0000-0000-0000751A0000}"/>
    <cellStyle name="Normal 5 3 5 2 5 3 2" xfId="14921" xr:uid="{6D8878DE-E859-484E-96B4-F16C3B50310B}"/>
    <cellStyle name="Normal 5 3 5 2 5 4" xfId="10703" xr:uid="{2FEB01DD-7033-47E1-81D9-49647AC07616}"/>
    <cellStyle name="Normal 5 3 5 2 6" xfId="2608" xr:uid="{00000000-0005-0000-0000-0000761A0000}"/>
    <cellStyle name="Normal 5 3 5 2 6 2" xfId="6892" xr:uid="{00000000-0005-0000-0000-0000771A0000}"/>
    <cellStyle name="Normal 5 3 5 2 6 2 2" xfId="15334" xr:uid="{E91A950E-08C9-4354-A3C7-58E3CBBA6111}"/>
    <cellStyle name="Normal 5 3 5 2 6 3" xfId="11116" xr:uid="{0ED36FB1-70C0-48F3-83FC-66C661D707DE}"/>
    <cellStyle name="Normal 5 3 5 2 7" xfId="4827" xr:uid="{00000000-0005-0000-0000-0000781A0000}"/>
    <cellStyle name="Normal 5 3 5 2 7 2" xfId="13269" xr:uid="{1205427D-8FB9-4B80-8A96-C68E34E2C028}"/>
    <cellStyle name="Normal 5 3 5 2 8" xfId="9051" xr:uid="{7749385B-EFB9-4653-8E86-F56A00E1C802}"/>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1A71FFB4-2815-4D45-8355-E8928194BFC1}"/>
    <cellStyle name="Normal 5 3 5 3 2 3" xfId="11608" xr:uid="{E3930617-5E39-4054-80BE-FC86F6BAF53A}"/>
    <cellStyle name="Normal 5 3 5 3 3" xfId="5239" xr:uid="{00000000-0005-0000-0000-00007C1A0000}"/>
    <cellStyle name="Normal 5 3 5 3 3 2" xfId="13681" xr:uid="{73BDCC06-16F5-4A98-97E5-F74E0C92BEBF}"/>
    <cellStyle name="Normal 5 3 5 3 4" xfId="9463" xr:uid="{7E093AAA-7DD3-4728-8B8D-C0CE09B7ED56}"/>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410850DB-AEAA-498E-A5E1-14D62DEA0A4A}"/>
    <cellStyle name="Normal 5 3 5 4 2 3" xfId="12021" xr:uid="{E290433A-DBA0-49BF-8DF0-EC381785A508}"/>
    <cellStyle name="Normal 5 3 5 4 3" xfId="5652" xr:uid="{00000000-0005-0000-0000-0000801A0000}"/>
    <cellStyle name="Normal 5 3 5 4 3 2" xfId="14094" xr:uid="{3B305228-D3FA-4266-9C0A-DE53B343D12C}"/>
    <cellStyle name="Normal 5 3 5 4 4" xfId="9876" xr:uid="{980000A6-CCF0-4A86-B69B-0C7DB6C84A9E}"/>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73D285D6-3193-468E-8CB4-F4ABDDB2AB00}"/>
    <cellStyle name="Normal 5 3 5 5 2 3" xfId="12434" xr:uid="{6907F735-2A7E-4F21-ABB4-E9281A902B06}"/>
    <cellStyle name="Normal 5 3 5 5 3" xfId="6065" xr:uid="{00000000-0005-0000-0000-0000841A0000}"/>
    <cellStyle name="Normal 5 3 5 5 3 2" xfId="14507" xr:uid="{51AAF452-88D8-487F-A969-7B7BED9F0A69}"/>
    <cellStyle name="Normal 5 3 5 5 4" xfId="10289" xr:uid="{10C66C8C-C589-429E-9370-E5CF1D5FC8D1}"/>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0CC3B83A-477B-4D86-8582-A43A2B7D9624}"/>
    <cellStyle name="Normal 5 3 5 6 2 3" xfId="12847" xr:uid="{FA6F684B-3D3D-4B23-AB50-E8044BCC8ECE}"/>
    <cellStyle name="Normal 5 3 5 6 3" xfId="6478" xr:uid="{00000000-0005-0000-0000-0000881A0000}"/>
    <cellStyle name="Normal 5 3 5 6 3 2" xfId="14920" xr:uid="{0EE5CA3A-3D61-4B99-8CF2-C43EA02C376B}"/>
    <cellStyle name="Normal 5 3 5 6 4" xfId="10702" xr:uid="{C23D6B7C-4077-431D-825A-85B141D2BA8E}"/>
    <cellStyle name="Normal 5 3 5 7" xfId="2607" xr:uid="{00000000-0005-0000-0000-0000891A0000}"/>
    <cellStyle name="Normal 5 3 5 7 2" xfId="6891" xr:uid="{00000000-0005-0000-0000-00008A1A0000}"/>
    <cellStyle name="Normal 5 3 5 7 2 2" xfId="15333" xr:uid="{7399AFE6-BD0F-466F-9AF2-F87A6B2CF4AC}"/>
    <cellStyle name="Normal 5 3 5 7 3" xfId="11115" xr:uid="{C0DDE30E-DFF3-4DA0-B373-577D1D0D39A7}"/>
    <cellStyle name="Normal 5 3 5 8" xfId="4826" xr:uid="{00000000-0005-0000-0000-00008B1A0000}"/>
    <cellStyle name="Normal 5 3 5 8 2" xfId="13268" xr:uid="{7084CD29-2747-48E9-AD5F-5DD758075DB5}"/>
    <cellStyle name="Normal 5 3 5 9" xfId="9050" xr:uid="{B39784F9-4E01-45FD-BAC8-FE5A11DA91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A92CA84F-31F9-46DD-945D-C62133D2650F}"/>
    <cellStyle name="Normal 5 3 6 2 2 3" xfId="11610" xr:uid="{6436EA6B-13C7-4CA3-B92F-0DAF47D38DD6}"/>
    <cellStyle name="Normal 5 3 6 2 3" xfId="5241" xr:uid="{00000000-0005-0000-0000-0000901A0000}"/>
    <cellStyle name="Normal 5 3 6 2 3 2" xfId="13683" xr:uid="{E30DFCE6-1CEF-4CF4-AA55-8537D61C89AF}"/>
    <cellStyle name="Normal 5 3 6 2 4" xfId="9465" xr:uid="{9401738B-C629-4470-A4C8-93C2FF332CCC}"/>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C9411275-F11C-43D1-9E91-6D42C237F19F}"/>
    <cellStyle name="Normal 5 3 6 3 2 3" xfId="12023" xr:uid="{6F2F21AD-BCBD-4ABC-A397-4F715D4992CE}"/>
    <cellStyle name="Normal 5 3 6 3 3" xfId="5654" xr:uid="{00000000-0005-0000-0000-0000941A0000}"/>
    <cellStyle name="Normal 5 3 6 3 3 2" xfId="14096" xr:uid="{E0E1F874-C92E-4107-8632-D3F8A7D5CC61}"/>
    <cellStyle name="Normal 5 3 6 3 4" xfId="9878" xr:uid="{DB26082E-58D0-46B3-BC43-F11FF09D5340}"/>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9623CB7B-7535-4C3F-8EAA-8A8276D3868C}"/>
    <cellStyle name="Normal 5 3 6 4 2 3" xfId="12436" xr:uid="{2DE82A3E-A757-44C1-8A4E-F02612E809B3}"/>
    <cellStyle name="Normal 5 3 6 4 3" xfId="6067" xr:uid="{00000000-0005-0000-0000-0000981A0000}"/>
    <cellStyle name="Normal 5 3 6 4 3 2" xfId="14509" xr:uid="{8A1FCE7C-CD25-4C4D-93EB-5C066D6D54CA}"/>
    <cellStyle name="Normal 5 3 6 4 4" xfId="10291" xr:uid="{8A477C8A-AB0B-4414-AAA0-F3D742538E6D}"/>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FA62961D-FAAC-449E-8E84-21988EE84985}"/>
    <cellStyle name="Normal 5 3 6 5 2 3" xfId="12849" xr:uid="{86DD6F7D-8C3F-4036-B1F9-D97498AC9BA1}"/>
    <cellStyle name="Normal 5 3 6 5 3" xfId="6480" xr:uid="{00000000-0005-0000-0000-00009C1A0000}"/>
    <cellStyle name="Normal 5 3 6 5 3 2" xfId="14922" xr:uid="{896C6CCD-ABEC-4E1C-A51C-5FC9961BCC61}"/>
    <cellStyle name="Normal 5 3 6 5 4" xfId="10704" xr:uid="{334A8CA2-CD1E-49BB-850A-68B44ECB45C9}"/>
    <cellStyle name="Normal 5 3 6 6" xfId="2609" xr:uid="{00000000-0005-0000-0000-00009D1A0000}"/>
    <cellStyle name="Normal 5 3 6 6 2" xfId="6893" xr:uid="{00000000-0005-0000-0000-00009E1A0000}"/>
    <cellStyle name="Normal 5 3 6 6 2 2" xfId="15335" xr:uid="{4D87B4FF-DB3D-41FF-9777-884FE080C0B5}"/>
    <cellStyle name="Normal 5 3 6 6 3" xfId="11117" xr:uid="{5F9D1AF0-2E1A-44BA-8086-C1868D1DF8C1}"/>
    <cellStyle name="Normal 5 3 6 7" xfId="4828" xr:uid="{00000000-0005-0000-0000-00009F1A0000}"/>
    <cellStyle name="Normal 5 3 6 7 2" xfId="13270" xr:uid="{B17E8CAD-F373-4D11-BCFD-DCFAF8B2CE79}"/>
    <cellStyle name="Normal 5 3 6 8" xfId="9052" xr:uid="{60E561D9-B0A7-4AF5-AA27-6880AD61CFE7}"/>
    <cellStyle name="Normal 5 3 7" xfId="913" xr:uid="{00000000-0005-0000-0000-0000A01A0000}"/>
    <cellStyle name="Normal 5 3 7 2" xfId="3148" xr:uid="{00000000-0005-0000-0000-0000A11A0000}"/>
    <cellStyle name="Normal 5 3 7 2 2" xfId="7371" xr:uid="{00000000-0005-0000-0000-0000A21A0000}"/>
    <cellStyle name="Normal 5 3 7 2 2 2" xfId="15813" xr:uid="{E84134DD-E27E-45D3-868C-4EB8CB5C7695}"/>
    <cellStyle name="Normal 5 3 7 2 3" xfId="11595" xr:uid="{F77E81FE-795F-4D6A-B5E4-986759732E1D}"/>
    <cellStyle name="Normal 5 3 7 3" xfId="5226" xr:uid="{00000000-0005-0000-0000-0000A31A0000}"/>
    <cellStyle name="Normal 5 3 7 3 2" xfId="13668" xr:uid="{292CB497-8408-4B9E-8096-23C54E18ADF5}"/>
    <cellStyle name="Normal 5 3 7 4" xfId="9450" xr:uid="{9816B148-B420-43AF-8DA6-C42831DB72BA}"/>
    <cellStyle name="Normal 5 3 8" xfId="1331" xr:uid="{00000000-0005-0000-0000-0000A41A0000}"/>
    <cellStyle name="Normal 5 3 8 2" xfId="3561" xr:uid="{00000000-0005-0000-0000-0000A51A0000}"/>
    <cellStyle name="Normal 5 3 8 2 2" xfId="7784" xr:uid="{00000000-0005-0000-0000-0000A61A0000}"/>
    <cellStyle name="Normal 5 3 8 2 2 2" xfId="16226" xr:uid="{D7CD3263-0586-4BEE-B464-3B229B84E7D7}"/>
    <cellStyle name="Normal 5 3 8 2 3" xfId="12008" xr:uid="{74A6CFAF-C4E7-4AC3-81A6-8A189388656F}"/>
    <cellStyle name="Normal 5 3 8 3" xfId="5639" xr:uid="{00000000-0005-0000-0000-0000A71A0000}"/>
    <cellStyle name="Normal 5 3 8 3 2" xfId="14081" xr:uid="{6DD93A04-B7C6-49F8-AA53-C1106064987E}"/>
    <cellStyle name="Normal 5 3 8 4" xfId="9863" xr:uid="{636330C5-DA5E-4FCE-9BEE-32FA741E0480}"/>
    <cellStyle name="Normal 5 3 9" xfId="1744" xr:uid="{00000000-0005-0000-0000-0000A81A0000}"/>
    <cellStyle name="Normal 5 3 9 2" xfId="3974" xr:uid="{00000000-0005-0000-0000-0000A91A0000}"/>
    <cellStyle name="Normal 5 3 9 2 2" xfId="8197" xr:uid="{00000000-0005-0000-0000-0000AA1A0000}"/>
    <cellStyle name="Normal 5 3 9 2 2 2" xfId="16639" xr:uid="{F097EE6D-2AEA-472D-800E-02B7D433D9A7}"/>
    <cellStyle name="Normal 5 3 9 2 3" xfId="12421" xr:uid="{2B368E47-ECC7-4D7D-B188-0AEB6964F270}"/>
    <cellStyle name="Normal 5 3 9 3" xfId="6052" xr:uid="{00000000-0005-0000-0000-0000AB1A0000}"/>
    <cellStyle name="Normal 5 3 9 3 2" xfId="14494" xr:uid="{0A6DB090-6640-4D5B-A2BD-033CBBADB569}"/>
    <cellStyle name="Normal 5 3 9 4" xfId="10276" xr:uid="{DCA664B7-E1A3-40A1-A4D5-5821855B5EFF}"/>
    <cellStyle name="Normal 5 4" xfId="456" xr:uid="{00000000-0005-0000-0000-0000AC1A0000}"/>
    <cellStyle name="Normal 5 4 10" xfId="4829" xr:uid="{00000000-0005-0000-0000-0000AD1A0000}"/>
    <cellStyle name="Normal 5 4 10 2" xfId="13271" xr:uid="{09999C58-6891-46FF-AA28-FA9508BAF1CB}"/>
    <cellStyle name="Normal 5 4 11" xfId="9053" xr:uid="{BAAA8766-142C-4DC6-893A-E7C253B6A73F}"/>
    <cellStyle name="Normal 5 4 2" xfId="457" xr:uid="{00000000-0005-0000-0000-0000AE1A0000}"/>
    <cellStyle name="Normal 5 4 2 10" xfId="9054" xr:uid="{318A5F0F-1CBE-43AC-AD1F-6E3B0225771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909DD0FD-248C-4815-B3CF-4A31AC5BB141}"/>
    <cellStyle name="Normal 5 4 2 2 2 2 2 3" xfId="11614" xr:uid="{5663F7AE-106C-4186-9AB2-1902326E8525}"/>
    <cellStyle name="Normal 5 4 2 2 2 2 3" xfId="5245" xr:uid="{00000000-0005-0000-0000-0000B41A0000}"/>
    <cellStyle name="Normal 5 4 2 2 2 2 3 2" xfId="13687" xr:uid="{18FBE147-9753-468D-B343-D5AC19ECF86E}"/>
    <cellStyle name="Normal 5 4 2 2 2 2 4" xfId="9469" xr:uid="{9B413397-B11E-4D3E-A13D-0892034EA02A}"/>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F0746A6F-B013-49D6-A5AA-9B7519223B86}"/>
    <cellStyle name="Normal 5 4 2 2 2 3 2 3" xfId="12027" xr:uid="{30F8D5DC-05DF-4AC6-85F7-893118F7EEEE}"/>
    <cellStyle name="Normal 5 4 2 2 2 3 3" xfId="5658" xr:uid="{00000000-0005-0000-0000-0000B81A0000}"/>
    <cellStyle name="Normal 5 4 2 2 2 3 3 2" xfId="14100" xr:uid="{85B1A73F-4795-4FDC-A3BC-C3B420146496}"/>
    <cellStyle name="Normal 5 4 2 2 2 3 4" xfId="9882" xr:uid="{18EFE687-E6A4-4EF9-8696-FE1D3729D68F}"/>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38F580C6-58E0-44AE-B285-032DF55D2DD3}"/>
    <cellStyle name="Normal 5 4 2 2 2 4 2 3" xfId="12440" xr:uid="{A787EF08-358A-4A0E-B78D-C4D64C9878EA}"/>
    <cellStyle name="Normal 5 4 2 2 2 4 3" xfId="6071" xr:uid="{00000000-0005-0000-0000-0000BC1A0000}"/>
    <cellStyle name="Normal 5 4 2 2 2 4 3 2" xfId="14513" xr:uid="{05BC5D24-12A9-45BB-88D3-A11C9A1E6B92}"/>
    <cellStyle name="Normal 5 4 2 2 2 4 4" xfId="10295" xr:uid="{A4B35A33-61B5-409D-BC04-D9D0C5714B28}"/>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00DED9F2-7427-475C-A1B2-5DE7F84A6AB4}"/>
    <cellStyle name="Normal 5 4 2 2 2 5 2 3" xfId="12853" xr:uid="{F195F2EE-77CF-4F53-9F4E-85BE4E8F904D}"/>
    <cellStyle name="Normal 5 4 2 2 2 5 3" xfId="6484" xr:uid="{00000000-0005-0000-0000-0000C01A0000}"/>
    <cellStyle name="Normal 5 4 2 2 2 5 3 2" xfId="14926" xr:uid="{5768948F-B4A5-479A-8531-8002876CA8A1}"/>
    <cellStyle name="Normal 5 4 2 2 2 5 4" xfId="10708" xr:uid="{E01226F4-DD62-4F68-A13C-68AEB1BF5729}"/>
    <cellStyle name="Normal 5 4 2 2 2 6" xfId="2613" xr:uid="{00000000-0005-0000-0000-0000C11A0000}"/>
    <cellStyle name="Normal 5 4 2 2 2 6 2" xfId="6897" xr:uid="{00000000-0005-0000-0000-0000C21A0000}"/>
    <cellStyle name="Normal 5 4 2 2 2 6 2 2" xfId="15339" xr:uid="{9F08B8B2-D580-475B-ACDE-4CC6FC785B16}"/>
    <cellStyle name="Normal 5 4 2 2 2 6 3" xfId="11121" xr:uid="{5EE94079-E998-4E9F-A2B7-A0CB97F3FCD7}"/>
    <cellStyle name="Normal 5 4 2 2 2 7" xfId="4832" xr:uid="{00000000-0005-0000-0000-0000C31A0000}"/>
    <cellStyle name="Normal 5 4 2 2 2 7 2" xfId="13274" xr:uid="{4D7FBF55-EE2D-487B-8943-DB90430006CA}"/>
    <cellStyle name="Normal 5 4 2 2 2 8" xfId="9056" xr:uid="{2375F749-C487-4B0C-A0D2-E831EC17E83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EEAF7272-2629-454B-86D6-10E92BA68135}"/>
    <cellStyle name="Normal 5 4 2 2 3 2 3" xfId="11613" xr:uid="{7DFD8446-31FA-436F-91C9-C7B2B68DA106}"/>
    <cellStyle name="Normal 5 4 2 2 3 3" xfId="5244" xr:uid="{00000000-0005-0000-0000-0000C71A0000}"/>
    <cellStyle name="Normal 5 4 2 2 3 3 2" xfId="13686" xr:uid="{9C1BC690-B42F-4F45-94B5-9B738A1F25C6}"/>
    <cellStyle name="Normal 5 4 2 2 3 4" xfId="9468" xr:uid="{3CD3C395-E6A7-43E7-808D-D4726D3BC8F2}"/>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3726E9A8-B9D4-4A1E-8A44-5E1F7D30E901}"/>
    <cellStyle name="Normal 5 4 2 2 4 2 3" xfId="12026" xr:uid="{CB72428C-ADCD-48A2-9FAB-68DF5BC5C6C5}"/>
    <cellStyle name="Normal 5 4 2 2 4 3" xfId="5657" xr:uid="{00000000-0005-0000-0000-0000CB1A0000}"/>
    <cellStyle name="Normal 5 4 2 2 4 3 2" xfId="14099" xr:uid="{08B3E88A-7F46-4C21-A5C6-F4C13679BB5B}"/>
    <cellStyle name="Normal 5 4 2 2 4 4" xfId="9881" xr:uid="{7AADBBA3-F315-41AC-909F-86104D50264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8BCDE09F-75A6-4079-8637-892AD52C8A1E}"/>
    <cellStyle name="Normal 5 4 2 2 5 2 3" xfId="12439" xr:uid="{53DE3766-1540-41DF-AFB1-CA3E19355333}"/>
    <cellStyle name="Normal 5 4 2 2 5 3" xfId="6070" xr:uid="{00000000-0005-0000-0000-0000CF1A0000}"/>
    <cellStyle name="Normal 5 4 2 2 5 3 2" xfId="14512" xr:uid="{71AD230F-7815-4E2A-86B5-0F6128D8FAFD}"/>
    <cellStyle name="Normal 5 4 2 2 5 4" xfId="10294" xr:uid="{BC088608-4EE0-4ED7-81CD-B01643639D6A}"/>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A40FF849-E78F-4498-ABBA-EA499AC53F28}"/>
    <cellStyle name="Normal 5 4 2 2 6 2 3" xfId="12852" xr:uid="{3364CC20-C69F-4A8A-8B77-E915CA83C0BA}"/>
    <cellStyle name="Normal 5 4 2 2 6 3" xfId="6483" xr:uid="{00000000-0005-0000-0000-0000D31A0000}"/>
    <cellStyle name="Normal 5 4 2 2 6 3 2" xfId="14925" xr:uid="{5389FFE4-20B5-4203-A8DF-802F008956CA}"/>
    <cellStyle name="Normal 5 4 2 2 6 4" xfId="10707" xr:uid="{0B4CEF2C-EB43-43A7-AF0E-36EB3243F9BE}"/>
    <cellStyle name="Normal 5 4 2 2 7" xfId="2612" xr:uid="{00000000-0005-0000-0000-0000D41A0000}"/>
    <cellStyle name="Normal 5 4 2 2 7 2" xfId="6896" xr:uid="{00000000-0005-0000-0000-0000D51A0000}"/>
    <cellStyle name="Normal 5 4 2 2 7 2 2" xfId="15338" xr:uid="{B1946657-7A56-44F0-80C3-FD10AC752C19}"/>
    <cellStyle name="Normal 5 4 2 2 7 3" xfId="11120" xr:uid="{5DCA92FC-BD4C-4DF6-952A-3A4E21B9BCC7}"/>
    <cellStyle name="Normal 5 4 2 2 8" xfId="4831" xr:uid="{00000000-0005-0000-0000-0000D61A0000}"/>
    <cellStyle name="Normal 5 4 2 2 8 2" xfId="13273" xr:uid="{E1B1F58A-8DCE-45E8-8E91-881CE1CA3CED}"/>
    <cellStyle name="Normal 5 4 2 2 9" xfId="9055" xr:uid="{3257EBC7-1407-4196-840D-C91A00244492}"/>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E0CD5788-0640-477F-B66D-E31EC884C244}"/>
    <cellStyle name="Normal 5 4 2 3 2 2 3" xfId="11615" xr:uid="{0BA9B9F9-C3A7-4F24-94B6-A2A3A926E86A}"/>
    <cellStyle name="Normal 5 4 2 3 2 3" xfId="5246" xr:uid="{00000000-0005-0000-0000-0000DB1A0000}"/>
    <cellStyle name="Normal 5 4 2 3 2 3 2" xfId="13688" xr:uid="{2044193F-35B9-473A-80DD-A4C6B12BA341}"/>
    <cellStyle name="Normal 5 4 2 3 2 4" xfId="9470" xr:uid="{82BAF366-D236-4CF5-A961-707B628A4D54}"/>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32CBC02D-95CB-497A-8828-2D2EF8D07997}"/>
    <cellStyle name="Normal 5 4 2 3 3 2 3" xfId="12028" xr:uid="{BCE557C3-28F8-4B5F-9E69-0DFC8764FB0A}"/>
    <cellStyle name="Normal 5 4 2 3 3 3" xfId="5659" xr:uid="{00000000-0005-0000-0000-0000DF1A0000}"/>
    <cellStyle name="Normal 5 4 2 3 3 3 2" xfId="14101" xr:uid="{F959E635-65C8-4C9F-BAB6-EAACF4417612}"/>
    <cellStyle name="Normal 5 4 2 3 3 4" xfId="9883" xr:uid="{5564BE43-878F-484C-8952-CA17964D4BBF}"/>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C775FBF5-413D-43B4-A2F1-B432756737F9}"/>
    <cellStyle name="Normal 5 4 2 3 4 2 3" xfId="12441" xr:uid="{3BD0EF1B-F724-4F0D-89F8-7662EA1A31AA}"/>
    <cellStyle name="Normal 5 4 2 3 4 3" xfId="6072" xr:uid="{00000000-0005-0000-0000-0000E31A0000}"/>
    <cellStyle name="Normal 5 4 2 3 4 3 2" xfId="14514" xr:uid="{790F2B6C-5179-4343-9DC9-D39915BC0A4E}"/>
    <cellStyle name="Normal 5 4 2 3 4 4" xfId="10296" xr:uid="{D8F89640-DED5-4276-8082-D1932FCA54D1}"/>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023F5090-48D6-407D-A0CB-630F2ABF96D1}"/>
    <cellStyle name="Normal 5 4 2 3 5 2 3" xfId="12854" xr:uid="{32A090F8-59BF-4FB3-9EAD-7C049BE2A62F}"/>
    <cellStyle name="Normal 5 4 2 3 5 3" xfId="6485" xr:uid="{00000000-0005-0000-0000-0000E71A0000}"/>
    <cellStyle name="Normal 5 4 2 3 5 3 2" xfId="14927" xr:uid="{116C40DE-A789-4797-AD8B-04F0551A00F0}"/>
    <cellStyle name="Normal 5 4 2 3 5 4" xfId="10709" xr:uid="{FF884EC8-533E-4F26-A449-DA6751F6DB68}"/>
    <cellStyle name="Normal 5 4 2 3 6" xfId="2614" xr:uid="{00000000-0005-0000-0000-0000E81A0000}"/>
    <cellStyle name="Normal 5 4 2 3 6 2" xfId="6898" xr:uid="{00000000-0005-0000-0000-0000E91A0000}"/>
    <cellStyle name="Normal 5 4 2 3 6 2 2" xfId="15340" xr:uid="{7B087C2D-86C2-4116-B617-AE7BFC869CEB}"/>
    <cellStyle name="Normal 5 4 2 3 6 3" xfId="11122" xr:uid="{37952525-C32B-42FD-870A-A3A0EB5A1E30}"/>
    <cellStyle name="Normal 5 4 2 3 7" xfId="4833" xr:uid="{00000000-0005-0000-0000-0000EA1A0000}"/>
    <cellStyle name="Normal 5 4 2 3 7 2" xfId="13275" xr:uid="{679B945F-EDC2-43FD-89E3-9CD1147B25B2}"/>
    <cellStyle name="Normal 5 4 2 3 8" xfId="9057" xr:uid="{EE602868-2DDC-4953-A1E0-C37FA17DD2EA}"/>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1B7046C0-863F-4E48-A1C1-2D35078DA39B}"/>
    <cellStyle name="Normal 5 4 2 4 2 3" xfId="11612" xr:uid="{73702220-AF0B-4418-96B8-4A7D03A4CD60}"/>
    <cellStyle name="Normal 5 4 2 4 3" xfId="5243" xr:uid="{00000000-0005-0000-0000-0000EE1A0000}"/>
    <cellStyle name="Normal 5 4 2 4 3 2" xfId="13685" xr:uid="{284CE3DB-4E26-4761-81BA-0CF4066BDC59}"/>
    <cellStyle name="Normal 5 4 2 4 4" xfId="9467" xr:uid="{2469737C-01D6-45F4-9685-2612DB7AF69D}"/>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3D2491D9-BAA8-41B6-86A1-87BFBEF1B591}"/>
    <cellStyle name="Normal 5 4 2 5 2 3" xfId="12025" xr:uid="{A0AF47F3-2D01-433E-9827-0FFB0F37DF63}"/>
    <cellStyle name="Normal 5 4 2 5 3" xfId="5656" xr:uid="{00000000-0005-0000-0000-0000F21A0000}"/>
    <cellStyle name="Normal 5 4 2 5 3 2" xfId="14098" xr:uid="{C51E5062-CAB2-486A-9A56-006AA44EF05A}"/>
    <cellStyle name="Normal 5 4 2 5 4" xfId="9880" xr:uid="{C22B832D-DEA8-4841-AC87-4E510E8AD7D6}"/>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DB7F0AFD-3FF9-4EFA-A263-5C3D94F8BDC4}"/>
    <cellStyle name="Normal 5 4 2 6 2 3" xfId="12438" xr:uid="{8C4DD6F4-643F-448C-806C-A3271A201DDC}"/>
    <cellStyle name="Normal 5 4 2 6 3" xfId="6069" xr:uid="{00000000-0005-0000-0000-0000F61A0000}"/>
    <cellStyle name="Normal 5 4 2 6 3 2" xfId="14511" xr:uid="{46D3E7AA-D603-41C5-8482-0C7628B843AE}"/>
    <cellStyle name="Normal 5 4 2 6 4" xfId="10293" xr:uid="{718793A4-25A1-4749-97C4-5E976DAFC532}"/>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73D28B44-DC3D-45D6-A6B3-520F2CF0F3D6}"/>
    <cellStyle name="Normal 5 4 2 7 2 3" xfId="12851" xr:uid="{36DF8FE3-3AFD-48B1-872C-42EB45E90C94}"/>
    <cellStyle name="Normal 5 4 2 7 3" xfId="6482" xr:uid="{00000000-0005-0000-0000-0000FA1A0000}"/>
    <cellStyle name="Normal 5 4 2 7 3 2" xfId="14924" xr:uid="{609499AE-36C4-4CED-8992-F2CE74DFB4F3}"/>
    <cellStyle name="Normal 5 4 2 7 4" xfId="10706" xr:uid="{B624D144-7922-42EB-BDAD-234C70F7B3AB}"/>
    <cellStyle name="Normal 5 4 2 8" xfId="2611" xr:uid="{00000000-0005-0000-0000-0000FB1A0000}"/>
    <cellStyle name="Normal 5 4 2 8 2" xfId="6895" xr:uid="{00000000-0005-0000-0000-0000FC1A0000}"/>
    <cellStyle name="Normal 5 4 2 8 2 2" xfId="15337" xr:uid="{62EF93BE-B046-44D4-A129-0FAADF498422}"/>
    <cellStyle name="Normal 5 4 2 8 3" xfId="11119" xr:uid="{544A61ED-A021-469A-AA56-0B9663233930}"/>
    <cellStyle name="Normal 5 4 2 9" xfId="4830" xr:uid="{00000000-0005-0000-0000-0000FD1A0000}"/>
    <cellStyle name="Normal 5 4 2 9 2" xfId="13272" xr:uid="{53308A9E-FC9E-4017-B861-309F01EEEDF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4EC33E31-442E-44C4-9ED9-9B53A57D9444}"/>
    <cellStyle name="Normal 5 4 3 2 2 2 3" xfId="11617" xr:uid="{8A35BC80-1297-49BE-8D00-200450C46281}"/>
    <cellStyle name="Normal 5 4 3 2 2 3" xfId="5248" xr:uid="{00000000-0005-0000-0000-0000031B0000}"/>
    <cellStyle name="Normal 5 4 3 2 2 3 2" xfId="13690" xr:uid="{8CCBD463-6574-4927-9D8F-DD4E971B3BA8}"/>
    <cellStyle name="Normal 5 4 3 2 2 4" xfId="9472" xr:uid="{70A4C2FB-916F-4DAA-AEF7-CE67526FD01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31AE933E-7B26-4A59-AB0E-D9A6221B8E24}"/>
    <cellStyle name="Normal 5 4 3 2 3 2 3" xfId="12030" xr:uid="{4BD5E091-CE4F-40FB-A9C1-F53EC5B936E5}"/>
    <cellStyle name="Normal 5 4 3 2 3 3" xfId="5661" xr:uid="{00000000-0005-0000-0000-0000071B0000}"/>
    <cellStyle name="Normal 5 4 3 2 3 3 2" xfId="14103" xr:uid="{DFB218AD-AF7E-43BF-B3B8-4C96E79A7CCA}"/>
    <cellStyle name="Normal 5 4 3 2 3 4" xfId="9885" xr:uid="{19074121-E6C4-4A53-BA91-1665C7BD5A48}"/>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F243A136-3887-488E-BA50-25B7E83394D3}"/>
    <cellStyle name="Normal 5 4 3 2 4 2 3" xfId="12443" xr:uid="{4A7C4BED-2F51-40B9-ADC3-4CAFD9CFC21A}"/>
    <cellStyle name="Normal 5 4 3 2 4 3" xfId="6074" xr:uid="{00000000-0005-0000-0000-00000B1B0000}"/>
    <cellStyle name="Normal 5 4 3 2 4 3 2" xfId="14516" xr:uid="{9625C09D-9994-4636-ABC9-52F163BE79BC}"/>
    <cellStyle name="Normal 5 4 3 2 4 4" xfId="10298" xr:uid="{9FE677D6-3FB3-425E-B89A-3CEBBFE20054}"/>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4DC35622-C565-4C4A-BBB4-B1E50B4EA227}"/>
    <cellStyle name="Normal 5 4 3 2 5 2 3" xfId="12856" xr:uid="{DB1EEB73-1958-4EF6-A744-394481A89711}"/>
    <cellStyle name="Normal 5 4 3 2 5 3" xfId="6487" xr:uid="{00000000-0005-0000-0000-00000F1B0000}"/>
    <cellStyle name="Normal 5 4 3 2 5 3 2" xfId="14929" xr:uid="{840B2DE3-0193-455F-9074-FF12DA552FA6}"/>
    <cellStyle name="Normal 5 4 3 2 5 4" xfId="10711" xr:uid="{3F518863-24BD-446E-ADEE-80B8B99C59CB}"/>
    <cellStyle name="Normal 5 4 3 2 6" xfId="2616" xr:uid="{00000000-0005-0000-0000-0000101B0000}"/>
    <cellStyle name="Normal 5 4 3 2 6 2" xfId="6900" xr:uid="{00000000-0005-0000-0000-0000111B0000}"/>
    <cellStyle name="Normal 5 4 3 2 6 2 2" xfId="15342" xr:uid="{B48F4FB0-56DD-4B4E-8737-E98F7BFD8699}"/>
    <cellStyle name="Normal 5 4 3 2 6 3" xfId="11124" xr:uid="{6B0C3F29-7D06-47DC-AA45-DB36359B2911}"/>
    <cellStyle name="Normal 5 4 3 2 7" xfId="4835" xr:uid="{00000000-0005-0000-0000-0000121B0000}"/>
    <cellStyle name="Normal 5 4 3 2 7 2" xfId="13277" xr:uid="{AA2127AA-BBDE-4104-AAF9-D1B22B91E8DF}"/>
    <cellStyle name="Normal 5 4 3 2 8" xfId="9059" xr:uid="{A0599E18-FC50-4BCF-A875-6E72BF13064F}"/>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85B1645A-7379-49F2-A176-D2B75E8B465A}"/>
    <cellStyle name="Normal 5 4 3 3 2 3" xfId="11616" xr:uid="{2849C5E7-A67E-47DC-B97F-D732508735CA}"/>
    <cellStyle name="Normal 5 4 3 3 3" xfId="5247" xr:uid="{00000000-0005-0000-0000-0000161B0000}"/>
    <cellStyle name="Normal 5 4 3 3 3 2" xfId="13689" xr:uid="{C80AD036-2F8B-4048-8B4A-69C1C4BF5BC3}"/>
    <cellStyle name="Normal 5 4 3 3 4" xfId="9471" xr:uid="{6F02951E-DFCF-4AD5-B730-5276E37D6AB4}"/>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A96C1C25-4869-4A5C-A46E-6227E220A5BC}"/>
    <cellStyle name="Normal 5 4 3 4 2 3" xfId="12029" xr:uid="{24A6AD16-E167-4CE4-B30B-8AFB9DA3496F}"/>
    <cellStyle name="Normal 5 4 3 4 3" xfId="5660" xr:uid="{00000000-0005-0000-0000-00001A1B0000}"/>
    <cellStyle name="Normal 5 4 3 4 3 2" xfId="14102" xr:uid="{A726A3AF-BDF5-42F1-AFAC-01977271DAB4}"/>
    <cellStyle name="Normal 5 4 3 4 4" xfId="9884" xr:uid="{75242C9F-AFDE-4F7A-AF90-0DC0F84F7045}"/>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DC3C3DB4-D389-41F2-B680-CDC41B873881}"/>
    <cellStyle name="Normal 5 4 3 5 2 3" xfId="12442" xr:uid="{C037EC77-E81A-4AC5-987F-0736890DF75D}"/>
    <cellStyle name="Normal 5 4 3 5 3" xfId="6073" xr:uid="{00000000-0005-0000-0000-00001E1B0000}"/>
    <cellStyle name="Normal 5 4 3 5 3 2" xfId="14515" xr:uid="{CE76D7AD-EA06-4D02-8E9F-9E5B0B25C6C1}"/>
    <cellStyle name="Normal 5 4 3 5 4" xfId="10297" xr:uid="{E01D3300-28BB-4E52-9752-60BF361CA824}"/>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9E62C4AF-61D9-4335-A023-A36CA4FB1DDB}"/>
    <cellStyle name="Normal 5 4 3 6 2 3" xfId="12855" xr:uid="{FE3D7B1C-BED7-449C-99CB-34894401611C}"/>
    <cellStyle name="Normal 5 4 3 6 3" xfId="6486" xr:uid="{00000000-0005-0000-0000-0000221B0000}"/>
    <cellStyle name="Normal 5 4 3 6 3 2" xfId="14928" xr:uid="{31A9B5DB-4889-4369-93E8-E268DC545C20}"/>
    <cellStyle name="Normal 5 4 3 6 4" xfId="10710" xr:uid="{C74784C0-B93C-44C6-8327-2D727BE5D231}"/>
    <cellStyle name="Normal 5 4 3 7" xfId="2615" xr:uid="{00000000-0005-0000-0000-0000231B0000}"/>
    <cellStyle name="Normal 5 4 3 7 2" xfId="6899" xr:uid="{00000000-0005-0000-0000-0000241B0000}"/>
    <cellStyle name="Normal 5 4 3 7 2 2" xfId="15341" xr:uid="{EFD9CC8F-53B2-4A22-8A9F-C6C6F60EA3B7}"/>
    <cellStyle name="Normal 5 4 3 7 3" xfId="11123" xr:uid="{F80FB7AD-DAF4-4C69-BA64-CFA7C609AA4F}"/>
    <cellStyle name="Normal 5 4 3 8" xfId="4834" xr:uid="{00000000-0005-0000-0000-0000251B0000}"/>
    <cellStyle name="Normal 5 4 3 8 2" xfId="13276" xr:uid="{2C50E1FE-02E8-415A-8EC3-804B299001B0}"/>
    <cellStyle name="Normal 5 4 3 9" xfId="9058" xr:uid="{F7FD59CE-8D68-4742-A5DB-B74CCD5F9792}"/>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D8AC895D-1BB9-46D8-8313-86ACD4A38901}"/>
    <cellStyle name="Normal 5 4 4 2 2 3" xfId="11618" xr:uid="{05B0A2FA-062D-4CD7-B630-0458F5E8280E}"/>
    <cellStyle name="Normal 5 4 4 2 3" xfId="5249" xr:uid="{00000000-0005-0000-0000-00002A1B0000}"/>
    <cellStyle name="Normal 5 4 4 2 3 2" xfId="13691" xr:uid="{99A0436C-61AA-4455-917D-DFF318B1B52F}"/>
    <cellStyle name="Normal 5 4 4 2 4" xfId="9473" xr:uid="{FA923A8C-9608-4F12-8260-51BA00FBABB6}"/>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42C8EAE3-483C-41F2-BDD7-9528458A88AA}"/>
    <cellStyle name="Normal 5 4 4 3 2 3" xfId="12031" xr:uid="{A9237C52-3DC3-4CBD-BB3B-6F93A590D002}"/>
    <cellStyle name="Normal 5 4 4 3 3" xfId="5662" xr:uid="{00000000-0005-0000-0000-00002E1B0000}"/>
    <cellStyle name="Normal 5 4 4 3 3 2" xfId="14104" xr:uid="{83CBA9C0-0089-428C-8974-02D8342BA4BF}"/>
    <cellStyle name="Normal 5 4 4 3 4" xfId="9886" xr:uid="{B9AAB852-4DDE-4281-A0EB-82F2AF1AA5D2}"/>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675D2137-140A-4A83-9999-5B228401A81C}"/>
    <cellStyle name="Normal 5 4 4 4 2 3" xfId="12444" xr:uid="{EE6C0C70-5345-47BF-B5D3-8B4A90D23135}"/>
    <cellStyle name="Normal 5 4 4 4 3" xfId="6075" xr:uid="{00000000-0005-0000-0000-0000321B0000}"/>
    <cellStyle name="Normal 5 4 4 4 3 2" xfId="14517" xr:uid="{480A78B7-E85B-4449-8818-322A1E17DEE9}"/>
    <cellStyle name="Normal 5 4 4 4 4" xfId="10299" xr:uid="{FE93DCD4-6655-4A20-A34F-38F806A842BD}"/>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CB922039-8891-4BAC-91E4-F81B991C6A21}"/>
    <cellStyle name="Normal 5 4 4 5 2 3" xfId="12857" xr:uid="{901D9F3F-6AB1-47F6-9690-B59BDB0C4A61}"/>
    <cellStyle name="Normal 5 4 4 5 3" xfId="6488" xr:uid="{00000000-0005-0000-0000-0000361B0000}"/>
    <cellStyle name="Normal 5 4 4 5 3 2" xfId="14930" xr:uid="{210B54C2-D9EB-4853-9D45-08084EB2A213}"/>
    <cellStyle name="Normal 5 4 4 5 4" xfId="10712" xr:uid="{29904F01-2FE6-448F-9220-5317763E8805}"/>
    <cellStyle name="Normal 5 4 4 6" xfId="2617" xr:uid="{00000000-0005-0000-0000-0000371B0000}"/>
    <cellStyle name="Normal 5 4 4 6 2" xfId="6901" xr:uid="{00000000-0005-0000-0000-0000381B0000}"/>
    <cellStyle name="Normal 5 4 4 6 2 2" xfId="15343" xr:uid="{3C4F9176-75BD-4953-A516-A5F396E69DC2}"/>
    <cellStyle name="Normal 5 4 4 6 3" xfId="11125" xr:uid="{912F63CA-2687-41CD-85D9-B752C19C5960}"/>
    <cellStyle name="Normal 5 4 4 7" xfId="4836" xr:uid="{00000000-0005-0000-0000-0000391B0000}"/>
    <cellStyle name="Normal 5 4 4 7 2" xfId="13278" xr:uid="{958DE869-4BD8-4C39-9657-ED84E37753AE}"/>
    <cellStyle name="Normal 5 4 4 8" xfId="9060" xr:uid="{BD7716DE-2059-4036-B5F4-8161E626F454}"/>
    <cellStyle name="Normal 5 4 5" xfId="930" xr:uid="{00000000-0005-0000-0000-00003A1B0000}"/>
    <cellStyle name="Normal 5 4 5 2" xfId="3164" xr:uid="{00000000-0005-0000-0000-00003B1B0000}"/>
    <cellStyle name="Normal 5 4 5 2 2" xfId="7387" xr:uid="{00000000-0005-0000-0000-00003C1B0000}"/>
    <cellStyle name="Normal 5 4 5 2 2 2" xfId="15829" xr:uid="{6963FBF0-E6C6-4AAE-9B20-B7A5A79BF201}"/>
    <cellStyle name="Normal 5 4 5 2 3" xfId="11611" xr:uid="{BF67C87F-AD1A-492C-9522-66C207E2778C}"/>
    <cellStyle name="Normal 5 4 5 3" xfId="5242" xr:uid="{00000000-0005-0000-0000-00003D1B0000}"/>
    <cellStyle name="Normal 5 4 5 3 2" xfId="13684" xr:uid="{81A3F98F-4263-483F-B0B8-40A4DCD4184B}"/>
    <cellStyle name="Normal 5 4 5 4" xfId="9466" xr:uid="{C719C798-A949-482A-8282-DEDE9BB1F746}"/>
    <cellStyle name="Normal 5 4 6" xfId="1347" xr:uid="{00000000-0005-0000-0000-00003E1B0000}"/>
    <cellStyle name="Normal 5 4 6 2" xfId="3577" xr:uid="{00000000-0005-0000-0000-00003F1B0000}"/>
    <cellStyle name="Normal 5 4 6 2 2" xfId="7800" xr:uid="{00000000-0005-0000-0000-0000401B0000}"/>
    <cellStyle name="Normal 5 4 6 2 2 2" xfId="16242" xr:uid="{918E577D-36A9-4BCD-8A5D-501B567C8940}"/>
    <cellStyle name="Normal 5 4 6 2 3" xfId="12024" xr:uid="{E02E5539-6C15-45A4-8E49-D45E7C817B83}"/>
    <cellStyle name="Normal 5 4 6 3" xfId="5655" xr:uid="{00000000-0005-0000-0000-0000411B0000}"/>
    <cellStyle name="Normal 5 4 6 3 2" xfId="14097" xr:uid="{825313E5-0325-49DA-A5F8-C86182891DB2}"/>
    <cellStyle name="Normal 5 4 6 4" xfId="9879" xr:uid="{161A0A5E-C23F-4146-8E5B-8B3BFF8516A4}"/>
    <cellStyle name="Normal 5 4 7" xfId="1760" xr:uid="{00000000-0005-0000-0000-0000421B0000}"/>
    <cellStyle name="Normal 5 4 7 2" xfId="3990" xr:uid="{00000000-0005-0000-0000-0000431B0000}"/>
    <cellStyle name="Normal 5 4 7 2 2" xfId="8213" xr:uid="{00000000-0005-0000-0000-0000441B0000}"/>
    <cellStyle name="Normal 5 4 7 2 2 2" xfId="16655" xr:uid="{15BF351B-8984-4C3B-A4A0-224660205DB7}"/>
    <cellStyle name="Normal 5 4 7 2 3" xfId="12437" xr:uid="{9F173C6D-2DDC-43C1-9CD3-55DD6521B924}"/>
    <cellStyle name="Normal 5 4 7 3" xfId="6068" xr:uid="{00000000-0005-0000-0000-0000451B0000}"/>
    <cellStyle name="Normal 5 4 7 3 2" xfId="14510" xr:uid="{D05879F7-3F22-4EDF-900F-BC58435E7DF1}"/>
    <cellStyle name="Normal 5 4 7 4" xfId="10292" xr:uid="{7D4CA951-1B77-4737-9FE3-311AD60F8360}"/>
    <cellStyle name="Normal 5 4 8" xfId="2174" xr:uid="{00000000-0005-0000-0000-0000461B0000}"/>
    <cellStyle name="Normal 5 4 8 2" xfId="4403" xr:uid="{00000000-0005-0000-0000-0000471B0000}"/>
    <cellStyle name="Normal 5 4 8 2 2" xfId="8626" xr:uid="{00000000-0005-0000-0000-0000481B0000}"/>
    <cellStyle name="Normal 5 4 8 2 2 2" xfId="17068" xr:uid="{AB478A44-18FA-4270-8C48-4EB74F0DF5D7}"/>
    <cellStyle name="Normal 5 4 8 2 3" xfId="12850" xr:uid="{41CBE10E-D32A-467D-ABD6-42A80CBBD7B2}"/>
    <cellStyle name="Normal 5 4 8 3" xfId="6481" xr:uid="{00000000-0005-0000-0000-0000491B0000}"/>
    <cellStyle name="Normal 5 4 8 3 2" xfId="14923" xr:uid="{9D6F41A8-258E-4593-82D8-4D28867F33ED}"/>
    <cellStyle name="Normal 5 4 8 4" xfId="10705" xr:uid="{2A4090C5-183F-44F6-B7FD-834B4316F201}"/>
    <cellStyle name="Normal 5 4 9" xfId="2610" xr:uid="{00000000-0005-0000-0000-00004A1B0000}"/>
    <cellStyle name="Normal 5 4 9 2" xfId="6894" xr:uid="{00000000-0005-0000-0000-00004B1B0000}"/>
    <cellStyle name="Normal 5 4 9 2 2" xfId="15336" xr:uid="{4AEA6CA5-93BE-41A6-A71C-6159FA4EE413}"/>
    <cellStyle name="Normal 5 4 9 3" xfId="11118" xr:uid="{3D7D8AAB-2DC8-429B-9950-016776191BDE}"/>
    <cellStyle name="Normal 5 5" xfId="464" xr:uid="{00000000-0005-0000-0000-00004C1B0000}"/>
    <cellStyle name="Normal 5 5 10" xfId="9061" xr:uid="{28A11F5C-E485-45E7-BFD1-ABFBD00F28B4}"/>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04599125-24AD-40C5-B982-B680615F64F8}"/>
    <cellStyle name="Normal 5 5 2 2 2 2 3" xfId="11621" xr:uid="{21E9A4FA-0940-40A4-82F9-F64EE51C4B40}"/>
    <cellStyle name="Normal 5 5 2 2 2 3" xfId="5252" xr:uid="{00000000-0005-0000-0000-0000521B0000}"/>
    <cellStyle name="Normal 5 5 2 2 2 3 2" xfId="13694" xr:uid="{79A87C23-BA98-4C6C-9708-FBE97932D16D}"/>
    <cellStyle name="Normal 5 5 2 2 2 4" xfId="9476" xr:uid="{1E369626-2C44-484D-A227-8000AF0ACA6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318D1652-0BF0-4E76-A10B-38EC04D0143E}"/>
    <cellStyle name="Normal 5 5 2 2 3 2 3" xfId="12034" xr:uid="{405BE11D-1CAD-4214-BC26-CDAF68DAAD19}"/>
    <cellStyle name="Normal 5 5 2 2 3 3" xfId="5665" xr:uid="{00000000-0005-0000-0000-0000561B0000}"/>
    <cellStyle name="Normal 5 5 2 2 3 3 2" xfId="14107" xr:uid="{2805D751-8354-47C3-AA73-ADE3B97C5F44}"/>
    <cellStyle name="Normal 5 5 2 2 3 4" xfId="9889" xr:uid="{D735B82A-DD19-49F2-A225-2A3776207CF2}"/>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611A3795-0B29-4049-9E35-F0C3C244A9CC}"/>
    <cellStyle name="Normal 5 5 2 2 4 2 3" xfId="12447" xr:uid="{AAB50335-EA49-4B09-A9E1-F94147BAF864}"/>
    <cellStyle name="Normal 5 5 2 2 4 3" xfId="6078" xr:uid="{00000000-0005-0000-0000-00005A1B0000}"/>
    <cellStyle name="Normal 5 5 2 2 4 3 2" xfId="14520" xr:uid="{E133B87A-DA67-4D86-A4E5-6350AD4EAD67}"/>
    <cellStyle name="Normal 5 5 2 2 4 4" xfId="10302" xr:uid="{1DB10A32-BF09-4DDD-8A8F-A20FD76C15C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4024614-0FDF-435E-8A3E-AA3FE42DC979}"/>
    <cellStyle name="Normal 5 5 2 2 5 2 3" xfId="12860" xr:uid="{91FE9337-8410-4C5B-86CF-185AEAB86148}"/>
    <cellStyle name="Normal 5 5 2 2 5 3" xfId="6491" xr:uid="{00000000-0005-0000-0000-00005E1B0000}"/>
    <cellStyle name="Normal 5 5 2 2 5 3 2" xfId="14933" xr:uid="{9EFE01F4-7080-4FC7-9677-C2142D946761}"/>
    <cellStyle name="Normal 5 5 2 2 5 4" xfId="10715" xr:uid="{EED38A0D-AD13-42B6-B056-1EC15A4A6E81}"/>
    <cellStyle name="Normal 5 5 2 2 6" xfId="2620" xr:uid="{00000000-0005-0000-0000-00005F1B0000}"/>
    <cellStyle name="Normal 5 5 2 2 6 2" xfId="6904" xr:uid="{00000000-0005-0000-0000-0000601B0000}"/>
    <cellStyle name="Normal 5 5 2 2 6 2 2" xfId="15346" xr:uid="{4160F159-DA48-48AF-8D16-F196E7490574}"/>
    <cellStyle name="Normal 5 5 2 2 6 3" xfId="11128" xr:uid="{C86FC861-0C17-4833-9EBA-66555ECC66BE}"/>
    <cellStyle name="Normal 5 5 2 2 7" xfId="4839" xr:uid="{00000000-0005-0000-0000-0000611B0000}"/>
    <cellStyle name="Normal 5 5 2 2 7 2" xfId="13281" xr:uid="{34B17CF8-5D96-4F59-9936-2B531E9F1815}"/>
    <cellStyle name="Normal 5 5 2 2 8" xfId="9063" xr:uid="{40DD5176-0EDF-4C71-9DFB-DEF35D8C89BB}"/>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5EA7C893-3278-4BDA-B489-E8E60DEE513A}"/>
    <cellStyle name="Normal 5 5 2 3 2 3" xfId="11620" xr:uid="{24AD6168-6D7E-4BC8-8F50-5D5A07B15EDC}"/>
    <cellStyle name="Normal 5 5 2 3 3" xfId="5251" xr:uid="{00000000-0005-0000-0000-0000651B0000}"/>
    <cellStyle name="Normal 5 5 2 3 3 2" xfId="13693" xr:uid="{A9A9D062-3EF7-42A0-91BB-AECDDC8B3733}"/>
    <cellStyle name="Normal 5 5 2 3 4" xfId="9475" xr:uid="{53482A42-CE0C-45A8-942E-E503DEDD6906}"/>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5A235BFF-7B17-423F-9FED-9C1F04AAAA2C}"/>
    <cellStyle name="Normal 5 5 2 4 2 3" xfId="12033" xr:uid="{B043F28B-F6D3-4CCC-9DDE-1F372AA62699}"/>
    <cellStyle name="Normal 5 5 2 4 3" xfId="5664" xr:uid="{00000000-0005-0000-0000-0000691B0000}"/>
    <cellStyle name="Normal 5 5 2 4 3 2" xfId="14106" xr:uid="{47B29228-DC46-4929-96CB-D2ADC646E821}"/>
    <cellStyle name="Normal 5 5 2 4 4" xfId="9888" xr:uid="{8D6E546E-729D-488F-A985-35049B764C64}"/>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0D1E8BB-3464-4AC0-A6D1-D4196CB7B89D}"/>
    <cellStyle name="Normal 5 5 2 5 2 3" xfId="12446" xr:uid="{796323DB-1D6D-4FDE-AEBF-B88CC1AAC65A}"/>
    <cellStyle name="Normal 5 5 2 5 3" xfId="6077" xr:uid="{00000000-0005-0000-0000-00006D1B0000}"/>
    <cellStyle name="Normal 5 5 2 5 3 2" xfId="14519" xr:uid="{B1CE396D-6FCA-463F-AD40-D9F6E78E8940}"/>
    <cellStyle name="Normal 5 5 2 5 4" xfId="10301" xr:uid="{BF2B69BC-2934-4BB7-900D-3F8C90DED46F}"/>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478C452F-D36A-4AEB-89CC-0BD8B3EE0CDD}"/>
    <cellStyle name="Normal 5 5 2 6 2 3" xfId="12859" xr:uid="{1EBED4EB-75C8-4E51-A454-050BA22A2404}"/>
    <cellStyle name="Normal 5 5 2 6 3" xfId="6490" xr:uid="{00000000-0005-0000-0000-0000711B0000}"/>
    <cellStyle name="Normal 5 5 2 6 3 2" xfId="14932" xr:uid="{42588F4D-630C-42BE-A9C0-5ABC6A40BA04}"/>
    <cellStyle name="Normal 5 5 2 6 4" xfId="10714" xr:uid="{6846DC6B-6436-4A62-8747-329821C16E8E}"/>
    <cellStyle name="Normal 5 5 2 7" xfId="2619" xr:uid="{00000000-0005-0000-0000-0000721B0000}"/>
    <cellStyle name="Normal 5 5 2 7 2" xfId="6903" xr:uid="{00000000-0005-0000-0000-0000731B0000}"/>
    <cellStyle name="Normal 5 5 2 7 2 2" xfId="15345" xr:uid="{3DABCE47-7B87-4E83-99C9-61EFCF6409E6}"/>
    <cellStyle name="Normal 5 5 2 7 3" xfId="11127" xr:uid="{04C6DEBF-0081-47F8-A4A8-232B6CDB2C7C}"/>
    <cellStyle name="Normal 5 5 2 8" xfId="4838" xr:uid="{00000000-0005-0000-0000-0000741B0000}"/>
    <cellStyle name="Normal 5 5 2 8 2" xfId="13280" xr:uid="{58B74571-86DE-4B97-8149-3478C70461F1}"/>
    <cellStyle name="Normal 5 5 2 9" xfId="9062" xr:uid="{A1B1CF77-B25C-4B5B-8A2F-865F52A3EC22}"/>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639D932A-901D-4B2C-BF15-8888E988ADE6}"/>
    <cellStyle name="Normal 5 5 3 2 2 3" xfId="11622" xr:uid="{9443108C-7938-4CCE-8FBD-F005C706B434}"/>
    <cellStyle name="Normal 5 5 3 2 3" xfId="5253" xr:uid="{00000000-0005-0000-0000-0000791B0000}"/>
    <cellStyle name="Normal 5 5 3 2 3 2" xfId="13695" xr:uid="{F02D48B7-5DA3-419F-8939-34B921EE8D87}"/>
    <cellStyle name="Normal 5 5 3 2 4" xfId="9477" xr:uid="{093F412D-5DB8-4B81-89FA-9B8906FBB1F6}"/>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58CA5AA4-8792-4B5D-9E4C-A68ADF59651D}"/>
    <cellStyle name="Normal 5 5 3 3 2 3" xfId="12035" xr:uid="{7D5EE879-A43B-4876-8AB3-A5EFF0CE3B25}"/>
    <cellStyle name="Normal 5 5 3 3 3" xfId="5666" xr:uid="{00000000-0005-0000-0000-00007D1B0000}"/>
    <cellStyle name="Normal 5 5 3 3 3 2" xfId="14108" xr:uid="{72725CA9-0687-4177-ADA9-EBAAFFD12E2E}"/>
    <cellStyle name="Normal 5 5 3 3 4" xfId="9890" xr:uid="{9A8358F2-A884-4C40-8031-150710207832}"/>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E5C291FA-4847-4156-8B4F-C15C6AEFF653}"/>
    <cellStyle name="Normal 5 5 3 4 2 3" xfId="12448" xr:uid="{D2DBEE56-84DC-4DA5-A6DB-B0C1D3FE3085}"/>
    <cellStyle name="Normal 5 5 3 4 3" xfId="6079" xr:uid="{00000000-0005-0000-0000-0000811B0000}"/>
    <cellStyle name="Normal 5 5 3 4 3 2" xfId="14521" xr:uid="{FE45D3D1-1DD1-4413-B700-FA6C6D0BA1CF}"/>
    <cellStyle name="Normal 5 5 3 4 4" xfId="10303" xr:uid="{1E4FA394-EBF1-48EA-8487-E82424D5ADCA}"/>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91A112E3-BAFB-44CA-AFAE-75EE69357BFF}"/>
    <cellStyle name="Normal 5 5 3 5 2 3" xfId="12861" xr:uid="{1C63C0D5-985C-40A3-B63C-F32E217427FC}"/>
    <cellStyle name="Normal 5 5 3 5 3" xfId="6492" xr:uid="{00000000-0005-0000-0000-0000851B0000}"/>
    <cellStyle name="Normal 5 5 3 5 3 2" xfId="14934" xr:uid="{EAF47EDE-5C58-43F8-B33F-891E3AE6506D}"/>
    <cellStyle name="Normal 5 5 3 5 4" xfId="10716" xr:uid="{33C4E081-BF6B-4BBF-B3DF-0D6ACE579450}"/>
    <cellStyle name="Normal 5 5 3 6" xfId="2621" xr:uid="{00000000-0005-0000-0000-0000861B0000}"/>
    <cellStyle name="Normal 5 5 3 6 2" xfId="6905" xr:uid="{00000000-0005-0000-0000-0000871B0000}"/>
    <cellStyle name="Normal 5 5 3 6 2 2" xfId="15347" xr:uid="{26348182-BCC6-46C3-8DF8-C03B13F47EAB}"/>
    <cellStyle name="Normal 5 5 3 6 3" xfId="11129" xr:uid="{831224F6-FD1B-4B31-BE77-214F581CFD5A}"/>
    <cellStyle name="Normal 5 5 3 7" xfId="4840" xr:uid="{00000000-0005-0000-0000-0000881B0000}"/>
    <cellStyle name="Normal 5 5 3 7 2" xfId="13282" xr:uid="{712D8FFA-F702-4E72-99BC-634F1F6E1CC2}"/>
    <cellStyle name="Normal 5 5 3 8" xfId="9064" xr:uid="{F6248836-B704-463A-A53D-C67E99A30FE0}"/>
    <cellStyle name="Normal 5 5 4" xfId="938" xr:uid="{00000000-0005-0000-0000-0000891B0000}"/>
    <cellStyle name="Normal 5 5 4 2" xfId="3172" xr:uid="{00000000-0005-0000-0000-00008A1B0000}"/>
    <cellStyle name="Normal 5 5 4 2 2" xfId="7395" xr:uid="{00000000-0005-0000-0000-00008B1B0000}"/>
    <cellStyle name="Normal 5 5 4 2 2 2" xfId="15837" xr:uid="{7DEDBAFF-8CB5-466C-A0EE-D04BA62B26EC}"/>
    <cellStyle name="Normal 5 5 4 2 3" xfId="11619" xr:uid="{B32A7DAF-CAA5-492A-A750-F83AAC0FFDCA}"/>
    <cellStyle name="Normal 5 5 4 3" xfId="5250" xr:uid="{00000000-0005-0000-0000-00008C1B0000}"/>
    <cellStyle name="Normal 5 5 4 3 2" xfId="13692" xr:uid="{816F2F12-4208-4F83-BBC6-39EE44FD42DF}"/>
    <cellStyle name="Normal 5 5 4 4" xfId="9474" xr:uid="{277E3E3C-4B72-46E2-B6BD-6F6D001C8CFA}"/>
    <cellStyle name="Normal 5 5 5" xfId="1355" xr:uid="{00000000-0005-0000-0000-00008D1B0000}"/>
    <cellStyle name="Normal 5 5 5 2" xfId="3585" xr:uid="{00000000-0005-0000-0000-00008E1B0000}"/>
    <cellStyle name="Normal 5 5 5 2 2" xfId="7808" xr:uid="{00000000-0005-0000-0000-00008F1B0000}"/>
    <cellStyle name="Normal 5 5 5 2 2 2" xfId="16250" xr:uid="{FBA04CEF-7B79-423B-9198-08B76D906F8E}"/>
    <cellStyle name="Normal 5 5 5 2 3" xfId="12032" xr:uid="{289B373C-8691-4B87-B791-D0FDB5485A8B}"/>
    <cellStyle name="Normal 5 5 5 3" xfId="5663" xr:uid="{00000000-0005-0000-0000-0000901B0000}"/>
    <cellStyle name="Normal 5 5 5 3 2" xfId="14105" xr:uid="{B137B5A4-6A59-4F58-B5F7-F9C732204B51}"/>
    <cellStyle name="Normal 5 5 5 4" xfId="9887" xr:uid="{B10CAEB5-CCE9-47A5-A21B-1F956CC90A03}"/>
    <cellStyle name="Normal 5 5 6" xfId="1768" xr:uid="{00000000-0005-0000-0000-0000911B0000}"/>
    <cellStyle name="Normal 5 5 6 2" xfId="3998" xr:uid="{00000000-0005-0000-0000-0000921B0000}"/>
    <cellStyle name="Normal 5 5 6 2 2" xfId="8221" xr:uid="{00000000-0005-0000-0000-0000931B0000}"/>
    <cellStyle name="Normal 5 5 6 2 2 2" xfId="16663" xr:uid="{11FB8227-5514-42AF-A613-5CA5DF4C1C51}"/>
    <cellStyle name="Normal 5 5 6 2 3" xfId="12445" xr:uid="{B0244B72-838F-4D59-90AD-3458F5CB05DD}"/>
    <cellStyle name="Normal 5 5 6 3" xfId="6076" xr:uid="{00000000-0005-0000-0000-0000941B0000}"/>
    <cellStyle name="Normal 5 5 6 3 2" xfId="14518" xr:uid="{F15FF4D7-3DCC-4FF1-B844-358D2173A4E3}"/>
    <cellStyle name="Normal 5 5 6 4" xfId="10300" xr:uid="{3BF09D1A-4818-42AE-8BC6-64CB3C876E51}"/>
    <cellStyle name="Normal 5 5 7" xfId="2182" xr:uid="{00000000-0005-0000-0000-0000951B0000}"/>
    <cellStyle name="Normal 5 5 7 2" xfId="4411" xr:uid="{00000000-0005-0000-0000-0000961B0000}"/>
    <cellStyle name="Normal 5 5 7 2 2" xfId="8634" xr:uid="{00000000-0005-0000-0000-0000971B0000}"/>
    <cellStyle name="Normal 5 5 7 2 2 2" xfId="17076" xr:uid="{6560B1DB-2232-4C17-B55A-362A3260530D}"/>
    <cellStyle name="Normal 5 5 7 2 3" xfId="12858" xr:uid="{187612DE-878A-44A1-947C-2E0C8910C3B8}"/>
    <cellStyle name="Normal 5 5 7 3" xfId="6489" xr:uid="{00000000-0005-0000-0000-0000981B0000}"/>
    <cellStyle name="Normal 5 5 7 3 2" xfId="14931" xr:uid="{2FBB76E9-A107-476C-98A9-F162B1DC3EF3}"/>
    <cellStyle name="Normal 5 5 7 4" xfId="10713" xr:uid="{0E091091-916E-4EBD-84C8-F6C88F029CA7}"/>
    <cellStyle name="Normal 5 5 8" xfId="2618" xr:uid="{00000000-0005-0000-0000-0000991B0000}"/>
    <cellStyle name="Normal 5 5 8 2" xfId="6902" xr:uid="{00000000-0005-0000-0000-00009A1B0000}"/>
    <cellStyle name="Normal 5 5 8 2 2" xfId="15344" xr:uid="{027256AB-9CA0-411C-84C2-7EF7B841E035}"/>
    <cellStyle name="Normal 5 5 8 3" xfId="11126" xr:uid="{0ED754B4-0A1C-4887-86A2-AAF176EB39E8}"/>
    <cellStyle name="Normal 5 5 9" xfId="4837" xr:uid="{00000000-0005-0000-0000-00009B1B0000}"/>
    <cellStyle name="Normal 5 5 9 2" xfId="13279" xr:uid="{D7BBBD08-4EE8-430C-94F9-5B0EBA0FF06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9BA85F41-6EEB-4210-9105-1F925966E167}"/>
    <cellStyle name="Normal 5 6 2 2 2 3" xfId="11624" xr:uid="{D0366C67-EF44-4BB2-81A9-4F1659761417}"/>
    <cellStyle name="Normal 5 6 2 2 3" xfId="5255" xr:uid="{00000000-0005-0000-0000-0000A11B0000}"/>
    <cellStyle name="Normal 5 6 2 2 3 2" xfId="13697" xr:uid="{E1219C1F-3858-4D24-A34F-6A147A22D6F4}"/>
    <cellStyle name="Normal 5 6 2 2 4" xfId="9479" xr:uid="{48CBFAD1-D7A8-45F3-A586-D04279454FC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AEC95578-AB7A-4F77-ACE0-2FA92A037B2B}"/>
    <cellStyle name="Normal 5 6 2 3 2 3" xfId="12037" xr:uid="{C9CAB924-7457-4489-99EA-852D64B1C128}"/>
    <cellStyle name="Normal 5 6 2 3 3" xfId="5668" xr:uid="{00000000-0005-0000-0000-0000A51B0000}"/>
    <cellStyle name="Normal 5 6 2 3 3 2" xfId="14110" xr:uid="{DAEEAEDD-D599-41FB-BEB0-D677D657DF88}"/>
    <cellStyle name="Normal 5 6 2 3 4" xfId="9892" xr:uid="{1EB522CF-BBD7-40E0-AC1D-69DC2097D1E6}"/>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34EA5360-DA1C-4E0D-B67A-C060E9438586}"/>
    <cellStyle name="Normal 5 6 2 4 2 3" xfId="12450" xr:uid="{B4A58C39-3C57-4E71-A7EE-B1C52E79FD25}"/>
    <cellStyle name="Normal 5 6 2 4 3" xfId="6081" xr:uid="{00000000-0005-0000-0000-0000A91B0000}"/>
    <cellStyle name="Normal 5 6 2 4 3 2" xfId="14523" xr:uid="{C2D47BB6-6B8A-409C-A2A3-F3D038EA3744}"/>
    <cellStyle name="Normal 5 6 2 4 4" xfId="10305" xr:uid="{9F657846-3588-4D1C-B5BD-9ABE4DD47F3E}"/>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CFB8D668-224E-4E82-BA52-1B38C273D792}"/>
    <cellStyle name="Normal 5 6 2 5 2 3" xfId="12863" xr:uid="{49DEF20A-27A9-4846-9D5C-8A2E4AC0EF38}"/>
    <cellStyle name="Normal 5 6 2 5 3" xfId="6494" xr:uid="{00000000-0005-0000-0000-0000AD1B0000}"/>
    <cellStyle name="Normal 5 6 2 5 3 2" xfId="14936" xr:uid="{FFC3C8B7-A7BF-4B33-8001-619D2E7F2126}"/>
    <cellStyle name="Normal 5 6 2 5 4" xfId="10718" xr:uid="{640884ED-0895-46CB-91F3-31AABD0D16DE}"/>
    <cellStyle name="Normal 5 6 2 6" xfId="2623" xr:uid="{00000000-0005-0000-0000-0000AE1B0000}"/>
    <cellStyle name="Normal 5 6 2 6 2" xfId="6907" xr:uid="{00000000-0005-0000-0000-0000AF1B0000}"/>
    <cellStyle name="Normal 5 6 2 6 2 2" xfId="15349" xr:uid="{8F26B4BC-CE1A-47C9-AF8B-EADE496BD32B}"/>
    <cellStyle name="Normal 5 6 2 6 3" xfId="11131" xr:uid="{962FF9A8-B2B2-4599-BD6A-B5FBB0EA82A9}"/>
    <cellStyle name="Normal 5 6 2 7" xfId="4842" xr:uid="{00000000-0005-0000-0000-0000B01B0000}"/>
    <cellStyle name="Normal 5 6 2 7 2" xfId="13284" xr:uid="{DBE52FC0-1996-4594-927A-D0A4C555E83C}"/>
    <cellStyle name="Normal 5 6 2 8" xfId="9066" xr:uid="{08A9164C-2444-4D7A-BC92-B32BB4F85566}"/>
    <cellStyle name="Normal 5 6 3" xfId="942" xr:uid="{00000000-0005-0000-0000-0000B11B0000}"/>
    <cellStyle name="Normal 5 6 3 2" xfId="3176" xr:uid="{00000000-0005-0000-0000-0000B21B0000}"/>
    <cellStyle name="Normal 5 6 3 2 2" xfId="7399" xr:uid="{00000000-0005-0000-0000-0000B31B0000}"/>
    <cellStyle name="Normal 5 6 3 2 2 2" xfId="15841" xr:uid="{93E57EE3-F740-475F-BD7B-F6B64F94AD3E}"/>
    <cellStyle name="Normal 5 6 3 2 3" xfId="11623" xr:uid="{17394957-80B8-41C7-85DF-8ABEB766AB58}"/>
    <cellStyle name="Normal 5 6 3 3" xfId="5254" xr:uid="{00000000-0005-0000-0000-0000B41B0000}"/>
    <cellStyle name="Normal 5 6 3 3 2" xfId="13696" xr:uid="{0E3F0826-779B-49ED-BCF0-6EE03248DD63}"/>
    <cellStyle name="Normal 5 6 3 4" xfId="9478" xr:uid="{B19DC997-8F2A-4D80-ADE1-BE3F899C6D15}"/>
    <cellStyle name="Normal 5 6 4" xfId="1359" xr:uid="{00000000-0005-0000-0000-0000B51B0000}"/>
    <cellStyle name="Normal 5 6 4 2" xfId="3589" xr:uid="{00000000-0005-0000-0000-0000B61B0000}"/>
    <cellStyle name="Normal 5 6 4 2 2" xfId="7812" xr:uid="{00000000-0005-0000-0000-0000B71B0000}"/>
    <cellStyle name="Normal 5 6 4 2 2 2" xfId="16254" xr:uid="{7D19F815-2FB0-4A4F-B6F8-7A313135AE24}"/>
    <cellStyle name="Normal 5 6 4 2 3" xfId="12036" xr:uid="{6A0D7901-F973-4819-A38E-36CB96C2A8A2}"/>
    <cellStyle name="Normal 5 6 4 3" xfId="5667" xr:uid="{00000000-0005-0000-0000-0000B81B0000}"/>
    <cellStyle name="Normal 5 6 4 3 2" xfId="14109" xr:uid="{039D527E-0048-4AE7-B396-2607478F7A83}"/>
    <cellStyle name="Normal 5 6 4 4" xfId="9891" xr:uid="{6C02F668-F9AF-46E3-B48A-A989A8BBDF99}"/>
    <cellStyle name="Normal 5 6 5" xfId="1772" xr:uid="{00000000-0005-0000-0000-0000B91B0000}"/>
    <cellStyle name="Normal 5 6 5 2" xfId="4002" xr:uid="{00000000-0005-0000-0000-0000BA1B0000}"/>
    <cellStyle name="Normal 5 6 5 2 2" xfId="8225" xr:uid="{00000000-0005-0000-0000-0000BB1B0000}"/>
    <cellStyle name="Normal 5 6 5 2 2 2" xfId="16667" xr:uid="{6E0CA157-9E48-44DC-AA0B-578841ABF26A}"/>
    <cellStyle name="Normal 5 6 5 2 3" xfId="12449" xr:uid="{05001365-282C-4475-9E10-867CF9263B4C}"/>
    <cellStyle name="Normal 5 6 5 3" xfId="6080" xr:uid="{00000000-0005-0000-0000-0000BC1B0000}"/>
    <cellStyle name="Normal 5 6 5 3 2" xfId="14522" xr:uid="{46D627F3-5AC2-4217-B8F3-3A58137EF157}"/>
    <cellStyle name="Normal 5 6 5 4" xfId="10304" xr:uid="{CF52F5BE-38B6-4C87-A5AE-4C3C581C438C}"/>
    <cellStyle name="Normal 5 6 6" xfId="2186" xr:uid="{00000000-0005-0000-0000-0000BD1B0000}"/>
    <cellStyle name="Normal 5 6 6 2" xfId="4415" xr:uid="{00000000-0005-0000-0000-0000BE1B0000}"/>
    <cellStyle name="Normal 5 6 6 2 2" xfId="8638" xr:uid="{00000000-0005-0000-0000-0000BF1B0000}"/>
    <cellStyle name="Normal 5 6 6 2 2 2" xfId="17080" xr:uid="{120B6B6F-370C-4AAB-B8B3-B3DDE5947513}"/>
    <cellStyle name="Normal 5 6 6 2 3" xfId="12862" xr:uid="{39118A66-BD7A-49BF-9C95-E15B65BED451}"/>
    <cellStyle name="Normal 5 6 6 3" xfId="6493" xr:uid="{00000000-0005-0000-0000-0000C01B0000}"/>
    <cellStyle name="Normal 5 6 6 3 2" xfId="14935" xr:uid="{F5B0FD7E-EBDF-4EBF-B602-9B1C15E5A2F1}"/>
    <cellStyle name="Normal 5 6 6 4" xfId="10717" xr:uid="{1D08FCED-A2D7-4B77-B843-941A23FD16BD}"/>
    <cellStyle name="Normal 5 6 7" xfId="2622" xr:uid="{00000000-0005-0000-0000-0000C11B0000}"/>
    <cellStyle name="Normal 5 6 7 2" xfId="6906" xr:uid="{00000000-0005-0000-0000-0000C21B0000}"/>
    <cellStyle name="Normal 5 6 7 2 2" xfId="15348" xr:uid="{5BF6C89E-E81E-404A-8013-DD412396CB9A}"/>
    <cellStyle name="Normal 5 6 7 3" xfId="11130" xr:uid="{36700FF0-4D3A-442B-A8EF-A8DAECF0C95F}"/>
    <cellStyle name="Normal 5 6 8" xfId="4841" xr:uid="{00000000-0005-0000-0000-0000C31B0000}"/>
    <cellStyle name="Normal 5 6 8 2" xfId="13283" xr:uid="{45D397A1-B91D-4070-AC1A-DA8C401D84DE}"/>
    <cellStyle name="Normal 5 6 9" xfId="9065" xr:uid="{9FDC0F74-3789-4BBE-8B76-26E56BCC8F9B}"/>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44DE52AA-0816-4F94-A747-63CE14A30831}"/>
    <cellStyle name="Normal 5 7 2 2 3" xfId="11625" xr:uid="{1A19D819-904C-4797-BF4A-EAD6FD75CB7B}"/>
    <cellStyle name="Normal 5 7 2 3" xfId="5256" xr:uid="{00000000-0005-0000-0000-0000C81B0000}"/>
    <cellStyle name="Normal 5 7 2 3 2" xfId="13698" xr:uid="{71383F09-55DF-455F-8BB6-358D0877EC0D}"/>
    <cellStyle name="Normal 5 7 2 4" xfId="9480" xr:uid="{37841767-9115-4AEF-A5AB-617BAC5A4802}"/>
    <cellStyle name="Normal 5 7 3" xfId="1361" xr:uid="{00000000-0005-0000-0000-0000C91B0000}"/>
    <cellStyle name="Normal 5 7 3 2" xfId="3591" xr:uid="{00000000-0005-0000-0000-0000CA1B0000}"/>
    <cellStyle name="Normal 5 7 3 2 2" xfId="7814" xr:uid="{00000000-0005-0000-0000-0000CB1B0000}"/>
    <cellStyle name="Normal 5 7 3 2 2 2" xfId="16256" xr:uid="{CC9106D9-0868-4FD7-BAF0-55BBC100D032}"/>
    <cellStyle name="Normal 5 7 3 2 3" xfId="12038" xr:uid="{292C5F81-1235-45D2-8208-B54FCC7C6F1E}"/>
    <cellStyle name="Normal 5 7 3 3" xfId="5669" xr:uid="{00000000-0005-0000-0000-0000CC1B0000}"/>
    <cellStyle name="Normal 5 7 3 3 2" xfId="14111" xr:uid="{50E62419-510A-45D8-9A0B-647B3235BEFE}"/>
    <cellStyle name="Normal 5 7 3 4" xfId="9893" xr:uid="{66A0AE24-905D-4BB5-B647-0242C8EF2470}"/>
    <cellStyle name="Normal 5 7 4" xfId="1774" xr:uid="{00000000-0005-0000-0000-0000CD1B0000}"/>
    <cellStyle name="Normal 5 7 4 2" xfId="4004" xr:uid="{00000000-0005-0000-0000-0000CE1B0000}"/>
    <cellStyle name="Normal 5 7 4 2 2" xfId="8227" xr:uid="{00000000-0005-0000-0000-0000CF1B0000}"/>
    <cellStyle name="Normal 5 7 4 2 2 2" xfId="16669" xr:uid="{094BA125-F4E6-4363-8FBD-180B71BB54D2}"/>
    <cellStyle name="Normal 5 7 4 2 3" xfId="12451" xr:uid="{4D6C5487-BD52-4A7A-806C-8568389CBAF3}"/>
    <cellStyle name="Normal 5 7 4 3" xfId="6082" xr:uid="{00000000-0005-0000-0000-0000D01B0000}"/>
    <cellStyle name="Normal 5 7 4 3 2" xfId="14524" xr:uid="{4E5A3EA0-1195-4BE5-96B5-12CB2454EF4F}"/>
    <cellStyle name="Normal 5 7 4 4" xfId="10306" xr:uid="{77247C5F-627B-4E40-AD01-BD480AC1E554}"/>
    <cellStyle name="Normal 5 7 5" xfId="2188" xr:uid="{00000000-0005-0000-0000-0000D11B0000}"/>
    <cellStyle name="Normal 5 7 5 2" xfId="4417" xr:uid="{00000000-0005-0000-0000-0000D21B0000}"/>
    <cellStyle name="Normal 5 7 5 2 2" xfId="8640" xr:uid="{00000000-0005-0000-0000-0000D31B0000}"/>
    <cellStyle name="Normal 5 7 5 2 2 2" xfId="17082" xr:uid="{EACDE7DF-3042-4475-B22E-D592DD25CA3D}"/>
    <cellStyle name="Normal 5 7 5 2 3" xfId="12864" xr:uid="{198B8D89-88EC-4C93-A64A-376FEAD49C07}"/>
    <cellStyle name="Normal 5 7 5 3" xfId="6495" xr:uid="{00000000-0005-0000-0000-0000D41B0000}"/>
    <cellStyle name="Normal 5 7 5 3 2" xfId="14937" xr:uid="{4359FD92-30DC-4514-B4F8-FA8495E5C6AC}"/>
    <cellStyle name="Normal 5 7 5 4" xfId="10719" xr:uid="{28197045-5E59-42A9-94D8-0E979AB1198C}"/>
    <cellStyle name="Normal 5 7 6" xfId="2624" xr:uid="{00000000-0005-0000-0000-0000D51B0000}"/>
    <cellStyle name="Normal 5 7 6 2" xfId="6908" xr:uid="{00000000-0005-0000-0000-0000D61B0000}"/>
    <cellStyle name="Normal 5 7 6 2 2" xfId="15350" xr:uid="{176EBF5F-132F-4807-A1EE-C522B345A1F4}"/>
    <cellStyle name="Normal 5 7 6 3" xfId="11132" xr:uid="{6ACDB930-DBDA-4A63-AFA9-7658F2EF18CD}"/>
    <cellStyle name="Normal 5 7 7" xfId="4843" xr:uid="{00000000-0005-0000-0000-0000D71B0000}"/>
    <cellStyle name="Normal 5 7 7 2" xfId="13285" xr:uid="{B59FBA0D-1F90-479B-8D59-610F8867B2B7}"/>
    <cellStyle name="Normal 5 7 8" xfId="9067" xr:uid="{615107CF-4740-41EC-B5CC-18F298CFD9A0}"/>
    <cellStyle name="Normal 5 8" xfId="880" xr:uid="{00000000-0005-0000-0000-0000D81B0000}"/>
    <cellStyle name="Normal 5 8 2" xfId="3115" xr:uid="{00000000-0005-0000-0000-0000D91B0000}"/>
    <cellStyle name="Normal 5 8 2 2" xfId="7338" xr:uid="{00000000-0005-0000-0000-0000DA1B0000}"/>
    <cellStyle name="Normal 5 8 2 2 2" xfId="15780" xr:uid="{AF9CFCEB-DCB5-4685-B452-8B92FFE662EF}"/>
    <cellStyle name="Normal 5 8 2 3" xfId="11562" xr:uid="{ADC2A7B8-BDE6-4800-8295-621110EF544D}"/>
    <cellStyle name="Normal 5 8 3" xfId="5193" xr:uid="{00000000-0005-0000-0000-0000DB1B0000}"/>
    <cellStyle name="Normal 5 8 3 2" xfId="13635" xr:uid="{13BD91B1-BAE3-4AAC-8E17-DF007CD37062}"/>
    <cellStyle name="Normal 5 8 4" xfId="9417" xr:uid="{7C897E78-73A6-4814-913A-1E20A8CD483F}"/>
    <cellStyle name="Normal 5 9" xfId="1298" xr:uid="{00000000-0005-0000-0000-0000DC1B0000}"/>
    <cellStyle name="Normal 5 9 2" xfId="3528" xr:uid="{00000000-0005-0000-0000-0000DD1B0000}"/>
    <cellStyle name="Normal 5 9 2 2" xfId="7751" xr:uid="{00000000-0005-0000-0000-0000DE1B0000}"/>
    <cellStyle name="Normal 5 9 2 2 2" xfId="16193" xr:uid="{6DBD1319-A524-4254-A273-856726311105}"/>
    <cellStyle name="Normal 5 9 2 3" xfId="11975" xr:uid="{0173DAC1-300C-42C4-80D8-9508971AA7D6}"/>
    <cellStyle name="Normal 5 9 3" xfId="5606" xr:uid="{00000000-0005-0000-0000-0000DF1B0000}"/>
    <cellStyle name="Normal 5 9 3 2" xfId="14048" xr:uid="{3834B950-F484-41BC-84B7-FC7C132E779B}"/>
    <cellStyle name="Normal 5 9 4" xfId="9830" xr:uid="{916F08EE-B6E2-4F3F-A6CF-F37656B0E06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62EAF034-094B-4BC6-A9AF-606F3DD83491}"/>
    <cellStyle name="Normal 8 10 2 3" xfId="12865" xr:uid="{210F2925-5E03-4D4D-A9FB-EB8B86C7C793}"/>
    <cellStyle name="Normal 8 10 3" xfId="6496" xr:uid="{00000000-0005-0000-0000-0000EB1B0000}"/>
    <cellStyle name="Normal 8 10 3 2" xfId="14938" xr:uid="{1A7B175A-45FD-4D79-8F6E-41E234E33648}"/>
    <cellStyle name="Normal 8 10 4" xfId="10720" xr:uid="{84E19EA2-05B2-4667-95A0-7C6909E42082}"/>
    <cellStyle name="Normal 8 11" xfId="2625" xr:uid="{00000000-0005-0000-0000-0000EC1B0000}"/>
    <cellStyle name="Normal 8 11 2" xfId="6909" xr:uid="{00000000-0005-0000-0000-0000ED1B0000}"/>
    <cellStyle name="Normal 8 11 2 2" xfId="15351" xr:uid="{9EC95DA6-6B95-4CDA-93E9-3A0390B7D886}"/>
    <cellStyle name="Normal 8 11 3" xfId="11133" xr:uid="{43A4A596-9A6E-4260-B90E-4C272AB20317}"/>
    <cellStyle name="Normal 8 12" xfId="4844" xr:uid="{00000000-0005-0000-0000-0000EE1B0000}"/>
    <cellStyle name="Normal 8 12 2" xfId="13286" xr:uid="{F44C0460-C03C-496E-B2B6-A15C730B7410}"/>
    <cellStyle name="Normal 8 13" xfId="9068" xr:uid="{EA1BAC8E-60C4-44E7-AD50-765752FBA2D9}"/>
    <cellStyle name="Normal 8 2" xfId="479" xr:uid="{00000000-0005-0000-0000-0000EF1B0000}"/>
    <cellStyle name="Normal 8 2 10" xfId="2626" xr:uid="{00000000-0005-0000-0000-0000F01B0000}"/>
    <cellStyle name="Normal 8 2 10 2" xfId="6910" xr:uid="{00000000-0005-0000-0000-0000F11B0000}"/>
    <cellStyle name="Normal 8 2 10 2 2" xfId="15352" xr:uid="{13757346-64CD-4835-BB40-A19270574E35}"/>
    <cellStyle name="Normal 8 2 10 3" xfId="11134" xr:uid="{CF89FD99-311C-4083-8C95-ED33F013ED7C}"/>
    <cellStyle name="Normal 8 2 11" xfId="4845" xr:uid="{00000000-0005-0000-0000-0000F21B0000}"/>
    <cellStyle name="Normal 8 2 11 2" xfId="13287" xr:uid="{42C022D9-A3F9-4C95-BE9E-BD3B03B65A39}"/>
    <cellStyle name="Normal 8 2 12" xfId="9069" xr:uid="{FCCCDA8F-1407-47FB-BE6C-5B851431C455}"/>
    <cellStyle name="Normal 8 2 2" xfId="480" xr:uid="{00000000-0005-0000-0000-0000F31B0000}"/>
    <cellStyle name="Normal 8 2 2 10" xfId="4846" xr:uid="{00000000-0005-0000-0000-0000F41B0000}"/>
    <cellStyle name="Normal 8 2 2 10 2" xfId="13288" xr:uid="{FE7E6342-2D74-4F2A-BC4D-09F9E7DF3010}"/>
    <cellStyle name="Normal 8 2 2 11" xfId="9070" xr:uid="{7102DF86-E2E4-43C3-BD39-33FC250505E8}"/>
    <cellStyle name="Normal 8 2 2 2" xfId="481" xr:uid="{00000000-0005-0000-0000-0000F51B0000}"/>
    <cellStyle name="Normal 8 2 2 2 10" xfId="9071" xr:uid="{F35F3D92-C609-4C80-95BF-DAACCC4F0C7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F0B0F8B5-ABA5-4E7C-937A-CDB94A9EB539}"/>
    <cellStyle name="Normal 8 2 2 2 2 2 2 2 3" xfId="11631" xr:uid="{FA7FDDE1-7DDD-4F53-8DDD-3F40EFEE7B6A}"/>
    <cellStyle name="Normal 8 2 2 2 2 2 2 3" xfId="5262" xr:uid="{00000000-0005-0000-0000-0000FB1B0000}"/>
    <cellStyle name="Normal 8 2 2 2 2 2 2 3 2" xfId="13704" xr:uid="{7AB9379F-9BFC-4736-A3BF-1CAC25E65AEA}"/>
    <cellStyle name="Normal 8 2 2 2 2 2 2 4" xfId="9486" xr:uid="{7BF784EB-FB72-48E0-98D1-6755C59D95B9}"/>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E3B128BB-876C-4106-AD1C-A8EC98B6365C}"/>
    <cellStyle name="Normal 8 2 2 2 2 2 3 2 3" xfId="12044" xr:uid="{352102AF-272A-4EEB-BD2D-EDCD6C027B8A}"/>
    <cellStyle name="Normal 8 2 2 2 2 2 3 3" xfId="5675" xr:uid="{00000000-0005-0000-0000-0000FF1B0000}"/>
    <cellStyle name="Normal 8 2 2 2 2 2 3 3 2" xfId="14117" xr:uid="{A1F30CC6-8B72-4316-A0AA-7E1997CFFA64}"/>
    <cellStyle name="Normal 8 2 2 2 2 2 3 4" xfId="9899" xr:uid="{FCDBED7A-C117-4ECF-AF1D-2558A4AAEF3A}"/>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3A120F48-A280-4E96-9409-C262A4EE0070}"/>
    <cellStyle name="Normal 8 2 2 2 2 2 4 2 3" xfId="12457" xr:uid="{27A0EF10-ED2C-4999-B586-49B2BBB0556A}"/>
    <cellStyle name="Normal 8 2 2 2 2 2 4 3" xfId="6088" xr:uid="{00000000-0005-0000-0000-0000031C0000}"/>
    <cellStyle name="Normal 8 2 2 2 2 2 4 3 2" xfId="14530" xr:uid="{D8E8B00F-7A88-4710-9BFE-9BA79CE71D28}"/>
    <cellStyle name="Normal 8 2 2 2 2 2 4 4" xfId="10312" xr:uid="{AE925458-D1DD-4273-B575-B76E4766EEA4}"/>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E2B263BB-5C79-4A92-BC05-FA37D616CC34}"/>
    <cellStyle name="Normal 8 2 2 2 2 2 5 2 3" xfId="12870" xr:uid="{C220A6B9-2CEA-45C3-A130-61209CB2775F}"/>
    <cellStyle name="Normal 8 2 2 2 2 2 5 3" xfId="6501" xr:uid="{00000000-0005-0000-0000-0000071C0000}"/>
    <cellStyle name="Normal 8 2 2 2 2 2 5 3 2" xfId="14943" xr:uid="{CAE97DCD-AAF7-411C-9D3F-FB015ADBAEFD}"/>
    <cellStyle name="Normal 8 2 2 2 2 2 5 4" xfId="10725" xr:uid="{9973D88F-AA72-4C63-B3B9-1505C02CEB99}"/>
    <cellStyle name="Normal 8 2 2 2 2 2 6" xfId="2630" xr:uid="{00000000-0005-0000-0000-0000081C0000}"/>
    <cellStyle name="Normal 8 2 2 2 2 2 6 2" xfId="6914" xr:uid="{00000000-0005-0000-0000-0000091C0000}"/>
    <cellStyle name="Normal 8 2 2 2 2 2 6 2 2" xfId="15356" xr:uid="{707F0215-2BF0-4AA9-8647-CB61F74501E5}"/>
    <cellStyle name="Normal 8 2 2 2 2 2 6 3" xfId="11138" xr:uid="{E5008369-9EDD-4B63-A41C-4A43A344C664}"/>
    <cellStyle name="Normal 8 2 2 2 2 2 7" xfId="4849" xr:uid="{00000000-0005-0000-0000-00000A1C0000}"/>
    <cellStyle name="Normal 8 2 2 2 2 2 7 2" xfId="13291" xr:uid="{EAA56ACD-65AA-43EF-A611-0C234413C9DB}"/>
    <cellStyle name="Normal 8 2 2 2 2 2 8" xfId="9073" xr:uid="{A4DEF8F6-79E1-473D-91D1-A7F3CD7E085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F2DD3EDC-A39A-42B1-B2F5-DC1FB9CC8E34}"/>
    <cellStyle name="Normal 8 2 2 2 2 3 2 3" xfId="11630" xr:uid="{694297FC-6DF0-4FC5-8604-AE570B4BAD0D}"/>
    <cellStyle name="Normal 8 2 2 2 2 3 3" xfId="5261" xr:uid="{00000000-0005-0000-0000-00000E1C0000}"/>
    <cellStyle name="Normal 8 2 2 2 2 3 3 2" xfId="13703" xr:uid="{082F501D-7BE8-460B-8F4D-74A6A3EF171B}"/>
    <cellStyle name="Normal 8 2 2 2 2 3 4" xfId="9485" xr:uid="{9BB2BE0B-DEE8-4BC8-BFE3-EAD3314CF96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830CBA34-3BF0-4B85-A2AE-2F8DE51B157E}"/>
    <cellStyle name="Normal 8 2 2 2 2 4 2 3" xfId="12043" xr:uid="{2AAEDA00-1053-4A28-A6D9-6D1F4926DDCB}"/>
    <cellStyle name="Normal 8 2 2 2 2 4 3" xfId="5674" xr:uid="{00000000-0005-0000-0000-0000121C0000}"/>
    <cellStyle name="Normal 8 2 2 2 2 4 3 2" xfId="14116" xr:uid="{EBB34F32-8B5E-407D-B965-0E1CA9CD3864}"/>
    <cellStyle name="Normal 8 2 2 2 2 4 4" xfId="9898" xr:uid="{C48AAE24-D64A-4D65-9D7A-EB612455C985}"/>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F173FF1C-7F9C-4AC8-AB71-13F60F76AC76}"/>
    <cellStyle name="Normal 8 2 2 2 2 5 2 3" xfId="12456" xr:uid="{CD1A6383-433D-4368-A3E8-DF89D2CA8226}"/>
    <cellStyle name="Normal 8 2 2 2 2 5 3" xfId="6087" xr:uid="{00000000-0005-0000-0000-0000161C0000}"/>
    <cellStyle name="Normal 8 2 2 2 2 5 3 2" xfId="14529" xr:uid="{10A5280D-3272-4DD9-A47C-4527F0A38B01}"/>
    <cellStyle name="Normal 8 2 2 2 2 5 4" xfId="10311" xr:uid="{6B843705-563D-48A2-9678-0A773F629187}"/>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52E9E4B6-E5A3-49C0-A061-4C474EF810F8}"/>
    <cellStyle name="Normal 8 2 2 2 2 6 2 3" xfId="12869" xr:uid="{8E0348F0-9CEC-4831-B764-97D91A926834}"/>
    <cellStyle name="Normal 8 2 2 2 2 6 3" xfId="6500" xr:uid="{00000000-0005-0000-0000-00001A1C0000}"/>
    <cellStyle name="Normal 8 2 2 2 2 6 3 2" xfId="14942" xr:uid="{B9BB8249-9A7F-41ED-B78F-EDAE40191E2A}"/>
    <cellStyle name="Normal 8 2 2 2 2 6 4" xfId="10724" xr:uid="{64A6FE17-49F0-491B-A105-B24060755954}"/>
    <cellStyle name="Normal 8 2 2 2 2 7" xfId="2629" xr:uid="{00000000-0005-0000-0000-00001B1C0000}"/>
    <cellStyle name="Normal 8 2 2 2 2 7 2" xfId="6913" xr:uid="{00000000-0005-0000-0000-00001C1C0000}"/>
    <cellStyle name="Normal 8 2 2 2 2 7 2 2" xfId="15355" xr:uid="{7E1B1500-E342-4A4A-BFDC-5F16F76B3BFE}"/>
    <cellStyle name="Normal 8 2 2 2 2 7 3" xfId="11137" xr:uid="{8107A33F-AE0F-4D3D-A87E-2E21B6E07520}"/>
    <cellStyle name="Normal 8 2 2 2 2 8" xfId="4848" xr:uid="{00000000-0005-0000-0000-00001D1C0000}"/>
    <cellStyle name="Normal 8 2 2 2 2 8 2" xfId="13290" xr:uid="{2289874E-6B2E-414C-90D9-4ECB9FC87F5F}"/>
    <cellStyle name="Normal 8 2 2 2 2 9" xfId="9072" xr:uid="{AD0DE068-C36D-4645-914C-B463254A6BE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EF8FE94E-466E-4BA1-8980-D52EA8B67B5F}"/>
    <cellStyle name="Normal 8 2 2 2 3 2 2 3" xfId="11632" xr:uid="{1A6A2E84-0A5A-40DA-81A9-B77DC50F3B7F}"/>
    <cellStyle name="Normal 8 2 2 2 3 2 3" xfId="5263" xr:uid="{00000000-0005-0000-0000-0000221C0000}"/>
    <cellStyle name="Normal 8 2 2 2 3 2 3 2" xfId="13705" xr:uid="{9512BA49-B624-4AB1-BCC0-91957ABA42AE}"/>
    <cellStyle name="Normal 8 2 2 2 3 2 4" xfId="9487" xr:uid="{5F714324-7A9F-4864-A61C-636421D96315}"/>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B6684F18-AB47-47BF-BEE9-D062E4DE67B0}"/>
    <cellStyle name="Normal 8 2 2 2 3 3 2 3" xfId="12045" xr:uid="{46EC6EE0-EB88-4D50-A59F-DD1DE3C8038D}"/>
    <cellStyle name="Normal 8 2 2 2 3 3 3" xfId="5676" xr:uid="{00000000-0005-0000-0000-0000261C0000}"/>
    <cellStyle name="Normal 8 2 2 2 3 3 3 2" xfId="14118" xr:uid="{46F085D7-E63D-496A-8599-7F7269D1F693}"/>
    <cellStyle name="Normal 8 2 2 2 3 3 4" xfId="9900" xr:uid="{0E4EB2A6-B7B1-498D-9525-93E35FF5285C}"/>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0E0E9AAE-E5AA-4245-90E9-751A01B08176}"/>
    <cellStyle name="Normal 8 2 2 2 3 4 2 3" xfId="12458" xr:uid="{525583F4-0F92-4191-9B77-CC7E48970AC3}"/>
    <cellStyle name="Normal 8 2 2 2 3 4 3" xfId="6089" xr:uid="{00000000-0005-0000-0000-00002A1C0000}"/>
    <cellStyle name="Normal 8 2 2 2 3 4 3 2" xfId="14531" xr:uid="{6C6281E1-9516-4518-AB89-BC642C0F97B8}"/>
    <cellStyle name="Normal 8 2 2 2 3 4 4" xfId="10313" xr:uid="{A70F5A6B-4F9E-4EFE-B190-5F3775DA01F5}"/>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253764BA-05C6-4C5B-BCE3-BBADE6B0EEDA}"/>
    <cellStyle name="Normal 8 2 2 2 3 5 2 3" xfId="12871" xr:uid="{6D29DF4C-5F79-4E36-8275-66D4BC37595C}"/>
    <cellStyle name="Normal 8 2 2 2 3 5 3" xfId="6502" xr:uid="{00000000-0005-0000-0000-00002E1C0000}"/>
    <cellStyle name="Normal 8 2 2 2 3 5 3 2" xfId="14944" xr:uid="{7C688C43-286B-4E7A-8F21-8C9B882CF68E}"/>
    <cellStyle name="Normal 8 2 2 2 3 5 4" xfId="10726" xr:uid="{FD6D3EA3-8553-4446-A2E8-FCE167BE7A24}"/>
    <cellStyle name="Normal 8 2 2 2 3 6" xfId="2631" xr:uid="{00000000-0005-0000-0000-00002F1C0000}"/>
    <cellStyle name="Normal 8 2 2 2 3 6 2" xfId="6915" xr:uid="{00000000-0005-0000-0000-0000301C0000}"/>
    <cellStyle name="Normal 8 2 2 2 3 6 2 2" xfId="15357" xr:uid="{71A3F227-85F4-4BAF-BB8B-150E8120EA8E}"/>
    <cellStyle name="Normal 8 2 2 2 3 6 3" xfId="11139" xr:uid="{9A47AC6B-F47E-453B-B523-A895114217E0}"/>
    <cellStyle name="Normal 8 2 2 2 3 7" xfId="4850" xr:uid="{00000000-0005-0000-0000-0000311C0000}"/>
    <cellStyle name="Normal 8 2 2 2 3 7 2" xfId="13292" xr:uid="{094FD373-C87F-4621-8B96-2CE1B015F42E}"/>
    <cellStyle name="Normal 8 2 2 2 3 8" xfId="9074" xr:uid="{E88A12B3-A669-48DF-8D5F-EAA1EDD8237F}"/>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92C4825E-5CC1-4E19-9A66-DDA472B48CD3}"/>
    <cellStyle name="Normal 8 2 2 2 4 2 3" xfId="11629" xr:uid="{7CC986E3-F9A0-4C97-BFA0-E399D7A1B51D}"/>
    <cellStyle name="Normal 8 2 2 2 4 3" xfId="5260" xr:uid="{00000000-0005-0000-0000-0000351C0000}"/>
    <cellStyle name="Normal 8 2 2 2 4 3 2" xfId="13702" xr:uid="{F91046CC-6E23-4B46-96C0-7C6C38FFA8EB}"/>
    <cellStyle name="Normal 8 2 2 2 4 4" xfId="9484" xr:uid="{1F456F53-B9AA-46ED-9983-E05F7C1B872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C25F1540-A307-4263-B62D-76A8CC02D6C0}"/>
    <cellStyle name="Normal 8 2 2 2 5 2 3" xfId="12042" xr:uid="{BC6B16DD-9E70-46D9-A056-A0E75A3F10BB}"/>
    <cellStyle name="Normal 8 2 2 2 5 3" xfId="5673" xr:uid="{00000000-0005-0000-0000-0000391C0000}"/>
    <cellStyle name="Normal 8 2 2 2 5 3 2" xfId="14115" xr:uid="{AE286554-D1AC-4A81-B41F-F7F79677E808}"/>
    <cellStyle name="Normal 8 2 2 2 5 4" xfId="9897" xr:uid="{8C940A25-75E4-4946-B93E-FCFB7BEEA854}"/>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3267801E-C380-4D0B-9C37-296D02778D57}"/>
    <cellStyle name="Normal 8 2 2 2 6 2 3" xfId="12455" xr:uid="{4997CEC2-DBC3-45D6-83C8-34D0E7EC33E9}"/>
    <cellStyle name="Normal 8 2 2 2 6 3" xfId="6086" xr:uid="{00000000-0005-0000-0000-00003D1C0000}"/>
    <cellStyle name="Normal 8 2 2 2 6 3 2" xfId="14528" xr:uid="{286E10A9-677B-46BC-9502-315546E43D35}"/>
    <cellStyle name="Normal 8 2 2 2 6 4" xfId="10310" xr:uid="{AD5DC15B-A3D4-46CC-B482-1A8B6064532A}"/>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F0EC2DBB-64BA-4B6B-8746-E903F350F1C7}"/>
    <cellStyle name="Normal 8 2 2 2 7 2 3" xfId="12868" xr:uid="{76A2180D-8394-4315-B909-558DC139C1D7}"/>
    <cellStyle name="Normal 8 2 2 2 7 3" xfId="6499" xr:uid="{00000000-0005-0000-0000-0000411C0000}"/>
    <cellStyle name="Normal 8 2 2 2 7 3 2" xfId="14941" xr:uid="{7B64673F-093C-4223-BD81-AAA3858E00AF}"/>
    <cellStyle name="Normal 8 2 2 2 7 4" xfId="10723" xr:uid="{1267734E-8D6B-4C2A-823C-B7E1019D760F}"/>
    <cellStyle name="Normal 8 2 2 2 8" xfId="2628" xr:uid="{00000000-0005-0000-0000-0000421C0000}"/>
    <cellStyle name="Normal 8 2 2 2 8 2" xfId="6912" xr:uid="{00000000-0005-0000-0000-0000431C0000}"/>
    <cellStyle name="Normal 8 2 2 2 8 2 2" xfId="15354" xr:uid="{BA0B1E3A-9CC8-41AC-95EC-81AC692CE079}"/>
    <cellStyle name="Normal 8 2 2 2 8 3" xfId="11136" xr:uid="{1274A8ED-DC82-4C44-808F-207F8377B2C9}"/>
    <cellStyle name="Normal 8 2 2 2 9" xfId="4847" xr:uid="{00000000-0005-0000-0000-0000441C0000}"/>
    <cellStyle name="Normal 8 2 2 2 9 2" xfId="13289" xr:uid="{7BD96A6A-B936-469C-801F-7DEA0BD2535E}"/>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3C984BA2-E2D4-44C7-BE0B-0E0FB99960AE}"/>
    <cellStyle name="Normal 8 2 2 3 2 2 2 3" xfId="11634" xr:uid="{AF11EB9B-F51D-4A0D-A482-DFBA16664E05}"/>
    <cellStyle name="Normal 8 2 2 3 2 2 3" xfId="5265" xr:uid="{00000000-0005-0000-0000-00004A1C0000}"/>
    <cellStyle name="Normal 8 2 2 3 2 2 3 2" xfId="13707" xr:uid="{716FC3ED-82A9-4F86-B24B-26D2BE467694}"/>
    <cellStyle name="Normal 8 2 2 3 2 2 4" xfId="9489" xr:uid="{5DB9C891-2EB8-4055-93DC-F6C84D425E0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0C1D41F5-DFDC-4C42-A98C-9B8142C89ACB}"/>
    <cellStyle name="Normal 8 2 2 3 2 3 2 3" xfId="12047" xr:uid="{0C665952-DCC0-4FA2-A130-D38296524B8C}"/>
    <cellStyle name="Normal 8 2 2 3 2 3 3" xfId="5678" xr:uid="{00000000-0005-0000-0000-00004E1C0000}"/>
    <cellStyle name="Normal 8 2 2 3 2 3 3 2" xfId="14120" xr:uid="{0C4AC192-9110-4291-A040-9EE7F9E6BB1F}"/>
    <cellStyle name="Normal 8 2 2 3 2 3 4" xfId="9902" xr:uid="{280E62A7-3D5B-4362-B077-D49391BB7C4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E4D34AD-5C0A-4B92-864E-41FC8F27FE15}"/>
    <cellStyle name="Normal 8 2 2 3 2 4 2 3" xfId="12460" xr:uid="{863D093C-14EE-4FF8-A7D9-2A23F9B8AF9D}"/>
    <cellStyle name="Normal 8 2 2 3 2 4 3" xfId="6091" xr:uid="{00000000-0005-0000-0000-0000521C0000}"/>
    <cellStyle name="Normal 8 2 2 3 2 4 3 2" xfId="14533" xr:uid="{DB3C002A-0C81-48F9-B1DB-17FF72D8395D}"/>
    <cellStyle name="Normal 8 2 2 3 2 4 4" xfId="10315" xr:uid="{2B9F1A8E-F04B-42CA-919A-7BC0FE1A76DF}"/>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1A13DE59-7E46-4865-96AA-71575C5201B3}"/>
    <cellStyle name="Normal 8 2 2 3 2 5 2 3" xfId="12873" xr:uid="{ACEBF8B3-6D30-4EE6-828D-E131F18BEE5B}"/>
    <cellStyle name="Normal 8 2 2 3 2 5 3" xfId="6504" xr:uid="{00000000-0005-0000-0000-0000561C0000}"/>
    <cellStyle name="Normal 8 2 2 3 2 5 3 2" xfId="14946" xr:uid="{9F29AA34-3702-453F-A7BF-720184DBE95A}"/>
    <cellStyle name="Normal 8 2 2 3 2 5 4" xfId="10728" xr:uid="{F59ABF14-4B9E-48D0-90D2-3547E4853CB3}"/>
    <cellStyle name="Normal 8 2 2 3 2 6" xfId="2633" xr:uid="{00000000-0005-0000-0000-0000571C0000}"/>
    <cellStyle name="Normal 8 2 2 3 2 6 2" xfId="6917" xr:uid="{00000000-0005-0000-0000-0000581C0000}"/>
    <cellStyle name="Normal 8 2 2 3 2 6 2 2" xfId="15359" xr:uid="{98847104-D667-4A54-8ABF-2B09AC6E07A4}"/>
    <cellStyle name="Normal 8 2 2 3 2 6 3" xfId="11141" xr:uid="{30BCACF4-F40D-4030-9A04-C47D967AFB16}"/>
    <cellStyle name="Normal 8 2 2 3 2 7" xfId="4852" xr:uid="{00000000-0005-0000-0000-0000591C0000}"/>
    <cellStyle name="Normal 8 2 2 3 2 7 2" xfId="13294" xr:uid="{2B39B434-22DD-4E1A-88B5-D54850AD790D}"/>
    <cellStyle name="Normal 8 2 2 3 2 8" xfId="9076" xr:uid="{062AB8C0-F242-4175-857F-59FC7DAC7FB2}"/>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D1F30EEE-1E49-4BD1-94D8-FF7DA99ED034}"/>
    <cellStyle name="Normal 8 2 2 3 3 2 3" xfId="11633" xr:uid="{2962DFC5-B276-46A1-A2E1-EDAF4F9570D7}"/>
    <cellStyle name="Normal 8 2 2 3 3 3" xfId="5264" xr:uid="{00000000-0005-0000-0000-00005D1C0000}"/>
    <cellStyle name="Normal 8 2 2 3 3 3 2" xfId="13706" xr:uid="{AC89418B-64CF-4700-AA68-2E130C9DB697}"/>
    <cellStyle name="Normal 8 2 2 3 3 4" xfId="9488" xr:uid="{5ECC7D45-731C-4C4C-AD66-54BF3AD00FDC}"/>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CD7BD06-E244-4EAB-8D17-EA7169D25847}"/>
    <cellStyle name="Normal 8 2 2 3 4 2 3" xfId="12046" xr:uid="{320E6298-7820-4977-A6F2-99AAEA8CC439}"/>
    <cellStyle name="Normal 8 2 2 3 4 3" xfId="5677" xr:uid="{00000000-0005-0000-0000-0000611C0000}"/>
    <cellStyle name="Normal 8 2 2 3 4 3 2" xfId="14119" xr:uid="{44728939-6AE1-4628-A7B1-CADAE29A75D5}"/>
    <cellStyle name="Normal 8 2 2 3 4 4" xfId="9901" xr:uid="{067A63E6-0E50-4AE2-929E-771C2894E2DF}"/>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D40A5909-1DE1-418D-941F-CF8AB578BAFE}"/>
    <cellStyle name="Normal 8 2 2 3 5 2 3" xfId="12459" xr:uid="{0E30D9A2-9145-4597-9CCB-395D269F06B3}"/>
    <cellStyle name="Normal 8 2 2 3 5 3" xfId="6090" xr:uid="{00000000-0005-0000-0000-0000651C0000}"/>
    <cellStyle name="Normal 8 2 2 3 5 3 2" xfId="14532" xr:uid="{BAAAEC4C-1570-4C8B-AC83-4F8B9E1C0E11}"/>
    <cellStyle name="Normal 8 2 2 3 5 4" xfId="10314" xr:uid="{9C2A7BB8-26C1-4079-8E2C-4FC8A898585C}"/>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2157FF44-68D6-41C0-8A35-0C6576216268}"/>
    <cellStyle name="Normal 8 2 2 3 6 2 3" xfId="12872" xr:uid="{705C1B15-5AE5-4007-9E14-C961A212AAE1}"/>
    <cellStyle name="Normal 8 2 2 3 6 3" xfId="6503" xr:uid="{00000000-0005-0000-0000-0000691C0000}"/>
    <cellStyle name="Normal 8 2 2 3 6 3 2" xfId="14945" xr:uid="{ADCC1807-FA5A-479A-A5A0-2AD299AE5F08}"/>
    <cellStyle name="Normal 8 2 2 3 6 4" xfId="10727" xr:uid="{FDF6FDE2-729A-4775-A4FD-63A1FBA9D66D}"/>
    <cellStyle name="Normal 8 2 2 3 7" xfId="2632" xr:uid="{00000000-0005-0000-0000-00006A1C0000}"/>
    <cellStyle name="Normal 8 2 2 3 7 2" xfId="6916" xr:uid="{00000000-0005-0000-0000-00006B1C0000}"/>
    <cellStyle name="Normal 8 2 2 3 7 2 2" xfId="15358" xr:uid="{ADF5AB37-D539-413B-B616-583E2890B4DA}"/>
    <cellStyle name="Normal 8 2 2 3 7 3" xfId="11140" xr:uid="{24838E53-E1A0-4F95-ADE7-F15022EDEBF8}"/>
    <cellStyle name="Normal 8 2 2 3 8" xfId="4851" xr:uid="{00000000-0005-0000-0000-00006C1C0000}"/>
    <cellStyle name="Normal 8 2 2 3 8 2" xfId="13293" xr:uid="{5C194214-9902-4477-9F41-C7FA4199113E}"/>
    <cellStyle name="Normal 8 2 2 3 9" xfId="9075" xr:uid="{570AE4B2-96D9-4141-A3E6-799A34CDF877}"/>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053BDCC3-2C2A-47E8-8213-8F13DF198D09}"/>
    <cellStyle name="Normal 8 2 2 4 2 2 3" xfId="11635" xr:uid="{52E625BD-899F-462B-97C8-53ED5B9E9199}"/>
    <cellStyle name="Normal 8 2 2 4 2 3" xfId="5266" xr:uid="{00000000-0005-0000-0000-0000711C0000}"/>
    <cellStyle name="Normal 8 2 2 4 2 3 2" xfId="13708" xr:uid="{911C840C-0085-4D51-9536-6E2F21907741}"/>
    <cellStyle name="Normal 8 2 2 4 2 4" xfId="9490" xr:uid="{BAFAD4AD-2573-4712-BD59-707B06B74A7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F20DFF11-7515-41DF-9428-0F88B1C7CBFD}"/>
    <cellStyle name="Normal 8 2 2 4 3 2 3" xfId="12048" xr:uid="{EF648BC5-8EC7-4CDF-B3B6-142AD3D1F93D}"/>
    <cellStyle name="Normal 8 2 2 4 3 3" xfId="5679" xr:uid="{00000000-0005-0000-0000-0000751C0000}"/>
    <cellStyle name="Normal 8 2 2 4 3 3 2" xfId="14121" xr:uid="{0B8B9DD7-4827-4AD1-B968-AEE30408FE14}"/>
    <cellStyle name="Normal 8 2 2 4 3 4" xfId="9903" xr:uid="{AF7A70CA-9A37-44E7-8CB9-72008B81766B}"/>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7069B6AC-5D48-42B9-A11F-28ADE47FEB1A}"/>
    <cellStyle name="Normal 8 2 2 4 4 2 3" xfId="12461" xr:uid="{1F999CF9-BE6D-4D3F-A8FF-272CFA0A26EF}"/>
    <cellStyle name="Normal 8 2 2 4 4 3" xfId="6092" xr:uid="{00000000-0005-0000-0000-0000791C0000}"/>
    <cellStyle name="Normal 8 2 2 4 4 3 2" xfId="14534" xr:uid="{0EC0D68D-2460-4D0E-9852-63FD640A406B}"/>
    <cellStyle name="Normal 8 2 2 4 4 4" xfId="10316" xr:uid="{2E49CCDD-1F61-404C-A2EB-1316973E2519}"/>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182D9C62-DD64-42E4-83D4-3A84464D152C}"/>
    <cellStyle name="Normal 8 2 2 4 5 2 3" xfId="12874" xr:uid="{7CD7750E-228E-420A-8045-DDE27210FE31}"/>
    <cellStyle name="Normal 8 2 2 4 5 3" xfId="6505" xr:uid="{00000000-0005-0000-0000-00007D1C0000}"/>
    <cellStyle name="Normal 8 2 2 4 5 3 2" xfId="14947" xr:uid="{004A81EB-9CEC-48D9-BFBD-42B76E5B3EFE}"/>
    <cellStyle name="Normal 8 2 2 4 5 4" xfId="10729" xr:uid="{11A30DE0-C492-41DF-A82D-60A8F60647F4}"/>
    <cellStyle name="Normal 8 2 2 4 6" xfId="2634" xr:uid="{00000000-0005-0000-0000-00007E1C0000}"/>
    <cellStyle name="Normal 8 2 2 4 6 2" xfId="6918" xr:uid="{00000000-0005-0000-0000-00007F1C0000}"/>
    <cellStyle name="Normal 8 2 2 4 6 2 2" xfId="15360" xr:uid="{93E60C20-2A68-489B-931B-F81DF8C24CE5}"/>
    <cellStyle name="Normal 8 2 2 4 6 3" xfId="11142" xr:uid="{8AEBD32F-21BE-4C83-927B-0C6BDBCFBC5A}"/>
    <cellStyle name="Normal 8 2 2 4 7" xfId="4853" xr:uid="{00000000-0005-0000-0000-0000801C0000}"/>
    <cellStyle name="Normal 8 2 2 4 7 2" xfId="13295" xr:uid="{8135E6D9-CC00-4F28-906B-9527D20FD7A3}"/>
    <cellStyle name="Normal 8 2 2 4 8" xfId="9077" xr:uid="{CC8827E3-7952-4492-BB28-B14BC5FE90CE}"/>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8B605B83-3CEC-45C7-B399-6D95E2BAD45A}"/>
    <cellStyle name="Normal 8 2 2 5 2 3" xfId="11628" xr:uid="{09EE74DA-159B-4768-B7C5-0F2B641842A5}"/>
    <cellStyle name="Normal 8 2 2 5 3" xfId="5259" xr:uid="{00000000-0005-0000-0000-0000841C0000}"/>
    <cellStyle name="Normal 8 2 2 5 3 2" xfId="13701" xr:uid="{76596363-5B41-46B9-9F5B-10F9C3D28528}"/>
    <cellStyle name="Normal 8 2 2 5 4" xfId="9483" xr:uid="{6D355E0A-7D78-48BC-A355-252B71B9E812}"/>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1672A1C-0E38-4BF6-8908-EFA14389EBA0}"/>
    <cellStyle name="Normal 8 2 2 6 2 3" xfId="12041" xr:uid="{0C9FE8AD-1BBB-420D-B2C1-3DD0E2F556D8}"/>
    <cellStyle name="Normal 8 2 2 6 3" xfId="5672" xr:uid="{00000000-0005-0000-0000-0000881C0000}"/>
    <cellStyle name="Normal 8 2 2 6 3 2" xfId="14114" xr:uid="{1E04D8FC-8450-42B1-BE9E-C3C4F2447906}"/>
    <cellStyle name="Normal 8 2 2 6 4" xfId="9896" xr:uid="{D2A8A322-67E6-4F73-A444-4062ADAA5BC4}"/>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71FB6C61-18CB-4F9D-85D3-3F8BD9BE7CDF}"/>
    <cellStyle name="Normal 8 2 2 7 2 3" xfId="12454" xr:uid="{676AB86D-4B30-49CD-9F86-6A519A2C68D5}"/>
    <cellStyle name="Normal 8 2 2 7 3" xfId="6085" xr:uid="{00000000-0005-0000-0000-00008C1C0000}"/>
    <cellStyle name="Normal 8 2 2 7 3 2" xfId="14527" xr:uid="{30661ED8-78EB-42F6-ADEA-9FCFFCB7E5D5}"/>
    <cellStyle name="Normal 8 2 2 7 4" xfId="10309" xr:uid="{7FEFC07D-48CF-47F2-8AAE-88C7EE89EA37}"/>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3ADD73C-15BF-4ED0-8DFD-77DCD5A92C14}"/>
    <cellStyle name="Normal 8 2 2 8 2 3" xfId="12867" xr:uid="{FC578B32-9F8C-4DBF-A0D2-DA70E2463446}"/>
    <cellStyle name="Normal 8 2 2 8 3" xfId="6498" xr:uid="{00000000-0005-0000-0000-0000901C0000}"/>
    <cellStyle name="Normal 8 2 2 8 3 2" xfId="14940" xr:uid="{9FAF8B7D-79BF-4449-877F-F4332112FD64}"/>
    <cellStyle name="Normal 8 2 2 8 4" xfId="10722" xr:uid="{96F55EEC-313E-4A2A-AE7B-264DD1A60D74}"/>
    <cellStyle name="Normal 8 2 2 9" xfId="2627" xr:uid="{00000000-0005-0000-0000-0000911C0000}"/>
    <cellStyle name="Normal 8 2 2 9 2" xfId="6911" xr:uid="{00000000-0005-0000-0000-0000921C0000}"/>
    <cellStyle name="Normal 8 2 2 9 2 2" xfId="15353" xr:uid="{A3176600-592F-4099-A9FB-AA81CD1F180D}"/>
    <cellStyle name="Normal 8 2 2 9 3" xfId="11135" xr:uid="{3844FA56-B75A-4378-834D-91E115B2D8E0}"/>
    <cellStyle name="Normal 8 2 3" xfId="488" xr:uid="{00000000-0005-0000-0000-0000931C0000}"/>
    <cellStyle name="Normal 8 2 3 10" xfId="9078" xr:uid="{C5E5A795-AEE4-4E06-B3BC-6599BB89F91C}"/>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A6FD93A2-675D-425A-86A4-8D0CD5BD0387}"/>
    <cellStyle name="Normal 8 2 3 2 2 2 2 3" xfId="11638" xr:uid="{A23A5B58-42F5-482E-95B0-68F8D0394C0B}"/>
    <cellStyle name="Normal 8 2 3 2 2 2 3" xfId="5269" xr:uid="{00000000-0005-0000-0000-0000991C0000}"/>
    <cellStyle name="Normal 8 2 3 2 2 2 3 2" xfId="13711" xr:uid="{848FA01D-6406-48D9-92BA-E257F76B1F5F}"/>
    <cellStyle name="Normal 8 2 3 2 2 2 4" xfId="9493" xr:uid="{A04EA21E-371E-4488-90D0-BF0B508355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96A802AF-D150-48C3-B70E-3D49A9347204}"/>
    <cellStyle name="Normal 8 2 3 2 2 3 2 3" xfId="12051" xr:uid="{A70EDE4B-48C5-4677-B0EC-322E884B1D0F}"/>
    <cellStyle name="Normal 8 2 3 2 2 3 3" xfId="5682" xr:uid="{00000000-0005-0000-0000-00009D1C0000}"/>
    <cellStyle name="Normal 8 2 3 2 2 3 3 2" xfId="14124" xr:uid="{42EFA82B-6661-4F30-81D3-BE6664CC14B9}"/>
    <cellStyle name="Normal 8 2 3 2 2 3 4" xfId="9906" xr:uid="{81516B95-CAF5-47DD-9ACD-AB00D41E008F}"/>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8A2A8A01-9ABA-4FE4-B114-54D9E65E63C2}"/>
    <cellStyle name="Normal 8 2 3 2 2 4 2 3" xfId="12464" xr:uid="{8CD375DB-D712-453B-8A65-A9B1186A8BEF}"/>
    <cellStyle name="Normal 8 2 3 2 2 4 3" xfId="6095" xr:uid="{00000000-0005-0000-0000-0000A11C0000}"/>
    <cellStyle name="Normal 8 2 3 2 2 4 3 2" xfId="14537" xr:uid="{F6FD16C9-5296-4BE9-8AC8-0063B9FE47C8}"/>
    <cellStyle name="Normal 8 2 3 2 2 4 4" xfId="10319" xr:uid="{E2E59E88-BD6F-4DCD-82BC-3FD9DC7F01D1}"/>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DC52AD16-122B-49F2-BE8A-EEB8F1C0E1DA}"/>
    <cellStyle name="Normal 8 2 3 2 2 5 2 3" xfId="12877" xr:uid="{B75DAF94-BA9E-4F57-A198-BBAB2B9CE64C}"/>
    <cellStyle name="Normal 8 2 3 2 2 5 3" xfId="6508" xr:uid="{00000000-0005-0000-0000-0000A51C0000}"/>
    <cellStyle name="Normal 8 2 3 2 2 5 3 2" xfId="14950" xr:uid="{23AA0416-5938-41A5-9060-F4E9B9B06EF1}"/>
    <cellStyle name="Normal 8 2 3 2 2 5 4" xfId="10732" xr:uid="{11A85218-EF76-4C0F-A158-A201D914CD58}"/>
    <cellStyle name="Normal 8 2 3 2 2 6" xfId="2637" xr:uid="{00000000-0005-0000-0000-0000A61C0000}"/>
    <cellStyle name="Normal 8 2 3 2 2 6 2" xfId="6921" xr:uid="{00000000-0005-0000-0000-0000A71C0000}"/>
    <cellStyle name="Normal 8 2 3 2 2 6 2 2" xfId="15363" xr:uid="{B3DB6008-5C68-4EAE-9EED-522E07F6D6D3}"/>
    <cellStyle name="Normal 8 2 3 2 2 6 3" xfId="11145" xr:uid="{A149FB87-7326-4897-BE7C-4CF491FC0229}"/>
    <cellStyle name="Normal 8 2 3 2 2 7" xfId="4856" xr:uid="{00000000-0005-0000-0000-0000A81C0000}"/>
    <cellStyle name="Normal 8 2 3 2 2 7 2" xfId="13298" xr:uid="{19FAF6A9-595F-4D52-8114-0AE44AD6C2A0}"/>
    <cellStyle name="Normal 8 2 3 2 2 8" xfId="9080" xr:uid="{FD9639E3-100A-481A-8236-75545E6809EE}"/>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DA0CAA8-C1F2-4156-88F7-5209AEBCED85}"/>
    <cellStyle name="Normal 8 2 3 2 3 2 3" xfId="11637" xr:uid="{9E4BCADD-76B3-46BC-AE20-3F721D0570E4}"/>
    <cellStyle name="Normal 8 2 3 2 3 3" xfId="5268" xr:uid="{00000000-0005-0000-0000-0000AC1C0000}"/>
    <cellStyle name="Normal 8 2 3 2 3 3 2" xfId="13710" xr:uid="{8B5851B5-991A-4572-8AA1-C37D25BBA835}"/>
    <cellStyle name="Normal 8 2 3 2 3 4" xfId="9492" xr:uid="{D3CDF1F0-9DFD-4B17-B168-C7005AA24EF5}"/>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32B2F971-54AF-405D-8EA2-B95D8BD5F733}"/>
    <cellStyle name="Normal 8 2 3 2 4 2 3" xfId="12050" xr:uid="{1C7217C5-A224-4D58-ADBC-162D6FDE52D7}"/>
    <cellStyle name="Normal 8 2 3 2 4 3" xfId="5681" xr:uid="{00000000-0005-0000-0000-0000B01C0000}"/>
    <cellStyle name="Normal 8 2 3 2 4 3 2" xfId="14123" xr:uid="{36AEE8C0-8ADD-424D-8607-7DDD9CB158F1}"/>
    <cellStyle name="Normal 8 2 3 2 4 4" xfId="9905" xr:uid="{69821319-CCDD-4854-A831-C25186B78EFA}"/>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CA637101-71EC-4467-A35B-0E39E577069C}"/>
    <cellStyle name="Normal 8 2 3 2 5 2 3" xfId="12463" xr:uid="{3DB0BFC6-DC1E-44FD-A6BE-0CFE6E2328A9}"/>
    <cellStyle name="Normal 8 2 3 2 5 3" xfId="6094" xr:uid="{00000000-0005-0000-0000-0000B41C0000}"/>
    <cellStyle name="Normal 8 2 3 2 5 3 2" xfId="14536" xr:uid="{C553233D-36DD-4C0B-B2AE-2F501187D2A4}"/>
    <cellStyle name="Normal 8 2 3 2 5 4" xfId="10318" xr:uid="{516E48C2-A5A4-4869-BDB4-E3C1F753860A}"/>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CC5263F6-0F6B-40A9-8E3F-88DB4992B810}"/>
    <cellStyle name="Normal 8 2 3 2 6 2 3" xfId="12876" xr:uid="{EF57AD26-EEB7-4CFC-83F2-4CEF75A9E314}"/>
    <cellStyle name="Normal 8 2 3 2 6 3" xfId="6507" xr:uid="{00000000-0005-0000-0000-0000B81C0000}"/>
    <cellStyle name="Normal 8 2 3 2 6 3 2" xfId="14949" xr:uid="{A2D4BDB5-0337-4B87-8EFA-6CF7F544AE00}"/>
    <cellStyle name="Normal 8 2 3 2 6 4" xfId="10731" xr:uid="{1B5AAAE0-B3C4-4E4B-AD3E-DD4E4AF15672}"/>
    <cellStyle name="Normal 8 2 3 2 7" xfId="2636" xr:uid="{00000000-0005-0000-0000-0000B91C0000}"/>
    <cellStyle name="Normal 8 2 3 2 7 2" xfId="6920" xr:uid="{00000000-0005-0000-0000-0000BA1C0000}"/>
    <cellStyle name="Normal 8 2 3 2 7 2 2" xfId="15362" xr:uid="{4C3020DC-52EB-4C48-80F2-4A2DD7896826}"/>
    <cellStyle name="Normal 8 2 3 2 7 3" xfId="11144" xr:uid="{9AAA5D7B-9F36-44EB-9557-6C860364C312}"/>
    <cellStyle name="Normal 8 2 3 2 8" xfId="4855" xr:uid="{00000000-0005-0000-0000-0000BB1C0000}"/>
    <cellStyle name="Normal 8 2 3 2 8 2" xfId="13297" xr:uid="{ED8FAACD-6DF2-452F-A51A-0E811DBF91A1}"/>
    <cellStyle name="Normal 8 2 3 2 9" xfId="9079" xr:uid="{13A2D4A4-00CB-4FAA-AE61-876253FDB076}"/>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A710FB77-2AE4-4B77-8B21-86AE77452B26}"/>
    <cellStyle name="Normal 8 2 3 3 2 2 3" xfId="11639" xr:uid="{B63B24B6-2F1D-4C18-BA3B-9C43C8933B01}"/>
    <cellStyle name="Normal 8 2 3 3 2 3" xfId="5270" xr:uid="{00000000-0005-0000-0000-0000C01C0000}"/>
    <cellStyle name="Normal 8 2 3 3 2 3 2" xfId="13712" xr:uid="{3FF8E24B-AB69-495C-8D49-028D1A792670}"/>
    <cellStyle name="Normal 8 2 3 3 2 4" xfId="9494" xr:uid="{ACD68346-A708-48F7-9481-A5C25B4A9FC9}"/>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52F45270-E50F-41D3-8C69-6A7501B2E29F}"/>
    <cellStyle name="Normal 8 2 3 3 3 2 3" xfId="12052" xr:uid="{CB16C317-E481-4F95-B96F-65AA23C31386}"/>
    <cellStyle name="Normal 8 2 3 3 3 3" xfId="5683" xr:uid="{00000000-0005-0000-0000-0000C41C0000}"/>
    <cellStyle name="Normal 8 2 3 3 3 3 2" xfId="14125" xr:uid="{FDCCF5BA-936B-4210-9CDE-6ADEE0023B58}"/>
    <cellStyle name="Normal 8 2 3 3 3 4" xfId="9907" xr:uid="{E298C466-D542-4EA9-92FC-6FAE2B2A548F}"/>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46F58DA3-01EA-4D46-B2AE-E12DB470D7AF}"/>
    <cellStyle name="Normal 8 2 3 3 4 2 3" xfId="12465" xr:uid="{CD7C249B-F719-47DC-93AF-17D7765A054D}"/>
    <cellStyle name="Normal 8 2 3 3 4 3" xfId="6096" xr:uid="{00000000-0005-0000-0000-0000C81C0000}"/>
    <cellStyle name="Normal 8 2 3 3 4 3 2" xfId="14538" xr:uid="{3581E8B0-91B9-410A-B6C9-4F119A36F3E1}"/>
    <cellStyle name="Normal 8 2 3 3 4 4" xfId="10320" xr:uid="{0E126EB0-311C-4612-A917-51DD929E9AD6}"/>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6700227F-A9D2-4666-80E2-508330B89928}"/>
    <cellStyle name="Normal 8 2 3 3 5 2 3" xfId="12878" xr:uid="{0DD0C06F-7CB0-4F79-8370-D732CD13C602}"/>
    <cellStyle name="Normal 8 2 3 3 5 3" xfId="6509" xr:uid="{00000000-0005-0000-0000-0000CC1C0000}"/>
    <cellStyle name="Normal 8 2 3 3 5 3 2" xfId="14951" xr:uid="{308BC0F7-20C2-4508-A3A9-1DCF0A297749}"/>
    <cellStyle name="Normal 8 2 3 3 5 4" xfId="10733" xr:uid="{0CEF241C-6839-4AA8-B2C4-3365E6212D0E}"/>
    <cellStyle name="Normal 8 2 3 3 6" xfId="2638" xr:uid="{00000000-0005-0000-0000-0000CD1C0000}"/>
    <cellStyle name="Normal 8 2 3 3 6 2" xfId="6922" xr:uid="{00000000-0005-0000-0000-0000CE1C0000}"/>
    <cellStyle name="Normal 8 2 3 3 6 2 2" xfId="15364" xr:uid="{A2BFD6E4-F715-4948-99E7-FAB055661044}"/>
    <cellStyle name="Normal 8 2 3 3 6 3" xfId="11146" xr:uid="{3CEE5738-2DFD-44A3-81AC-2F53ECDC81A8}"/>
    <cellStyle name="Normal 8 2 3 3 7" xfId="4857" xr:uid="{00000000-0005-0000-0000-0000CF1C0000}"/>
    <cellStyle name="Normal 8 2 3 3 7 2" xfId="13299" xr:uid="{FF1025F7-2BF3-41FE-B3D3-FC6FE85C8716}"/>
    <cellStyle name="Normal 8 2 3 3 8" xfId="9081" xr:uid="{E5EDFA59-24D8-42D9-935A-BA600DCA10B9}"/>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9408EE5-766E-4172-8922-387BB1D289AB}"/>
    <cellStyle name="Normal 8 2 3 4 2 3" xfId="11636" xr:uid="{968ED2F8-783C-475E-82FC-512A4625BEA0}"/>
    <cellStyle name="Normal 8 2 3 4 3" xfId="5267" xr:uid="{00000000-0005-0000-0000-0000D31C0000}"/>
    <cellStyle name="Normal 8 2 3 4 3 2" xfId="13709" xr:uid="{D2952EC7-E05F-4818-9B23-D00F0D432D5D}"/>
    <cellStyle name="Normal 8 2 3 4 4" xfId="9491" xr:uid="{F1E10605-FC6D-4AB5-8DA0-C1A1CB583A01}"/>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3CA21602-B411-4B33-B664-3F59ECB74715}"/>
    <cellStyle name="Normal 8 2 3 5 2 3" xfId="12049" xr:uid="{06BD23E3-436A-48DB-A026-A49993CC3DEC}"/>
    <cellStyle name="Normal 8 2 3 5 3" xfId="5680" xr:uid="{00000000-0005-0000-0000-0000D71C0000}"/>
    <cellStyle name="Normal 8 2 3 5 3 2" xfId="14122" xr:uid="{B4930010-CB9D-4152-BFFE-69D12DCFE210}"/>
    <cellStyle name="Normal 8 2 3 5 4" xfId="9904" xr:uid="{BFC2F866-8B84-4CCA-9A65-1D40A024F40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66A04737-485A-4A25-ABF4-CF0131D4A0CC}"/>
    <cellStyle name="Normal 8 2 3 6 2 3" xfId="12462" xr:uid="{CC018F30-52D2-4FDF-94EE-91BF07ED8051}"/>
    <cellStyle name="Normal 8 2 3 6 3" xfId="6093" xr:uid="{00000000-0005-0000-0000-0000DB1C0000}"/>
    <cellStyle name="Normal 8 2 3 6 3 2" xfId="14535" xr:uid="{3803A5B4-E1B4-4E86-9726-692221BC399A}"/>
    <cellStyle name="Normal 8 2 3 6 4" xfId="10317" xr:uid="{79ECE36C-25AC-4190-868E-72C0598D670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441BD8E2-8A46-44C6-BA22-6938C7FF49AA}"/>
    <cellStyle name="Normal 8 2 3 7 2 3" xfId="12875" xr:uid="{8C3159F7-66CC-45CE-8BD2-22176CFF6084}"/>
    <cellStyle name="Normal 8 2 3 7 3" xfId="6506" xr:uid="{00000000-0005-0000-0000-0000DF1C0000}"/>
    <cellStyle name="Normal 8 2 3 7 3 2" xfId="14948" xr:uid="{871B2760-73A2-4E70-B173-BDB2DAEDDA1C}"/>
    <cellStyle name="Normal 8 2 3 7 4" xfId="10730" xr:uid="{548A96D5-7163-43B1-B986-15BA7F00CAF1}"/>
    <cellStyle name="Normal 8 2 3 8" xfId="2635" xr:uid="{00000000-0005-0000-0000-0000E01C0000}"/>
    <cellStyle name="Normal 8 2 3 8 2" xfId="6919" xr:uid="{00000000-0005-0000-0000-0000E11C0000}"/>
    <cellStyle name="Normal 8 2 3 8 2 2" xfId="15361" xr:uid="{CC26FBCF-4E6E-4D7F-B4A8-4D2A2F39A1D1}"/>
    <cellStyle name="Normal 8 2 3 8 3" xfId="11143" xr:uid="{71D41FB4-E9AD-4618-AFB9-118AE9BF9E3F}"/>
    <cellStyle name="Normal 8 2 3 9" xfId="4854" xr:uid="{00000000-0005-0000-0000-0000E21C0000}"/>
    <cellStyle name="Normal 8 2 3 9 2" xfId="13296" xr:uid="{0D0C2EDF-B4DE-4694-890D-E41ED8695EA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169C27C0-790A-4BE9-BE6D-086981E06DEA}"/>
    <cellStyle name="Normal 8 2 4 2 2 2 3" xfId="11641" xr:uid="{D71EA66C-CBE8-4CEB-AED2-EFF8F2D86195}"/>
    <cellStyle name="Normal 8 2 4 2 2 3" xfId="5272" xr:uid="{00000000-0005-0000-0000-0000E81C0000}"/>
    <cellStyle name="Normal 8 2 4 2 2 3 2" xfId="13714" xr:uid="{5D5D42FC-04EA-465C-BDFE-6EB18C566820}"/>
    <cellStyle name="Normal 8 2 4 2 2 4" xfId="9496" xr:uid="{940182DF-F604-4A3C-A3CD-651A80D9D6A2}"/>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CA9F77D9-90A5-452B-9A3A-952D3D2F3227}"/>
    <cellStyle name="Normal 8 2 4 2 3 2 3" xfId="12054" xr:uid="{AC858103-1FF7-454B-A176-E7790D8A8BF1}"/>
    <cellStyle name="Normal 8 2 4 2 3 3" xfId="5685" xr:uid="{00000000-0005-0000-0000-0000EC1C0000}"/>
    <cellStyle name="Normal 8 2 4 2 3 3 2" xfId="14127" xr:uid="{B3FAA708-D964-4699-9656-5530B6F3406F}"/>
    <cellStyle name="Normal 8 2 4 2 3 4" xfId="9909" xr:uid="{8CEE72E4-04F1-4F81-864C-8BD1B46BC747}"/>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190A68E4-6CDB-4DAB-8643-40BE895C9624}"/>
    <cellStyle name="Normal 8 2 4 2 4 2 3" xfId="12467" xr:uid="{96F7B0BB-5F34-466E-8FB8-D49BD06F629D}"/>
    <cellStyle name="Normal 8 2 4 2 4 3" xfId="6098" xr:uid="{00000000-0005-0000-0000-0000F01C0000}"/>
    <cellStyle name="Normal 8 2 4 2 4 3 2" xfId="14540" xr:uid="{23D29F66-1E49-4409-9BBB-35DCE85212AB}"/>
    <cellStyle name="Normal 8 2 4 2 4 4" xfId="10322" xr:uid="{9AA5FB00-F9B6-488C-9709-6E4614A8E008}"/>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A264B170-983B-4428-90B9-B249D29ACCF9}"/>
    <cellStyle name="Normal 8 2 4 2 5 2 3" xfId="12880" xr:uid="{E9BF5D0A-8C70-453B-AFD2-0CBE824EFEF4}"/>
    <cellStyle name="Normal 8 2 4 2 5 3" xfId="6511" xr:uid="{00000000-0005-0000-0000-0000F41C0000}"/>
    <cellStyle name="Normal 8 2 4 2 5 3 2" xfId="14953" xr:uid="{3F1A0EBB-E365-499B-94D1-B60392D30177}"/>
    <cellStyle name="Normal 8 2 4 2 5 4" xfId="10735" xr:uid="{46B0EEFE-1592-4DE8-ACBD-BC48AA1ED082}"/>
    <cellStyle name="Normal 8 2 4 2 6" xfId="2640" xr:uid="{00000000-0005-0000-0000-0000F51C0000}"/>
    <cellStyle name="Normal 8 2 4 2 6 2" xfId="6924" xr:uid="{00000000-0005-0000-0000-0000F61C0000}"/>
    <cellStyle name="Normal 8 2 4 2 6 2 2" xfId="15366" xr:uid="{CEE4A0DA-3096-4509-ADEC-5939A2B9AABA}"/>
    <cellStyle name="Normal 8 2 4 2 6 3" xfId="11148" xr:uid="{100684CC-87F1-4790-B082-97A450FF3B04}"/>
    <cellStyle name="Normal 8 2 4 2 7" xfId="4859" xr:uid="{00000000-0005-0000-0000-0000F71C0000}"/>
    <cellStyle name="Normal 8 2 4 2 7 2" xfId="13301" xr:uid="{DB8A0A84-3B7C-4F7B-B59A-966CAC585DAD}"/>
    <cellStyle name="Normal 8 2 4 2 8" xfId="9083" xr:uid="{BCDD3ACE-107D-46DE-B721-7AB7BC1E70B6}"/>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2949C479-3B62-49B7-876B-E9469BEE1ED0}"/>
    <cellStyle name="Normal 8 2 4 3 2 3" xfId="11640" xr:uid="{9F29B3CA-595B-4367-B848-D2D672AAA956}"/>
    <cellStyle name="Normal 8 2 4 3 3" xfId="5271" xr:uid="{00000000-0005-0000-0000-0000FB1C0000}"/>
    <cellStyle name="Normal 8 2 4 3 3 2" xfId="13713" xr:uid="{9FB95C71-47F1-4D81-82DB-CA64023D9470}"/>
    <cellStyle name="Normal 8 2 4 3 4" xfId="9495" xr:uid="{363389B7-32DE-4D9B-8B6E-938CBC8572E3}"/>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79320DE3-CBF0-4086-B000-923904902D03}"/>
    <cellStyle name="Normal 8 2 4 4 2 3" xfId="12053" xr:uid="{266106E4-9AB7-4FDE-AB33-0E4830657F2A}"/>
    <cellStyle name="Normal 8 2 4 4 3" xfId="5684" xr:uid="{00000000-0005-0000-0000-0000FF1C0000}"/>
    <cellStyle name="Normal 8 2 4 4 3 2" xfId="14126" xr:uid="{A2395CD1-03C6-4976-A115-D41A3FE1610E}"/>
    <cellStyle name="Normal 8 2 4 4 4" xfId="9908" xr:uid="{994AA5B4-98CA-427D-BB88-6CFD76B2B7FF}"/>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27F7C9F4-179B-4A88-BE39-DCE5788868FD}"/>
    <cellStyle name="Normal 8 2 4 5 2 3" xfId="12466" xr:uid="{1EE12BF1-09AF-4951-BA4A-AD069201017B}"/>
    <cellStyle name="Normal 8 2 4 5 3" xfId="6097" xr:uid="{00000000-0005-0000-0000-0000031D0000}"/>
    <cellStyle name="Normal 8 2 4 5 3 2" xfId="14539" xr:uid="{607C34D0-A134-469A-8D32-BAE92E7A473B}"/>
    <cellStyle name="Normal 8 2 4 5 4" xfId="10321" xr:uid="{7648354E-9354-4101-B2C4-3478AF0CEC1A}"/>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7DF1A5E2-1671-4501-8340-517503D5C06D}"/>
    <cellStyle name="Normal 8 2 4 6 2 3" xfId="12879" xr:uid="{FBF590B3-50EA-4357-AF3D-F51E7F098D7F}"/>
    <cellStyle name="Normal 8 2 4 6 3" xfId="6510" xr:uid="{00000000-0005-0000-0000-0000071D0000}"/>
    <cellStyle name="Normal 8 2 4 6 3 2" xfId="14952" xr:uid="{795F2E59-9285-47E7-8849-36405DF73845}"/>
    <cellStyle name="Normal 8 2 4 6 4" xfId="10734" xr:uid="{47F9580C-B503-47CD-A77D-B388720B9A47}"/>
    <cellStyle name="Normal 8 2 4 7" xfId="2639" xr:uid="{00000000-0005-0000-0000-0000081D0000}"/>
    <cellStyle name="Normal 8 2 4 7 2" xfId="6923" xr:uid="{00000000-0005-0000-0000-0000091D0000}"/>
    <cellStyle name="Normal 8 2 4 7 2 2" xfId="15365" xr:uid="{220C0266-64A4-414A-9FAB-68AEE49E6826}"/>
    <cellStyle name="Normal 8 2 4 7 3" xfId="11147" xr:uid="{50AF36CA-4394-4849-9F86-57A33083A701}"/>
    <cellStyle name="Normal 8 2 4 8" xfId="4858" xr:uid="{00000000-0005-0000-0000-00000A1D0000}"/>
    <cellStyle name="Normal 8 2 4 8 2" xfId="13300" xr:uid="{78A37652-61BB-4B72-AD6B-0454CADB4DD2}"/>
    <cellStyle name="Normal 8 2 4 9" xfId="9082" xr:uid="{002C2C3B-2F54-4175-93FE-6FE6D3D1C5C1}"/>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542BD2B5-B1E1-4F64-BB1C-FE9D5DBE8FC7}"/>
    <cellStyle name="Normal 8 2 5 2 2 3" xfId="11642" xr:uid="{9A5BAE0A-2173-4657-A26D-DFCF37EBEB80}"/>
    <cellStyle name="Normal 8 2 5 2 3" xfId="5273" xr:uid="{00000000-0005-0000-0000-00000F1D0000}"/>
    <cellStyle name="Normal 8 2 5 2 3 2" xfId="13715" xr:uid="{73654B3B-AE98-488E-9D97-A6BAF68D5237}"/>
    <cellStyle name="Normal 8 2 5 2 4" xfId="9497" xr:uid="{CD60FA08-00EC-459C-86E9-3CD5A28A4EBD}"/>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EA1267E9-DE2E-4E0E-902D-B63E4220DAA8}"/>
    <cellStyle name="Normal 8 2 5 3 2 3" xfId="12055" xr:uid="{BDAA21A7-5026-4374-89A4-16CC9DCF9E70}"/>
    <cellStyle name="Normal 8 2 5 3 3" xfId="5686" xr:uid="{00000000-0005-0000-0000-0000131D0000}"/>
    <cellStyle name="Normal 8 2 5 3 3 2" xfId="14128" xr:uid="{BE6FAC1F-5F33-4BF2-989B-C1507EDF76BF}"/>
    <cellStyle name="Normal 8 2 5 3 4" xfId="9910" xr:uid="{6A170D86-5EFA-4102-B1B1-1BFDC760C5FA}"/>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E38E59DE-252E-43E9-8A01-D2DEB531CE8F}"/>
    <cellStyle name="Normal 8 2 5 4 2 3" xfId="12468" xr:uid="{FE1431A6-A39B-403E-9E1D-074153DEC608}"/>
    <cellStyle name="Normal 8 2 5 4 3" xfId="6099" xr:uid="{00000000-0005-0000-0000-0000171D0000}"/>
    <cellStyle name="Normal 8 2 5 4 3 2" xfId="14541" xr:uid="{8CCC1C27-1300-4B26-AD7C-869AB250BFB4}"/>
    <cellStyle name="Normal 8 2 5 4 4" xfId="10323" xr:uid="{7BDFD8DC-A959-4D33-A890-B89B395A3424}"/>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9245A3A3-C2D6-478F-9480-2DE8C99850E4}"/>
    <cellStyle name="Normal 8 2 5 5 2 3" xfId="12881" xr:uid="{B9B11B1B-6109-4332-8784-3CF18E87B11F}"/>
    <cellStyle name="Normal 8 2 5 5 3" xfId="6512" xr:uid="{00000000-0005-0000-0000-00001B1D0000}"/>
    <cellStyle name="Normal 8 2 5 5 3 2" xfId="14954" xr:uid="{34783968-CDBF-472B-A1E4-4EA3444837E2}"/>
    <cellStyle name="Normal 8 2 5 5 4" xfId="10736" xr:uid="{8868E983-1922-42CC-8BA4-E8DE6B146840}"/>
    <cellStyle name="Normal 8 2 5 6" xfId="2641" xr:uid="{00000000-0005-0000-0000-00001C1D0000}"/>
    <cellStyle name="Normal 8 2 5 6 2" xfId="6925" xr:uid="{00000000-0005-0000-0000-00001D1D0000}"/>
    <cellStyle name="Normal 8 2 5 6 2 2" xfId="15367" xr:uid="{7D34095E-AB2C-4A76-97D1-62AEAD214C4D}"/>
    <cellStyle name="Normal 8 2 5 6 3" xfId="11149" xr:uid="{89EB21A7-50EB-47D4-92EA-B08506894F3F}"/>
    <cellStyle name="Normal 8 2 5 7" xfId="4860" xr:uid="{00000000-0005-0000-0000-00001E1D0000}"/>
    <cellStyle name="Normal 8 2 5 7 2" xfId="13302" xr:uid="{F4DAB7EF-7173-4CA9-A913-88275846BC79}"/>
    <cellStyle name="Normal 8 2 5 8" xfId="9084" xr:uid="{7502FD55-41E0-4C83-921F-F1A6DE99D9BA}"/>
    <cellStyle name="Normal 8 2 6" xfId="946" xr:uid="{00000000-0005-0000-0000-00001F1D0000}"/>
    <cellStyle name="Normal 8 2 6 2" xfId="3180" xr:uid="{00000000-0005-0000-0000-0000201D0000}"/>
    <cellStyle name="Normal 8 2 6 2 2" xfId="7403" xr:uid="{00000000-0005-0000-0000-0000211D0000}"/>
    <cellStyle name="Normal 8 2 6 2 2 2" xfId="15845" xr:uid="{835FCB84-C613-42FE-8F15-1EA92A5A3DD6}"/>
    <cellStyle name="Normal 8 2 6 2 3" xfId="11627" xr:uid="{2B6370E5-818D-4852-84FA-CCCDBA92F1F2}"/>
    <cellStyle name="Normal 8 2 6 3" xfId="5258" xr:uid="{00000000-0005-0000-0000-0000221D0000}"/>
    <cellStyle name="Normal 8 2 6 3 2" xfId="13700" xr:uid="{CD73F112-53C4-42F1-AC85-BEC6AF9C267C}"/>
    <cellStyle name="Normal 8 2 6 4" xfId="9482" xr:uid="{BD241D3A-BA60-4BF9-BFD2-BF4ABFF1E890}"/>
    <cellStyle name="Normal 8 2 7" xfId="1363" xr:uid="{00000000-0005-0000-0000-0000231D0000}"/>
    <cellStyle name="Normal 8 2 7 2" xfId="3593" xr:uid="{00000000-0005-0000-0000-0000241D0000}"/>
    <cellStyle name="Normal 8 2 7 2 2" xfId="7816" xr:uid="{00000000-0005-0000-0000-0000251D0000}"/>
    <cellStyle name="Normal 8 2 7 2 2 2" xfId="16258" xr:uid="{3088D2AF-E905-46B7-9999-F3818022FD04}"/>
    <cellStyle name="Normal 8 2 7 2 3" xfId="12040" xr:uid="{81CE34E7-25EC-45E8-8C14-90B185CB8EB2}"/>
    <cellStyle name="Normal 8 2 7 3" xfId="5671" xr:uid="{00000000-0005-0000-0000-0000261D0000}"/>
    <cellStyle name="Normal 8 2 7 3 2" xfId="14113" xr:uid="{47FBEACD-E168-4555-AE32-9FD7DB83E13D}"/>
    <cellStyle name="Normal 8 2 7 4" xfId="9895" xr:uid="{5B8076E1-A156-48B4-BEE2-196F179C281A}"/>
    <cellStyle name="Normal 8 2 8" xfId="1776" xr:uid="{00000000-0005-0000-0000-0000271D0000}"/>
    <cellStyle name="Normal 8 2 8 2" xfId="4006" xr:uid="{00000000-0005-0000-0000-0000281D0000}"/>
    <cellStyle name="Normal 8 2 8 2 2" xfId="8229" xr:uid="{00000000-0005-0000-0000-0000291D0000}"/>
    <cellStyle name="Normal 8 2 8 2 2 2" xfId="16671" xr:uid="{E4ACFC9B-DA1A-4285-A947-0A778EAA6876}"/>
    <cellStyle name="Normal 8 2 8 2 3" xfId="12453" xr:uid="{57200418-8721-4EFD-99B3-D97F49C5A8F4}"/>
    <cellStyle name="Normal 8 2 8 3" xfId="6084" xr:uid="{00000000-0005-0000-0000-00002A1D0000}"/>
    <cellStyle name="Normal 8 2 8 3 2" xfId="14526" xr:uid="{A2C06AC7-E0B0-4035-9E01-3A5EE927B029}"/>
    <cellStyle name="Normal 8 2 8 4" xfId="10308" xr:uid="{7AA3F2EB-4021-4D7E-A8BB-8CF0013B42C9}"/>
    <cellStyle name="Normal 8 2 9" xfId="2190" xr:uid="{00000000-0005-0000-0000-00002B1D0000}"/>
    <cellStyle name="Normal 8 2 9 2" xfId="4419" xr:uid="{00000000-0005-0000-0000-00002C1D0000}"/>
    <cellStyle name="Normal 8 2 9 2 2" xfId="8642" xr:uid="{00000000-0005-0000-0000-00002D1D0000}"/>
    <cellStyle name="Normal 8 2 9 2 2 2" xfId="17084" xr:uid="{E2BB9752-F74D-4C52-8873-1918E68D45A8}"/>
    <cellStyle name="Normal 8 2 9 2 3" xfId="12866" xr:uid="{1508FF6E-397E-4616-B39D-9EE120D7E903}"/>
    <cellStyle name="Normal 8 2 9 3" xfId="6497" xr:uid="{00000000-0005-0000-0000-00002E1D0000}"/>
    <cellStyle name="Normal 8 2 9 3 2" xfId="14939" xr:uid="{0BBC18CD-3B9C-4431-B470-0FBBA7F4C267}"/>
    <cellStyle name="Normal 8 2 9 4" xfId="10721" xr:uid="{70263F0E-0C85-4CE5-AE3D-18330E69B52F}"/>
    <cellStyle name="Normal 8 3" xfId="495" xr:uid="{00000000-0005-0000-0000-00002F1D0000}"/>
    <cellStyle name="Normal 8 3 10" xfId="4861" xr:uid="{00000000-0005-0000-0000-0000301D0000}"/>
    <cellStyle name="Normal 8 3 10 2" xfId="13303" xr:uid="{70A16F52-EFAC-4C93-AE53-E96493F03BF0}"/>
    <cellStyle name="Normal 8 3 11" xfId="9085" xr:uid="{DED55B76-07F9-45A5-A333-92615A03A867}"/>
    <cellStyle name="Normal 8 3 2" xfId="496" xr:uid="{00000000-0005-0000-0000-0000311D0000}"/>
    <cellStyle name="Normal 8 3 2 10" xfId="9086" xr:uid="{2EFAE4B7-73F9-4A08-9E33-3C461062B3B9}"/>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2B9E08E1-7E4C-421C-82B1-C7B32082D685}"/>
    <cellStyle name="Normal 8 3 2 2 2 2 2 3" xfId="11646" xr:uid="{8C420B6E-6C3E-4691-905B-C6CCA862FDC9}"/>
    <cellStyle name="Normal 8 3 2 2 2 2 3" xfId="5277" xr:uid="{00000000-0005-0000-0000-0000371D0000}"/>
    <cellStyle name="Normal 8 3 2 2 2 2 3 2" xfId="13719" xr:uid="{38FA9AAB-5D3A-4829-9BB5-94586D3D49DE}"/>
    <cellStyle name="Normal 8 3 2 2 2 2 4" xfId="9501" xr:uid="{6B314900-3AEB-4BFE-98F7-84D327B5929A}"/>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2605136E-4A37-4C9C-80E5-CA7EECC85994}"/>
    <cellStyle name="Normal 8 3 2 2 2 3 2 3" xfId="12059" xr:uid="{4EBB784F-A643-4CD1-9741-9481E69136C2}"/>
    <cellStyle name="Normal 8 3 2 2 2 3 3" xfId="5690" xr:uid="{00000000-0005-0000-0000-00003B1D0000}"/>
    <cellStyle name="Normal 8 3 2 2 2 3 3 2" xfId="14132" xr:uid="{5450AE54-2E8F-40B2-A27A-43A716F40133}"/>
    <cellStyle name="Normal 8 3 2 2 2 3 4" xfId="9914" xr:uid="{5F5EDF44-D598-4029-B973-D1A83763D34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7D1AD508-402A-48CE-9029-9F2C4B4E57E2}"/>
    <cellStyle name="Normal 8 3 2 2 2 4 2 3" xfId="12472" xr:uid="{C9A5E4F4-15F7-4F5D-BB99-FB948D4B08CC}"/>
    <cellStyle name="Normal 8 3 2 2 2 4 3" xfId="6103" xr:uid="{00000000-0005-0000-0000-00003F1D0000}"/>
    <cellStyle name="Normal 8 3 2 2 2 4 3 2" xfId="14545" xr:uid="{A51450F2-CB63-4B7C-9F92-AAE5543FE5B7}"/>
    <cellStyle name="Normal 8 3 2 2 2 4 4" xfId="10327" xr:uid="{72A21C1F-7F65-4073-89BC-836BC9D54F2E}"/>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3AC5F6AF-D672-41CB-BAF8-48C87E36D65A}"/>
    <cellStyle name="Normal 8 3 2 2 2 5 2 3" xfId="12885" xr:uid="{17BE9755-E61F-4D93-A4DA-1830B0EDE6A7}"/>
    <cellStyle name="Normal 8 3 2 2 2 5 3" xfId="6516" xr:uid="{00000000-0005-0000-0000-0000431D0000}"/>
    <cellStyle name="Normal 8 3 2 2 2 5 3 2" xfId="14958" xr:uid="{A5B31F60-65FF-401D-A0F6-2F6D0AE094A6}"/>
    <cellStyle name="Normal 8 3 2 2 2 5 4" xfId="10740" xr:uid="{B464CDFF-46DF-4CD2-9F98-80ABE6E2AEEF}"/>
    <cellStyle name="Normal 8 3 2 2 2 6" xfId="2645" xr:uid="{00000000-0005-0000-0000-0000441D0000}"/>
    <cellStyle name="Normal 8 3 2 2 2 6 2" xfId="6929" xr:uid="{00000000-0005-0000-0000-0000451D0000}"/>
    <cellStyle name="Normal 8 3 2 2 2 6 2 2" xfId="15371" xr:uid="{8BABF57B-AE26-4A76-9E13-EE2838C42B41}"/>
    <cellStyle name="Normal 8 3 2 2 2 6 3" xfId="11153" xr:uid="{145005A4-FB94-4498-BDB8-0760728F51EB}"/>
    <cellStyle name="Normal 8 3 2 2 2 7" xfId="4864" xr:uid="{00000000-0005-0000-0000-0000461D0000}"/>
    <cellStyle name="Normal 8 3 2 2 2 7 2" xfId="13306" xr:uid="{29D451B9-920E-4209-AC57-C9AC8EF9ED8B}"/>
    <cellStyle name="Normal 8 3 2 2 2 8" xfId="9088" xr:uid="{5B029295-08CF-40AB-85FE-995DC47FD4EB}"/>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38B96C1E-78E1-4657-95A3-E77777C0B43C}"/>
    <cellStyle name="Normal 8 3 2 2 3 2 3" xfId="11645" xr:uid="{0DC3ED20-84F8-4A4E-A796-44A011E7BF9A}"/>
    <cellStyle name="Normal 8 3 2 2 3 3" xfId="5276" xr:uid="{00000000-0005-0000-0000-00004A1D0000}"/>
    <cellStyle name="Normal 8 3 2 2 3 3 2" xfId="13718" xr:uid="{4260CE52-3DFA-4FAF-B758-FE0754121956}"/>
    <cellStyle name="Normal 8 3 2 2 3 4" xfId="9500" xr:uid="{8CCE4359-0CC9-42BD-8F7F-F8C74BBF32C6}"/>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F55700E9-4BE0-4F73-9B02-B195BCDF4E13}"/>
    <cellStyle name="Normal 8 3 2 2 4 2 3" xfId="12058" xr:uid="{B59E89FE-CF7F-4DE9-BC9C-F22D65B8D7C1}"/>
    <cellStyle name="Normal 8 3 2 2 4 3" xfId="5689" xr:uid="{00000000-0005-0000-0000-00004E1D0000}"/>
    <cellStyle name="Normal 8 3 2 2 4 3 2" xfId="14131" xr:uid="{7AC4DF7B-8A87-4E7A-9A6E-81F1F9599BF2}"/>
    <cellStyle name="Normal 8 3 2 2 4 4" xfId="9913" xr:uid="{B057D1BF-058E-4807-954D-D82ECAB1569E}"/>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6188CECB-6756-4E24-BFB7-569CE8D0EABA}"/>
    <cellStyle name="Normal 8 3 2 2 5 2 3" xfId="12471" xr:uid="{CF65C6D7-6388-4997-A595-A465F1D0EEB0}"/>
    <cellStyle name="Normal 8 3 2 2 5 3" xfId="6102" xr:uid="{00000000-0005-0000-0000-0000521D0000}"/>
    <cellStyle name="Normal 8 3 2 2 5 3 2" xfId="14544" xr:uid="{CA840B37-1732-4DFF-AD7D-D5BB8789CB76}"/>
    <cellStyle name="Normal 8 3 2 2 5 4" xfId="10326" xr:uid="{13FCFDFD-5B0D-4129-9EB9-17A33BD3342A}"/>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677E032D-D190-4A76-BAFA-858CBCCBE9A0}"/>
    <cellStyle name="Normal 8 3 2 2 6 2 3" xfId="12884" xr:uid="{17C105AD-CB56-48FC-BA34-73BB2B65A21E}"/>
    <cellStyle name="Normal 8 3 2 2 6 3" xfId="6515" xr:uid="{00000000-0005-0000-0000-0000561D0000}"/>
    <cellStyle name="Normal 8 3 2 2 6 3 2" xfId="14957" xr:uid="{C2B8A66D-4CD9-412F-BBAA-188DE97E1B96}"/>
    <cellStyle name="Normal 8 3 2 2 6 4" xfId="10739" xr:uid="{207235B2-B1C3-4253-B4D7-CEFBB82C870A}"/>
    <cellStyle name="Normal 8 3 2 2 7" xfId="2644" xr:uid="{00000000-0005-0000-0000-0000571D0000}"/>
    <cellStyle name="Normal 8 3 2 2 7 2" xfId="6928" xr:uid="{00000000-0005-0000-0000-0000581D0000}"/>
    <cellStyle name="Normal 8 3 2 2 7 2 2" xfId="15370" xr:uid="{00E835E7-5B3C-460B-85FD-0AA0DBDAB9EE}"/>
    <cellStyle name="Normal 8 3 2 2 7 3" xfId="11152" xr:uid="{CB91B376-E641-4441-9E77-6F069D6622E6}"/>
    <cellStyle name="Normal 8 3 2 2 8" xfId="4863" xr:uid="{00000000-0005-0000-0000-0000591D0000}"/>
    <cellStyle name="Normal 8 3 2 2 8 2" xfId="13305" xr:uid="{E6BD4510-0EF2-4FC3-92E6-25F87103A20D}"/>
    <cellStyle name="Normal 8 3 2 2 9" xfId="9087" xr:uid="{99D266CF-E584-422D-B177-B00D891D6F36}"/>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0F783334-7EC8-4989-BE46-4A5918315A3D}"/>
    <cellStyle name="Normal 8 3 2 3 2 2 3" xfId="11647" xr:uid="{473A438C-6CC6-4FCE-8840-4D70CEEDF76A}"/>
    <cellStyle name="Normal 8 3 2 3 2 3" xfId="5278" xr:uid="{00000000-0005-0000-0000-00005E1D0000}"/>
    <cellStyle name="Normal 8 3 2 3 2 3 2" xfId="13720" xr:uid="{F4931249-96AF-410F-B768-CBF1CAACC007}"/>
    <cellStyle name="Normal 8 3 2 3 2 4" xfId="9502" xr:uid="{3FC8419C-0DF6-4A4F-B307-5A35013DDD5A}"/>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F9BC3BB2-A7A3-4A1A-AE85-F5168B794EE4}"/>
    <cellStyle name="Normal 8 3 2 3 3 2 3" xfId="12060" xr:uid="{82B6FE83-AFBD-420A-8856-80428BE3FC47}"/>
    <cellStyle name="Normal 8 3 2 3 3 3" xfId="5691" xr:uid="{00000000-0005-0000-0000-0000621D0000}"/>
    <cellStyle name="Normal 8 3 2 3 3 3 2" xfId="14133" xr:uid="{08A80BB4-9155-42F8-A133-6F902ED58B70}"/>
    <cellStyle name="Normal 8 3 2 3 3 4" xfId="9915" xr:uid="{0CF343B3-0935-4487-B582-BB2A0CF49EAD}"/>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9366C3A7-43C7-43BD-8CC1-FEEF96FCDC21}"/>
    <cellStyle name="Normal 8 3 2 3 4 2 3" xfId="12473" xr:uid="{D5251F21-6E4D-4E23-8E19-390F178D8B7E}"/>
    <cellStyle name="Normal 8 3 2 3 4 3" xfId="6104" xr:uid="{00000000-0005-0000-0000-0000661D0000}"/>
    <cellStyle name="Normal 8 3 2 3 4 3 2" xfId="14546" xr:uid="{526ACE36-D72B-4CA9-B049-1CB3AEA9C577}"/>
    <cellStyle name="Normal 8 3 2 3 4 4" xfId="10328" xr:uid="{BFAEF33D-C5D1-48EB-8829-6EA8FD932C04}"/>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16483586-EEE2-4558-883A-B98352098B95}"/>
    <cellStyle name="Normal 8 3 2 3 5 2 3" xfId="12886" xr:uid="{ADF2F263-0DAC-4537-980D-9F8010044BC4}"/>
    <cellStyle name="Normal 8 3 2 3 5 3" xfId="6517" xr:uid="{00000000-0005-0000-0000-00006A1D0000}"/>
    <cellStyle name="Normal 8 3 2 3 5 3 2" xfId="14959" xr:uid="{119039F6-3F10-410B-B093-0B11E80DE598}"/>
    <cellStyle name="Normal 8 3 2 3 5 4" xfId="10741" xr:uid="{1A4D9D72-67C7-4C07-8E71-5376144DF710}"/>
    <cellStyle name="Normal 8 3 2 3 6" xfId="2646" xr:uid="{00000000-0005-0000-0000-00006B1D0000}"/>
    <cellStyle name="Normal 8 3 2 3 6 2" xfId="6930" xr:uid="{00000000-0005-0000-0000-00006C1D0000}"/>
    <cellStyle name="Normal 8 3 2 3 6 2 2" xfId="15372" xr:uid="{A99A9727-2019-4D7C-9551-29156DB476F6}"/>
    <cellStyle name="Normal 8 3 2 3 6 3" xfId="11154" xr:uid="{CE07D59D-A295-49AB-B400-7C072764AD85}"/>
    <cellStyle name="Normal 8 3 2 3 7" xfId="4865" xr:uid="{00000000-0005-0000-0000-00006D1D0000}"/>
    <cellStyle name="Normal 8 3 2 3 7 2" xfId="13307" xr:uid="{C25AAD83-717E-4CE5-9DFF-F719316D49D5}"/>
    <cellStyle name="Normal 8 3 2 3 8" xfId="9089" xr:uid="{786E3980-DD9C-49A0-836B-FD2C96611A28}"/>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2798638-BA5B-48F6-9BE1-8814DC7CF250}"/>
    <cellStyle name="Normal 8 3 2 4 2 3" xfId="11644" xr:uid="{753FFBA3-CBED-4BAB-B942-4293B0FF33CC}"/>
    <cellStyle name="Normal 8 3 2 4 3" xfId="5275" xr:uid="{00000000-0005-0000-0000-0000711D0000}"/>
    <cellStyle name="Normal 8 3 2 4 3 2" xfId="13717" xr:uid="{BCCCF15F-5E8A-4FD1-A655-406976E229B8}"/>
    <cellStyle name="Normal 8 3 2 4 4" xfId="9499" xr:uid="{49419DA2-B748-4AF6-83A0-E36DFBE3EAC0}"/>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ADC673C5-9E27-4D27-A724-0506C9C220BD}"/>
    <cellStyle name="Normal 8 3 2 5 2 3" xfId="12057" xr:uid="{DA55A53A-E77D-4069-82CC-CDD314EECFC5}"/>
    <cellStyle name="Normal 8 3 2 5 3" xfId="5688" xr:uid="{00000000-0005-0000-0000-0000751D0000}"/>
    <cellStyle name="Normal 8 3 2 5 3 2" xfId="14130" xr:uid="{C3B7E52E-BD77-4E68-BD9C-24D273E5316A}"/>
    <cellStyle name="Normal 8 3 2 5 4" xfId="9912" xr:uid="{BECFBF4C-CB36-40E2-9440-7ABDE99A355B}"/>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9D4ECA51-1F3D-4C0A-B10E-851740824A3B}"/>
    <cellStyle name="Normal 8 3 2 6 2 3" xfId="12470" xr:uid="{938A5617-40D1-42AB-BC83-89B32404EC3E}"/>
    <cellStyle name="Normal 8 3 2 6 3" xfId="6101" xr:uid="{00000000-0005-0000-0000-0000791D0000}"/>
    <cellStyle name="Normal 8 3 2 6 3 2" xfId="14543" xr:uid="{5E7BB769-817E-430E-977F-2A5209EF23CF}"/>
    <cellStyle name="Normal 8 3 2 6 4" xfId="10325" xr:uid="{AEB27EF1-6B9B-47A3-BDB9-9813543C71C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4D612C14-F346-4DF0-9235-116AF6A83416}"/>
    <cellStyle name="Normal 8 3 2 7 2 3" xfId="12883" xr:uid="{4E8F685D-AB00-465B-8095-EED5A9BE71C2}"/>
    <cellStyle name="Normal 8 3 2 7 3" xfId="6514" xr:uid="{00000000-0005-0000-0000-00007D1D0000}"/>
    <cellStyle name="Normal 8 3 2 7 3 2" xfId="14956" xr:uid="{EE11D73B-4AA0-4B45-848C-65959E0BB768}"/>
    <cellStyle name="Normal 8 3 2 7 4" xfId="10738" xr:uid="{2AEADE7B-05A3-42CB-B1EB-7259AA874E5A}"/>
    <cellStyle name="Normal 8 3 2 8" xfId="2643" xr:uid="{00000000-0005-0000-0000-00007E1D0000}"/>
    <cellStyle name="Normal 8 3 2 8 2" xfId="6927" xr:uid="{00000000-0005-0000-0000-00007F1D0000}"/>
    <cellStyle name="Normal 8 3 2 8 2 2" xfId="15369" xr:uid="{EC9708A9-1C26-4416-9D9A-245463FE433E}"/>
    <cellStyle name="Normal 8 3 2 8 3" xfId="11151" xr:uid="{59EA4C4A-0334-44EA-91B0-35928CF1327E}"/>
    <cellStyle name="Normal 8 3 2 9" xfId="4862" xr:uid="{00000000-0005-0000-0000-0000801D0000}"/>
    <cellStyle name="Normal 8 3 2 9 2" xfId="13304" xr:uid="{F0CCCE1D-0AAD-4A20-9DC4-B1855D4110A6}"/>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483686DC-9878-4680-9D58-AA1E90763044}"/>
    <cellStyle name="Normal 8 3 3 2 2 2 3" xfId="11649" xr:uid="{448DDD28-D50C-4225-AD6E-4B4B32DF1EDC}"/>
    <cellStyle name="Normal 8 3 3 2 2 3" xfId="5280" xr:uid="{00000000-0005-0000-0000-0000861D0000}"/>
    <cellStyle name="Normal 8 3 3 2 2 3 2" xfId="13722" xr:uid="{EBC7E0D3-EA52-4075-A348-4B312FA05A7D}"/>
    <cellStyle name="Normal 8 3 3 2 2 4" xfId="9504" xr:uid="{B58F4CB8-B3CC-4290-8B41-8BB99A6F2964}"/>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B5D5AA9C-6B70-49B9-91D9-4005E0C2D1C3}"/>
    <cellStyle name="Normal 8 3 3 2 3 2 3" xfId="12062" xr:uid="{D4F2E3CB-588D-4115-B5B4-54EA690F8E3D}"/>
    <cellStyle name="Normal 8 3 3 2 3 3" xfId="5693" xr:uid="{00000000-0005-0000-0000-00008A1D0000}"/>
    <cellStyle name="Normal 8 3 3 2 3 3 2" xfId="14135" xr:uid="{D22F5A9C-5F7B-42BB-9AB3-34A33FD489A9}"/>
    <cellStyle name="Normal 8 3 3 2 3 4" xfId="9917" xr:uid="{DD7BBC7F-EF45-45CB-850A-D73E0429C47B}"/>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23B3092E-6720-4A71-ADA7-9FE603693897}"/>
    <cellStyle name="Normal 8 3 3 2 4 2 3" xfId="12475" xr:uid="{97E90B46-1AB7-4033-9554-0FCAFC720CCC}"/>
    <cellStyle name="Normal 8 3 3 2 4 3" xfId="6106" xr:uid="{00000000-0005-0000-0000-00008E1D0000}"/>
    <cellStyle name="Normal 8 3 3 2 4 3 2" xfId="14548" xr:uid="{7CDF8829-8DBC-4F58-A5E1-D15015E05929}"/>
    <cellStyle name="Normal 8 3 3 2 4 4" xfId="10330" xr:uid="{C9BA10C0-BB97-4770-9928-11D9E29D31C3}"/>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51E88565-BB10-4DD4-873E-29341BF3782A}"/>
    <cellStyle name="Normal 8 3 3 2 5 2 3" xfId="12888" xr:uid="{E3D0FE61-8845-43F1-97C4-C96B9D568D04}"/>
    <cellStyle name="Normal 8 3 3 2 5 3" xfId="6519" xr:uid="{00000000-0005-0000-0000-0000921D0000}"/>
    <cellStyle name="Normal 8 3 3 2 5 3 2" xfId="14961" xr:uid="{656E3B9C-591C-4AF1-A598-00CFBFEB1142}"/>
    <cellStyle name="Normal 8 3 3 2 5 4" xfId="10743" xr:uid="{75572EF6-03D9-4CE0-B3BA-D273FB3F03B1}"/>
    <cellStyle name="Normal 8 3 3 2 6" xfId="2648" xr:uid="{00000000-0005-0000-0000-0000931D0000}"/>
    <cellStyle name="Normal 8 3 3 2 6 2" xfId="6932" xr:uid="{00000000-0005-0000-0000-0000941D0000}"/>
    <cellStyle name="Normal 8 3 3 2 6 2 2" xfId="15374" xr:uid="{E710F356-6CF5-44D2-875F-5B4DAFE0325B}"/>
    <cellStyle name="Normal 8 3 3 2 6 3" xfId="11156" xr:uid="{7144CCD7-D244-4751-A4F9-67524563B82F}"/>
    <cellStyle name="Normal 8 3 3 2 7" xfId="4867" xr:uid="{00000000-0005-0000-0000-0000951D0000}"/>
    <cellStyle name="Normal 8 3 3 2 7 2" xfId="13309" xr:uid="{31F4DD68-3F4F-4618-89A9-9BDBD1103DE6}"/>
    <cellStyle name="Normal 8 3 3 2 8" xfId="9091" xr:uid="{A636D364-36ED-4DC0-AD4F-7D0FE2A0EC31}"/>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3EFBBC9A-C8BF-4FEA-91DF-F8BD8B7B1100}"/>
    <cellStyle name="Normal 8 3 3 3 2 3" xfId="11648" xr:uid="{B6FE7C17-C7CE-44FB-9AD0-E087B3EEBA82}"/>
    <cellStyle name="Normal 8 3 3 3 3" xfId="5279" xr:uid="{00000000-0005-0000-0000-0000991D0000}"/>
    <cellStyle name="Normal 8 3 3 3 3 2" xfId="13721" xr:uid="{AD5A08A8-BDD4-4C88-871B-78C877E18D8E}"/>
    <cellStyle name="Normal 8 3 3 3 4" xfId="9503" xr:uid="{306D11C3-CF19-4361-B3CD-10C5897B72C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0D38BB8-5D62-4BE4-84B6-AD701664E633}"/>
    <cellStyle name="Normal 8 3 3 4 2 3" xfId="12061" xr:uid="{35207693-93B1-4DDA-9505-2AD4D0D5FA0D}"/>
    <cellStyle name="Normal 8 3 3 4 3" xfId="5692" xr:uid="{00000000-0005-0000-0000-00009D1D0000}"/>
    <cellStyle name="Normal 8 3 3 4 3 2" xfId="14134" xr:uid="{27D84F23-71BE-409B-95DD-60E50FEBC55B}"/>
    <cellStyle name="Normal 8 3 3 4 4" xfId="9916" xr:uid="{C7BD7FCD-F19E-4A9E-BEF4-73BE6568601D}"/>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E6BCF048-032C-4943-91C0-9530CFBF66A1}"/>
    <cellStyle name="Normal 8 3 3 5 2 3" xfId="12474" xr:uid="{82A16591-2D06-4587-ACE1-20B95FB6C701}"/>
    <cellStyle name="Normal 8 3 3 5 3" xfId="6105" xr:uid="{00000000-0005-0000-0000-0000A11D0000}"/>
    <cellStyle name="Normal 8 3 3 5 3 2" xfId="14547" xr:uid="{AF4742F1-F04C-45DB-AF0C-940E78038EBB}"/>
    <cellStyle name="Normal 8 3 3 5 4" xfId="10329" xr:uid="{90954B9D-468C-4AB9-9B89-6969F12C2D78}"/>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D3559B33-BE5B-4394-B822-BA789E78A01A}"/>
    <cellStyle name="Normal 8 3 3 6 2 3" xfId="12887" xr:uid="{0025B4AF-83DB-484E-AF41-120B961BF935}"/>
    <cellStyle name="Normal 8 3 3 6 3" xfId="6518" xr:uid="{00000000-0005-0000-0000-0000A51D0000}"/>
    <cellStyle name="Normal 8 3 3 6 3 2" xfId="14960" xr:uid="{EA2F65E2-6F2F-46DD-B196-B7897355373E}"/>
    <cellStyle name="Normal 8 3 3 6 4" xfId="10742" xr:uid="{305817E1-71FC-44A6-BC03-A3145DBF9EE6}"/>
    <cellStyle name="Normal 8 3 3 7" xfId="2647" xr:uid="{00000000-0005-0000-0000-0000A61D0000}"/>
    <cellStyle name="Normal 8 3 3 7 2" xfId="6931" xr:uid="{00000000-0005-0000-0000-0000A71D0000}"/>
    <cellStyle name="Normal 8 3 3 7 2 2" xfId="15373" xr:uid="{3319AA38-F4AC-4236-B697-0EE91AFC210B}"/>
    <cellStyle name="Normal 8 3 3 7 3" xfId="11155" xr:uid="{E1B18CFD-F985-496A-BA1C-C9CFAE168F00}"/>
    <cellStyle name="Normal 8 3 3 8" xfId="4866" xr:uid="{00000000-0005-0000-0000-0000A81D0000}"/>
    <cellStyle name="Normal 8 3 3 8 2" xfId="13308" xr:uid="{67A5DA18-1908-4156-A61E-F0B945B84304}"/>
    <cellStyle name="Normal 8 3 3 9" xfId="9090" xr:uid="{3D7B2145-7512-4DCA-8AEC-C60BC528A7B1}"/>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798FF53F-ED7A-4603-83E6-7E287E87A8B4}"/>
    <cellStyle name="Normal 8 3 4 2 2 3" xfId="11650" xr:uid="{3E781B67-9569-4B19-A077-8109F074D39B}"/>
    <cellStyle name="Normal 8 3 4 2 3" xfId="5281" xr:uid="{00000000-0005-0000-0000-0000AD1D0000}"/>
    <cellStyle name="Normal 8 3 4 2 3 2" xfId="13723" xr:uid="{CE6F4112-4B83-47DF-9B62-503AE79D8025}"/>
    <cellStyle name="Normal 8 3 4 2 4" xfId="9505" xr:uid="{B4E6799C-E3F5-49A4-A8A3-E15D0DA66EC9}"/>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7DCDAA93-6008-4160-9855-3A94FF30BC0F}"/>
    <cellStyle name="Normal 8 3 4 3 2 3" xfId="12063" xr:uid="{99B995CA-D873-48A2-B842-8502E32AF475}"/>
    <cellStyle name="Normal 8 3 4 3 3" xfId="5694" xr:uid="{00000000-0005-0000-0000-0000B11D0000}"/>
    <cellStyle name="Normal 8 3 4 3 3 2" xfId="14136" xr:uid="{08053051-F465-4FAA-8C35-B54DECB8CE32}"/>
    <cellStyle name="Normal 8 3 4 3 4" xfId="9918" xr:uid="{A3032D84-4BB5-429C-9BF6-DEC9CED1D520}"/>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8B920BA1-8C9B-439A-9C49-622A68F65245}"/>
    <cellStyle name="Normal 8 3 4 4 2 3" xfId="12476" xr:uid="{F0829097-65F6-4BDD-9072-8D35AA733B29}"/>
    <cellStyle name="Normal 8 3 4 4 3" xfId="6107" xr:uid="{00000000-0005-0000-0000-0000B51D0000}"/>
    <cellStyle name="Normal 8 3 4 4 3 2" xfId="14549" xr:uid="{3A72B62C-00FA-4123-B352-E62EB1550A1F}"/>
    <cellStyle name="Normal 8 3 4 4 4" xfId="10331" xr:uid="{BE7DA5EC-1C8E-437D-91AC-B8A6D67331CB}"/>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FEB1A867-3EC3-4E9E-834B-53505E516A01}"/>
    <cellStyle name="Normal 8 3 4 5 2 3" xfId="12889" xr:uid="{16286F0B-6474-4184-ADEB-87AAED6A7A4C}"/>
    <cellStyle name="Normal 8 3 4 5 3" xfId="6520" xr:uid="{00000000-0005-0000-0000-0000B91D0000}"/>
    <cellStyle name="Normal 8 3 4 5 3 2" xfId="14962" xr:uid="{29222B72-8D57-41E9-881B-9F9FFB9CD745}"/>
    <cellStyle name="Normal 8 3 4 5 4" xfId="10744" xr:uid="{79F1051F-33E7-4395-9379-8CFB965024FB}"/>
    <cellStyle name="Normal 8 3 4 6" xfId="2649" xr:uid="{00000000-0005-0000-0000-0000BA1D0000}"/>
    <cellStyle name="Normal 8 3 4 6 2" xfId="6933" xr:uid="{00000000-0005-0000-0000-0000BB1D0000}"/>
    <cellStyle name="Normal 8 3 4 6 2 2" xfId="15375" xr:uid="{935B85A5-F64E-4F7A-8E4F-F9744EE9651F}"/>
    <cellStyle name="Normal 8 3 4 6 3" xfId="11157" xr:uid="{6A3ECFB8-E665-4CC0-9D07-CE4391A8F066}"/>
    <cellStyle name="Normal 8 3 4 7" xfId="4868" xr:uid="{00000000-0005-0000-0000-0000BC1D0000}"/>
    <cellStyle name="Normal 8 3 4 7 2" xfId="13310" xr:uid="{6E5DD337-C1A7-4EAC-9D18-46C15DB53A51}"/>
    <cellStyle name="Normal 8 3 4 8" xfId="9092" xr:uid="{E4FC590D-ECA7-4BD0-BC32-F8CCC3E7C14F}"/>
    <cellStyle name="Normal 8 3 5" xfId="962" xr:uid="{00000000-0005-0000-0000-0000BD1D0000}"/>
    <cellStyle name="Normal 8 3 5 2" xfId="3196" xr:uid="{00000000-0005-0000-0000-0000BE1D0000}"/>
    <cellStyle name="Normal 8 3 5 2 2" xfId="7419" xr:uid="{00000000-0005-0000-0000-0000BF1D0000}"/>
    <cellStyle name="Normal 8 3 5 2 2 2" xfId="15861" xr:uid="{CADEF01B-9ED2-4FA1-BF50-9BF35A556BCF}"/>
    <cellStyle name="Normal 8 3 5 2 3" xfId="11643" xr:uid="{FA04C622-0294-49B7-A527-C56DC14432EB}"/>
    <cellStyle name="Normal 8 3 5 3" xfId="5274" xr:uid="{00000000-0005-0000-0000-0000C01D0000}"/>
    <cellStyle name="Normal 8 3 5 3 2" xfId="13716" xr:uid="{B3873F71-507C-411E-A204-E232D95A4734}"/>
    <cellStyle name="Normal 8 3 5 4" xfId="9498" xr:uid="{4DAB85CB-923D-446D-9567-D006450F0056}"/>
    <cellStyle name="Normal 8 3 6" xfId="1379" xr:uid="{00000000-0005-0000-0000-0000C11D0000}"/>
    <cellStyle name="Normal 8 3 6 2" xfId="3609" xr:uid="{00000000-0005-0000-0000-0000C21D0000}"/>
    <cellStyle name="Normal 8 3 6 2 2" xfId="7832" xr:uid="{00000000-0005-0000-0000-0000C31D0000}"/>
    <cellStyle name="Normal 8 3 6 2 2 2" xfId="16274" xr:uid="{D4414E95-BB57-489E-BAB6-431836E12288}"/>
    <cellStyle name="Normal 8 3 6 2 3" xfId="12056" xr:uid="{45F2A797-37FB-4F56-8E8D-03DCEFB07203}"/>
    <cellStyle name="Normal 8 3 6 3" xfId="5687" xr:uid="{00000000-0005-0000-0000-0000C41D0000}"/>
    <cellStyle name="Normal 8 3 6 3 2" xfId="14129" xr:uid="{7A70E753-3AEC-4A05-9444-0E1C861AF9F1}"/>
    <cellStyle name="Normal 8 3 6 4" xfId="9911" xr:uid="{11610DF7-F936-4B03-A1C0-D8D09683EE59}"/>
    <cellStyle name="Normal 8 3 7" xfId="1792" xr:uid="{00000000-0005-0000-0000-0000C51D0000}"/>
    <cellStyle name="Normal 8 3 7 2" xfId="4022" xr:uid="{00000000-0005-0000-0000-0000C61D0000}"/>
    <cellStyle name="Normal 8 3 7 2 2" xfId="8245" xr:uid="{00000000-0005-0000-0000-0000C71D0000}"/>
    <cellStyle name="Normal 8 3 7 2 2 2" xfId="16687" xr:uid="{04CF23AA-30AA-4F25-B900-5D25EF4814B8}"/>
    <cellStyle name="Normal 8 3 7 2 3" xfId="12469" xr:uid="{92BDD849-D9EF-4193-9EF0-7CF8BF701BF3}"/>
    <cellStyle name="Normal 8 3 7 3" xfId="6100" xr:uid="{00000000-0005-0000-0000-0000C81D0000}"/>
    <cellStyle name="Normal 8 3 7 3 2" xfId="14542" xr:uid="{E9A04954-D001-478E-B6D6-F84D04925BC8}"/>
    <cellStyle name="Normal 8 3 7 4" xfId="10324" xr:uid="{0915AB32-62BC-4230-81B7-DEF90902F250}"/>
    <cellStyle name="Normal 8 3 8" xfId="2206" xr:uid="{00000000-0005-0000-0000-0000C91D0000}"/>
    <cellStyle name="Normal 8 3 8 2" xfId="4435" xr:uid="{00000000-0005-0000-0000-0000CA1D0000}"/>
    <cellStyle name="Normal 8 3 8 2 2" xfId="8658" xr:uid="{00000000-0005-0000-0000-0000CB1D0000}"/>
    <cellStyle name="Normal 8 3 8 2 2 2" xfId="17100" xr:uid="{F3213BC5-3BA5-4716-8744-72F1E7607FC5}"/>
    <cellStyle name="Normal 8 3 8 2 3" xfId="12882" xr:uid="{7DF6407A-2DC4-4EEA-86DD-C8D0FC019BB6}"/>
    <cellStyle name="Normal 8 3 8 3" xfId="6513" xr:uid="{00000000-0005-0000-0000-0000CC1D0000}"/>
    <cellStyle name="Normal 8 3 8 3 2" xfId="14955" xr:uid="{75562FA7-698F-4272-B22A-89563B70967D}"/>
    <cellStyle name="Normal 8 3 8 4" xfId="10737" xr:uid="{BAA9C310-562E-4ACB-AD55-346A650210BF}"/>
    <cellStyle name="Normal 8 3 9" xfId="2642" xr:uid="{00000000-0005-0000-0000-0000CD1D0000}"/>
    <cellStyle name="Normal 8 3 9 2" xfId="6926" xr:uid="{00000000-0005-0000-0000-0000CE1D0000}"/>
    <cellStyle name="Normal 8 3 9 2 2" xfId="15368" xr:uid="{2E59ADDA-4A84-4533-8C43-186FB1D4424D}"/>
    <cellStyle name="Normal 8 3 9 3" xfId="11150" xr:uid="{AAFB5410-673A-49E5-A4A2-02F2255608D4}"/>
    <cellStyle name="Normal 8 4" xfId="503" xr:uid="{00000000-0005-0000-0000-0000CF1D0000}"/>
    <cellStyle name="Normal 8 4 10" xfId="9093" xr:uid="{5AEB3A9F-B44E-4E8B-B2D5-8F099C7CB8B8}"/>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C17213C0-C59F-4BD9-BB37-454C59C2DB6A}"/>
    <cellStyle name="Normal 8 4 2 2 2 2 3" xfId="11653" xr:uid="{9A254F0C-DDB5-43CA-AD76-D8F6F4C2C63D}"/>
    <cellStyle name="Normal 8 4 2 2 2 3" xfId="5284" xr:uid="{00000000-0005-0000-0000-0000D51D0000}"/>
    <cellStyle name="Normal 8 4 2 2 2 3 2" xfId="13726" xr:uid="{314CC891-2CB4-4BC3-B425-BD8C415487F5}"/>
    <cellStyle name="Normal 8 4 2 2 2 4" xfId="9508" xr:uid="{78C80743-D4C1-4B0D-8C58-A7A3245E6985}"/>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FD80BD5A-5CA5-4800-B046-C7803FF2F0FF}"/>
    <cellStyle name="Normal 8 4 2 2 3 2 3" xfId="12066" xr:uid="{D2CFEBC2-EF2F-4076-9C5E-EDF0A659A0FC}"/>
    <cellStyle name="Normal 8 4 2 2 3 3" xfId="5697" xr:uid="{00000000-0005-0000-0000-0000D91D0000}"/>
    <cellStyle name="Normal 8 4 2 2 3 3 2" xfId="14139" xr:uid="{90367289-CEC0-411E-AD8E-3FA9A11061BE}"/>
    <cellStyle name="Normal 8 4 2 2 3 4" xfId="9921" xr:uid="{FA6D2F1F-A212-4693-A9F0-4D9C3C60D9E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2603E342-CF62-4D36-B533-3D3363669F6C}"/>
    <cellStyle name="Normal 8 4 2 2 4 2 3" xfId="12479" xr:uid="{D18F6518-BE62-4A77-BF20-0DBEFD0F314E}"/>
    <cellStyle name="Normal 8 4 2 2 4 3" xfId="6110" xr:uid="{00000000-0005-0000-0000-0000DD1D0000}"/>
    <cellStyle name="Normal 8 4 2 2 4 3 2" xfId="14552" xr:uid="{9A0E556F-BF90-43D0-8035-8A60C66AF510}"/>
    <cellStyle name="Normal 8 4 2 2 4 4" xfId="10334" xr:uid="{F11FF688-055C-4268-AAE4-5FA456B365CD}"/>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72AFED60-6FBB-4B98-B16E-DCBF0E9C6CB3}"/>
    <cellStyle name="Normal 8 4 2 2 5 2 3" xfId="12892" xr:uid="{E037DB35-CAFB-49CD-BF51-872CCF68E07F}"/>
    <cellStyle name="Normal 8 4 2 2 5 3" xfId="6523" xr:uid="{00000000-0005-0000-0000-0000E11D0000}"/>
    <cellStyle name="Normal 8 4 2 2 5 3 2" xfId="14965" xr:uid="{C0E76C97-EF70-4BF5-BDAE-76D417EBF299}"/>
    <cellStyle name="Normal 8 4 2 2 5 4" xfId="10747" xr:uid="{C8577F09-0A72-4934-BC08-1B681DC08003}"/>
    <cellStyle name="Normal 8 4 2 2 6" xfId="2652" xr:uid="{00000000-0005-0000-0000-0000E21D0000}"/>
    <cellStyle name="Normal 8 4 2 2 6 2" xfId="6936" xr:uid="{00000000-0005-0000-0000-0000E31D0000}"/>
    <cellStyle name="Normal 8 4 2 2 6 2 2" xfId="15378" xr:uid="{5F1B9758-A26E-4661-B019-232737014AE4}"/>
    <cellStyle name="Normal 8 4 2 2 6 3" xfId="11160" xr:uid="{99DEA671-9BC2-47F6-841B-3B32F7E643AC}"/>
    <cellStyle name="Normal 8 4 2 2 7" xfId="4871" xr:uid="{00000000-0005-0000-0000-0000E41D0000}"/>
    <cellStyle name="Normal 8 4 2 2 7 2" xfId="13313" xr:uid="{F5D85F61-DB22-45B5-B0FA-115FBDF11972}"/>
    <cellStyle name="Normal 8 4 2 2 8" xfId="9095" xr:uid="{C3233652-FBFC-4F27-9BAA-01C780E6B056}"/>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1C774D7-3CDC-46D7-9020-26D821BDE32B}"/>
    <cellStyle name="Normal 8 4 2 3 2 3" xfId="11652" xr:uid="{876C147D-FF33-4485-B45A-115C3482E259}"/>
    <cellStyle name="Normal 8 4 2 3 3" xfId="5283" xr:uid="{00000000-0005-0000-0000-0000E81D0000}"/>
    <cellStyle name="Normal 8 4 2 3 3 2" xfId="13725" xr:uid="{F823150B-71EC-49F8-9730-6CCC547C4B91}"/>
    <cellStyle name="Normal 8 4 2 3 4" xfId="9507" xr:uid="{9E612935-733C-4151-AF33-E1D08C704FBF}"/>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441F8C6A-EBD0-49FC-BE42-5472171D1E0A}"/>
    <cellStyle name="Normal 8 4 2 4 2 3" xfId="12065" xr:uid="{A1568BAA-0D99-4969-9CFA-13BB4B15A278}"/>
    <cellStyle name="Normal 8 4 2 4 3" xfId="5696" xr:uid="{00000000-0005-0000-0000-0000EC1D0000}"/>
    <cellStyle name="Normal 8 4 2 4 3 2" xfId="14138" xr:uid="{894A66DD-CB7E-4F0B-9306-460A1F004808}"/>
    <cellStyle name="Normal 8 4 2 4 4" xfId="9920" xr:uid="{D360D8D3-B595-468F-86D9-0B1B07FDB8AE}"/>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29CD96B-B7E1-4F13-B0E5-E32610A165BB}"/>
    <cellStyle name="Normal 8 4 2 5 2 3" xfId="12478" xr:uid="{B6136F74-E2AA-4F5C-9F51-22EB8377903F}"/>
    <cellStyle name="Normal 8 4 2 5 3" xfId="6109" xr:uid="{00000000-0005-0000-0000-0000F01D0000}"/>
    <cellStyle name="Normal 8 4 2 5 3 2" xfId="14551" xr:uid="{1C36F697-6475-4467-ADDB-086106A62581}"/>
    <cellStyle name="Normal 8 4 2 5 4" xfId="10333" xr:uid="{0BA21288-BC78-4208-977C-5414EAD65BAB}"/>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67CCF7B-C876-477B-9D5C-47DCF59E5700}"/>
    <cellStyle name="Normal 8 4 2 6 2 3" xfId="12891" xr:uid="{3F1CE6FB-7F34-481F-89F9-B551CCB3224A}"/>
    <cellStyle name="Normal 8 4 2 6 3" xfId="6522" xr:uid="{00000000-0005-0000-0000-0000F41D0000}"/>
    <cellStyle name="Normal 8 4 2 6 3 2" xfId="14964" xr:uid="{91F8DF93-A0B3-4824-ADCA-278DCB6A4EB1}"/>
    <cellStyle name="Normal 8 4 2 6 4" xfId="10746" xr:uid="{4CC97DC2-5760-42F2-8661-8880600A49A8}"/>
    <cellStyle name="Normal 8 4 2 7" xfId="2651" xr:uid="{00000000-0005-0000-0000-0000F51D0000}"/>
    <cellStyle name="Normal 8 4 2 7 2" xfId="6935" xr:uid="{00000000-0005-0000-0000-0000F61D0000}"/>
    <cellStyle name="Normal 8 4 2 7 2 2" xfId="15377" xr:uid="{E1C1924C-FA02-4218-A6D0-6F37C397D219}"/>
    <cellStyle name="Normal 8 4 2 7 3" xfId="11159" xr:uid="{8FD299E4-2ED7-4F46-8BFF-281547FBD232}"/>
    <cellStyle name="Normal 8 4 2 8" xfId="4870" xr:uid="{00000000-0005-0000-0000-0000F71D0000}"/>
    <cellStyle name="Normal 8 4 2 8 2" xfId="13312" xr:uid="{C513A70F-04BC-4832-BFAE-91BE71A51A59}"/>
    <cellStyle name="Normal 8 4 2 9" xfId="9094" xr:uid="{A6008E21-4E16-43EE-9EFB-B38A68F6E6A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D51DCB41-D6BF-4AF9-9D35-37E61F0BC3F3}"/>
    <cellStyle name="Normal 8 4 3 2 2 3" xfId="11654" xr:uid="{615250E9-E0FB-4118-BB72-DFB581746002}"/>
    <cellStyle name="Normal 8 4 3 2 3" xfId="5285" xr:uid="{00000000-0005-0000-0000-0000FC1D0000}"/>
    <cellStyle name="Normal 8 4 3 2 3 2" xfId="13727" xr:uid="{AAC0AC57-499B-4BD2-84A3-B75B5AE4E4C1}"/>
    <cellStyle name="Normal 8 4 3 2 4" xfId="9509" xr:uid="{FBF8DFB2-B417-452F-B11C-4AA58B7A05B1}"/>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B8A11E0A-E4E3-4003-BC7A-56303D8E5E2F}"/>
    <cellStyle name="Normal 8 4 3 3 2 3" xfId="12067" xr:uid="{6B294A63-C86F-4836-B1FD-96E0C1FDA646}"/>
    <cellStyle name="Normal 8 4 3 3 3" xfId="5698" xr:uid="{00000000-0005-0000-0000-0000001E0000}"/>
    <cellStyle name="Normal 8 4 3 3 3 2" xfId="14140" xr:uid="{8FD0DCBC-67DD-429E-9D87-CBC5AC20B4B1}"/>
    <cellStyle name="Normal 8 4 3 3 4" xfId="9922" xr:uid="{F4B98580-2C30-492E-AF70-6CDDF9DD47B6}"/>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D2D607E0-0656-4B0C-A729-3248BA7F3003}"/>
    <cellStyle name="Normal 8 4 3 4 2 3" xfId="12480" xr:uid="{E4F7C3AB-51D4-48EF-8E40-4DA3CE621B83}"/>
    <cellStyle name="Normal 8 4 3 4 3" xfId="6111" xr:uid="{00000000-0005-0000-0000-0000041E0000}"/>
    <cellStyle name="Normal 8 4 3 4 3 2" xfId="14553" xr:uid="{CDED0ACD-604C-4228-A8CF-AAC8F74948E9}"/>
    <cellStyle name="Normal 8 4 3 4 4" xfId="10335" xr:uid="{F99DBBBA-DA26-475C-92E2-E3A161A43D85}"/>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79E5B051-3A0A-436C-BBE7-4C3A32E0D23E}"/>
    <cellStyle name="Normal 8 4 3 5 2 3" xfId="12893" xr:uid="{939D1710-2C52-41BA-AA49-F01E12445D6A}"/>
    <cellStyle name="Normal 8 4 3 5 3" xfId="6524" xr:uid="{00000000-0005-0000-0000-0000081E0000}"/>
    <cellStyle name="Normal 8 4 3 5 3 2" xfId="14966" xr:uid="{620CEE88-70F3-4561-B169-0680F58681DA}"/>
    <cellStyle name="Normal 8 4 3 5 4" xfId="10748" xr:uid="{891F4211-2506-42E4-9ADC-223CFEBD638B}"/>
    <cellStyle name="Normal 8 4 3 6" xfId="2653" xr:uid="{00000000-0005-0000-0000-0000091E0000}"/>
    <cellStyle name="Normal 8 4 3 6 2" xfId="6937" xr:uid="{00000000-0005-0000-0000-00000A1E0000}"/>
    <cellStyle name="Normal 8 4 3 6 2 2" xfId="15379" xr:uid="{A232401A-3801-4C88-B2B5-790F43726DCB}"/>
    <cellStyle name="Normal 8 4 3 6 3" xfId="11161" xr:uid="{CBE2BE0E-D0F5-42EA-825D-D564C0390AE3}"/>
    <cellStyle name="Normal 8 4 3 7" xfId="4872" xr:uid="{00000000-0005-0000-0000-00000B1E0000}"/>
    <cellStyle name="Normal 8 4 3 7 2" xfId="13314" xr:uid="{12E27264-2752-4995-A034-79F4BF9B3090}"/>
    <cellStyle name="Normal 8 4 3 8" xfId="9096" xr:uid="{9B7A8628-8AA2-47DE-A6ED-E27B7A0A5859}"/>
    <cellStyle name="Normal 8 4 4" xfId="970" xr:uid="{00000000-0005-0000-0000-00000C1E0000}"/>
    <cellStyle name="Normal 8 4 4 2" xfId="3204" xr:uid="{00000000-0005-0000-0000-00000D1E0000}"/>
    <cellStyle name="Normal 8 4 4 2 2" xfId="7427" xr:uid="{00000000-0005-0000-0000-00000E1E0000}"/>
    <cellStyle name="Normal 8 4 4 2 2 2" xfId="15869" xr:uid="{7900916E-7124-4056-A6EF-F90EA89C551B}"/>
    <cellStyle name="Normal 8 4 4 2 3" xfId="11651" xr:uid="{3A66F175-4058-46A0-ACA9-A88A24727998}"/>
    <cellStyle name="Normal 8 4 4 3" xfId="5282" xr:uid="{00000000-0005-0000-0000-00000F1E0000}"/>
    <cellStyle name="Normal 8 4 4 3 2" xfId="13724" xr:uid="{F0A709EC-8F03-4515-90A2-2F8B5331A1E7}"/>
    <cellStyle name="Normal 8 4 4 4" xfId="9506" xr:uid="{308EF55D-B3A5-4D5D-9447-16F38D6569CC}"/>
    <cellStyle name="Normal 8 4 5" xfId="1387" xr:uid="{00000000-0005-0000-0000-0000101E0000}"/>
    <cellStyle name="Normal 8 4 5 2" xfId="3617" xr:uid="{00000000-0005-0000-0000-0000111E0000}"/>
    <cellStyle name="Normal 8 4 5 2 2" xfId="7840" xr:uid="{00000000-0005-0000-0000-0000121E0000}"/>
    <cellStyle name="Normal 8 4 5 2 2 2" xfId="16282" xr:uid="{AC4C24D6-3B32-4662-84D2-EB8B7B17866D}"/>
    <cellStyle name="Normal 8 4 5 2 3" xfId="12064" xr:uid="{7D7D05CB-7AB4-4C8A-949B-F966D6649A22}"/>
    <cellStyle name="Normal 8 4 5 3" xfId="5695" xr:uid="{00000000-0005-0000-0000-0000131E0000}"/>
    <cellStyle name="Normal 8 4 5 3 2" xfId="14137" xr:uid="{EB7C9C6F-120C-46DA-8423-C3244EE7096D}"/>
    <cellStyle name="Normal 8 4 5 4" xfId="9919" xr:uid="{EB733D02-5401-427B-A2DE-6946D7882678}"/>
    <cellStyle name="Normal 8 4 6" xfId="1800" xr:uid="{00000000-0005-0000-0000-0000141E0000}"/>
    <cellStyle name="Normal 8 4 6 2" xfId="4030" xr:uid="{00000000-0005-0000-0000-0000151E0000}"/>
    <cellStyle name="Normal 8 4 6 2 2" xfId="8253" xr:uid="{00000000-0005-0000-0000-0000161E0000}"/>
    <cellStyle name="Normal 8 4 6 2 2 2" xfId="16695" xr:uid="{F4F5BCE0-8853-4392-A344-9D24577386FB}"/>
    <cellStyle name="Normal 8 4 6 2 3" xfId="12477" xr:uid="{2AAA1A24-0E7D-4BE8-9535-010C0747D2BE}"/>
    <cellStyle name="Normal 8 4 6 3" xfId="6108" xr:uid="{00000000-0005-0000-0000-0000171E0000}"/>
    <cellStyle name="Normal 8 4 6 3 2" xfId="14550" xr:uid="{0B70CC47-05D4-438B-AA82-F7DA92A671E8}"/>
    <cellStyle name="Normal 8 4 6 4" xfId="10332" xr:uid="{CA0A5DD5-2DE8-47DC-A21F-2F80C562C428}"/>
    <cellStyle name="Normal 8 4 7" xfId="2214" xr:uid="{00000000-0005-0000-0000-0000181E0000}"/>
    <cellStyle name="Normal 8 4 7 2" xfId="4443" xr:uid="{00000000-0005-0000-0000-0000191E0000}"/>
    <cellStyle name="Normal 8 4 7 2 2" xfId="8666" xr:uid="{00000000-0005-0000-0000-00001A1E0000}"/>
    <cellStyle name="Normal 8 4 7 2 2 2" xfId="17108" xr:uid="{0DAA295B-6FED-4060-9259-3322F5FDF940}"/>
    <cellStyle name="Normal 8 4 7 2 3" xfId="12890" xr:uid="{466193AF-8201-41A6-826D-F71CAC4DC137}"/>
    <cellStyle name="Normal 8 4 7 3" xfId="6521" xr:uid="{00000000-0005-0000-0000-00001B1E0000}"/>
    <cellStyle name="Normal 8 4 7 3 2" xfId="14963" xr:uid="{73B0BEA6-E315-4CE1-A5C9-79DD9F746F0C}"/>
    <cellStyle name="Normal 8 4 7 4" xfId="10745" xr:uid="{293C716E-3318-4CCE-B092-BADBD7927ABB}"/>
    <cellStyle name="Normal 8 4 8" xfId="2650" xr:uid="{00000000-0005-0000-0000-00001C1E0000}"/>
    <cellStyle name="Normal 8 4 8 2" xfId="6934" xr:uid="{00000000-0005-0000-0000-00001D1E0000}"/>
    <cellStyle name="Normal 8 4 8 2 2" xfId="15376" xr:uid="{4320DA4B-97CD-4109-93A0-5F2F9606764C}"/>
    <cellStyle name="Normal 8 4 8 3" xfId="11158" xr:uid="{EB2BCC7C-7E5F-4944-B291-9EE621A48EDB}"/>
    <cellStyle name="Normal 8 4 9" xfId="4869" xr:uid="{00000000-0005-0000-0000-00001E1E0000}"/>
    <cellStyle name="Normal 8 4 9 2" xfId="13311" xr:uid="{9124FC81-E54B-4BB8-A2F9-8D22C2CD9DF4}"/>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B758A9FB-97FD-4A15-A1C0-C566470FD7A7}"/>
    <cellStyle name="Normal 8 5 2 2 2 3" xfId="11656" xr:uid="{778BCFB4-0AB8-45A7-8A65-FD660BFF836A}"/>
    <cellStyle name="Normal 8 5 2 2 3" xfId="5287" xr:uid="{00000000-0005-0000-0000-0000241E0000}"/>
    <cellStyle name="Normal 8 5 2 2 3 2" xfId="13729" xr:uid="{BBE939B6-5A7D-49B6-86EB-F02B1550E198}"/>
    <cellStyle name="Normal 8 5 2 2 4" xfId="9511" xr:uid="{8AE03575-010F-439E-90A0-2F58F502D307}"/>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3889C217-B1A5-4EB1-A4E2-822C7C177353}"/>
    <cellStyle name="Normal 8 5 2 3 2 3" xfId="12069" xr:uid="{38E221CF-7B4C-41DB-8842-E84E93E42D6B}"/>
    <cellStyle name="Normal 8 5 2 3 3" xfId="5700" xr:uid="{00000000-0005-0000-0000-0000281E0000}"/>
    <cellStyle name="Normal 8 5 2 3 3 2" xfId="14142" xr:uid="{3E104C77-95D8-4691-9404-C595863BD9FC}"/>
    <cellStyle name="Normal 8 5 2 3 4" xfId="9924" xr:uid="{26308062-4445-45C7-9AE0-FDFBB7CF742D}"/>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93009BE2-AEE7-45ED-B432-0AF616592904}"/>
    <cellStyle name="Normal 8 5 2 4 2 3" xfId="12482" xr:uid="{FE012ADE-00B1-4B58-93C2-A8ACCACA0C8F}"/>
    <cellStyle name="Normal 8 5 2 4 3" xfId="6113" xr:uid="{00000000-0005-0000-0000-00002C1E0000}"/>
    <cellStyle name="Normal 8 5 2 4 3 2" xfId="14555" xr:uid="{7140DB56-FA76-4B37-A5F7-886A5D14F6A1}"/>
    <cellStyle name="Normal 8 5 2 4 4" xfId="10337" xr:uid="{0E8765F3-D126-436D-9D0E-32A1554180F0}"/>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912228E5-CCF2-4891-9924-CE33EA7FE83F}"/>
    <cellStyle name="Normal 8 5 2 5 2 3" xfId="12895" xr:uid="{8FBFC1AA-6FB6-4A54-8994-2EC3A4E38A2A}"/>
    <cellStyle name="Normal 8 5 2 5 3" xfId="6526" xr:uid="{00000000-0005-0000-0000-0000301E0000}"/>
    <cellStyle name="Normal 8 5 2 5 3 2" xfId="14968" xr:uid="{27AE87F1-0EDA-4F43-A64E-49BA07B25194}"/>
    <cellStyle name="Normal 8 5 2 5 4" xfId="10750" xr:uid="{049FCBD4-772C-4F8C-9A4D-3F760FEEC6E6}"/>
    <cellStyle name="Normal 8 5 2 6" xfId="2655" xr:uid="{00000000-0005-0000-0000-0000311E0000}"/>
    <cellStyle name="Normal 8 5 2 6 2" xfId="6939" xr:uid="{00000000-0005-0000-0000-0000321E0000}"/>
    <cellStyle name="Normal 8 5 2 6 2 2" xfId="15381" xr:uid="{69A5862F-40CC-40F2-81B9-765D8666538C}"/>
    <cellStyle name="Normal 8 5 2 6 3" xfId="11163" xr:uid="{B7682208-8B19-474B-BBE2-4CF4F984EC17}"/>
    <cellStyle name="Normal 8 5 2 7" xfId="4874" xr:uid="{00000000-0005-0000-0000-0000331E0000}"/>
    <cellStyle name="Normal 8 5 2 7 2" xfId="13316" xr:uid="{F1010BF9-FECB-4912-9F85-226AAFDBDBF1}"/>
    <cellStyle name="Normal 8 5 2 8" xfId="9098" xr:uid="{BFA34156-56B9-4C99-B097-D37F3261E4C7}"/>
    <cellStyle name="Normal 8 5 3" xfId="974" xr:uid="{00000000-0005-0000-0000-0000341E0000}"/>
    <cellStyle name="Normal 8 5 3 2" xfId="3208" xr:uid="{00000000-0005-0000-0000-0000351E0000}"/>
    <cellStyle name="Normal 8 5 3 2 2" xfId="7431" xr:uid="{00000000-0005-0000-0000-0000361E0000}"/>
    <cellStyle name="Normal 8 5 3 2 2 2" xfId="15873" xr:uid="{0B1C3334-ACB2-4C39-8432-D811FD29BD7D}"/>
    <cellStyle name="Normal 8 5 3 2 3" xfId="11655" xr:uid="{42556407-F875-496E-A305-BDE56F6D9EC5}"/>
    <cellStyle name="Normal 8 5 3 3" xfId="5286" xr:uid="{00000000-0005-0000-0000-0000371E0000}"/>
    <cellStyle name="Normal 8 5 3 3 2" xfId="13728" xr:uid="{88B8BBF1-AC94-489A-8A8D-5CD735092A18}"/>
    <cellStyle name="Normal 8 5 3 4" xfId="9510" xr:uid="{BE454B95-C645-4E68-AF0C-0798F29DE330}"/>
    <cellStyle name="Normal 8 5 4" xfId="1391" xr:uid="{00000000-0005-0000-0000-0000381E0000}"/>
    <cellStyle name="Normal 8 5 4 2" xfId="3621" xr:uid="{00000000-0005-0000-0000-0000391E0000}"/>
    <cellStyle name="Normal 8 5 4 2 2" xfId="7844" xr:uid="{00000000-0005-0000-0000-00003A1E0000}"/>
    <cellStyle name="Normal 8 5 4 2 2 2" xfId="16286" xr:uid="{1AF8C650-F119-4831-AF2C-E6B064E8C40F}"/>
    <cellStyle name="Normal 8 5 4 2 3" xfId="12068" xr:uid="{7818A58E-BDE0-4105-8307-9B3E353A7A34}"/>
    <cellStyle name="Normal 8 5 4 3" xfId="5699" xr:uid="{00000000-0005-0000-0000-00003B1E0000}"/>
    <cellStyle name="Normal 8 5 4 3 2" xfId="14141" xr:uid="{6640B46A-829B-42B6-B71D-1FC207D235CE}"/>
    <cellStyle name="Normal 8 5 4 4" xfId="9923" xr:uid="{357728AB-E887-4E7E-A1A9-9A24698B9F5F}"/>
    <cellStyle name="Normal 8 5 5" xfId="1804" xr:uid="{00000000-0005-0000-0000-00003C1E0000}"/>
    <cellStyle name="Normal 8 5 5 2" xfId="4034" xr:uid="{00000000-0005-0000-0000-00003D1E0000}"/>
    <cellStyle name="Normal 8 5 5 2 2" xfId="8257" xr:uid="{00000000-0005-0000-0000-00003E1E0000}"/>
    <cellStyle name="Normal 8 5 5 2 2 2" xfId="16699" xr:uid="{249AB9F1-B737-4040-B4E4-E6929E768E64}"/>
    <cellStyle name="Normal 8 5 5 2 3" xfId="12481" xr:uid="{EF2761D5-5E20-4461-BB08-2753C96BFDCD}"/>
    <cellStyle name="Normal 8 5 5 3" xfId="6112" xr:uid="{00000000-0005-0000-0000-00003F1E0000}"/>
    <cellStyle name="Normal 8 5 5 3 2" xfId="14554" xr:uid="{9DAAD5DF-D9E6-4352-AE45-F8ED94553FA0}"/>
    <cellStyle name="Normal 8 5 5 4" xfId="10336" xr:uid="{490D6061-C0E4-49F6-B553-7AD9374317AB}"/>
    <cellStyle name="Normal 8 5 6" xfId="2218" xr:uid="{00000000-0005-0000-0000-0000401E0000}"/>
    <cellStyle name="Normal 8 5 6 2" xfId="4447" xr:uid="{00000000-0005-0000-0000-0000411E0000}"/>
    <cellStyle name="Normal 8 5 6 2 2" xfId="8670" xr:uid="{00000000-0005-0000-0000-0000421E0000}"/>
    <cellStyle name="Normal 8 5 6 2 2 2" xfId="17112" xr:uid="{66EF2E9A-53C6-43B5-8D4D-F39C4C56B3C3}"/>
    <cellStyle name="Normal 8 5 6 2 3" xfId="12894" xr:uid="{390BECB6-4147-495B-9ADC-7B9739FEF860}"/>
    <cellStyle name="Normal 8 5 6 3" xfId="6525" xr:uid="{00000000-0005-0000-0000-0000431E0000}"/>
    <cellStyle name="Normal 8 5 6 3 2" xfId="14967" xr:uid="{FC424D16-B0AA-4E4E-B155-0BCBF559B378}"/>
    <cellStyle name="Normal 8 5 6 4" xfId="10749" xr:uid="{5E989067-5F90-4279-AA79-2303B748983C}"/>
    <cellStyle name="Normal 8 5 7" xfId="2654" xr:uid="{00000000-0005-0000-0000-0000441E0000}"/>
    <cellStyle name="Normal 8 5 7 2" xfId="6938" xr:uid="{00000000-0005-0000-0000-0000451E0000}"/>
    <cellStyle name="Normal 8 5 7 2 2" xfId="15380" xr:uid="{F5626B5A-B836-417B-904D-A08E69F2CA54}"/>
    <cellStyle name="Normal 8 5 7 3" xfId="11162" xr:uid="{E211E0B4-9743-4DD0-979F-D4E6F67B967E}"/>
    <cellStyle name="Normal 8 5 8" xfId="4873" xr:uid="{00000000-0005-0000-0000-0000461E0000}"/>
    <cellStyle name="Normal 8 5 8 2" xfId="13315" xr:uid="{30CD4152-FA2B-42CC-B70D-342B898E1087}"/>
    <cellStyle name="Normal 8 5 9" xfId="9097" xr:uid="{8791CF1B-40EA-4967-B9F4-4DE3A46D3D98}"/>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E2E29624-E5FD-4596-B9EE-F59FF637323D}"/>
    <cellStyle name="Normal 8 6 2 2 3" xfId="11657" xr:uid="{1ACC5F24-BD10-41BC-8D84-DF8E8DA1A42C}"/>
    <cellStyle name="Normal 8 6 2 3" xfId="5288" xr:uid="{00000000-0005-0000-0000-00004B1E0000}"/>
    <cellStyle name="Normal 8 6 2 3 2" xfId="13730" xr:uid="{1D419080-912D-41D2-BB7A-E73C674F5D0C}"/>
    <cellStyle name="Normal 8 6 2 4" xfId="9512" xr:uid="{CD31F058-B5E8-4236-81D4-9F9F2692CF1E}"/>
    <cellStyle name="Normal 8 6 3" xfId="1393" xr:uid="{00000000-0005-0000-0000-00004C1E0000}"/>
    <cellStyle name="Normal 8 6 3 2" xfId="3623" xr:uid="{00000000-0005-0000-0000-00004D1E0000}"/>
    <cellStyle name="Normal 8 6 3 2 2" xfId="7846" xr:uid="{00000000-0005-0000-0000-00004E1E0000}"/>
    <cellStyle name="Normal 8 6 3 2 2 2" xfId="16288" xr:uid="{AEC07C6F-2CFA-4957-BAD2-7D74640705A8}"/>
    <cellStyle name="Normal 8 6 3 2 3" xfId="12070" xr:uid="{FF2E1A11-ABAB-4964-B49F-66435AFE1B2B}"/>
    <cellStyle name="Normal 8 6 3 3" xfId="5701" xr:uid="{00000000-0005-0000-0000-00004F1E0000}"/>
    <cellStyle name="Normal 8 6 3 3 2" xfId="14143" xr:uid="{83AF2B7B-EEA1-4DD5-9EF7-DE245C9F85E5}"/>
    <cellStyle name="Normal 8 6 3 4" xfId="9925" xr:uid="{8058B6C2-E6BE-4FBC-B319-AF89E4E166E8}"/>
    <cellStyle name="Normal 8 6 4" xfId="1806" xr:uid="{00000000-0005-0000-0000-0000501E0000}"/>
    <cellStyle name="Normal 8 6 4 2" xfId="4036" xr:uid="{00000000-0005-0000-0000-0000511E0000}"/>
    <cellStyle name="Normal 8 6 4 2 2" xfId="8259" xr:uid="{00000000-0005-0000-0000-0000521E0000}"/>
    <cellStyle name="Normal 8 6 4 2 2 2" xfId="16701" xr:uid="{FD169AC5-541A-4AB1-B3C6-232A469C3B57}"/>
    <cellStyle name="Normal 8 6 4 2 3" xfId="12483" xr:uid="{DE44F611-15F2-4F23-91FB-E1265BBE65F8}"/>
    <cellStyle name="Normal 8 6 4 3" xfId="6114" xr:uid="{00000000-0005-0000-0000-0000531E0000}"/>
    <cellStyle name="Normal 8 6 4 3 2" xfId="14556" xr:uid="{9B67C675-95DC-4257-A48C-206E20BE3C14}"/>
    <cellStyle name="Normal 8 6 4 4" xfId="10338" xr:uid="{18419BD0-9A61-456B-89C9-E06954696E04}"/>
    <cellStyle name="Normal 8 6 5" xfId="2220" xr:uid="{00000000-0005-0000-0000-0000541E0000}"/>
    <cellStyle name="Normal 8 6 5 2" xfId="4449" xr:uid="{00000000-0005-0000-0000-0000551E0000}"/>
    <cellStyle name="Normal 8 6 5 2 2" xfId="8672" xr:uid="{00000000-0005-0000-0000-0000561E0000}"/>
    <cellStyle name="Normal 8 6 5 2 2 2" xfId="17114" xr:uid="{A14A53E9-4CFF-441A-B37F-C4226C972A5D}"/>
    <cellStyle name="Normal 8 6 5 2 3" xfId="12896" xr:uid="{B0F5E35B-23E7-42F2-9CCB-63E6A9175FBA}"/>
    <cellStyle name="Normal 8 6 5 3" xfId="6527" xr:uid="{00000000-0005-0000-0000-0000571E0000}"/>
    <cellStyle name="Normal 8 6 5 3 2" xfId="14969" xr:uid="{FF6C2C5F-6E7C-4E3C-80E6-C6BA6EF19243}"/>
    <cellStyle name="Normal 8 6 5 4" xfId="10751" xr:uid="{72BE1737-76DF-496F-BECC-B30F39C622C3}"/>
    <cellStyle name="Normal 8 6 6" xfId="2656" xr:uid="{00000000-0005-0000-0000-0000581E0000}"/>
    <cellStyle name="Normal 8 6 6 2" xfId="6940" xr:uid="{00000000-0005-0000-0000-0000591E0000}"/>
    <cellStyle name="Normal 8 6 6 2 2" xfId="15382" xr:uid="{8D44AE72-251D-4B96-A0BE-FF37669B28FC}"/>
    <cellStyle name="Normal 8 6 6 3" xfId="11164" xr:uid="{E6C4208B-23CF-4E35-A525-D2DD5B662639}"/>
    <cellStyle name="Normal 8 6 7" xfId="4875" xr:uid="{00000000-0005-0000-0000-00005A1E0000}"/>
    <cellStyle name="Normal 8 6 7 2" xfId="13317" xr:uid="{030EADE0-48B0-4899-8213-4E73054DB7BB}"/>
    <cellStyle name="Normal 8 6 8" xfId="9099" xr:uid="{22D0BB55-C440-499C-AEA0-376403D0BD20}"/>
    <cellStyle name="Normal 8 7" xfId="945" xr:uid="{00000000-0005-0000-0000-00005B1E0000}"/>
    <cellStyle name="Normal 8 7 2" xfId="3179" xr:uid="{00000000-0005-0000-0000-00005C1E0000}"/>
    <cellStyle name="Normal 8 7 2 2" xfId="7402" xr:uid="{00000000-0005-0000-0000-00005D1E0000}"/>
    <cellStyle name="Normal 8 7 2 2 2" xfId="15844" xr:uid="{B26A4958-EBA8-47FF-BB2B-5370A3161CB2}"/>
    <cellStyle name="Normal 8 7 2 3" xfId="11626" xr:uid="{04BB4DA8-2EA9-43D5-829B-5F8A1ECBB083}"/>
    <cellStyle name="Normal 8 7 3" xfId="5257" xr:uid="{00000000-0005-0000-0000-00005E1E0000}"/>
    <cellStyle name="Normal 8 7 3 2" xfId="13699" xr:uid="{12237298-E005-41BB-8F2A-735191408816}"/>
    <cellStyle name="Normal 8 7 4" xfId="9481" xr:uid="{A0D59061-F6F0-4549-81A6-E3067AE01D27}"/>
    <cellStyle name="Normal 8 8" xfId="1362" xr:uid="{00000000-0005-0000-0000-00005F1E0000}"/>
    <cellStyle name="Normal 8 8 2" xfId="3592" xr:uid="{00000000-0005-0000-0000-0000601E0000}"/>
    <cellStyle name="Normal 8 8 2 2" xfId="7815" xr:uid="{00000000-0005-0000-0000-0000611E0000}"/>
    <cellStyle name="Normal 8 8 2 2 2" xfId="16257" xr:uid="{8270753E-7371-42A2-B27D-F745CA3F74E8}"/>
    <cellStyle name="Normal 8 8 2 3" xfId="12039" xr:uid="{2FB55B52-BFFC-486C-9046-317F138D4A62}"/>
    <cellStyle name="Normal 8 8 3" xfId="5670" xr:uid="{00000000-0005-0000-0000-0000621E0000}"/>
    <cellStyle name="Normal 8 8 3 2" xfId="14112" xr:uid="{C2D5E9DB-292E-4FE0-9983-B1022DDB188B}"/>
    <cellStyle name="Normal 8 8 4" xfId="9894" xr:uid="{2ED99B86-43E8-4297-A625-729F94C6C4FD}"/>
    <cellStyle name="Normal 8 9" xfId="1775" xr:uid="{00000000-0005-0000-0000-0000631E0000}"/>
    <cellStyle name="Normal 8 9 2" xfId="4005" xr:uid="{00000000-0005-0000-0000-0000641E0000}"/>
    <cellStyle name="Normal 8 9 2 2" xfId="8228" xr:uid="{00000000-0005-0000-0000-0000651E0000}"/>
    <cellStyle name="Normal 8 9 2 2 2" xfId="16670" xr:uid="{6321A10D-3834-4AD8-91FD-4E3DDC72F796}"/>
    <cellStyle name="Normal 8 9 2 3" xfId="12452" xr:uid="{9749C612-0E39-4A3E-AD14-4D4D998DCA6D}"/>
    <cellStyle name="Normal 8 9 3" xfId="6083" xr:uid="{00000000-0005-0000-0000-0000661E0000}"/>
    <cellStyle name="Normal 8 9 3 2" xfId="14525" xr:uid="{344A0A44-5FF6-4EF9-86B9-3D9C00984E99}"/>
    <cellStyle name="Normal 8 9 4" xfId="10307" xr:uid="{C33F6466-F114-4302-9E89-3C851E4B23EC}"/>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C74835EE-EC9B-4097-A21E-F4956D2D0B3D}"/>
    <cellStyle name="Normal 9 2 10 3" xfId="11165" xr:uid="{FDEE1E95-615B-4F03-B4CF-F216D778780E}"/>
    <cellStyle name="Normal 9 2 11" xfId="4876" xr:uid="{00000000-0005-0000-0000-00006B1E0000}"/>
    <cellStyle name="Normal 9 2 11 2" xfId="13318" xr:uid="{59D04BC3-DCBE-48FC-A84B-F28FB90404C3}"/>
    <cellStyle name="Normal 9 2 12" xfId="9100" xr:uid="{F9E1FF8C-9402-4CAE-B545-852A87CE7945}"/>
    <cellStyle name="Normal 9 2 2" xfId="512" xr:uid="{00000000-0005-0000-0000-00006C1E0000}"/>
    <cellStyle name="Normal 9 2 2 10" xfId="4877" xr:uid="{00000000-0005-0000-0000-00006D1E0000}"/>
    <cellStyle name="Normal 9 2 2 10 2" xfId="13319" xr:uid="{46DC0705-3EB8-407B-9FC2-F2E2EB3E958A}"/>
    <cellStyle name="Normal 9 2 2 11" xfId="9101" xr:uid="{4B1B0794-4230-4A4A-B978-5DC7B6B1E862}"/>
    <cellStyle name="Normal 9 2 2 2" xfId="513" xr:uid="{00000000-0005-0000-0000-00006E1E0000}"/>
    <cellStyle name="Normal 9 2 2 2 10" xfId="9102" xr:uid="{B87E0318-535A-4C7C-B93C-17236F44E8A5}"/>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FA98FE1F-B9C8-49B1-B4D0-D354C87951CF}"/>
    <cellStyle name="Normal 9 2 2 2 2 2 2 2 3" xfId="11662" xr:uid="{00246913-36BD-487F-8714-7FE724C9AB01}"/>
    <cellStyle name="Normal 9 2 2 2 2 2 2 3" xfId="5293" xr:uid="{00000000-0005-0000-0000-0000741E0000}"/>
    <cellStyle name="Normal 9 2 2 2 2 2 2 3 2" xfId="13735" xr:uid="{5701A535-F09F-4E2A-856C-BFF00F880394}"/>
    <cellStyle name="Normal 9 2 2 2 2 2 2 4" xfId="9517" xr:uid="{25C9A005-2C5C-40A7-B51F-FE8EAB6C8DB3}"/>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373FEC1D-FB54-4970-82A0-3B4761F57ABB}"/>
    <cellStyle name="Normal 9 2 2 2 2 2 3 2 3" xfId="12075" xr:uid="{E4DFC9BE-8474-4495-9936-B08238C8A640}"/>
    <cellStyle name="Normal 9 2 2 2 2 2 3 3" xfId="5706" xr:uid="{00000000-0005-0000-0000-0000781E0000}"/>
    <cellStyle name="Normal 9 2 2 2 2 2 3 3 2" xfId="14148" xr:uid="{DA38E41F-A7D6-4B44-9B96-2910B19AD678}"/>
    <cellStyle name="Normal 9 2 2 2 2 2 3 4" xfId="9930" xr:uid="{85E74E91-B0F9-4E4A-ABCC-3BEF6154303F}"/>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F853D54A-8AD7-489A-A1A1-23AA93AF7584}"/>
    <cellStyle name="Normal 9 2 2 2 2 2 4 2 3" xfId="12488" xr:uid="{A617AFC9-183E-422C-B519-4F3783B9946B}"/>
    <cellStyle name="Normal 9 2 2 2 2 2 4 3" xfId="6119" xr:uid="{00000000-0005-0000-0000-00007C1E0000}"/>
    <cellStyle name="Normal 9 2 2 2 2 2 4 3 2" xfId="14561" xr:uid="{E10DF6C1-A13D-4A8E-AA69-E6CCFB64113C}"/>
    <cellStyle name="Normal 9 2 2 2 2 2 4 4" xfId="10343" xr:uid="{0EF6AB10-38D3-4679-BD80-1F7185CE8D61}"/>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A9DC408B-A5DF-4E9A-A49E-33504098C596}"/>
    <cellStyle name="Normal 9 2 2 2 2 2 5 2 3" xfId="12901" xr:uid="{5D0E3C1F-AF31-4674-804B-726D58B7CE47}"/>
    <cellStyle name="Normal 9 2 2 2 2 2 5 3" xfId="6532" xr:uid="{00000000-0005-0000-0000-0000801E0000}"/>
    <cellStyle name="Normal 9 2 2 2 2 2 5 3 2" xfId="14974" xr:uid="{32CE6F22-0264-402A-9F95-56B9EA15FCE8}"/>
    <cellStyle name="Normal 9 2 2 2 2 2 5 4" xfId="10756" xr:uid="{7DE23DAA-D99D-423F-AD93-5C2262A1A93C}"/>
    <cellStyle name="Normal 9 2 2 2 2 2 6" xfId="2661" xr:uid="{00000000-0005-0000-0000-0000811E0000}"/>
    <cellStyle name="Normal 9 2 2 2 2 2 6 2" xfId="6945" xr:uid="{00000000-0005-0000-0000-0000821E0000}"/>
    <cellStyle name="Normal 9 2 2 2 2 2 6 2 2" xfId="15387" xr:uid="{6E4EA250-39DE-440C-825F-12E8F85E5C57}"/>
    <cellStyle name="Normal 9 2 2 2 2 2 6 3" xfId="11169" xr:uid="{9B7E2773-D277-4E01-ACD9-67933CA48085}"/>
    <cellStyle name="Normal 9 2 2 2 2 2 7" xfId="4880" xr:uid="{00000000-0005-0000-0000-0000831E0000}"/>
    <cellStyle name="Normal 9 2 2 2 2 2 7 2" xfId="13322" xr:uid="{DADE80AE-1B66-4DC8-8F29-8F999C2492C0}"/>
    <cellStyle name="Normal 9 2 2 2 2 2 8" xfId="9104" xr:uid="{E02CB5DF-8459-4D6D-8EB4-DC4617A66B0F}"/>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B3EE6719-2687-4F10-B896-470FB98634AA}"/>
    <cellStyle name="Normal 9 2 2 2 2 3 2 3" xfId="11661" xr:uid="{878BABB3-13A8-4AE3-A9F8-6011D9463415}"/>
    <cellStyle name="Normal 9 2 2 2 2 3 3" xfId="5292" xr:uid="{00000000-0005-0000-0000-0000871E0000}"/>
    <cellStyle name="Normal 9 2 2 2 2 3 3 2" xfId="13734" xr:uid="{6FF22944-5D80-41F0-BEEF-198C5B949B5E}"/>
    <cellStyle name="Normal 9 2 2 2 2 3 4" xfId="9516" xr:uid="{9FDD1547-1A1A-476B-AB74-1B2D2DE0BC0E}"/>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5268B3BA-3DEB-414D-9FCC-FDA734BA52A3}"/>
    <cellStyle name="Normal 9 2 2 2 2 4 2 3" xfId="12074" xr:uid="{1B1EBF1E-26B1-4FA4-8B94-CCAA08C6CEBD}"/>
    <cellStyle name="Normal 9 2 2 2 2 4 3" xfId="5705" xr:uid="{00000000-0005-0000-0000-00008B1E0000}"/>
    <cellStyle name="Normal 9 2 2 2 2 4 3 2" xfId="14147" xr:uid="{E65024AE-BBB3-4760-B776-B30408490A1C}"/>
    <cellStyle name="Normal 9 2 2 2 2 4 4" xfId="9929" xr:uid="{87CF69AE-FD94-49D7-B0AF-5A16A3FFEAAE}"/>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B47DA014-966A-4E99-BCD8-F79828BBFB0A}"/>
    <cellStyle name="Normal 9 2 2 2 2 5 2 3" xfId="12487" xr:uid="{A2FFCC60-8D0A-4886-9C62-7376C1538FC2}"/>
    <cellStyle name="Normal 9 2 2 2 2 5 3" xfId="6118" xr:uid="{00000000-0005-0000-0000-00008F1E0000}"/>
    <cellStyle name="Normal 9 2 2 2 2 5 3 2" xfId="14560" xr:uid="{B1EC6DEB-7DA7-4FCC-8F29-133FF0F59E07}"/>
    <cellStyle name="Normal 9 2 2 2 2 5 4" xfId="10342" xr:uid="{EB34D783-AFD4-46B7-B1A4-DF1C5A927F3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0A85F734-D988-4FD6-9F41-D8C224E230C1}"/>
    <cellStyle name="Normal 9 2 2 2 2 6 2 3" xfId="12900" xr:uid="{BAF34CCD-C92B-4BE4-8AFB-7D071CCBE90F}"/>
    <cellStyle name="Normal 9 2 2 2 2 6 3" xfId="6531" xr:uid="{00000000-0005-0000-0000-0000931E0000}"/>
    <cellStyle name="Normal 9 2 2 2 2 6 3 2" xfId="14973" xr:uid="{CCD5596E-B98F-42FE-94AE-795DE8759878}"/>
    <cellStyle name="Normal 9 2 2 2 2 6 4" xfId="10755" xr:uid="{244D39D4-8D3A-4B55-90EA-935E42D3DF36}"/>
    <cellStyle name="Normal 9 2 2 2 2 7" xfId="2660" xr:uid="{00000000-0005-0000-0000-0000941E0000}"/>
    <cellStyle name="Normal 9 2 2 2 2 7 2" xfId="6944" xr:uid="{00000000-0005-0000-0000-0000951E0000}"/>
    <cellStyle name="Normal 9 2 2 2 2 7 2 2" xfId="15386" xr:uid="{F345B66A-F0B7-4D4B-8F8C-DE6CE4A57E0A}"/>
    <cellStyle name="Normal 9 2 2 2 2 7 3" xfId="11168" xr:uid="{F246A88F-5E3F-417B-8542-EA3B4F7696D1}"/>
    <cellStyle name="Normal 9 2 2 2 2 8" xfId="4879" xr:uid="{00000000-0005-0000-0000-0000961E0000}"/>
    <cellStyle name="Normal 9 2 2 2 2 8 2" xfId="13321" xr:uid="{DC89C9B5-96F4-4322-B6BE-C1AC72A46BDA}"/>
    <cellStyle name="Normal 9 2 2 2 2 9" xfId="9103" xr:uid="{BE85B7CB-1F0C-462D-A6A3-1A856EF5D859}"/>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1BC4A07B-CAB9-45B5-AEFB-F4908066865B}"/>
    <cellStyle name="Normal 9 2 2 2 3 2 2 3" xfId="11663" xr:uid="{304F240C-5F58-4E6B-BDA4-5E9F3005A91C}"/>
    <cellStyle name="Normal 9 2 2 2 3 2 3" xfId="5294" xr:uid="{00000000-0005-0000-0000-00009B1E0000}"/>
    <cellStyle name="Normal 9 2 2 2 3 2 3 2" xfId="13736" xr:uid="{EACFFE98-142D-4A43-A15B-79BB1B28BE87}"/>
    <cellStyle name="Normal 9 2 2 2 3 2 4" xfId="9518" xr:uid="{5B4FE7AA-48C4-4C01-AE8D-63AC673D4B15}"/>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1E341BEE-7CA0-469C-BB46-474A8876C463}"/>
    <cellStyle name="Normal 9 2 2 2 3 3 2 3" xfId="12076" xr:uid="{0881B53C-3DB8-4FC3-9DE1-3C5C21C10599}"/>
    <cellStyle name="Normal 9 2 2 2 3 3 3" xfId="5707" xr:uid="{00000000-0005-0000-0000-00009F1E0000}"/>
    <cellStyle name="Normal 9 2 2 2 3 3 3 2" xfId="14149" xr:uid="{E054E772-DBEE-4589-BE83-02B9AF721DA2}"/>
    <cellStyle name="Normal 9 2 2 2 3 3 4" xfId="9931" xr:uid="{5EE7D87D-8299-4721-9465-352F9781934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ACD1ECD0-753A-4475-9BF5-433730509229}"/>
    <cellStyle name="Normal 9 2 2 2 3 4 2 3" xfId="12489" xr:uid="{C625C6CF-2796-4AD9-B541-A4577EBF909E}"/>
    <cellStyle name="Normal 9 2 2 2 3 4 3" xfId="6120" xr:uid="{00000000-0005-0000-0000-0000A31E0000}"/>
    <cellStyle name="Normal 9 2 2 2 3 4 3 2" xfId="14562" xr:uid="{35EA75D6-4457-4755-8341-8A5EC92E8B5B}"/>
    <cellStyle name="Normal 9 2 2 2 3 4 4" xfId="10344" xr:uid="{6AD56EA0-103A-4046-B57C-C528DE3E1511}"/>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6B060C9F-BA5E-474F-901E-5605859AA3FD}"/>
    <cellStyle name="Normal 9 2 2 2 3 5 2 3" xfId="12902" xr:uid="{E04A0722-61F2-45C1-895C-7F2EAFB8C7DC}"/>
    <cellStyle name="Normal 9 2 2 2 3 5 3" xfId="6533" xr:uid="{00000000-0005-0000-0000-0000A71E0000}"/>
    <cellStyle name="Normal 9 2 2 2 3 5 3 2" xfId="14975" xr:uid="{9B6FFED6-15AB-47AD-8ED7-1D0A0B94EF06}"/>
    <cellStyle name="Normal 9 2 2 2 3 5 4" xfId="10757" xr:uid="{9B5EF6C3-6601-48DD-9394-8A5C8835BA46}"/>
    <cellStyle name="Normal 9 2 2 2 3 6" xfId="2662" xr:uid="{00000000-0005-0000-0000-0000A81E0000}"/>
    <cellStyle name="Normal 9 2 2 2 3 6 2" xfId="6946" xr:uid="{00000000-0005-0000-0000-0000A91E0000}"/>
    <cellStyle name="Normal 9 2 2 2 3 6 2 2" xfId="15388" xr:uid="{C2CE1549-6FD8-4532-AC91-3231EED520AA}"/>
    <cellStyle name="Normal 9 2 2 2 3 6 3" xfId="11170" xr:uid="{8EA3B56F-1D54-49FE-9248-429F2140CD11}"/>
    <cellStyle name="Normal 9 2 2 2 3 7" xfId="4881" xr:uid="{00000000-0005-0000-0000-0000AA1E0000}"/>
    <cellStyle name="Normal 9 2 2 2 3 7 2" xfId="13323" xr:uid="{C3E10DA8-5883-4159-B33A-0D08D772B756}"/>
    <cellStyle name="Normal 9 2 2 2 3 8" xfId="9105" xr:uid="{AF8F65DB-C7A8-4345-B3B0-FDD92CAD68E4}"/>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608DF988-BC40-4A7F-9309-F3D1A73848C1}"/>
    <cellStyle name="Normal 9 2 2 2 4 2 3" xfId="11660" xr:uid="{125BEE55-9E1B-43C2-BAE8-0722D8EA3747}"/>
    <cellStyle name="Normal 9 2 2 2 4 3" xfId="5291" xr:uid="{00000000-0005-0000-0000-0000AE1E0000}"/>
    <cellStyle name="Normal 9 2 2 2 4 3 2" xfId="13733" xr:uid="{0919961F-1EF2-4299-8A05-BDC24BFE5F6F}"/>
    <cellStyle name="Normal 9 2 2 2 4 4" xfId="9515" xr:uid="{1518F835-52A3-46A4-8299-E702D9C2293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EB1BA30F-5CEA-4DBC-82E0-09FC31CB3742}"/>
    <cellStyle name="Normal 9 2 2 2 5 2 3" xfId="12073" xr:uid="{9F891110-D212-4E60-9335-DB25C3C6E7AB}"/>
    <cellStyle name="Normal 9 2 2 2 5 3" xfId="5704" xr:uid="{00000000-0005-0000-0000-0000B21E0000}"/>
    <cellStyle name="Normal 9 2 2 2 5 3 2" xfId="14146" xr:uid="{30921CA3-C51B-4DF6-9B43-C1165D679135}"/>
    <cellStyle name="Normal 9 2 2 2 5 4" xfId="9928" xr:uid="{F7038C93-8C3B-4936-A839-9AEB306A4FCF}"/>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59C295C4-B5F0-442E-B89E-2192A8989DA5}"/>
    <cellStyle name="Normal 9 2 2 2 6 2 3" xfId="12486" xr:uid="{747573A4-56D4-4BFB-8F4E-B2F3FC29772C}"/>
    <cellStyle name="Normal 9 2 2 2 6 3" xfId="6117" xr:uid="{00000000-0005-0000-0000-0000B61E0000}"/>
    <cellStyle name="Normal 9 2 2 2 6 3 2" xfId="14559" xr:uid="{855AE3E8-065C-458E-B995-5B9C37CC1B4C}"/>
    <cellStyle name="Normal 9 2 2 2 6 4" xfId="10341" xr:uid="{74B08762-2F11-4FA9-BDA6-765027AA6BE2}"/>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E56CA871-C20C-433A-9D96-1FABFBAE292B}"/>
    <cellStyle name="Normal 9 2 2 2 7 2 3" xfId="12899" xr:uid="{11B90A1F-BE20-4652-9E10-65EF90A6C7C1}"/>
    <cellStyle name="Normal 9 2 2 2 7 3" xfId="6530" xr:uid="{00000000-0005-0000-0000-0000BA1E0000}"/>
    <cellStyle name="Normal 9 2 2 2 7 3 2" xfId="14972" xr:uid="{116A553F-8C02-4D80-BEE4-2A2D68077AC9}"/>
    <cellStyle name="Normal 9 2 2 2 7 4" xfId="10754" xr:uid="{04EF8015-6F90-4797-BA83-265E6C813C2A}"/>
    <cellStyle name="Normal 9 2 2 2 8" xfId="2659" xr:uid="{00000000-0005-0000-0000-0000BB1E0000}"/>
    <cellStyle name="Normal 9 2 2 2 8 2" xfId="6943" xr:uid="{00000000-0005-0000-0000-0000BC1E0000}"/>
    <cellStyle name="Normal 9 2 2 2 8 2 2" xfId="15385" xr:uid="{5DF2EBFE-5F0E-4E8E-BBA6-B5D44C27AA74}"/>
    <cellStyle name="Normal 9 2 2 2 8 3" xfId="11167" xr:uid="{D2D13BA6-6203-45D9-AC2C-CC43EB4E1F27}"/>
    <cellStyle name="Normal 9 2 2 2 9" xfId="4878" xr:uid="{00000000-0005-0000-0000-0000BD1E0000}"/>
    <cellStyle name="Normal 9 2 2 2 9 2" xfId="13320" xr:uid="{666F2066-9EB9-48B7-BF36-C50E576C8401}"/>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4F196621-856A-42EC-A9CA-01E8C1EAC268}"/>
    <cellStyle name="Normal 9 2 2 3 2 2 2 3" xfId="11665" xr:uid="{C479DD74-4902-4693-ADCE-CC1AE8BF22A9}"/>
    <cellStyle name="Normal 9 2 2 3 2 2 3" xfId="5296" xr:uid="{00000000-0005-0000-0000-0000C31E0000}"/>
    <cellStyle name="Normal 9 2 2 3 2 2 3 2" xfId="13738" xr:uid="{E11977AE-18FC-4493-8E9B-91507ED82F4B}"/>
    <cellStyle name="Normal 9 2 2 3 2 2 4" xfId="9520" xr:uid="{9F1D0950-122D-4090-AD22-A65FBF3B4CB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12979353-BF22-48F1-ABC7-786F5D31421B}"/>
    <cellStyle name="Normal 9 2 2 3 2 3 2 3" xfId="12078" xr:uid="{10651B5A-E123-42E5-8B0B-C8AE4692753D}"/>
    <cellStyle name="Normal 9 2 2 3 2 3 3" xfId="5709" xr:uid="{00000000-0005-0000-0000-0000C71E0000}"/>
    <cellStyle name="Normal 9 2 2 3 2 3 3 2" xfId="14151" xr:uid="{C1CFF016-9108-4BFF-8465-A846D3A64445}"/>
    <cellStyle name="Normal 9 2 2 3 2 3 4" xfId="9933" xr:uid="{11492506-E1B9-4163-82B0-F7AE2D41D247}"/>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8A0AACC9-3CBD-4901-8324-EA19E551CB91}"/>
    <cellStyle name="Normal 9 2 2 3 2 4 2 3" xfId="12491" xr:uid="{82BF119C-458C-40B3-9B77-AB9BD5E6D153}"/>
    <cellStyle name="Normal 9 2 2 3 2 4 3" xfId="6122" xr:uid="{00000000-0005-0000-0000-0000CB1E0000}"/>
    <cellStyle name="Normal 9 2 2 3 2 4 3 2" xfId="14564" xr:uid="{1C27F2E3-9354-44F9-B92F-9F57F90EFEE1}"/>
    <cellStyle name="Normal 9 2 2 3 2 4 4" xfId="10346" xr:uid="{DBFEDF72-A7A2-415A-98BE-AB328BEF1A07}"/>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551BB7EB-CB13-479E-8900-A3FD10615704}"/>
    <cellStyle name="Normal 9 2 2 3 2 5 2 3" xfId="12904" xr:uid="{85D1676B-6DDC-4CF1-9830-AFE309B24ECD}"/>
    <cellStyle name="Normal 9 2 2 3 2 5 3" xfId="6535" xr:uid="{00000000-0005-0000-0000-0000CF1E0000}"/>
    <cellStyle name="Normal 9 2 2 3 2 5 3 2" xfId="14977" xr:uid="{20469612-5D3A-49B7-9149-01C5C3193C69}"/>
    <cellStyle name="Normal 9 2 2 3 2 5 4" xfId="10759" xr:uid="{2B1FEF6B-DB5E-4F7B-A6C6-B28FEBD42C36}"/>
    <cellStyle name="Normal 9 2 2 3 2 6" xfId="2664" xr:uid="{00000000-0005-0000-0000-0000D01E0000}"/>
    <cellStyle name="Normal 9 2 2 3 2 6 2" xfId="6948" xr:uid="{00000000-0005-0000-0000-0000D11E0000}"/>
    <cellStyle name="Normal 9 2 2 3 2 6 2 2" xfId="15390" xr:uid="{5B44742B-BE56-4A04-97D4-4B1A826D351B}"/>
    <cellStyle name="Normal 9 2 2 3 2 6 3" xfId="11172" xr:uid="{5463DE87-0687-44C9-A9DC-C90F4C23307C}"/>
    <cellStyle name="Normal 9 2 2 3 2 7" xfId="4883" xr:uid="{00000000-0005-0000-0000-0000D21E0000}"/>
    <cellStyle name="Normal 9 2 2 3 2 7 2" xfId="13325" xr:uid="{F5DD2494-0F0B-476A-9E49-3FED27E97FC1}"/>
    <cellStyle name="Normal 9 2 2 3 2 8" xfId="9107" xr:uid="{3B0FBA81-2FA2-49EE-827C-A883F2FA2C9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C6477575-3DB5-4DF9-AEDA-08CC0FCC6F20}"/>
    <cellStyle name="Normal 9 2 2 3 3 2 3" xfId="11664" xr:uid="{3470E16A-96A5-44A7-8421-B248E9577768}"/>
    <cellStyle name="Normal 9 2 2 3 3 3" xfId="5295" xr:uid="{00000000-0005-0000-0000-0000D61E0000}"/>
    <cellStyle name="Normal 9 2 2 3 3 3 2" xfId="13737" xr:uid="{D708762D-42F2-40E2-8D0B-920E7D19029D}"/>
    <cellStyle name="Normal 9 2 2 3 3 4" xfId="9519" xr:uid="{9E7CAB49-CF3A-4A37-AC35-4B739E78A15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C13653DB-B3F4-4F19-A3DB-026532340952}"/>
    <cellStyle name="Normal 9 2 2 3 4 2 3" xfId="12077" xr:uid="{4155D6C5-EDDE-453E-BF12-4DADA90D7E21}"/>
    <cellStyle name="Normal 9 2 2 3 4 3" xfId="5708" xr:uid="{00000000-0005-0000-0000-0000DA1E0000}"/>
    <cellStyle name="Normal 9 2 2 3 4 3 2" xfId="14150" xr:uid="{23B5A2EE-550B-4B4A-8833-686B68EE4442}"/>
    <cellStyle name="Normal 9 2 2 3 4 4" xfId="9932" xr:uid="{78BB6125-73C9-4A00-835E-C0A87CE69BF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3DCA4190-4FE3-4694-95F9-C584335005B5}"/>
    <cellStyle name="Normal 9 2 2 3 5 2 3" xfId="12490" xr:uid="{FE003234-FAA6-47AE-944B-EDB67C30F3B8}"/>
    <cellStyle name="Normal 9 2 2 3 5 3" xfId="6121" xr:uid="{00000000-0005-0000-0000-0000DE1E0000}"/>
    <cellStyle name="Normal 9 2 2 3 5 3 2" xfId="14563" xr:uid="{A420AA67-FA90-458A-9741-8112F0C3DC04}"/>
    <cellStyle name="Normal 9 2 2 3 5 4" xfId="10345" xr:uid="{FC34B7BC-8BA0-4732-8064-35674FDAB4A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3FFD2078-E52A-42F6-BB6E-D8728CFB5DC3}"/>
    <cellStyle name="Normal 9 2 2 3 6 2 3" xfId="12903" xr:uid="{3EA388EB-CB29-4FAB-841E-A73DC9B93584}"/>
    <cellStyle name="Normal 9 2 2 3 6 3" xfId="6534" xr:uid="{00000000-0005-0000-0000-0000E21E0000}"/>
    <cellStyle name="Normal 9 2 2 3 6 3 2" xfId="14976" xr:uid="{E99CB3A4-8CEC-47BD-A460-29842F71B787}"/>
    <cellStyle name="Normal 9 2 2 3 6 4" xfId="10758" xr:uid="{4335C31C-6360-4940-88E6-4EB2DB25768B}"/>
    <cellStyle name="Normal 9 2 2 3 7" xfId="2663" xr:uid="{00000000-0005-0000-0000-0000E31E0000}"/>
    <cellStyle name="Normal 9 2 2 3 7 2" xfId="6947" xr:uid="{00000000-0005-0000-0000-0000E41E0000}"/>
    <cellStyle name="Normal 9 2 2 3 7 2 2" xfId="15389" xr:uid="{3A46FB68-7CE4-47FE-BE4B-597EDE696CA2}"/>
    <cellStyle name="Normal 9 2 2 3 7 3" xfId="11171" xr:uid="{00E235B5-2EF5-43E5-B593-A6FBFB724FC8}"/>
    <cellStyle name="Normal 9 2 2 3 8" xfId="4882" xr:uid="{00000000-0005-0000-0000-0000E51E0000}"/>
    <cellStyle name="Normal 9 2 2 3 8 2" xfId="13324" xr:uid="{551FF554-C91A-4CFE-8222-A540D7DD6B35}"/>
    <cellStyle name="Normal 9 2 2 3 9" xfId="9106" xr:uid="{07C2588A-6421-4584-A6AA-3AAC80AA233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F1106AC2-D491-4F27-B5ED-F00009F121E4}"/>
    <cellStyle name="Normal 9 2 2 4 2 2 3" xfId="11666" xr:uid="{5197DE35-E2FA-43FC-BF96-73FD65B33420}"/>
    <cellStyle name="Normal 9 2 2 4 2 3" xfId="5297" xr:uid="{00000000-0005-0000-0000-0000EA1E0000}"/>
    <cellStyle name="Normal 9 2 2 4 2 3 2" xfId="13739" xr:uid="{1D59631B-C248-46C8-B648-7C7D9E2DA2C3}"/>
    <cellStyle name="Normal 9 2 2 4 2 4" xfId="9521" xr:uid="{5D4CA952-396C-48C3-92F2-FEF35FCE609D}"/>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01855BD2-36C0-4041-B34D-68A68D117E1A}"/>
    <cellStyle name="Normal 9 2 2 4 3 2 3" xfId="12079" xr:uid="{A43534BE-437D-4B28-9EFE-BB73377FDD6A}"/>
    <cellStyle name="Normal 9 2 2 4 3 3" xfId="5710" xr:uid="{00000000-0005-0000-0000-0000EE1E0000}"/>
    <cellStyle name="Normal 9 2 2 4 3 3 2" xfId="14152" xr:uid="{7BDBB4AF-0DF3-4C25-A721-CF0CA23A9C0D}"/>
    <cellStyle name="Normal 9 2 2 4 3 4" xfId="9934" xr:uid="{D6603D85-721D-428A-88D7-7ADFA2973FF7}"/>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7B5AD413-BD00-4944-9FAD-E731A4273B14}"/>
    <cellStyle name="Normal 9 2 2 4 4 2 3" xfId="12492" xr:uid="{34F28D88-2D65-49C9-A63E-A1DD22F3A0F3}"/>
    <cellStyle name="Normal 9 2 2 4 4 3" xfId="6123" xr:uid="{00000000-0005-0000-0000-0000F21E0000}"/>
    <cellStyle name="Normal 9 2 2 4 4 3 2" xfId="14565" xr:uid="{CA60AECA-6A5D-4760-B2B1-A9EF562E5D36}"/>
    <cellStyle name="Normal 9 2 2 4 4 4" xfId="10347" xr:uid="{4C3A723E-3371-4CE9-9DE6-85A1722ACEB5}"/>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92492DBD-B116-479D-911D-C9B3B0B351F7}"/>
    <cellStyle name="Normal 9 2 2 4 5 2 3" xfId="12905" xr:uid="{DE90A158-DBE5-4BB4-A95F-64475F716F7B}"/>
    <cellStyle name="Normal 9 2 2 4 5 3" xfId="6536" xr:uid="{00000000-0005-0000-0000-0000F61E0000}"/>
    <cellStyle name="Normal 9 2 2 4 5 3 2" xfId="14978" xr:uid="{57F9BBFF-7B22-4328-A514-3DEF31C9D1FF}"/>
    <cellStyle name="Normal 9 2 2 4 5 4" xfId="10760" xr:uid="{61FF623C-0D15-4FA3-AD34-BF36A3BEED82}"/>
    <cellStyle name="Normal 9 2 2 4 6" xfId="2665" xr:uid="{00000000-0005-0000-0000-0000F71E0000}"/>
    <cellStyle name="Normal 9 2 2 4 6 2" xfId="6949" xr:uid="{00000000-0005-0000-0000-0000F81E0000}"/>
    <cellStyle name="Normal 9 2 2 4 6 2 2" xfId="15391" xr:uid="{2AACB76F-4E7E-42F8-95B4-82545FFECAE0}"/>
    <cellStyle name="Normal 9 2 2 4 6 3" xfId="11173" xr:uid="{E0C71EDC-3B54-4C75-8075-23BAF4E00DBB}"/>
    <cellStyle name="Normal 9 2 2 4 7" xfId="4884" xr:uid="{00000000-0005-0000-0000-0000F91E0000}"/>
    <cellStyle name="Normal 9 2 2 4 7 2" xfId="13326" xr:uid="{9FAA768C-0D7D-432F-AEBF-3898068034C7}"/>
    <cellStyle name="Normal 9 2 2 4 8" xfId="9108" xr:uid="{4715C246-8209-4E3E-8CA3-8C75213A88D7}"/>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ACC36EF2-876F-477E-8D5C-BA84A52A0416}"/>
    <cellStyle name="Normal 9 2 2 5 2 3" xfId="11659" xr:uid="{BE2ED9DD-ED7A-47EA-B918-178B10D91933}"/>
    <cellStyle name="Normal 9 2 2 5 3" xfId="5290" xr:uid="{00000000-0005-0000-0000-0000FD1E0000}"/>
    <cellStyle name="Normal 9 2 2 5 3 2" xfId="13732" xr:uid="{CDFDFE7E-17BC-4CE2-B936-52C9838209ED}"/>
    <cellStyle name="Normal 9 2 2 5 4" xfId="9514" xr:uid="{06264421-50CF-4FDC-9740-F82A3E353D22}"/>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E2E1B6D6-9332-4A78-9835-296448D8FAA7}"/>
    <cellStyle name="Normal 9 2 2 6 2 3" xfId="12072" xr:uid="{955F2329-4335-45B3-895C-81F4A02B3A3D}"/>
    <cellStyle name="Normal 9 2 2 6 3" xfId="5703" xr:uid="{00000000-0005-0000-0000-0000011F0000}"/>
    <cellStyle name="Normal 9 2 2 6 3 2" xfId="14145" xr:uid="{BDBA01EB-6D03-4BA2-BBE0-DF8B31F9BA23}"/>
    <cellStyle name="Normal 9 2 2 6 4" xfId="9927" xr:uid="{41805156-F66E-49DE-860E-8EDDF2C527A7}"/>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D2E48748-494D-4E49-9FD0-14D3D1424F08}"/>
    <cellStyle name="Normal 9 2 2 7 2 3" xfId="12485" xr:uid="{CD44F565-EC7E-4F52-8706-5E65E7628C7A}"/>
    <cellStyle name="Normal 9 2 2 7 3" xfId="6116" xr:uid="{00000000-0005-0000-0000-0000051F0000}"/>
    <cellStyle name="Normal 9 2 2 7 3 2" xfId="14558" xr:uid="{CBAB1080-966A-4C69-B869-824DCC10FEC8}"/>
    <cellStyle name="Normal 9 2 2 7 4" xfId="10340" xr:uid="{B73D2C06-53F1-4397-92BE-3CD44D7893CC}"/>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3A16FD8F-393D-4892-9C6F-36C85C08534B}"/>
    <cellStyle name="Normal 9 2 2 8 2 3" xfId="12898" xr:uid="{F8D802F4-48F1-4197-A586-D79F3D60CC28}"/>
    <cellStyle name="Normal 9 2 2 8 3" xfId="6529" xr:uid="{00000000-0005-0000-0000-0000091F0000}"/>
    <cellStyle name="Normal 9 2 2 8 3 2" xfId="14971" xr:uid="{6CAF2A4E-5279-4BBD-AF45-24945BCA08F6}"/>
    <cellStyle name="Normal 9 2 2 8 4" xfId="10753" xr:uid="{47B06ACD-A6BE-4E91-89B0-55A2AC9AAD5E}"/>
    <cellStyle name="Normal 9 2 2 9" xfId="2658" xr:uid="{00000000-0005-0000-0000-00000A1F0000}"/>
    <cellStyle name="Normal 9 2 2 9 2" xfId="6942" xr:uid="{00000000-0005-0000-0000-00000B1F0000}"/>
    <cellStyle name="Normal 9 2 2 9 2 2" xfId="15384" xr:uid="{9BAA88F2-D908-4DE4-A2DE-8414B62D8FB4}"/>
    <cellStyle name="Normal 9 2 2 9 3" xfId="11166" xr:uid="{7BB1AD9B-EC9E-4030-B423-02D75C0DC184}"/>
    <cellStyle name="Normal 9 2 3" xfId="520" xr:uid="{00000000-0005-0000-0000-00000C1F0000}"/>
    <cellStyle name="Normal 9 2 3 10" xfId="9109" xr:uid="{27F45DFF-B342-42D3-89D2-906262240F59}"/>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C11922C7-623E-486F-BCEE-B7F1E25EDFA9}"/>
    <cellStyle name="Normal 9 2 3 2 2 2 2 3" xfId="11669" xr:uid="{33EB5C0F-C844-47AF-8931-422CEC13D195}"/>
    <cellStyle name="Normal 9 2 3 2 2 2 3" xfId="5300" xr:uid="{00000000-0005-0000-0000-0000121F0000}"/>
    <cellStyle name="Normal 9 2 3 2 2 2 3 2" xfId="13742" xr:uid="{C8B0AE8F-FE23-4375-8C5D-0F1E7E37971B}"/>
    <cellStyle name="Normal 9 2 3 2 2 2 4" xfId="9524" xr:uid="{B5F096FD-804B-41E1-9E37-D0A4234F666F}"/>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CAE658FF-B580-4BC4-B7CF-FFC2305E56D9}"/>
    <cellStyle name="Normal 9 2 3 2 2 3 2 3" xfId="12082" xr:uid="{3828C30A-4124-4D41-A23C-1161F2584C54}"/>
    <cellStyle name="Normal 9 2 3 2 2 3 3" xfId="5713" xr:uid="{00000000-0005-0000-0000-0000161F0000}"/>
    <cellStyle name="Normal 9 2 3 2 2 3 3 2" xfId="14155" xr:uid="{66BDE2F7-C63B-4D9B-A2F7-97B9FA65BB9D}"/>
    <cellStyle name="Normal 9 2 3 2 2 3 4" xfId="9937" xr:uid="{44904D35-2F1A-4AE7-9055-122F3B1A7722}"/>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35394F0E-0899-4D2A-BA7F-13EF6D22AB36}"/>
    <cellStyle name="Normal 9 2 3 2 2 4 2 3" xfId="12495" xr:uid="{66EB5898-FF62-4A1D-AC37-E289B72378EC}"/>
    <cellStyle name="Normal 9 2 3 2 2 4 3" xfId="6126" xr:uid="{00000000-0005-0000-0000-00001A1F0000}"/>
    <cellStyle name="Normal 9 2 3 2 2 4 3 2" xfId="14568" xr:uid="{44C2D174-9680-4771-AD58-8A3EE70C915D}"/>
    <cellStyle name="Normal 9 2 3 2 2 4 4" xfId="10350" xr:uid="{230D0FF7-13F6-4C87-8B35-4272E726245D}"/>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31B3E17F-59F8-4DE1-B591-0854B20B570A}"/>
    <cellStyle name="Normal 9 2 3 2 2 5 2 3" xfId="12908" xr:uid="{17D556D2-3283-4647-9C59-C0B3383C9C95}"/>
    <cellStyle name="Normal 9 2 3 2 2 5 3" xfId="6539" xr:uid="{00000000-0005-0000-0000-00001E1F0000}"/>
    <cellStyle name="Normal 9 2 3 2 2 5 3 2" xfId="14981" xr:uid="{EB2A9C35-14C8-4520-A1A8-ABB6D0C9F7DA}"/>
    <cellStyle name="Normal 9 2 3 2 2 5 4" xfId="10763" xr:uid="{C2187E46-0A0E-41D8-BA9E-787805145387}"/>
    <cellStyle name="Normal 9 2 3 2 2 6" xfId="2668" xr:uid="{00000000-0005-0000-0000-00001F1F0000}"/>
    <cellStyle name="Normal 9 2 3 2 2 6 2" xfId="6952" xr:uid="{00000000-0005-0000-0000-0000201F0000}"/>
    <cellStyle name="Normal 9 2 3 2 2 6 2 2" xfId="15394" xr:uid="{FFE639FE-D982-4749-B0C2-373EC5ADCD9E}"/>
    <cellStyle name="Normal 9 2 3 2 2 6 3" xfId="11176" xr:uid="{20A19EAE-60C6-4FC3-A251-96850671F215}"/>
    <cellStyle name="Normal 9 2 3 2 2 7" xfId="4887" xr:uid="{00000000-0005-0000-0000-0000211F0000}"/>
    <cellStyle name="Normal 9 2 3 2 2 7 2" xfId="13329" xr:uid="{ECC3F610-BBA2-44F6-9458-D25F51CD0917}"/>
    <cellStyle name="Normal 9 2 3 2 2 8" xfId="9111" xr:uid="{BDDF190D-A4B3-469C-86EB-4925B414D01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E10A778C-1C44-42AF-95EF-4F1C4B4EC8F6}"/>
    <cellStyle name="Normal 9 2 3 2 3 2 3" xfId="11668" xr:uid="{4EF9AA89-180F-40B0-8033-DB1B1A4EA651}"/>
    <cellStyle name="Normal 9 2 3 2 3 3" xfId="5299" xr:uid="{00000000-0005-0000-0000-0000251F0000}"/>
    <cellStyle name="Normal 9 2 3 2 3 3 2" xfId="13741" xr:uid="{A26E8C06-BC4D-4530-AF10-8AD7BE6D0B37}"/>
    <cellStyle name="Normal 9 2 3 2 3 4" xfId="9523" xr:uid="{9FD8E724-5808-445E-B35C-AD4FBBAA8986}"/>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E60789F6-2979-4EED-857D-C01B8EDA81E6}"/>
    <cellStyle name="Normal 9 2 3 2 4 2 3" xfId="12081" xr:uid="{16897013-CE61-4273-A0B6-E207141C81E5}"/>
    <cellStyle name="Normal 9 2 3 2 4 3" xfId="5712" xr:uid="{00000000-0005-0000-0000-0000291F0000}"/>
    <cellStyle name="Normal 9 2 3 2 4 3 2" xfId="14154" xr:uid="{9F8D2E5C-D306-40A7-A1D9-CAFDB41191F8}"/>
    <cellStyle name="Normal 9 2 3 2 4 4" xfId="9936" xr:uid="{E88FC7E8-659F-4710-8D8C-795C8992BB20}"/>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A43C36CE-E5E4-482E-BA01-21887A38CDA3}"/>
    <cellStyle name="Normal 9 2 3 2 5 2 3" xfId="12494" xr:uid="{FFF2918F-FDE9-4845-AE50-3A4B69668795}"/>
    <cellStyle name="Normal 9 2 3 2 5 3" xfId="6125" xr:uid="{00000000-0005-0000-0000-00002D1F0000}"/>
    <cellStyle name="Normal 9 2 3 2 5 3 2" xfId="14567" xr:uid="{84ABC659-E0BD-4DF2-8520-CDA4D5FD780E}"/>
    <cellStyle name="Normal 9 2 3 2 5 4" xfId="10349" xr:uid="{12A7C4BF-7CC0-48A8-B3FD-206209713F5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E3AF23EE-DF82-42F4-94F4-10ACC3DA24E9}"/>
    <cellStyle name="Normal 9 2 3 2 6 2 3" xfId="12907" xr:uid="{461C6DA4-7835-49BD-8A8C-2F8E38379100}"/>
    <cellStyle name="Normal 9 2 3 2 6 3" xfId="6538" xr:uid="{00000000-0005-0000-0000-0000311F0000}"/>
    <cellStyle name="Normal 9 2 3 2 6 3 2" xfId="14980" xr:uid="{73557366-228F-4AC0-97F4-4FDC578D0B8B}"/>
    <cellStyle name="Normal 9 2 3 2 6 4" xfId="10762" xr:uid="{DBFAE3D0-9F9E-4232-B1D5-A495E3D06344}"/>
    <cellStyle name="Normal 9 2 3 2 7" xfId="2667" xr:uid="{00000000-0005-0000-0000-0000321F0000}"/>
    <cellStyle name="Normal 9 2 3 2 7 2" xfId="6951" xr:uid="{00000000-0005-0000-0000-0000331F0000}"/>
    <cellStyle name="Normal 9 2 3 2 7 2 2" xfId="15393" xr:uid="{85C3D146-7815-4DE4-A9DB-D1E43D05DFAB}"/>
    <cellStyle name="Normal 9 2 3 2 7 3" xfId="11175" xr:uid="{97277165-7BEB-46A5-9A0C-04D47019DBA9}"/>
    <cellStyle name="Normal 9 2 3 2 8" xfId="4886" xr:uid="{00000000-0005-0000-0000-0000341F0000}"/>
    <cellStyle name="Normal 9 2 3 2 8 2" xfId="13328" xr:uid="{18BF34EA-D40F-4434-A2F5-9F9FFAE1A1A9}"/>
    <cellStyle name="Normal 9 2 3 2 9" xfId="9110" xr:uid="{28EDBE53-901E-40F0-A77B-321B98C4877A}"/>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30DB41C9-CBB9-46B7-9872-06712C7D0A8F}"/>
    <cellStyle name="Normal 9 2 3 3 2 2 3" xfId="11670" xr:uid="{1D3BC5C0-86CD-4C6F-939D-B86B2B667541}"/>
    <cellStyle name="Normal 9 2 3 3 2 3" xfId="5301" xr:uid="{00000000-0005-0000-0000-0000391F0000}"/>
    <cellStyle name="Normal 9 2 3 3 2 3 2" xfId="13743" xr:uid="{73DAE426-1B2A-4FE0-910E-DDE2358C3B4C}"/>
    <cellStyle name="Normal 9 2 3 3 2 4" xfId="9525" xr:uid="{50C76FBE-7149-4E79-AA95-232DAA5D60EB}"/>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2DCF5485-8D43-4410-BC36-9DA967728CEE}"/>
    <cellStyle name="Normal 9 2 3 3 3 2 3" xfId="12083" xr:uid="{60ACC07E-D2D1-4A3F-A035-C8FD8BF7F49F}"/>
    <cellStyle name="Normal 9 2 3 3 3 3" xfId="5714" xr:uid="{00000000-0005-0000-0000-00003D1F0000}"/>
    <cellStyle name="Normal 9 2 3 3 3 3 2" xfId="14156" xr:uid="{DB461360-DBE3-4CC4-B727-FB2E6C6D91CD}"/>
    <cellStyle name="Normal 9 2 3 3 3 4" xfId="9938" xr:uid="{72AF883F-DD5A-467F-BD9F-AC251AB90152}"/>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4159AD21-7AB6-45AF-B98E-A3B937CDD8A8}"/>
    <cellStyle name="Normal 9 2 3 3 4 2 3" xfId="12496" xr:uid="{EE5F1F96-C063-4279-B27B-1D9FA1D8C06D}"/>
    <cellStyle name="Normal 9 2 3 3 4 3" xfId="6127" xr:uid="{00000000-0005-0000-0000-0000411F0000}"/>
    <cellStyle name="Normal 9 2 3 3 4 3 2" xfId="14569" xr:uid="{8BA83F80-122F-4722-92CA-A4D12FFD8590}"/>
    <cellStyle name="Normal 9 2 3 3 4 4" xfId="10351" xr:uid="{D74E2F6E-7A5C-4D34-8878-00203DEA5959}"/>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BFB4CADC-74F4-4011-A86D-27ABFF8C9982}"/>
    <cellStyle name="Normal 9 2 3 3 5 2 3" xfId="12909" xr:uid="{7FAC3402-01DF-4969-81DB-90ECCB829292}"/>
    <cellStyle name="Normal 9 2 3 3 5 3" xfId="6540" xr:uid="{00000000-0005-0000-0000-0000451F0000}"/>
    <cellStyle name="Normal 9 2 3 3 5 3 2" xfId="14982" xr:uid="{739AB898-4998-424C-8983-E78A33AC9B0B}"/>
    <cellStyle name="Normal 9 2 3 3 5 4" xfId="10764" xr:uid="{6BEE22AF-BF46-4143-B482-A489E1D21F69}"/>
    <cellStyle name="Normal 9 2 3 3 6" xfId="2669" xr:uid="{00000000-0005-0000-0000-0000461F0000}"/>
    <cellStyle name="Normal 9 2 3 3 6 2" xfId="6953" xr:uid="{00000000-0005-0000-0000-0000471F0000}"/>
    <cellStyle name="Normal 9 2 3 3 6 2 2" xfId="15395" xr:uid="{61204BFF-4B80-4003-A790-9E468C706486}"/>
    <cellStyle name="Normal 9 2 3 3 6 3" xfId="11177" xr:uid="{AD3DDD95-2D4F-49FB-B2D1-FD8C7911CDEF}"/>
    <cellStyle name="Normal 9 2 3 3 7" xfId="4888" xr:uid="{00000000-0005-0000-0000-0000481F0000}"/>
    <cellStyle name="Normal 9 2 3 3 7 2" xfId="13330" xr:uid="{1C851FD9-6EE1-4883-B95F-A5437227575E}"/>
    <cellStyle name="Normal 9 2 3 3 8" xfId="9112" xr:uid="{B8C9DAB0-2871-48A0-A036-F9425616914E}"/>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25D07593-D80B-4FBF-9882-C188FAD5E9F1}"/>
    <cellStyle name="Normal 9 2 3 4 2 3" xfId="11667" xr:uid="{A3875E75-9275-4D8F-B4B1-859E511C05AF}"/>
    <cellStyle name="Normal 9 2 3 4 3" xfId="5298" xr:uid="{00000000-0005-0000-0000-00004C1F0000}"/>
    <cellStyle name="Normal 9 2 3 4 3 2" xfId="13740" xr:uid="{60A371FC-8B3A-4FEB-9A90-AE013CD2ED11}"/>
    <cellStyle name="Normal 9 2 3 4 4" xfId="9522" xr:uid="{BCDDA2A2-63DE-4FBC-B8A7-38751B3D4DE8}"/>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8B26F38A-C339-41E6-9693-8ED4D20E14E0}"/>
    <cellStyle name="Normal 9 2 3 5 2 3" xfId="12080" xr:uid="{C1C43122-94E2-4CFF-AF3C-135919E982CC}"/>
    <cellStyle name="Normal 9 2 3 5 3" xfId="5711" xr:uid="{00000000-0005-0000-0000-0000501F0000}"/>
    <cellStyle name="Normal 9 2 3 5 3 2" xfId="14153" xr:uid="{49F9EB10-E0A4-433E-92FD-4A6A13AB12CF}"/>
    <cellStyle name="Normal 9 2 3 5 4" xfId="9935" xr:uid="{C333ECEF-3F6E-4F05-876E-5F9770B343E4}"/>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6C54F51C-369C-4329-9899-3E4F86122AC1}"/>
    <cellStyle name="Normal 9 2 3 6 2 3" xfId="12493" xr:uid="{7BB4E3D5-92B2-42A2-B431-D09102668D81}"/>
    <cellStyle name="Normal 9 2 3 6 3" xfId="6124" xr:uid="{00000000-0005-0000-0000-0000541F0000}"/>
    <cellStyle name="Normal 9 2 3 6 3 2" xfId="14566" xr:uid="{C73E7498-A34A-474A-83C1-2E1DA62C95E1}"/>
    <cellStyle name="Normal 9 2 3 6 4" xfId="10348" xr:uid="{208D6C6F-6849-43F2-BC07-7A8B0A0832D6}"/>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428C1E4D-CB7B-4D90-A7D8-8661582B5486}"/>
    <cellStyle name="Normal 9 2 3 7 2 3" xfId="12906" xr:uid="{33537B6C-47F9-4079-A95A-16AAB58C846F}"/>
    <cellStyle name="Normal 9 2 3 7 3" xfId="6537" xr:uid="{00000000-0005-0000-0000-0000581F0000}"/>
    <cellStyle name="Normal 9 2 3 7 3 2" xfId="14979" xr:uid="{830ACEEA-F331-4293-AE30-C464292125D6}"/>
    <cellStyle name="Normal 9 2 3 7 4" xfId="10761" xr:uid="{96C4B9F0-4BE7-4484-B824-1060B355B954}"/>
    <cellStyle name="Normal 9 2 3 8" xfId="2666" xr:uid="{00000000-0005-0000-0000-0000591F0000}"/>
    <cellStyle name="Normal 9 2 3 8 2" xfId="6950" xr:uid="{00000000-0005-0000-0000-00005A1F0000}"/>
    <cellStyle name="Normal 9 2 3 8 2 2" xfId="15392" xr:uid="{424CA3AE-34DB-4ABF-AB95-B531F95FFC59}"/>
    <cellStyle name="Normal 9 2 3 8 3" xfId="11174" xr:uid="{AD4CA3DD-B0B3-4D61-971D-2711BEC0E9DC}"/>
    <cellStyle name="Normal 9 2 3 9" xfId="4885" xr:uid="{00000000-0005-0000-0000-00005B1F0000}"/>
    <cellStyle name="Normal 9 2 3 9 2" xfId="13327" xr:uid="{F070A932-5C04-4493-A31C-B5D8E1E77A6D}"/>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BA649F3B-43D6-49A4-A5BF-4FA005FF6FB2}"/>
    <cellStyle name="Normal 9 2 4 2 2 2 3" xfId="11672" xr:uid="{38AA4C4A-C1FA-4F72-938B-9023F953BF13}"/>
    <cellStyle name="Normal 9 2 4 2 2 3" xfId="5303" xr:uid="{00000000-0005-0000-0000-0000611F0000}"/>
    <cellStyle name="Normal 9 2 4 2 2 3 2" xfId="13745" xr:uid="{401BD961-E702-4548-B9B4-207A52E85AF4}"/>
    <cellStyle name="Normal 9 2 4 2 2 4" xfId="9527" xr:uid="{1BF1AE87-4115-46AF-8A1D-7409887D93A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CB44B8B2-A124-4A99-8508-5DECAA69DDE3}"/>
    <cellStyle name="Normal 9 2 4 2 3 2 3" xfId="12085" xr:uid="{B3359503-916B-480B-A5F2-040810EA017E}"/>
    <cellStyle name="Normal 9 2 4 2 3 3" xfId="5716" xr:uid="{00000000-0005-0000-0000-0000651F0000}"/>
    <cellStyle name="Normal 9 2 4 2 3 3 2" xfId="14158" xr:uid="{7E855708-59C4-48B2-8F4B-40898C61EF8C}"/>
    <cellStyle name="Normal 9 2 4 2 3 4" xfId="9940" xr:uid="{EEAB661E-B632-4F7E-9115-F38B1032E3B9}"/>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A3643DD3-E5B2-4FCA-9A7C-1AF81B1E3EF5}"/>
    <cellStyle name="Normal 9 2 4 2 4 2 3" xfId="12498" xr:uid="{A292938F-25C4-4347-B7F3-127871AA038F}"/>
    <cellStyle name="Normal 9 2 4 2 4 3" xfId="6129" xr:uid="{00000000-0005-0000-0000-0000691F0000}"/>
    <cellStyle name="Normal 9 2 4 2 4 3 2" xfId="14571" xr:uid="{F4750960-FE9F-4A23-AE95-F0F0D4A6ED42}"/>
    <cellStyle name="Normal 9 2 4 2 4 4" xfId="10353" xr:uid="{B8A62FF6-76E9-4BB7-98EE-589E7654C0E8}"/>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3471A2B8-9DB7-46D2-B9CD-5BC393EE7D4F}"/>
    <cellStyle name="Normal 9 2 4 2 5 2 3" xfId="12911" xr:uid="{659864D0-B2AA-4ADD-A604-95E6910C6255}"/>
    <cellStyle name="Normal 9 2 4 2 5 3" xfId="6542" xr:uid="{00000000-0005-0000-0000-00006D1F0000}"/>
    <cellStyle name="Normal 9 2 4 2 5 3 2" xfId="14984" xr:uid="{6248A1CE-5023-46F3-B34E-FFF3698A1AD3}"/>
    <cellStyle name="Normal 9 2 4 2 5 4" xfId="10766" xr:uid="{B0013DEC-1BA9-47C4-86D8-BDAB4F9B21BF}"/>
    <cellStyle name="Normal 9 2 4 2 6" xfId="2671" xr:uid="{00000000-0005-0000-0000-00006E1F0000}"/>
    <cellStyle name="Normal 9 2 4 2 6 2" xfId="6955" xr:uid="{00000000-0005-0000-0000-00006F1F0000}"/>
    <cellStyle name="Normal 9 2 4 2 6 2 2" xfId="15397" xr:uid="{C7FB654E-800E-4E01-9AD5-2FAFA60D9224}"/>
    <cellStyle name="Normal 9 2 4 2 6 3" xfId="11179" xr:uid="{F4F0A0F0-B574-4094-9F98-3DF9F3B572EC}"/>
    <cellStyle name="Normal 9 2 4 2 7" xfId="4890" xr:uid="{00000000-0005-0000-0000-0000701F0000}"/>
    <cellStyle name="Normal 9 2 4 2 7 2" xfId="13332" xr:uid="{84BAA50A-B809-4CA6-8254-9C80C28DC32D}"/>
    <cellStyle name="Normal 9 2 4 2 8" xfId="9114" xr:uid="{1DC569DC-D6E4-43D7-934E-74FE9B90B113}"/>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2052BC4D-C01C-42AC-A6F1-D58577503E64}"/>
    <cellStyle name="Normal 9 2 4 3 2 3" xfId="11671" xr:uid="{37FA48B5-3BFC-4FF8-B2B1-564125F75162}"/>
    <cellStyle name="Normal 9 2 4 3 3" xfId="5302" xr:uid="{00000000-0005-0000-0000-0000741F0000}"/>
    <cellStyle name="Normal 9 2 4 3 3 2" xfId="13744" xr:uid="{2289CF94-AEF7-41E1-8B47-45DEF19F4632}"/>
    <cellStyle name="Normal 9 2 4 3 4" xfId="9526" xr:uid="{9B2F31BF-31E0-4CE6-A436-23153132CB2A}"/>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E1C8FE8A-5C2C-4E1D-9DAB-5404B6DDF695}"/>
    <cellStyle name="Normal 9 2 4 4 2 3" xfId="12084" xr:uid="{45188C15-A14B-4845-B76B-ED3C5946108A}"/>
    <cellStyle name="Normal 9 2 4 4 3" xfId="5715" xr:uid="{00000000-0005-0000-0000-0000781F0000}"/>
    <cellStyle name="Normal 9 2 4 4 3 2" xfId="14157" xr:uid="{710C1D6D-5D86-495D-835D-098D857544D2}"/>
    <cellStyle name="Normal 9 2 4 4 4" xfId="9939" xr:uid="{DAA691AA-ED31-4731-A169-1A66B5D6CFA4}"/>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1179659F-5D5F-4962-B3F1-0735A890E724}"/>
    <cellStyle name="Normal 9 2 4 5 2 3" xfId="12497" xr:uid="{C94F353E-E313-47A2-A996-C8804C34BC53}"/>
    <cellStyle name="Normal 9 2 4 5 3" xfId="6128" xr:uid="{00000000-0005-0000-0000-00007C1F0000}"/>
    <cellStyle name="Normal 9 2 4 5 3 2" xfId="14570" xr:uid="{C7E2C2D5-28A1-494B-880D-D7DF44DC43AE}"/>
    <cellStyle name="Normal 9 2 4 5 4" xfId="10352" xr:uid="{10E0DD9D-37F2-4CF7-9CEC-63597CA5AC67}"/>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FF143FC0-A127-48C5-8E71-B5E45AD2EDFC}"/>
    <cellStyle name="Normal 9 2 4 6 2 3" xfId="12910" xr:uid="{CCA8989B-5F35-49CB-8768-F7ACD5A42DCE}"/>
    <cellStyle name="Normal 9 2 4 6 3" xfId="6541" xr:uid="{00000000-0005-0000-0000-0000801F0000}"/>
    <cellStyle name="Normal 9 2 4 6 3 2" xfId="14983" xr:uid="{4EF35ACB-C47F-4E92-9F72-D431CD99E666}"/>
    <cellStyle name="Normal 9 2 4 6 4" xfId="10765" xr:uid="{6F9F3206-F513-463A-B546-D9DDA68B25D0}"/>
    <cellStyle name="Normal 9 2 4 7" xfId="2670" xr:uid="{00000000-0005-0000-0000-0000811F0000}"/>
    <cellStyle name="Normal 9 2 4 7 2" xfId="6954" xr:uid="{00000000-0005-0000-0000-0000821F0000}"/>
    <cellStyle name="Normal 9 2 4 7 2 2" xfId="15396" xr:uid="{85EF7097-B2D5-4362-9CE4-18C5C37317E1}"/>
    <cellStyle name="Normal 9 2 4 7 3" xfId="11178" xr:uid="{448918A9-DFEB-4AFA-B599-1370B0D91593}"/>
    <cellStyle name="Normal 9 2 4 8" xfId="4889" xr:uid="{00000000-0005-0000-0000-0000831F0000}"/>
    <cellStyle name="Normal 9 2 4 8 2" xfId="13331" xr:uid="{2E55EFAA-5B4A-442F-B31A-E418A23F860D}"/>
    <cellStyle name="Normal 9 2 4 9" xfId="9113" xr:uid="{B2637DB6-C517-4A0F-BC94-071AFB1246CA}"/>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6CE64E7-BBA5-4B03-AC3A-85ACB0870201}"/>
    <cellStyle name="Normal 9 2 5 2 2 3" xfId="11673" xr:uid="{6F63992F-23E9-49CD-B2FE-37C6540FDF49}"/>
    <cellStyle name="Normal 9 2 5 2 3" xfId="5304" xr:uid="{00000000-0005-0000-0000-0000881F0000}"/>
    <cellStyle name="Normal 9 2 5 2 3 2" xfId="13746" xr:uid="{3F0EDDE9-8DE6-47DB-9BD5-159830A63D04}"/>
    <cellStyle name="Normal 9 2 5 2 4" xfId="9528" xr:uid="{64D78666-6293-40A7-8651-65657C0E2FC0}"/>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34FD8FB3-C1D6-4EA3-8029-EF9B9E41C352}"/>
    <cellStyle name="Normal 9 2 5 3 2 3" xfId="12086" xr:uid="{2D6DE591-8898-47A2-BAA6-E4853109D9E0}"/>
    <cellStyle name="Normal 9 2 5 3 3" xfId="5717" xr:uid="{00000000-0005-0000-0000-00008C1F0000}"/>
    <cellStyle name="Normal 9 2 5 3 3 2" xfId="14159" xr:uid="{74C485A6-93C3-4E60-AAA7-F28F6D949877}"/>
    <cellStyle name="Normal 9 2 5 3 4" xfId="9941" xr:uid="{E24C3377-C114-4F26-B66F-6C9F76FD5BE2}"/>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ED56B85D-38BB-42C6-8F18-180D7259B780}"/>
    <cellStyle name="Normal 9 2 5 4 2 3" xfId="12499" xr:uid="{9D50029F-3B19-4AC5-A827-6988D0E0111E}"/>
    <cellStyle name="Normal 9 2 5 4 3" xfId="6130" xr:uid="{00000000-0005-0000-0000-0000901F0000}"/>
    <cellStyle name="Normal 9 2 5 4 3 2" xfId="14572" xr:uid="{73411C06-BE9C-443E-ACF9-6A8539A260DB}"/>
    <cellStyle name="Normal 9 2 5 4 4" xfId="10354" xr:uid="{EA18F22C-6123-4E62-AA02-45C7C3E1A199}"/>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772C0CAF-9D5F-4221-9E17-3EC8F853DC31}"/>
    <cellStyle name="Normal 9 2 5 5 2 3" xfId="12912" xr:uid="{EAF19661-38ED-4A29-8829-27603E143AEC}"/>
    <cellStyle name="Normal 9 2 5 5 3" xfId="6543" xr:uid="{00000000-0005-0000-0000-0000941F0000}"/>
    <cellStyle name="Normal 9 2 5 5 3 2" xfId="14985" xr:uid="{0F867FED-DD2C-428D-ABA1-BA66954A1F9D}"/>
    <cellStyle name="Normal 9 2 5 5 4" xfId="10767" xr:uid="{4028D735-9054-465D-A6A5-DBADEF50586F}"/>
    <cellStyle name="Normal 9 2 5 6" xfId="2672" xr:uid="{00000000-0005-0000-0000-0000951F0000}"/>
    <cellStyle name="Normal 9 2 5 6 2" xfId="6956" xr:uid="{00000000-0005-0000-0000-0000961F0000}"/>
    <cellStyle name="Normal 9 2 5 6 2 2" xfId="15398" xr:uid="{8D15695A-3570-4FBC-A19F-8ED40469BA63}"/>
    <cellStyle name="Normal 9 2 5 6 3" xfId="11180" xr:uid="{89BD0252-DD40-4E81-B87C-C04FAF878CBD}"/>
    <cellStyle name="Normal 9 2 5 7" xfId="4891" xr:uid="{00000000-0005-0000-0000-0000971F0000}"/>
    <cellStyle name="Normal 9 2 5 7 2" xfId="13333" xr:uid="{030FE2A9-E303-4646-BE6D-6249BF467786}"/>
    <cellStyle name="Normal 9 2 5 8" xfId="9115" xr:uid="{C11A3A92-8CB6-49E2-8977-E01BCB778451}"/>
    <cellStyle name="Normal 9 2 6" xfId="978" xr:uid="{00000000-0005-0000-0000-0000981F0000}"/>
    <cellStyle name="Normal 9 2 6 2" xfId="3211" xr:uid="{00000000-0005-0000-0000-0000991F0000}"/>
    <cellStyle name="Normal 9 2 6 2 2" xfId="7434" xr:uid="{00000000-0005-0000-0000-00009A1F0000}"/>
    <cellStyle name="Normal 9 2 6 2 2 2" xfId="15876" xr:uid="{7AFEB476-6F41-4EBE-99C1-78FDEAAE4E26}"/>
    <cellStyle name="Normal 9 2 6 2 3" xfId="11658" xr:uid="{732BE9F1-5FED-4ECB-A3CB-018134ECE1DA}"/>
    <cellStyle name="Normal 9 2 6 3" xfId="5289" xr:uid="{00000000-0005-0000-0000-00009B1F0000}"/>
    <cellStyle name="Normal 9 2 6 3 2" xfId="13731" xr:uid="{4C97EE09-5B6A-46A6-8F28-7E17703D6AFF}"/>
    <cellStyle name="Normal 9 2 6 4" xfId="9513" xr:uid="{C7C6E1D3-8700-413F-ADD1-F2818DDEB3C5}"/>
    <cellStyle name="Normal 9 2 7" xfId="1394" xr:uid="{00000000-0005-0000-0000-00009C1F0000}"/>
    <cellStyle name="Normal 9 2 7 2" xfId="3624" xr:uid="{00000000-0005-0000-0000-00009D1F0000}"/>
    <cellStyle name="Normal 9 2 7 2 2" xfId="7847" xr:uid="{00000000-0005-0000-0000-00009E1F0000}"/>
    <cellStyle name="Normal 9 2 7 2 2 2" xfId="16289" xr:uid="{7D49C76D-BAD0-4617-BAD4-0C8A24202D57}"/>
    <cellStyle name="Normal 9 2 7 2 3" xfId="12071" xr:uid="{B6D7A20B-913C-4E1C-B99A-CE8ADAAE9013}"/>
    <cellStyle name="Normal 9 2 7 3" xfId="5702" xr:uid="{00000000-0005-0000-0000-00009F1F0000}"/>
    <cellStyle name="Normal 9 2 7 3 2" xfId="14144" xr:uid="{979BFBF7-F866-4D40-B13A-4EA1344CF48A}"/>
    <cellStyle name="Normal 9 2 7 4" xfId="9926" xr:uid="{0161DF40-28FE-4A05-AD7A-C50CC5BC3DD1}"/>
    <cellStyle name="Normal 9 2 8" xfId="1807" xr:uid="{00000000-0005-0000-0000-0000A01F0000}"/>
    <cellStyle name="Normal 9 2 8 2" xfId="4037" xr:uid="{00000000-0005-0000-0000-0000A11F0000}"/>
    <cellStyle name="Normal 9 2 8 2 2" xfId="8260" xr:uid="{00000000-0005-0000-0000-0000A21F0000}"/>
    <cellStyle name="Normal 9 2 8 2 2 2" xfId="16702" xr:uid="{7C7D9705-33F8-4A98-96AE-0F743DBB777F}"/>
    <cellStyle name="Normal 9 2 8 2 3" xfId="12484" xr:uid="{DE970449-F1BB-4DCD-A9D6-CFDA709BE53E}"/>
    <cellStyle name="Normal 9 2 8 3" xfId="6115" xr:uid="{00000000-0005-0000-0000-0000A31F0000}"/>
    <cellStyle name="Normal 9 2 8 3 2" xfId="14557" xr:uid="{A52F1E5E-048E-4644-8EC2-848F495ADFAE}"/>
    <cellStyle name="Normal 9 2 8 4" xfId="10339" xr:uid="{8DA95679-8DC7-41B1-8B22-05602D9B679D}"/>
    <cellStyle name="Normal 9 2 9" xfId="2221" xr:uid="{00000000-0005-0000-0000-0000A41F0000}"/>
    <cellStyle name="Normal 9 2 9 2" xfId="4450" xr:uid="{00000000-0005-0000-0000-0000A51F0000}"/>
    <cellStyle name="Normal 9 2 9 2 2" xfId="8673" xr:uid="{00000000-0005-0000-0000-0000A61F0000}"/>
    <cellStyle name="Normal 9 2 9 2 2 2" xfId="17115" xr:uid="{52FDDFE0-9EDE-4182-AFDB-9C75D7B904DF}"/>
    <cellStyle name="Normal 9 2 9 2 3" xfId="12897" xr:uid="{C635353F-C3C1-4B4E-BF29-C6F614BF29D6}"/>
    <cellStyle name="Normal 9 2 9 3" xfId="6528" xr:uid="{00000000-0005-0000-0000-0000A71F0000}"/>
    <cellStyle name="Normal 9 2 9 3 2" xfId="14970" xr:uid="{A46002F1-96DE-450B-A9E0-E154BF27CFB4}"/>
    <cellStyle name="Normal 9 2 9 4" xfId="10752" xr:uid="{3D229540-3D21-45BB-9D86-DC034B5CA015}"/>
    <cellStyle name="Normal 9 3" xfId="527" xr:uid="{00000000-0005-0000-0000-0000A81F0000}"/>
    <cellStyle name="Normal 9 3 10" xfId="4892" xr:uid="{00000000-0005-0000-0000-0000A91F0000}"/>
    <cellStyle name="Normal 9 3 10 2" xfId="13334" xr:uid="{D7A71829-0CE1-4A24-8FCF-66A34ABA2870}"/>
    <cellStyle name="Normal 9 3 11" xfId="9116" xr:uid="{73E03929-A3A7-450D-99E4-F299B457EEAF}"/>
    <cellStyle name="Normal 9 3 2" xfId="528" xr:uid="{00000000-0005-0000-0000-0000AA1F0000}"/>
    <cellStyle name="Normal 9 3 2 10" xfId="9117" xr:uid="{3E5092FC-A933-4A11-A8E1-5F5ED7BB0EA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D7FAD33F-E6AB-4B5A-8F8B-A24F77431B81}"/>
    <cellStyle name="Normal 9 3 2 2 2 2 2 3" xfId="11677" xr:uid="{75F911AF-412A-421E-815E-1CDA6782C438}"/>
    <cellStyle name="Normal 9 3 2 2 2 2 3" xfId="5308" xr:uid="{00000000-0005-0000-0000-0000B01F0000}"/>
    <cellStyle name="Normal 9 3 2 2 2 2 3 2" xfId="13750" xr:uid="{0E22967F-A4EB-4094-8EB5-80B0EAFBE750}"/>
    <cellStyle name="Normal 9 3 2 2 2 2 4" xfId="9532" xr:uid="{3605B1E9-C82A-483A-BFDF-FA37E56845EC}"/>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0C36D6DC-DBCB-4023-9A61-C4584CAADEEE}"/>
    <cellStyle name="Normal 9 3 2 2 2 3 2 3" xfId="12090" xr:uid="{49041F66-7F21-4E55-9B99-5CA724EBE7FE}"/>
    <cellStyle name="Normal 9 3 2 2 2 3 3" xfId="5721" xr:uid="{00000000-0005-0000-0000-0000B41F0000}"/>
    <cellStyle name="Normal 9 3 2 2 2 3 3 2" xfId="14163" xr:uid="{2CDEF1C8-255D-4D20-B3ED-BB914E50DABF}"/>
    <cellStyle name="Normal 9 3 2 2 2 3 4" xfId="9945" xr:uid="{C5D26FA4-9F77-49E4-9DCB-D082C5A2CD1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A2E8B625-8360-467E-BC24-AE7FE624156E}"/>
    <cellStyle name="Normal 9 3 2 2 2 4 2 3" xfId="12503" xr:uid="{30C6BBEC-B149-44E8-88AE-C588C8E26D38}"/>
    <cellStyle name="Normal 9 3 2 2 2 4 3" xfId="6134" xr:uid="{00000000-0005-0000-0000-0000B81F0000}"/>
    <cellStyle name="Normal 9 3 2 2 2 4 3 2" xfId="14576" xr:uid="{B70F4D9F-FCD4-4877-B2DB-E19BD71527DC}"/>
    <cellStyle name="Normal 9 3 2 2 2 4 4" xfId="10358" xr:uid="{701F8B7E-5AC6-4C30-96C8-2F66BC7D51B6}"/>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5370A9E8-425B-47B1-B1E3-753992637B48}"/>
    <cellStyle name="Normal 9 3 2 2 2 5 2 3" xfId="12916" xr:uid="{D39758AC-5E0F-4DD8-918E-5EDDF3C92DE6}"/>
    <cellStyle name="Normal 9 3 2 2 2 5 3" xfId="6547" xr:uid="{00000000-0005-0000-0000-0000BC1F0000}"/>
    <cellStyle name="Normal 9 3 2 2 2 5 3 2" xfId="14989" xr:uid="{B9BD0B6A-5EB3-4D69-8365-7F089E590031}"/>
    <cellStyle name="Normal 9 3 2 2 2 5 4" xfId="10771" xr:uid="{217DE4B5-9F06-44FE-AF2C-5DDACEFF11D0}"/>
    <cellStyle name="Normal 9 3 2 2 2 6" xfId="2676" xr:uid="{00000000-0005-0000-0000-0000BD1F0000}"/>
    <cellStyle name="Normal 9 3 2 2 2 6 2" xfId="6960" xr:uid="{00000000-0005-0000-0000-0000BE1F0000}"/>
    <cellStyle name="Normal 9 3 2 2 2 6 2 2" xfId="15402" xr:uid="{51663060-9A2C-4245-A0DC-F62BBDDDFDDF}"/>
    <cellStyle name="Normal 9 3 2 2 2 6 3" xfId="11184" xr:uid="{E9947620-D793-4E3D-A218-96B3FD43D63B}"/>
    <cellStyle name="Normal 9 3 2 2 2 7" xfId="4895" xr:uid="{00000000-0005-0000-0000-0000BF1F0000}"/>
    <cellStyle name="Normal 9 3 2 2 2 7 2" xfId="13337" xr:uid="{D2D09DB5-88B2-4C28-BA81-3FD588B544D8}"/>
    <cellStyle name="Normal 9 3 2 2 2 8" xfId="9119" xr:uid="{AE56BA2A-5020-44AD-8FA3-7255877D64D5}"/>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D6C33758-B38F-47E9-BB18-6C1CE4A37ADE}"/>
    <cellStyle name="Normal 9 3 2 2 3 2 3" xfId="11676" xr:uid="{8031A34D-35B1-4236-8C63-1E4C22033DB2}"/>
    <cellStyle name="Normal 9 3 2 2 3 3" xfId="5307" xr:uid="{00000000-0005-0000-0000-0000C31F0000}"/>
    <cellStyle name="Normal 9 3 2 2 3 3 2" xfId="13749" xr:uid="{ED1124CC-6A5F-4458-A83C-A2727EF5366C}"/>
    <cellStyle name="Normal 9 3 2 2 3 4" xfId="9531" xr:uid="{DEB417AF-B0C2-4F12-B58A-F9ECA4EEEDA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DF7122F8-6206-4DBA-BB0B-33B74AFD1CD0}"/>
    <cellStyle name="Normal 9 3 2 2 4 2 3" xfId="12089" xr:uid="{4C48B2E3-D418-4BF7-AA7D-D88778FAE8D3}"/>
    <cellStyle name="Normal 9 3 2 2 4 3" xfId="5720" xr:uid="{00000000-0005-0000-0000-0000C71F0000}"/>
    <cellStyle name="Normal 9 3 2 2 4 3 2" xfId="14162" xr:uid="{8FAF9C8B-D04B-4EF2-878C-FD788B73E59A}"/>
    <cellStyle name="Normal 9 3 2 2 4 4" xfId="9944" xr:uid="{42E111E7-5F85-437E-8F15-DE1DA6429B20}"/>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A108204C-BF9A-439B-8F36-CE88F3129031}"/>
    <cellStyle name="Normal 9 3 2 2 5 2 3" xfId="12502" xr:uid="{5EABBD88-84FB-4A90-B21D-7A9F18AB74A6}"/>
    <cellStyle name="Normal 9 3 2 2 5 3" xfId="6133" xr:uid="{00000000-0005-0000-0000-0000CB1F0000}"/>
    <cellStyle name="Normal 9 3 2 2 5 3 2" xfId="14575" xr:uid="{8E9AEC4B-CE43-45F4-8C94-4EB03CB7D00D}"/>
    <cellStyle name="Normal 9 3 2 2 5 4" xfId="10357" xr:uid="{4445D393-3B8B-4D9A-91E5-49968FF1E48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5D0A2DBD-CDDF-4AF6-A029-B387AB29FD13}"/>
    <cellStyle name="Normal 9 3 2 2 6 2 3" xfId="12915" xr:uid="{BFF39EE2-7872-4B20-BC4E-519F15F2FC0C}"/>
    <cellStyle name="Normal 9 3 2 2 6 3" xfId="6546" xr:uid="{00000000-0005-0000-0000-0000CF1F0000}"/>
    <cellStyle name="Normal 9 3 2 2 6 3 2" xfId="14988" xr:uid="{A2F8BF33-469D-49BC-BECD-43A4F080C50C}"/>
    <cellStyle name="Normal 9 3 2 2 6 4" xfId="10770" xr:uid="{4024C5A2-B66E-4F0E-8469-E4E9F4FBB558}"/>
    <cellStyle name="Normal 9 3 2 2 7" xfId="2675" xr:uid="{00000000-0005-0000-0000-0000D01F0000}"/>
    <cellStyle name="Normal 9 3 2 2 7 2" xfId="6959" xr:uid="{00000000-0005-0000-0000-0000D11F0000}"/>
    <cellStyle name="Normal 9 3 2 2 7 2 2" xfId="15401" xr:uid="{5DBB162A-5C43-46E3-BA47-4B1FBECD7A02}"/>
    <cellStyle name="Normal 9 3 2 2 7 3" xfId="11183" xr:uid="{98A9CB72-FA98-4DAC-95A5-3D59398808E0}"/>
    <cellStyle name="Normal 9 3 2 2 8" xfId="4894" xr:uid="{00000000-0005-0000-0000-0000D21F0000}"/>
    <cellStyle name="Normal 9 3 2 2 8 2" xfId="13336" xr:uid="{A0317818-DE4B-47C0-B262-E4FF6D1B1D69}"/>
    <cellStyle name="Normal 9 3 2 2 9" xfId="9118" xr:uid="{02403633-6773-42BA-B2F5-6DB14F76C0FF}"/>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9CD14EC5-D0F8-4821-9C13-79FCB0769918}"/>
    <cellStyle name="Normal 9 3 2 3 2 2 3" xfId="11678" xr:uid="{B8816486-2B67-4056-9560-73ADA7DDD1D4}"/>
    <cellStyle name="Normal 9 3 2 3 2 3" xfId="5309" xr:uid="{00000000-0005-0000-0000-0000D71F0000}"/>
    <cellStyle name="Normal 9 3 2 3 2 3 2" xfId="13751" xr:uid="{72C5CA0A-65CC-4C04-B937-55E1B34ABE56}"/>
    <cellStyle name="Normal 9 3 2 3 2 4" xfId="9533" xr:uid="{98A26939-1F67-4076-B3A0-E077C03D4FE1}"/>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EB8F500A-2362-4943-AAA7-A8BA990E3212}"/>
    <cellStyle name="Normal 9 3 2 3 3 2 3" xfId="12091" xr:uid="{30F17240-D33C-4B2E-9C2F-DEEEF2AAA147}"/>
    <cellStyle name="Normal 9 3 2 3 3 3" xfId="5722" xr:uid="{00000000-0005-0000-0000-0000DB1F0000}"/>
    <cellStyle name="Normal 9 3 2 3 3 3 2" xfId="14164" xr:uid="{B446630A-C01C-4963-9581-A3110F4C2D2E}"/>
    <cellStyle name="Normal 9 3 2 3 3 4" xfId="9946" xr:uid="{4F8ED53F-52C9-4DDE-8598-0F65CE1566E7}"/>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39622880-05EF-4977-9F40-B00D867A8076}"/>
    <cellStyle name="Normal 9 3 2 3 4 2 3" xfId="12504" xr:uid="{4EE8AB55-DBEF-40D3-BB24-6D2B9BAF1414}"/>
    <cellStyle name="Normal 9 3 2 3 4 3" xfId="6135" xr:uid="{00000000-0005-0000-0000-0000DF1F0000}"/>
    <cellStyle name="Normal 9 3 2 3 4 3 2" xfId="14577" xr:uid="{FDE9D46B-89F4-4166-90B0-F7246280358A}"/>
    <cellStyle name="Normal 9 3 2 3 4 4" xfId="10359" xr:uid="{472342ED-1705-44BC-980B-DB97BFDD0352}"/>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7A1FB630-3F15-41F0-92EF-58558CF9EE89}"/>
    <cellStyle name="Normal 9 3 2 3 5 2 3" xfId="12917" xr:uid="{CCDE04E9-5138-47BF-94FD-268500B51CF0}"/>
    <cellStyle name="Normal 9 3 2 3 5 3" xfId="6548" xr:uid="{00000000-0005-0000-0000-0000E31F0000}"/>
    <cellStyle name="Normal 9 3 2 3 5 3 2" xfId="14990" xr:uid="{E53A4705-62DD-4324-BDB1-467720E113C2}"/>
    <cellStyle name="Normal 9 3 2 3 5 4" xfId="10772" xr:uid="{AEF65950-122A-489A-84FD-93A9CB7AABC7}"/>
    <cellStyle name="Normal 9 3 2 3 6" xfId="2677" xr:uid="{00000000-0005-0000-0000-0000E41F0000}"/>
    <cellStyle name="Normal 9 3 2 3 6 2" xfId="6961" xr:uid="{00000000-0005-0000-0000-0000E51F0000}"/>
    <cellStyle name="Normal 9 3 2 3 6 2 2" xfId="15403" xr:uid="{18B9EC45-FF4E-446F-A1E9-4D1A1C7B25CF}"/>
    <cellStyle name="Normal 9 3 2 3 6 3" xfId="11185" xr:uid="{A067BB13-2DB0-4328-9C97-4D8E7848C502}"/>
    <cellStyle name="Normal 9 3 2 3 7" xfId="4896" xr:uid="{00000000-0005-0000-0000-0000E61F0000}"/>
    <cellStyle name="Normal 9 3 2 3 7 2" xfId="13338" xr:uid="{1B8FBBEC-41DA-45A3-A3AE-FCFD93BDA137}"/>
    <cellStyle name="Normal 9 3 2 3 8" xfId="9120" xr:uid="{CD5DFCF8-C756-407A-996D-CE2689DD4300}"/>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487E7E86-CAFE-44E7-9937-6628DAEA6093}"/>
    <cellStyle name="Normal 9 3 2 4 2 3" xfId="11675" xr:uid="{55EFB830-404A-463A-9D40-BA2B08BD8FCC}"/>
    <cellStyle name="Normal 9 3 2 4 3" xfId="5306" xr:uid="{00000000-0005-0000-0000-0000EA1F0000}"/>
    <cellStyle name="Normal 9 3 2 4 3 2" xfId="13748" xr:uid="{28AC590E-0082-47FF-B832-74CA363A022F}"/>
    <cellStyle name="Normal 9 3 2 4 4" xfId="9530" xr:uid="{7B087A84-DFD4-4D36-B47C-95F1B8184EBD}"/>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9FE2F4A-91D8-4DAC-8D44-F1397C1AFA81}"/>
    <cellStyle name="Normal 9 3 2 5 2 3" xfId="12088" xr:uid="{37046596-82AA-4697-B886-80E0F8BB0FAD}"/>
    <cellStyle name="Normal 9 3 2 5 3" xfId="5719" xr:uid="{00000000-0005-0000-0000-0000EE1F0000}"/>
    <cellStyle name="Normal 9 3 2 5 3 2" xfId="14161" xr:uid="{43436755-9052-42DE-B0CC-60E1C63A8DB9}"/>
    <cellStyle name="Normal 9 3 2 5 4" xfId="9943" xr:uid="{6D463B2B-5BB0-4AF9-A937-6B46681AC204}"/>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EF2A8F3C-6F08-4FBD-85F4-5CE56438B0FA}"/>
    <cellStyle name="Normal 9 3 2 6 2 3" xfId="12501" xr:uid="{3E42850D-200B-4045-ACFB-A6710D250E24}"/>
    <cellStyle name="Normal 9 3 2 6 3" xfId="6132" xr:uid="{00000000-0005-0000-0000-0000F21F0000}"/>
    <cellStyle name="Normal 9 3 2 6 3 2" xfId="14574" xr:uid="{9ECBF73C-BED7-448A-AFDB-89C9751C0AAC}"/>
    <cellStyle name="Normal 9 3 2 6 4" xfId="10356" xr:uid="{FD60EFB4-17D4-40B8-9DC3-7091C8923A9B}"/>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2A94A358-D954-4557-8953-54EBC382E3E7}"/>
    <cellStyle name="Normal 9 3 2 7 2 3" xfId="12914" xr:uid="{F7AFBE62-C7B4-4E6C-8744-363EFAB897A2}"/>
    <cellStyle name="Normal 9 3 2 7 3" xfId="6545" xr:uid="{00000000-0005-0000-0000-0000F61F0000}"/>
    <cellStyle name="Normal 9 3 2 7 3 2" xfId="14987" xr:uid="{0C94F45E-DE88-4584-8BBF-139A65D87625}"/>
    <cellStyle name="Normal 9 3 2 7 4" xfId="10769" xr:uid="{EAFAD1AF-1642-4476-9F87-CAB54E762EA6}"/>
    <cellStyle name="Normal 9 3 2 8" xfId="2674" xr:uid="{00000000-0005-0000-0000-0000F71F0000}"/>
    <cellStyle name="Normal 9 3 2 8 2" xfId="6958" xr:uid="{00000000-0005-0000-0000-0000F81F0000}"/>
    <cellStyle name="Normal 9 3 2 8 2 2" xfId="15400" xr:uid="{C81F2844-699B-4B8B-A048-2BD6B5167E95}"/>
    <cellStyle name="Normal 9 3 2 8 3" xfId="11182" xr:uid="{46455980-62F6-4A1E-9EFD-20702E601771}"/>
    <cellStyle name="Normal 9 3 2 9" xfId="4893" xr:uid="{00000000-0005-0000-0000-0000F91F0000}"/>
    <cellStyle name="Normal 9 3 2 9 2" xfId="13335" xr:uid="{AA3D61F8-2651-4691-A91C-DDFA4EAE56D4}"/>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AA5DD623-9518-425E-A0EB-1CAD037B504A}"/>
    <cellStyle name="Normal 9 3 3 2 2 2 3" xfId="11680" xr:uid="{9C29ACCC-1F10-4B9B-9436-850D960C8D48}"/>
    <cellStyle name="Normal 9 3 3 2 2 3" xfId="5311" xr:uid="{00000000-0005-0000-0000-0000FF1F0000}"/>
    <cellStyle name="Normal 9 3 3 2 2 3 2" xfId="13753" xr:uid="{2477634F-7F7D-46B1-9911-A15DE2CED213}"/>
    <cellStyle name="Normal 9 3 3 2 2 4" xfId="9535" xr:uid="{C1D4FBDE-084C-4245-88EF-46341F4B3D5F}"/>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928CB525-3B1A-4961-BB4D-6B0BA42FD7AA}"/>
    <cellStyle name="Normal 9 3 3 2 3 2 3" xfId="12093" xr:uid="{E3876D08-F965-4B2B-B063-E65EE5A0DCCE}"/>
    <cellStyle name="Normal 9 3 3 2 3 3" xfId="5724" xr:uid="{00000000-0005-0000-0000-000003200000}"/>
    <cellStyle name="Normal 9 3 3 2 3 3 2" xfId="14166" xr:uid="{E22A38C1-8DD5-460B-8C17-05E7A9D12D5F}"/>
    <cellStyle name="Normal 9 3 3 2 3 4" xfId="9948" xr:uid="{21FBC4F9-EB78-4C05-B135-7A2859B029F6}"/>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21C53A30-36F6-4CFB-B7A4-813FB64AAC7F}"/>
    <cellStyle name="Normal 9 3 3 2 4 2 3" xfId="12506" xr:uid="{5DAB2562-09B4-4080-9616-A74772AFA922}"/>
    <cellStyle name="Normal 9 3 3 2 4 3" xfId="6137" xr:uid="{00000000-0005-0000-0000-000007200000}"/>
    <cellStyle name="Normal 9 3 3 2 4 3 2" xfId="14579" xr:uid="{695034F5-A962-4993-A8E0-3A4B34045498}"/>
    <cellStyle name="Normal 9 3 3 2 4 4" xfId="10361" xr:uid="{9036004F-A2A2-4F14-A1FE-DF7F30299A14}"/>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151EA56C-E78B-4A67-A413-A64674FDEE6D}"/>
    <cellStyle name="Normal 9 3 3 2 5 2 3" xfId="12919" xr:uid="{B221B7DA-83B4-493C-825E-42F78D4BA63E}"/>
    <cellStyle name="Normal 9 3 3 2 5 3" xfId="6550" xr:uid="{00000000-0005-0000-0000-00000B200000}"/>
    <cellStyle name="Normal 9 3 3 2 5 3 2" xfId="14992" xr:uid="{35554252-EE02-43EC-9D3B-639E1983073F}"/>
    <cellStyle name="Normal 9 3 3 2 5 4" xfId="10774" xr:uid="{01A02DB0-AB00-4C34-A462-D744095EF734}"/>
    <cellStyle name="Normal 9 3 3 2 6" xfId="2679" xr:uid="{00000000-0005-0000-0000-00000C200000}"/>
    <cellStyle name="Normal 9 3 3 2 6 2" xfId="6963" xr:uid="{00000000-0005-0000-0000-00000D200000}"/>
    <cellStyle name="Normal 9 3 3 2 6 2 2" xfId="15405" xr:uid="{F18EF872-9759-4211-BCA1-56DDDE898B12}"/>
    <cellStyle name="Normal 9 3 3 2 6 3" xfId="11187" xr:uid="{1917B410-440D-4E44-8882-976A0B4E8AFD}"/>
    <cellStyle name="Normal 9 3 3 2 7" xfId="4898" xr:uid="{00000000-0005-0000-0000-00000E200000}"/>
    <cellStyle name="Normal 9 3 3 2 7 2" xfId="13340" xr:uid="{28496EF4-69CF-4BFB-B250-900B0BC06588}"/>
    <cellStyle name="Normal 9 3 3 2 8" xfId="9122" xr:uid="{9F5A6A3E-7720-46B7-BA26-91409A11E640}"/>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68B62171-5CD6-4BA9-B528-23068705032C}"/>
    <cellStyle name="Normal 9 3 3 3 2 3" xfId="11679" xr:uid="{C0722320-22A0-4571-81A4-448AEF29961C}"/>
    <cellStyle name="Normal 9 3 3 3 3" xfId="5310" xr:uid="{00000000-0005-0000-0000-000012200000}"/>
    <cellStyle name="Normal 9 3 3 3 3 2" xfId="13752" xr:uid="{802B0378-6A2B-4F19-A458-FAB3184159E0}"/>
    <cellStyle name="Normal 9 3 3 3 4" xfId="9534" xr:uid="{90420288-B64E-4DE1-81D2-0262894DBB2F}"/>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89E71DE2-C7F1-4B9B-AA65-85039A5AE636}"/>
    <cellStyle name="Normal 9 3 3 4 2 3" xfId="12092" xr:uid="{9CAE6213-F639-4C8E-86C9-4BF68569ECD5}"/>
    <cellStyle name="Normal 9 3 3 4 3" xfId="5723" xr:uid="{00000000-0005-0000-0000-000016200000}"/>
    <cellStyle name="Normal 9 3 3 4 3 2" xfId="14165" xr:uid="{93CC4BEB-86E6-4822-8896-927DE4ADA2D6}"/>
    <cellStyle name="Normal 9 3 3 4 4" xfId="9947" xr:uid="{6B8DBF1D-2E1F-47E2-BC06-37FB72294BB8}"/>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ED9B278C-76AD-403F-B455-2925002467E9}"/>
    <cellStyle name="Normal 9 3 3 5 2 3" xfId="12505" xr:uid="{97125166-5BB5-44E7-9B1D-E733494FAF54}"/>
    <cellStyle name="Normal 9 3 3 5 3" xfId="6136" xr:uid="{00000000-0005-0000-0000-00001A200000}"/>
    <cellStyle name="Normal 9 3 3 5 3 2" xfId="14578" xr:uid="{52CA2DFC-DABC-4A9C-98A8-8EC696A5BBC2}"/>
    <cellStyle name="Normal 9 3 3 5 4" xfId="10360" xr:uid="{402E5601-0E44-456C-844D-4C3CA5CF3DCF}"/>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2E652154-E053-451A-9D1D-337FF37BDDEA}"/>
    <cellStyle name="Normal 9 3 3 6 2 3" xfId="12918" xr:uid="{403DC347-C55B-4629-8094-6ECE68195C80}"/>
    <cellStyle name="Normal 9 3 3 6 3" xfId="6549" xr:uid="{00000000-0005-0000-0000-00001E200000}"/>
    <cellStyle name="Normal 9 3 3 6 3 2" xfId="14991" xr:uid="{E5B5D219-76F7-4C58-B651-12E327A3ED17}"/>
    <cellStyle name="Normal 9 3 3 6 4" xfId="10773" xr:uid="{2199EF10-0EFA-47C5-96BE-FD16E4DE4072}"/>
    <cellStyle name="Normal 9 3 3 7" xfId="2678" xr:uid="{00000000-0005-0000-0000-00001F200000}"/>
    <cellStyle name="Normal 9 3 3 7 2" xfId="6962" xr:uid="{00000000-0005-0000-0000-000020200000}"/>
    <cellStyle name="Normal 9 3 3 7 2 2" xfId="15404" xr:uid="{87F50E54-D25A-407D-BFE5-8E4FE4750FE6}"/>
    <cellStyle name="Normal 9 3 3 7 3" xfId="11186" xr:uid="{10D7EBE1-D582-4F38-9F94-A8FD975D0666}"/>
    <cellStyle name="Normal 9 3 3 8" xfId="4897" xr:uid="{00000000-0005-0000-0000-000021200000}"/>
    <cellStyle name="Normal 9 3 3 8 2" xfId="13339" xr:uid="{478A581A-0FB8-428F-9F0A-D272529A2275}"/>
    <cellStyle name="Normal 9 3 3 9" xfId="9121" xr:uid="{07C721BA-173A-43AA-BC42-4DF6B4A50F74}"/>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616FAAAA-790F-4FF7-9395-DDA48A65B5D6}"/>
    <cellStyle name="Normal 9 3 4 2 2 3" xfId="11681" xr:uid="{AAE22C80-0D9B-4DB6-8B5D-FC4872493DF3}"/>
    <cellStyle name="Normal 9 3 4 2 3" xfId="5312" xr:uid="{00000000-0005-0000-0000-000026200000}"/>
    <cellStyle name="Normal 9 3 4 2 3 2" xfId="13754" xr:uid="{E9D8E9CB-330A-4A01-923D-7379BE95A33B}"/>
    <cellStyle name="Normal 9 3 4 2 4" xfId="9536" xr:uid="{538EC7EC-B799-47FF-892C-B76CA5774B6D}"/>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9D2E760B-63D6-4921-9816-0575D5598D02}"/>
    <cellStyle name="Normal 9 3 4 3 2 3" xfId="12094" xr:uid="{E991CA5F-15E6-4101-A183-57016E89A2CC}"/>
    <cellStyle name="Normal 9 3 4 3 3" xfId="5725" xr:uid="{00000000-0005-0000-0000-00002A200000}"/>
    <cellStyle name="Normal 9 3 4 3 3 2" xfId="14167" xr:uid="{86F22975-A2F9-4E04-BE3D-3DD323AF2499}"/>
    <cellStyle name="Normal 9 3 4 3 4" xfId="9949" xr:uid="{5F14BF56-A907-4873-8D2B-22638CC53828}"/>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FF655019-41F5-47D9-B7DF-FFB6C71FB705}"/>
    <cellStyle name="Normal 9 3 4 4 2 3" xfId="12507" xr:uid="{7C8FB0D1-91FE-45D0-8507-B35BF1B8EEE1}"/>
    <cellStyle name="Normal 9 3 4 4 3" xfId="6138" xr:uid="{00000000-0005-0000-0000-00002E200000}"/>
    <cellStyle name="Normal 9 3 4 4 3 2" xfId="14580" xr:uid="{7799A39F-2C73-411D-8206-28FA242EDE53}"/>
    <cellStyle name="Normal 9 3 4 4 4" xfId="10362" xr:uid="{A0D60216-7BB5-4F07-8170-931FEF5D4497}"/>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5F22B209-5C6A-4265-93F7-57E8B6DFF02D}"/>
    <cellStyle name="Normal 9 3 4 5 2 3" xfId="12920" xr:uid="{AAE3C33A-BE0A-4173-A4EB-9FFAAC780F0D}"/>
    <cellStyle name="Normal 9 3 4 5 3" xfId="6551" xr:uid="{00000000-0005-0000-0000-000032200000}"/>
    <cellStyle name="Normal 9 3 4 5 3 2" xfId="14993" xr:uid="{F5F46CF9-43ED-430E-BDE9-081A5777BA05}"/>
    <cellStyle name="Normal 9 3 4 5 4" xfId="10775" xr:uid="{98971595-6E1C-46F7-B873-09472877C73E}"/>
    <cellStyle name="Normal 9 3 4 6" xfId="2680" xr:uid="{00000000-0005-0000-0000-000033200000}"/>
    <cellStyle name="Normal 9 3 4 6 2" xfId="6964" xr:uid="{00000000-0005-0000-0000-000034200000}"/>
    <cellStyle name="Normal 9 3 4 6 2 2" xfId="15406" xr:uid="{1FB27CCF-D29D-4D9D-86C4-A9840D89FF54}"/>
    <cellStyle name="Normal 9 3 4 6 3" xfId="11188" xr:uid="{00FBBB1F-88A6-4D83-94A7-983539B4BB31}"/>
    <cellStyle name="Normal 9 3 4 7" xfId="4899" xr:uid="{00000000-0005-0000-0000-000035200000}"/>
    <cellStyle name="Normal 9 3 4 7 2" xfId="13341" xr:uid="{02A2B3EC-42CC-4EEF-A850-40B095F95270}"/>
    <cellStyle name="Normal 9 3 4 8" xfId="9123" xr:uid="{1E2A28E7-04A4-4AEE-BEDF-925ACB5BD315}"/>
    <cellStyle name="Normal 9 3 5" xfId="994" xr:uid="{00000000-0005-0000-0000-000036200000}"/>
    <cellStyle name="Normal 9 3 5 2" xfId="3227" xr:uid="{00000000-0005-0000-0000-000037200000}"/>
    <cellStyle name="Normal 9 3 5 2 2" xfId="7450" xr:uid="{00000000-0005-0000-0000-000038200000}"/>
    <cellStyle name="Normal 9 3 5 2 2 2" xfId="15892" xr:uid="{D01B34D3-D128-4013-A5E9-0E7810F7C696}"/>
    <cellStyle name="Normal 9 3 5 2 3" xfId="11674" xr:uid="{58936B3A-A11F-4CEF-8804-9D9E84BB44A1}"/>
    <cellStyle name="Normal 9 3 5 3" xfId="5305" xr:uid="{00000000-0005-0000-0000-000039200000}"/>
    <cellStyle name="Normal 9 3 5 3 2" xfId="13747" xr:uid="{62C3D8E6-3235-4B2D-87AB-31024402C210}"/>
    <cellStyle name="Normal 9 3 5 4" xfId="9529" xr:uid="{77976042-3989-4555-8EF0-096464F7AC09}"/>
    <cellStyle name="Normal 9 3 6" xfId="1410" xr:uid="{00000000-0005-0000-0000-00003A200000}"/>
    <cellStyle name="Normal 9 3 6 2" xfId="3640" xr:uid="{00000000-0005-0000-0000-00003B200000}"/>
    <cellStyle name="Normal 9 3 6 2 2" xfId="7863" xr:uid="{00000000-0005-0000-0000-00003C200000}"/>
    <cellStyle name="Normal 9 3 6 2 2 2" xfId="16305" xr:uid="{DB54F7E0-5D51-48CD-B150-32FBC2D91F05}"/>
    <cellStyle name="Normal 9 3 6 2 3" xfId="12087" xr:uid="{A89BE22E-FBAC-479B-B487-A3144608C253}"/>
    <cellStyle name="Normal 9 3 6 3" xfId="5718" xr:uid="{00000000-0005-0000-0000-00003D200000}"/>
    <cellStyle name="Normal 9 3 6 3 2" xfId="14160" xr:uid="{A40FD975-B70D-4CE6-9898-523DC3C64857}"/>
    <cellStyle name="Normal 9 3 6 4" xfId="9942" xr:uid="{6733E29A-287A-4947-B2F1-0B52E0393094}"/>
    <cellStyle name="Normal 9 3 7" xfId="1823" xr:uid="{00000000-0005-0000-0000-00003E200000}"/>
    <cellStyle name="Normal 9 3 7 2" xfId="4053" xr:uid="{00000000-0005-0000-0000-00003F200000}"/>
    <cellStyle name="Normal 9 3 7 2 2" xfId="8276" xr:uid="{00000000-0005-0000-0000-000040200000}"/>
    <cellStyle name="Normal 9 3 7 2 2 2" xfId="16718" xr:uid="{4DE66ECE-18B0-4370-AAC2-8D3A108EA3E5}"/>
    <cellStyle name="Normal 9 3 7 2 3" xfId="12500" xr:uid="{48AAA265-5FE1-47F9-A77B-23799353B052}"/>
    <cellStyle name="Normal 9 3 7 3" xfId="6131" xr:uid="{00000000-0005-0000-0000-000041200000}"/>
    <cellStyle name="Normal 9 3 7 3 2" xfId="14573" xr:uid="{F96FFF1A-5293-4C68-B642-64E3C7DBB980}"/>
    <cellStyle name="Normal 9 3 7 4" xfId="10355" xr:uid="{DB9BBACA-91AA-40CC-A145-E45126079A7A}"/>
    <cellStyle name="Normal 9 3 8" xfId="2237" xr:uid="{00000000-0005-0000-0000-000042200000}"/>
    <cellStyle name="Normal 9 3 8 2" xfId="4466" xr:uid="{00000000-0005-0000-0000-000043200000}"/>
    <cellStyle name="Normal 9 3 8 2 2" xfId="8689" xr:uid="{00000000-0005-0000-0000-000044200000}"/>
    <cellStyle name="Normal 9 3 8 2 2 2" xfId="17131" xr:uid="{8D03E470-411A-4BA9-8381-04B0332E16E9}"/>
    <cellStyle name="Normal 9 3 8 2 3" xfId="12913" xr:uid="{B2524098-54CD-4A50-8865-6C02231B5E66}"/>
    <cellStyle name="Normal 9 3 8 3" xfId="6544" xr:uid="{00000000-0005-0000-0000-000045200000}"/>
    <cellStyle name="Normal 9 3 8 3 2" xfId="14986" xr:uid="{8B6869AE-79B1-46C2-ACA8-99BA45072987}"/>
    <cellStyle name="Normal 9 3 8 4" xfId="10768" xr:uid="{FFAE50FD-AF8E-4EE3-8CF4-B3E3CF60B99E}"/>
    <cellStyle name="Normal 9 3 9" xfId="2673" xr:uid="{00000000-0005-0000-0000-000046200000}"/>
    <cellStyle name="Normal 9 3 9 2" xfId="6957" xr:uid="{00000000-0005-0000-0000-000047200000}"/>
    <cellStyle name="Normal 9 3 9 2 2" xfId="15399" xr:uid="{70D223F2-D325-45F5-8525-1AA5987651F2}"/>
    <cellStyle name="Normal 9 3 9 3" xfId="11181" xr:uid="{F173FADD-4AA6-4B04-8859-46D19A983F56}"/>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4054E16F-4BC7-4871-AD60-642AFD1FA588}"/>
    <cellStyle name="Normal 9 5 2 2 2 3" xfId="11683" xr:uid="{4CF7773A-7E82-4F98-A24F-9589144986E9}"/>
    <cellStyle name="Normal 9 5 2 2 3" xfId="5314" xr:uid="{00000000-0005-0000-0000-00004F200000}"/>
    <cellStyle name="Normal 9 5 2 2 3 2" xfId="13756" xr:uid="{78830027-9074-4A2A-9C71-0132483F1ADF}"/>
    <cellStyle name="Normal 9 5 2 2 4" xfId="9538" xr:uid="{8276E397-817A-42DC-AF3B-494CC946771C}"/>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C195F890-A741-4814-AC5D-DDEDE876963F}"/>
    <cellStyle name="Normal 9 5 2 3 2 3" xfId="12096" xr:uid="{FDB20E3D-8736-423D-AE5C-9BA7BF01B7F6}"/>
    <cellStyle name="Normal 9 5 2 3 3" xfId="5727" xr:uid="{00000000-0005-0000-0000-000053200000}"/>
    <cellStyle name="Normal 9 5 2 3 3 2" xfId="14169" xr:uid="{CDF0A1D7-BC13-450C-9746-02B7F027E951}"/>
    <cellStyle name="Normal 9 5 2 3 4" xfId="9951" xr:uid="{4A98E9AC-1651-4EBB-B5EE-033F563FAEF0}"/>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6279B0CC-0169-44DD-AD06-78B56C8659F9}"/>
    <cellStyle name="Normal 9 5 2 4 2 3" xfId="12509" xr:uid="{273AFD51-0084-49D1-9220-866746739916}"/>
    <cellStyle name="Normal 9 5 2 4 3" xfId="6140" xr:uid="{00000000-0005-0000-0000-000057200000}"/>
    <cellStyle name="Normal 9 5 2 4 3 2" xfId="14582" xr:uid="{6C6D9134-E7EE-43E2-AE05-ADD652969026}"/>
    <cellStyle name="Normal 9 5 2 4 4" xfId="10364" xr:uid="{87443588-00BF-47FE-B16C-C92910D26C0E}"/>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A5A05112-8AB5-4C14-9BDC-43805198E3BD}"/>
    <cellStyle name="Normal 9 5 2 5 2 3" xfId="12922" xr:uid="{6631153B-5CAF-4616-B3E2-059A376F075B}"/>
    <cellStyle name="Normal 9 5 2 5 3" xfId="6553" xr:uid="{00000000-0005-0000-0000-00005B200000}"/>
    <cellStyle name="Normal 9 5 2 5 3 2" xfId="14995" xr:uid="{EDB35983-E018-4C0A-BFB7-3CC2B2DF04C3}"/>
    <cellStyle name="Normal 9 5 2 5 4" xfId="10777" xr:uid="{FEB55D80-2BE8-4141-98F1-102C43D22C89}"/>
    <cellStyle name="Normal 9 5 2 6" xfId="2682" xr:uid="{00000000-0005-0000-0000-00005C200000}"/>
    <cellStyle name="Normal 9 5 2 6 2" xfId="6966" xr:uid="{00000000-0005-0000-0000-00005D200000}"/>
    <cellStyle name="Normal 9 5 2 6 2 2" xfId="15408" xr:uid="{B9E740AC-1D65-42C4-AE4E-B3A16251F05E}"/>
    <cellStyle name="Normal 9 5 2 6 3" xfId="11190" xr:uid="{24BDEECC-78D5-4A27-91BE-9956E82CDCCA}"/>
    <cellStyle name="Normal 9 5 2 7" xfId="4901" xr:uid="{00000000-0005-0000-0000-00005E200000}"/>
    <cellStyle name="Normal 9 5 2 7 2" xfId="13343" xr:uid="{686AD9FA-5DF2-4482-B6A9-9586D9BFCFE0}"/>
    <cellStyle name="Normal 9 5 2 8" xfId="9125" xr:uid="{3DA0D8EB-F552-4D06-BAB7-DEEC80B78D5F}"/>
    <cellStyle name="Normal 9 5 3" xfId="1003" xr:uid="{00000000-0005-0000-0000-00005F200000}"/>
    <cellStyle name="Normal 9 5 3 2" xfId="3235" xr:uid="{00000000-0005-0000-0000-000060200000}"/>
    <cellStyle name="Normal 9 5 3 2 2" xfId="7458" xr:uid="{00000000-0005-0000-0000-000061200000}"/>
    <cellStyle name="Normal 9 5 3 2 2 2" xfId="15900" xr:uid="{FF5AB9CE-7FA1-4009-963D-6072F85A6BD2}"/>
    <cellStyle name="Normal 9 5 3 2 3" xfId="11682" xr:uid="{A23CA0D8-6CFB-40BD-8539-7A5EFEDA34F5}"/>
    <cellStyle name="Normal 9 5 3 3" xfId="5313" xr:uid="{00000000-0005-0000-0000-000062200000}"/>
    <cellStyle name="Normal 9 5 3 3 2" xfId="13755" xr:uid="{83965327-A984-49E2-921E-15A65DD70C83}"/>
    <cellStyle name="Normal 9 5 3 4" xfId="9537" xr:uid="{FFDCCEEF-3EDC-4457-A364-E825542EDB45}"/>
    <cellStyle name="Normal 9 5 4" xfId="1418" xr:uid="{00000000-0005-0000-0000-000063200000}"/>
    <cellStyle name="Normal 9 5 4 2" xfId="3648" xr:uid="{00000000-0005-0000-0000-000064200000}"/>
    <cellStyle name="Normal 9 5 4 2 2" xfId="7871" xr:uid="{00000000-0005-0000-0000-000065200000}"/>
    <cellStyle name="Normal 9 5 4 2 2 2" xfId="16313" xr:uid="{3804E4EE-3659-47D4-88D8-617E1A00546C}"/>
    <cellStyle name="Normal 9 5 4 2 3" xfId="12095" xr:uid="{979BA325-D10E-4702-8F12-20FF5DE167D4}"/>
    <cellStyle name="Normal 9 5 4 3" xfId="5726" xr:uid="{00000000-0005-0000-0000-000066200000}"/>
    <cellStyle name="Normal 9 5 4 3 2" xfId="14168" xr:uid="{B5F36138-54CB-461B-BDA9-899441F6F421}"/>
    <cellStyle name="Normal 9 5 4 4" xfId="9950" xr:uid="{399E159C-4A6F-40A7-AC81-0AEC4FD90263}"/>
    <cellStyle name="Normal 9 5 5" xfId="1831" xr:uid="{00000000-0005-0000-0000-000067200000}"/>
    <cellStyle name="Normal 9 5 5 2" xfId="4061" xr:uid="{00000000-0005-0000-0000-000068200000}"/>
    <cellStyle name="Normal 9 5 5 2 2" xfId="8284" xr:uid="{00000000-0005-0000-0000-000069200000}"/>
    <cellStyle name="Normal 9 5 5 2 2 2" xfId="16726" xr:uid="{A4A14EFB-EE9C-4801-8262-E2F411A3C7C7}"/>
    <cellStyle name="Normal 9 5 5 2 3" xfId="12508" xr:uid="{30BB552C-DAF1-484C-9E97-E76BCA1D05CD}"/>
    <cellStyle name="Normal 9 5 5 3" xfId="6139" xr:uid="{00000000-0005-0000-0000-00006A200000}"/>
    <cellStyle name="Normal 9 5 5 3 2" xfId="14581" xr:uid="{52864BA3-FFEC-4CAC-9D12-9DAFFA1EF820}"/>
    <cellStyle name="Normal 9 5 5 4" xfId="10363" xr:uid="{0B7D23F1-B790-42FF-B51A-AEEE729BFDFC}"/>
    <cellStyle name="Normal 9 5 6" xfId="2245" xr:uid="{00000000-0005-0000-0000-00006B200000}"/>
    <cellStyle name="Normal 9 5 6 2" xfId="4474" xr:uid="{00000000-0005-0000-0000-00006C200000}"/>
    <cellStyle name="Normal 9 5 6 2 2" xfId="8697" xr:uid="{00000000-0005-0000-0000-00006D200000}"/>
    <cellStyle name="Normal 9 5 6 2 2 2" xfId="17139" xr:uid="{98BFDC01-CDC9-487D-8CDB-7B4C968A2CD7}"/>
    <cellStyle name="Normal 9 5 6 2 3" xfId="12921" xr:uid="{DC5131A8-A8B6-4951-BC6E-2F69FE03FE55}"/>
    <cellStyle name="Normal 9 5 6 3" xfId="6552" xr:uid="{00000000-0005-0000-0000-00006E200000}"/>
    <cellStyle name="Normal 9 5 6 3 2" xfId="14994" xr:uid="{2537229F-D0BF-466C-9ADB-5060F6AB1D67}"/>
    <cellStyle name="Normal 9 5 6 4" xfId="10776" xr:uid="{230070BE-A61D-4CF4-A8F5-ECA045E2710A}"/>
    <cellStyle name="Normal 9 5 7" xfId="2681" xr:uid="{00000000-0005-0000-0000-00006F200000}"/>
    <cellStyle name="Normal 9 5 7 2" xfId="6965" xr:uid="{00000000-0005-0000-0000-000070200000}"/>
    <cellStyle name="Normal 9 5 7 2 2" xfId="15407" xr:uid="{CE533F13-C114-4381-9FD7-D3A658988217}"/>
    <cellStyle name="Normal 9 5 7 3" xfId="11189" xr:uid="{BF560768-5205-41C3-97C9-CB5B82CCC09C}"/>
    <cellStyle name="Normal 9 5 8" xfId="4900" xr:uid="{00000000-0005-0000-0000-000071200000}"/>
    <cellStyle name="Normal 9 5 8 2" xfId="13342" xr:uid="{FB9585FE-E561-4669-8E04-1ECBE89726EB}"/>
    <cellStyle name="Normal 9 5 9" xfId="9124" xr:uid="{89674AE8-3EEA-4663-8CAB-0C9A3C492488}"/>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34EBD7E6-9C81-47F3-A877-8547ED2A726D}"/>
    <cellStyle name="Normal 9 6 2 2 3" xfId="11684" xr:uid="{29C5E92A-66F3-4082-893B-050037042405}"/>
    <cellStyle name="Normal 9 6 2 3" xfId="5315" xr:uid="{00000000-0005-0000-0000-000076200000}"/>
    <cellStyle name="Normal 9 6 2 3 2" xfId="13757" xr:uid="{7E321102-7B41-41E3-BCF5-506EA9D03069}"/>
    <cellStyle name="Normal 9 6 2 4" xfId="9539" xr:uid="{9CE77C31-EC8D-479F-96CB-579E423A1199}"/>
    <cellStyle name="Normal 9 6 3" xfId="1420" xr:uid="{00000000-0005-0000-0000-000077200000}"/>
    <cellStyle name="Normal 9 6 3 2" xfId="3650" xr:uid="{00000000-0005-0000-0000-000078200000}"/>
    <cellStyle name="Normal 9 6 3 2 2" xfId="7873" xr:uid="{00000000-0005-0000-0000-000079200000}"/>
    <cellStyle name="Normal 9 6 3 2 2 2" xfId="16315" xr:uid="{9F692446-F445-4AAB-87E0-92145001F9CB}"/>
    <cellStyle name="Normal 9 6 3 2 3" xfId="12097" xr:uid="{59F73D9F-B0B2-479E-871A-C05A06D27C88}"/>
    <cellStyle name="Normal 9 6 3 3" xfId="5728" xr:uid="{00000000-0005-0000-0000-00007A200000}"/>
    <cellStyle name="Normal 9 6 3 3 2" xfId="14170" xr:uid="{7DF26586-E60E-4B05-B2F6-29E448F816B4}"/>
    <cellStyle name="Normal 9 6 3 4" xfId="9952" xr:uid="{C7B2B0D2-754B-4889-8BAA-98827A7F45F8}"/>
    <cellStyle name="Normal 9 6 4" xfId="1833" xr:uid="{00000000-0005-0000-0000-00007B200000}"/>
    <cellStyle name="Normal 9 6 4 2" xfId="4063" xr:uid="{00000000-0005-0000-0000-00007C200000}"/>
    <cellStyle name="Normal 9 6 4 2 2" xfId="8286" xr:uid="{00000000-0005-0000-0000-00007D200000}"/>
    <cellStyle name="Normal 9 6 4 2 2 2" xfId="16728" xr:uid="{6ADF3604-3785-4AC3-A4E0-3B9AB95B22CA}"/>
    <cellStyle name="Normal 9 6 4 2 3" xfId="12510" xr:uid="{32486CFD-9785-4462-903B-8EE67188ED2A}"/>
    <cellStyle name="Normal 9 6 4 3" xfId="6141" xr:uid="{00000000-0005-0000-0000-00007E200000}"/>
    <cellStyle name="Normal 9 6 4 3 2" xfId="14583" xr:uid="{404C9B1C-6BE9-4FA9-B50E-DE921BAC6BCA}"/>
    <cellStyle name="Normal 9 6 4 4" xfId="10365" xr:uid="{29D70A13-44A2-4BFA-BE99-CEBD3B862170}"/>
    <cellStyle name="Normal 9 6 5" xfId="2247" xr:uid="{00000000-0005-0000-0000-00007F200000}"/>
    <cellStyle name="Normal 9 6 5 2" xfId="4476" xr:uid="{00000000-0005-0000-0000-000080200000}"/>
    <cellStyle name="Normal 9 6 5 2 2" xfId="8699" xr:uid="{00000000-0005-0000-0000-000081200000}"/>
    <cellStyle name="Normal 9 6 5 2 2 2" xfId="17141" xr:uid="{58D4FF76-E78F-4108-B763-4914D26073E4}"/>
    <cellStyle name="Normal 9 6 5 2 3" xfId="12923" xr:uid="{4B94A6FF-B980-4553-933A-E3F203BE3094}"/>
    <cellStyle name="Normal 9 6 5 3" xfId="6554" xr:uid="{00000000-0005-0000-0000-000082200000}"/>
    <cellStyle name="Normal 9 6 5 3 2" xfId="14996" xr:uid="{B1A46164-D5B4-444F-A963-15E45083AFA0}"/>
    <cellStyle name="Normal 9 6 5 4" xfId="10778" xr:uid="{945EFB4F-DCE4-4CD6-80B5-449681C40566}"/>
    <cellStyle name="Normal 9 6 6" xfId="2683" xr:uid="{00000000-0005-0000-0000-000083200000}"/>
    <cellStyle name="Normal 9 6 6 2" xfId="6967" xr:uid="{00000000-0005-0000-0000-000084200000}"/>
    <cellStyle name="Normal 9 6 6 2 2" xfId="15409" xr:uid="{F1E3C61B-4A8A-4911-8939-F3693CC9E846}"/>
    <cellStyle name="Normal 9 6 6 3" xfId="11191" xr:uid="{25375631-2644-4EFA-B1FF-1049E5A25944}"/>
    <cellStyle name="Normal 9 6 7" xfId="4902" xr:uid="{00000000-0005-0000-0000-000085200000}"/>
    <cellStyle name="Normal 9 6 7 2" xfId="13344" xr:uid="{AAE75532-D482-4689-84AE-086F4DF4AC45}"/>
    <cellStyle name="Normal 9 6 8" xfId="9126" xr:uid="{17EF271B-1623-49AC-B5CE-51A0F4709BE3}"/>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C4BFFA0A-70AB-481C-95B8-D1F643F97F52}"/>
    <cellStyle name="Note 2 2 10 3" xfId="11272" xr:uid="{4D88D42B-54DB-4064-85B4-FEC7C993E6E4}"/>
    <cellStyle name="Note 2 2 11" xfId="4903" xr:uid="{00000000-0005-0000-0000-000094200000}"/>
    <cellStyle name="Note 2 2 11 2" xfId="13345" xr:uid="{6652C037-C285-4CC9-9AEF-EBEFADED5FB9}"/>
    <cellStyle name="Note 2 2 12" xfId="9127" xr:uid="{D9B5E836-F5D9-4740-AAC2-03411DAFDA84}"/>
    <cellStyle name="Note 2 2 2" xfId="546" xr:uid="{00000000-0005-0000-0000-000095200000}"/>
    <cellStyle name="Note 2 2 2 10" xfId="4904" xr:uid="{00000000-0005-0000-0000-000096200000}"/>
    <cellStyle name="Note 2 2 2 10 2" xfId="13346" xr:uid="{4D2D5C2B-9833-443E-BF01-83088A7736D3}"/>
    <cellStyle name="Note 2 2 2 11" xfId="9128" xr:uid="{9BBA7958-0C8E-4F92-B756-B6C32A83385C}"/>
    <cellStyle name="Note 2 2 2 2" xfId="547" xr:uid="{00000000-0005-0000-0000-000097200000}"/>
    <cellStyle name="Note 2 2 2 2 10" xfId="9129" xr:uid="{4A38D5E3-7FC3-44D3-8ECC-A008E715462B}"/>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BF757271-84D7-4BD2-A4CE-1A59A0AB0693}"/>
    <cellStyle name="Note 2 2 2 2 2 2 3" xfId="11687" xr:uid="{B2490691-ED75-478F-8E10-0804B2CDE161}"/>
    <cellStyle name="Note 2 2 2 2 2 3" xfId="5318" xr:uid="{00000000-0005-0000-0000-00009B200000}"/>
    <cellStyle name="Note 2 2 2 2 2 3 2" xfId="13760" xr:uid="{7347C57D-82FA-458F-8AE7-CB0CCF7A95FF}"/>
    <cellStyle name="Note 2 2 2 2 2 4" xfId="9542" xr:uid="{7C7770FE-DA64-47D8-9836-DBABE81700F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23D2BE96-2B85-42FE-8210-B7B327F75688}"/>
    <cellStyle name="Note 2 2 2 2 3 2 3" xfId="12100" xr:uid="{359B6FD9-D5AB-40B3-AF6F-DDB4852328C2}"/>
    <cellStyle name="Note 2 2 2 2 3 3" xfId="5731" xr:uid="{00000000-0005-0000-0000-00009F200000}"/>
    <cellStyle name="Note 2 2 2 2 3 3 2" xfId="14173" xr:uid="{4BDA2E0D-ECF6-462C-B35C-1D4523E8CC1A}"/>
    <cellStyle name="Note 2 2 2 2 3 4" xfId="9955" xr:uid="{702D5215-B910-42E9-AD4D-74971272DAC7}"/>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4F11E60C-C6B7-4A9E-9CF3-84D44D7E8A26}"/>
    <cellStyle name="Note 2 2 2 2 4 2 3" xfId="12513" xr:uid="{2095BF48-CE53-4B1D-8E45-0D6C7C943D7B}"/>
    <cellStyle name="Note 2 2 2 2 4 3" xfId="6144" xr:uid="{00000000-0005-0000-0000-0000A3200000}"/>
    <cellStyle name="Note 2 2 2 2 4 3 2" xfId="14586" xr:uid="{0F62E486-2583-470F-826B-D3854D91C421}"/>
    <cellStyle name="Note 2 2 2 2 4 4" xfId="10368" xr:uid="{DA19667B-8FEB-4F15-8E28-6A36441CBB3B}"/>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34D675E8-907E-4AB8-A1F4-279B45F337ED}"/>
    <cellStyle name="Note 2 2 2 2 5 2 3" xfId="12926" xr:uid="{2225899F-E0CF-4967-87CD-996216B562F0}"/>
    <cellStyle name="Note 2 2 2 2 5 3" xfId="6557" xr:uid="{00000000-0005-0000-0000-0000A7200000}"/>
    <cellStyle name="Note 2 2 2 2 5 3 2" xfId="14999" xr:uid="{CC1B907C-7BC4-4785-A117-DA106CDC00E2}"/>
    <cellStyle name="Note 2 2 2 2 5 4" xfId="10781" xr:uid="{263ED28C-F00B-45F8-B015-94D399182FE8}"/>
    <cellStyle name="Note 2 2 2 2 6" xfId="2686" xr:uid="{00000000-0005-0000-0000-0000A8200000}"/>
    <cellStyle name="Note 2 2 2 2 6 2" xfId="6970" xr:uid="{00000000-0005-0000-0000-0000A9200000}"/>
    <cellStyle name="Note 2 2 2 2 6 2 2" xfId="15412" xr:uid="{F086A1DB-993C-4D39-AC2D-6B4F8495A6ED}"/>
    <cellStyle name="Note 2 2 2 2 6 3" xfId="11194" xr:uid="{7BFDFC3E-A9C4-4BFC-85C2-3F13446641D1}"/>
    <cellStyle name="Note 2 2 2 2 7" xfId="2745" xr:uid="{00000000-0005-0000-0000-0000AA200000}"/>
    <cellStyle name="Note 2 2 2 2 8" xfId="2826" xr:uid="{00000000-0005-0000-0000-0000AB200000}"/>
    <cellStyle name="Note 2 2 2 2 8 2" xfId="7050" xr:uid="{00000000-0005-0000-0000-0000AC200000}"/>
    <cellStyle name="Note 2 2 2 2 8 2 2" xfId="15492" xr:uid="{4F26081D-419F-4C12-A4CA-E35C56E97017}"/>
    <cellStyle name="Note 2 2 2 2 8 3" xfId="11274" xr:uid="{18F5AEAC-1905-4AB2-8FB3-C751C628B6B3}"/>
    <cellStyle name="Note 2 2 2 2 9" xfId="4905" xr:uid="{00000000-0005-0000-0000-0000AD200000}"/>
    <cellStyle name="Note 2 2 2 2 9 2" xfId="13347" xr:uid="{3290C487-5B30-47A8-A64A-5940AEFE3D44}"/>
    <cellStyle name="Note 2 2 2 3" xfId="1007" xr:uid="{00000000-0005-0000-0000-0000AE200000}"/>
    <cellStyle name="Note 2 2 2 3 2" xfId="3239" xr:uid="{00000000-0005-0000-0000-0000AF200000}"/>
    <cellStyle name="Note 2 2 2 3 2 2" xfId="7462" xr:uid="{00000000-0005-0000-0000-0000B0200000}"/>
    <cellStyle name="Note 2 2 2 3 2 2 2" xfId="15904" xr:uid="{4D3FAE4C-E7B9-491F-BBC0-3E917FDFEDED}"/>
    <cellStyle name="Note 2 2 2 3 2 3" xfId="11686" xr:uid="{470DD21B-AD5A-47DE-8BC5-40E61DAAE3EF}"/>
    <cellStyle name="Note 2 2 2 3 3" xfId="5317" xr:uid="{00000000-0005-0000-0000-0000B1200000}"/>
    <cellStyle name="Note 2 2 2 3 3 2" xfId="13759" xr:uid="{163A7C10-A265-47B2-A913-6C438B4826A7}"/>
    <cellStyle name="Note 2 2 2 3 4" xfId="9541" xr:uid="{A247B9A1-8FE1-4B4C-9409-E43E81D7BEC7}"/>
    <cellStyle name="Note 2 2 2 4" xfId="1422" xr:uid="{00000000-0005-0000-0000-0000B2200000}"/>
    <cellStyle name="Note 2 2 2 4 2" xfId="3652" xr:uid="{00000000-0005-0000-0000-0000B3200000}"/>
    <cellStyle name="Note 2 2 2 4 2 2" xfId="7875" xr:uid="{00000000-0005-0000-0000-0000B4200000}"/>
    <cellStyle name="Note 2 2 2 4 2 2 2" xfId="16317" xr:uid="{E3987D1D-8F94-4516-B0C5-AB12A420F872}"/>
    <cellStyle name="Note 2 2 2 4 2 3" xfId="12099" xr:uid="{10A4A318-DA17-4539-8D71-7AF5F3F0337E}"/>
    <cellStyle name="Note 2 2 2 4 3" xfId="5730" xr:uid="{00000000-0005-0000-0000-0000B5200000}"/>
    <cellStyle name="Note 2 2 2 4 3 2" xfId="14172" xr:uid="{1F7CF073-C69E-4C2E-8F9F-81CB5E2299AE}"/>
    <cellStyle name="Note 2 2 2 4 4" xfId="9954" xr:uid="{AD1C137F-FC4F-42AF-844B-6987FE057B6F}"/>
    <cellStyle name="Note 2 2 2 5" xfId="1836" xr:uid="{00000000-0005-0000-0000-0000B6200000}"/>
    <cellStyle name="Note 2 2 2 5 2" xfId="4065" xr:uid="{00000000-0005-0000-0000-0000B7200000}"/>
    <cellStyle name="Note 2 2 2 5 2 2" xfId="8288" xr:uid="{00000000-0005-0000-0000-0000B8200000}"/>
    <cellStyle name="Note 2 2 2 5 2 2 2" xfId="16730" xr:uid="{E5A2BF65-2516-4E01-B526-09D9D2D25C5B}"/>
    <cellStyle name="Note 2 2 2 5 2 3" xfId="12512" xr:uid="{B73A61C4-1365-46FD-9519-D4B0377BC3B4}"/>
    <cellStyle name="Note 2 2 2 5 3" xfId="6143" xr:uid="{00000000-0005-0000-0000-0000B9200000}"/>
    <cellStyle name="Note 2 2 2 5 3 2" xfId="14585" xr:uid="{F2832418-5E0C-41EC-BF84-D14DEED24928}"/>
    <cellStyle name="Note 2 2 2 5 4" xfId="10367" xr:uid="{1CA5B189-3E77-468D-A9D8-38CB6ED1518D}"/>
    <cellStyle name="Note 2 2 2 6" xfId="2249" xr:uid="{00000000-0005-0000-0000-0000BA200000}"/>
    <cellStyle name="Note 2 2 2 6 2" xfId="4478" xr:uid="{00000000-0005-0000-0000-0000BB200000}"/>
    <cellStyle name="Note 2 2 2 6 2 2" xfId="8701" xr:uid="{00000000-0005-0000-0000-0000BC200000}"/>
    <cellStyle name="Note 2 2 2 6 2 2 2" xfId="17143" xr:uid="{B794EE8B-3298-487B-9DE6-0B97EDD27CDB}"/>
    <cellStyle name="Note 2 2 2 6 2 3" xfId="12925" xr:uid="{1E988F46-98FB-49CA-967B-7AAD365DE436}"/>
    <cellStyle name="Note 2 2 2 6 3" xfId="6556" xr:uid="{00000000-0005-0000-0000-0000BD200000}"/>
    <cellStyle name="Note 2 2 2 6 3 2" xfId="14998" xr:uid="{38592783-2BBE-4FD1-91D2-38A936F8E14E}"/>
    <cellStyle name="Note 2 2 2 6 4" xfId="10780" xr:uid="{AEF9EA2C-D512-4F8B-8505-6B91F800C450}"/>
    <cellStyle name="Note 2 2 2 7" xfId="2685" xr:uid="{00000000-0005-0000-0000-0000BE200000}"/>
    <cellStyle name="Note 2 2 2 7 2" xfId="6969" xr:uid="{00000000-0005-0000-0000-0000BF200000}"/>
    <cellStyle name="Note 2 2 2 7 2 2" xfId="15411" xr:uid="{E178BE42-27BB-43B5-8E60-8322A84F2DE7}"/>
    <cellStyle name="Note 2 2 2 7 3" xfId="11193" xr:uid="{84D149DE-009A-4604-9F0D-57B1CEB24418}"/>
    <cellStyle name="Note 2 2 2 8" xfId="2744" xr:uid="{00000000-0005-0000-0000-0000C0200000}"/>
    <cellStyle name="Note 2 2 2 9" xfId="2825" xr:uid="{00000000-0005-0000-0000-0000C1200000}"/>
    <cellStyle name="Note 2 2 2 9 2" xfId="7049" xr:uid="{00000000-0005-0000-0000-0000C2200000}"/>
    <cellStyle name="Note 2 2 2 9 2 2" xfId="15491" xr:uid="{3DCA3C8E-6D1A-49CD-93C5-00532E515B67}"/>
    <cellStyle name="Note 2 2 2 9 3" xfId="11273" xr:uid="{4FFE11B9-E661-4C44-9D07-A93EC3FB9CCC}"/>
    <cellStyle name="Note 2 2 3" xfId="548" xr:uid="{00000000-0005-0000-0000-0000C3200000}"/>
    <cellStyle name="Note 2 2 3 10" xfId="9130" xr:uid="{0183F011-9701-475B-94A6-BBF59635FF90}"/>
    <cellStyle name="Note 2 2 3 2" xfId="1009" xr:uid="{00000000-0005-0000-0000-0000C4200000}"/>
    <cellStyle name="Note 2 2 3 2 2" xfId="3241" xr:uid="{00000000-0005-0000-0000-0000C5200000}"/>
    <cellStyle name="Note 2 2 3 2 2 2" xfId="7464" xr:uid="{00000000-0005-0000-0000-0000C6200000}"/>
    <cellStyle name="Note 2 2 3 2 2 2 2" xfId="15906" xr:uid="{A37DEFEE-0397-4A95-87B5-8B58E6F7DCC5}"/>
    <cellStyle name="Note 2 2 3 2 2 3" xfId="11688" xr:uid="{B96B6327-2FC4-446E-B6ED-4475D9E60AEB}"/>
    <cellStyle name="Note 2 2 3 2 3" xfId="5319" xr:uid="{00000000-0005-0000-0000-0000C7200000}"/>
    <cellStyle name="Note 2 2 3 2 3 2" xfId="13761" xr:uid="{758CE05A-C6F6-4A83-BFFF-DD67F64F2925}"/>
    <cellStyle name="Note 2 2 3 2 4" xfId="9543" xr:uid="{695D25A3-6D79-4C3A-B127-8857C2675A94}"/>
    <cellStyle name="Note 2 2 3 3" xfId="1424" xr:uid="{00000000-0005-0000-0000-0000C8200000}"/>
    <cellStyle name="Note 2 2 3 3 2" xfId="3654" xr:uid="{00000000-0005-0000-0000-0000C9200000}"/>
    <cellStyle name="Note 2 2 3 3 2 2" xfId="7877" xr:uid="{00000000-0005-0000-0000-0000CA200000}"/>
    <cellStyle name="Note 2 2 3 3 2 2 2" xfId="16319" xr:uid="{6A9D30B5-58F6-4434-A7DE-8CBA9161239E}"/>
    <cellStyle name="Note 2 2 3 3 2 3" xfId="12101" xr:uid="{4C6B46B4-31BE-4471-9F14-FC35812F384F}"/>
    <cellStyle name="Note 2 2 3 3 3" xfId="5732" xr:uid="{00000000-0005-0000-0000-0000CB200000}"/>
    <cellStyle name="Note 2 2 3 3 3 2" xfId="14174" xr:uid="{164D6417-FD1C-404C-831D-8D585EC94D0A}"/>
    <cellStyle name="Note 2 2 3 3 4" xfId="9956" xr:uid="{DB95EDB0-5A6B-471D-B8BF-073DF54C58BB}"/>
    <cellStyle name="Note 2 2 3 4" xfId="1838" xr:uid="{00000000-0005-0000-0000-0000CC200000}"/>
    <cellStyle name="Note 2 2 3 4 2" xfId="4067" xr:uid="{00000000-0005-0000-0000-0000CD200000}"/>
    <cellStyle name="Note 2 2 3 4 2 2" xfId="8290" xr:uid="{00000000-0005-0000-0000-0000CE200000}"/>
    <cellStyle name="Note 2 2 3 4 2 2 2" xfId="16732" xr:uid="{EA3E90D9-85FB-4BA9-933C-DF6DFEED2BA7}"/>
    <cellStyle name="Note 2 2 3 4 2 3" xfId="12514" xr:uid="{97061DBC-3BE4-46BB-8C18-F43A0BA58162}"/>
    <cellStyle name="Note 2 2 3 4 3" xfId="6145" xr:uid="{00000000-0005-0000-0000-0000CF200000}"/>
    <cellStyle name="Note 2 2 3 4 3 2" xfId="14587" xr:uid="{EEEE0FA7-F324-47CB-B1B5-DDAA7F743124}"/>
    <cellStyle name="Note 2 2 3 4 4" xfId="10369" xr:uid="{BBBE1B2C-3012-40A3-B726-CE2E33FD589B}"/>
    <cellStyle name="Note 2 2 3 5" xfId="2251" xr:uid="{00000000-0005-0000-0000-0000D0200000}"/>
    <cellStyle name="Note 2 2 3 5 2" xfId="4480" xr:uid="{00000000-0005-0000-0000-0000D1200000}"/>
    <cellStyle name="Note 2 2 3 5 2 2" xfId="8703" xr:uid="{00000000-0005-0000-0000-0000D2200000}"/>
    <cellStyle name="Note 2 2 3 5 2 2 2" xfId="17145" xr:uid="{939EE3E4-38B8-4A85-9984-CDDEC56DE2A4}"/>
    <cellStyle name="Note 2 2 3 5 2 3" xfId="12927" xr:uid="{F9D17A0E-6C98-4B97-9F1B-CCD97FC19009}"/>
    <cellStyle name="Note 2 2 3 5 3" xfId="6558" xr:uid="{00000000-0005-0000-0000-0000D3200000}"/>
    <cellStyle name="Note 2 2 3 5 3 2" xfId="15000" xr:uid="{6D5E9630-ACB6-44B9-98AD-C4F3675A0E49}"/>
    <cellStyle name="Note 2 2 3 5 4" xfId="10782" xr:uid="{19B1E46E-E463-45A2-8DA3-A440FAA02F19}"/>
    <cellStyle name="Note 2 2 3 6" xfId="2687" xr:uid="{00000000-0005-0000-0000-0000D4200000}"/>
    <cellStyle name="Note 2 2 3 6 2" xfId="6971" xr:uid="{00000000-0005-0000-0000-0000D5200000}"/>
    <cellStyle name="Note 2 2 3 6 2 2" xfId="15413" xr:uid="{CFFF3410-AC2A-4DAD-A883-72E2C052B2C6}"/>
    <cellStyle name="Note 2 2 3 6 3" xfId="11195" xr:uid="{AA487B72-BF0F-42A8-9084-567073102560}"/>
    <cellStyle name="Note 2 2 3 7" xfId="2746" xr:uid="{00000000-0005-0000-0000-0000D6200000}"/>
    <cellStyle name="Note 2 2 3 8" xfId="2827" xr:uid="{00000000-0005-0000-0000-0000D7200000}"/>
    <cellStyle name="Note 2 2 3 8 2" xfId="7051" xr:uid="{00000000-0005-0000-0000-0000D8200000}"/>
    <cellStyle name="Note 2 2 3 8 2 2" xfId="15493" xr:uid="{BF7C84B5-7501-4C01-9C35-23A02301B527}"/>
    <cellStyle name="Note 2 2 3 8 3" xfId="11275" xr:uid="{3E1AA5BE-D78E-42DE-B00F-0CB019C27B9D}"/>
    <cellStyle name="Note 2 2 3 9" xfId="4906" xr:uid="{00000000-0005-0000-0000-0000D9200000}"/>
    <cellStyle name="Note 2 2 3 9 2" xfId="13348" xr:uid="{C6B3EF66-F08B-4B07-A397-0624F18E893B}"/>
    <cellStyle name="Note 2 2 4" xfId="1006" xr:uid="{00000000-0005-0000-0000-0000DA200000}"/>
    <cellStyle name="Note 2 2 4 2" xfId="3238" xr:uid="{00000000-0005-0000-0000-0000DB200000}"/>
    <cellStyle name="Note 2 2 4 2 2" xfId="7461" xr:uid="{00000000-0005-0000-0000-0000DC200000}"/>
    <cellStyle name="Note 2 2 4 2 2 2" xfId="15903" xr:uid="{223BE6B5-DB99-47D1-9A59-435EB8891210}"/>
    <cellStyle name="Note 2 2 4 2 3" xfId="11685" xr:uid="{94C25ACE-46D6-44CA-91E6-E46A5745D3B3}"/>
    <cellStyle name="Note 2 2 4 3" xfId="5316" xr:uid="{00000000-0005-0000-0000-0000DD200000}"/>
    <cellStyle name="Note 2 2 4 3 2" xfId="13758" xr:uid="{431DE616-DBC1-42BB-A894-91D98106B5A2}"/>
    <cellStyle name="Note 2 2 4 4" xfId="9540" xr:uid="{1EA255BC-D88E-45BC-9FC1-2C8DCD3DB13B}"/>
    <cellStyle name="Note 2 2 5" xfId="1421" xr:uid="{00000000-0005-0000-0000-0000DE200000}"/>
    <cellStyle name="Note 2 2 5 2" xfId="3651" xr:uid="{00000000-0005-0000-0000-0000DF200000}"/>
    <cellStyle name="Note 2 2 5 2 2" xfId="7874" xr:uid="{00000000-0005-0000-0000-0000E0200000}"/>
    <cellStyle name="Note 2 2 5 2 2 2" xfId="16316" xr:uid="{0DBE1D5A-994D-41E7-B73E-B1727047FD4B}"/>
    <cellStyle name="Note 2 2 5 2 3" xfId="12098" xr:uid="{C13B292E-A71B-47F8-9843-0898F2414379}"/>
    <cellStyle name="Note 2 2 5 3" xfId="5729" xr:uid="{00000000-0005-0000-0000-0000E1200000}"/>
    <cellStyle name="Note 2 2 5 3 2" xfId="14171" xr:uid="{B562B488-5DDD-439C-90B5-42D2CF6E375E}"/>
    <cellStyle name="Note 2 2 5 4" xfId="9953" xr:uid="{157C1288-1696-4C82-89A7-CA9EA76920D6}"/>
    <cellStyle name="Note 2 2 6" xfId="1835" xr:uid="{00000000-0005-0000-0000-0000E2200000}"/>
    <cellStyle name="Note 2 2 6 2" xfId="4064" xr:uid="{00000000-0005-0000-0000-0000E3200000}"/>
    <cellStyle name="Note 2 2 6 2 2" xfId="8287" xr:uid="{00000000-0005-0000-0000-0000E4200000}"/>
    <cellStyle name="Note 2 2 6 2 2 2" xfId="16729" xr:uid="{D5911962-F03C-4028-85B2-02B2F6B390DB}"/>
    <cellStyle name="Note 2 2 6 2 3" xfId="12511" xr:uid="{B43B2B4B-9537-43AF-9ADF-DFF7B6ED0E78}"/>
    <cellStyle name="Note 2 2 6 3" xfId="6142" xr:uid="{00000000-0005-0000-0000-0000E5200000}"/>
    <cellStyle name="Note 2 2 6 3 2" xfId="14584" xr:uid="{88779613-0FBE-451E-85B4-8C0DEB1A55F6}"/>
    <cellStyle name="Note 2 2 6 4" xfId="10366" xr:uid="{85CE96FE-73A4-492C-B427-879C20FB4121}"/>
    <cellStyle name="Note 2 2 7" xfId="2248" xr:uid="{00000000-0005-0000-0000-0000E6200000}"/>
    <cellStyle name="Note 2 2 7 2" xfId="4477" xr:uid="{00000000-0005-0000-0000-0000E7200000}"/>
    <cellStyle name="Note 2 2 7 2 2" xfId="8700" xr:uid="{00000000-0005-0000-0000-0000E8200000}"/>
    <cellStyle name="Note 2 2 7 2 2 2" xfId="17142" xr:uid="{FF7E88E1-107F-4FA3-B629-D578F319752A}"/>
    <cellStyle name="Note 2 2 7 2 3" xfId="12924" xr:uid="{FE619DB5-2761-4D71-92D7-496E17B0F77F}"/>
    <cellStyle name="Note 2 2 7 3" xfId="6555" xr:uid="{00000000-0005-0000-0000-0000E9200000}"/>
    <cellStyle name="Note 2 2 7 3 2" xfId="14997" xr:uid="{5E77F50A-9C6C-4A1A-8CC9-BAD92D059DB3}"/>
    <cellStyle name="Note 2 2 7 4" xfId="10779" xr:uid="{FDF56B84-3F04-4917-BF84-95952FC422F9}"/>
    <cellStyle name="Note 2 2 8" xfId="2684" xr:uid="{00000000-0005-0000-0000-0000EA200000}"/>
    <cellStyle name="Note 2 2 8 2" xfId="6968" xr:uid="{00000000-0005-0000-0000-0000EB200000}"/>
    <cellStyle name="Note 2 2 8 2 2" xfId="15410" xr:uid="{EA2DF465-755F-4226-9719-23390C330021}"/>
    <cellStyle name="Note 2 2 8 3" xfId="11192" xr:uid="{809B1841-F57B-42BC-B296-FE1E7D311B45}"/>
    <cellStyle name="Note 2 2 9" xfId="2743" xr:uid="{00000000-0005-0000-0000-0000EC200000}"/>
    <cellStyle name="Note 2 3" xfId="549" xr:uid="{00000000-0005-0000-0000-0000ED200000}"/>
    <cellStyle name="Note 2 3 10" xfId="4907" xr:uid="{00000000-0005-0000-0000-0000EE200000}"/>
    <cellStyle name="Note 2 3 10 2" xfId="13349" xr:uid="{0F441D81-76B2-430E-B9F6-FF80CA74A2AE}"/>
    <cellStyle name="Note 2 3 11" xfId="9131" xr:uid="{148B48A1-BF41-4574-B03E-2B7F186AF88A}"/>
    <cellStyle name="Note 2 3 2" xfId="550" xr:uid="{00000000-0005-0000-0000-0000EF200000}"/>
    <cellStyle name="Note 2 3 2 10" xfId="9132" xr:uid="{713E3CA9-70E3-4A78-844C-98DBC72AEB22}"/>
    <cellStyle name="Note 2 3 2 2" xfId="1011" xr:uid="{00000000-0005-0000-0000-0000F0200000}"/>
    <cellStyle name="Note 2 3 2 2 2" xfId="3243" xr:uid="{00000000-0005-0000-0000-0000F1200000}"/>
    <cellStyle name="Note 2 3 2 2 2 2" xfId="7466" xr:uid="{00000000-0005-0000-0000-0000F2200000}"/>
    <cellStyle name="Note 2 3 2 2 2 2 2" xfId="15908" xr:uid="{30A3373B-82D3-42D0-AA16-8E79EF16DF72}"/>
    <cellStyle name="Note 2 3 2 2 2 3" xfId="11690" xr:uid="{63BB7E8A-764F-4865-93FE-792665C63085}"/>
    <cellStyle name="Note 2 3 2 2 3" xfId="5321" xr:uid="{00000000-0005-0000-0000-0000F3200000}"/>
    <cellStyle name="Note 2 3 2 2 3 2" xfId="13763" xr:uid="{E763AD0C-9533-414C-8D7D-9C491D3C4B2A}"/>
    <cellStyle name="Note 2 3 2 2 4" xfId="9545" xr:uid="{71022F90-1468-4F1A-A0CE-12841A423A3C}"/>
    <cellStyle name="Note 2 3 2 3" xfId="1426" xr:uid="{00000000-0005-0000-0000-0000F4200000}"/>
    <cellStyle name="Note 2 3 2 3 2" xfId="3656" xr:uid="{00000000-0005-0000-0000-0000F5200000}"/>
    <cellStyle name="Note 2 3 2 3 2 2" xfId="7879" xr:uid="{00000000-0005-0000-0000-0000F6200000}"/>
    <cellStyle name="Note 2 3 2 3 2 2 2" xfId="16321" xr:uid="{764E4ED2-43A8-4D9C-A02B-62862BCD445A}"/>
    <cellStyle name="Note 2 3 2 3 2 3" xfId="12103" xr:uid="{C40C722F-5FB2-48BB-BDEF-5596B3857EAA}"/>
    <cellStyle name="Note 2 3 2 3 3" xfId="5734" xr:uid="{00000000-0005-0000-0000-0000F7200000}"/>
    <cellStyle name="Note 2 3 2 3 3 2" xfId="14176" xr:uid="{F1EEC5AE-3ACD-4930-8BC6-70C7B18DBCFF}"/>
    <cellStyle name="Note 2 3 2 3 4" xfId="9958" xr:uid="{4547B086-CA7E-47CF-83F9-72E242F0A4D8}"/>
    <cellStyle name="Note 2 3 2 4" xfId="1840" xr:uid="{00000000-0005-0000-0000-0000F8200000}"/>
    <cellStyle name="Note 2 3 2 4 2" xfId="4069" xr:uid="{00000000-0005-0000-0000-0000F9200000}"/>
    <cellStyle name="Note 2 3 2 4 2 2" xfId="8292" xr:uid="{00000000-0005-0000-0000-0000FA200000}"/>
    <cellStyle name="Note 2 3 2 4 2 2 2" xfId="16734" xr:uid="{8D5817D4-B328-48EF-8993-F017885927A3}"/>
    <cellStyle name="Note 2 3 2 4 2 3" xfId="12516" xr:uid="{346BCCFA-FCCA-4652-A88E-DA8595A36B5C}"/>
    <cellStyle name="Note 2 3 2 4 3" xfId="6147" xr:uid="{00000000-0005-0000-0000-0000FB200000}"/>
    <cellStyle name="Note 2 3 2 4 3 2" xfId="14589" xr:uid="{D4CFC19E-9ACF-43D2-BB2A-043C1780A11E}"/>
    <cellStyle name="Note 2 3 2 4 4" xfId="10371" xr:uid="{2107352B-96A5-4378-9E60-89D79D1DA3D8}"/>
    <cellStyle name="Note 2 3 2 5" xfId="2253" xr:uid="{00000000-0005-0000-0000-0000FC200000}"/>
    <cellStyle name="Note 2 3 2 5 2" xfId="4482" xr:uid="{00000000-0005-0000-0000-0000FD200000}"/>
    <cellStyle name="Note 2 3 2 5 2 2" xfId="8705" xr:uid="{00000000-0005-0000-0000-0000FE200000}"/>
    <cellStyle name="Note 2 3 2 5 2 2 2" xfId="17147" xr:uid="{197D9457-D4E8-4455-A212-DF96A9386472}"/>
    <cellStyle name="Note 2 3 2 5 2 3" xfId="12929" xr:uid="{9E05D153-63D8-4952-884D-33E8B778C9FD}"/>
    <cellStyle name="Note 2 3 2 5 3" xfId="6560" xr:uid="{00000000-0005-0000-0000-0000FF200000}"/>
    <cellStyle name="Note 2 3 2 5 3 2" xfId="15002" xr:uid="{4AC3D271-ED5F-413C-9AA9-99DD030D4683}"/>
    <cellStyle name="Note 2 3 2 5 4" xfId="10784" xr:uid="{BD0530D6-9210-4D9E-BBF9-D8AD16A2BF7B}"/>
    <cellStyle name="Note 2 3 2 6" xfId="2689" xr:uid="{00000000-0005-0000-0000-000000210000}"/>
    <cellStyle name="Note 2 3 2 6 2" xfId="6973" xr:uid="{00000000-0005-0000-0000-000001210000}"/>
    <cellStyle name="Note 2 3 2 6 2 2" xfId="15415" xr:uid="{BD35226E-6152-4F16-B8CA-81F657970265}"/>
    <cellStyle name="Note 2 3 2 6 3" xfId="11197" xr:uid="{1F6ECAC5-2336-4A51-9CD2-3796BD079085}"/>
    <cellStyle name="Note 2 3 2 7" xfId="2748" xr:uid="{00000000-0005-0000-0000-000002210000}"/>
    <cellStyle name="Note 2 3 2 8" xfId="2829" xr:uid="{00000000-0005-0000-0000-000003210000}"/>
    <cellStyle name="Note 2 3 2 8 2" xfId="7053" xr:uid="{00000000-0005-0000-0000-000004210000}"/>
    <cellStyle name="Note 2 3 2 8 2 2" xfId="15495" xr:uid="{D7A8C47C-A5D9-40B7-8553-0A947485E946}"/>
    <cellStyle name="Note 2 3 2 8 3" xfId="11277" xr:uid="{D9DB2D4A-FF2C-4C20-9765-0D4E234222C8}"/>
    <cellStyle name="Note 2 3 2 9" xfId="4908" xr:uid="{00000000-0005-0000-0000-000005210000}"/>
    <cellStyle name="Note 2 3 2 9 2" xfId="13350" xr:uid="{8240864D-ABD8-4356-8E79-5564483A8562}"/>
    <cellStyle name="Note 2 3 3" xfId="1010" xr:uid="{00000000-0005-0000-0000-000006210000}"/>
    <cellStyle name="Note 2 3 3 2" xfId="3242" xr:uid="{00000000-0005-0000-0000-000007210000}"/>
    <cellStyle name="Note 2 3 3 2 2" xfId="7465" xr:uid="{00000000-0005-0000-0000-000008210000}"/>
    <cellStyle name="Note 2 3 3 2 2 2" xfId="15907" xr:uid="{008099A1-8CB1-4F03-9857-45326CF794F5}"/>
    <cellStyle name="Note 2 3 3 2 3" xfId="11689" xr:uid="{44FB59D7-109E-4697-AF78-8D2E6CB90292}"/>
    <cellStyle name="Note 2 3 3 3" xfId="5320" xr:uid="{00000000-0005-0000-0000-000009210000}"/>
    <cellStyle name="Note 2 3 3 3 2" xfId="13762" xr:uid="{E2638B6B-5BA1-4126-97A1-7843BD4549B9}"/>
    <cellStyle name="Note 2 3 3 4" xfId="9544" xr:uid="{C4F553A5-EFBF-48AC-95CF-327F6B2D4D40}"/>
    <cellStyle name="Note 2 3 4" xfId="1425" xr:uid="{00000000-0005-0000-0000-00000A210000}"/>
    <cellStyle name="Note 2 3 4 2" xfId="3655" xr:uid="{00000000-0005-0000-0000-00000B210000}"/>
    <cellStyle name="Note 2 3 4 2 2" xfId="7878" xr:uid="{00000000-0005-0000-0000-00000C210000}"/>
    <cellStyle name="Note 2 3 4 2 2 2" xfId="16320" xr:uid="{6B5BCC9E-3DDF-4D8F-BC8D-514C00950BA1}"/>
    <cellStyle name="Note 2 3 4 2 3" xfId="12102" xr:uid="{4713BBB3-FFD9-46BC-B89C-C724D6292767}"/>
    <cellStyle name="Note 2 3 4 3" xfId="5733" xr:uid="{00000000-0005-0000-0000-00000D210000}"/>
    <cellStyle name="Note 2 3 4 3 2" xfId="14175" xr:uid="{7EA27C16-4636-4DCC-93A0-C835E94BBA5C}"/>
    <cellStyle name="Note 2 3 4 4" xfId="9957" xr:uid="{5EAF495A-C399-4183-9FAB-A649555D4DBE}"/>
    <cellStyle name="Note 2 3 5" xfId="1839" xr:uid="{00000000-0005-0000-0000-00000E210000}"/>
    <cellStyle name="Note 2 3 5 2" xfId="4068" xr:uid="{00000000-0005-0000-0000-00000F210000}"/>
    <cellStyle name="Note 2 3 5 2 2" xfId="8291" xr:uid="{00000000-0005-0000-0000-000010210000}"/>
    <cellStyle name="Note 2 3 5 2 2 2" xfId="16733" xr:uid="{03B5413F-9FAB-4259-8E02-5C36378083EE}"/>
    <cellStyle name="Note 2 3 5 2 3" xfId="12515" xr:uid="{F6572E64-D852-4E9D-95A8-AB04F58E62AA}"/>
    <cellStyle name="Note 2 3 5 3" xfId="6146" xr:uid="{00000000-0005-0000-0000-000011210000}"/>
    <cellStyle name="Note 2 3 5 3 2" xfId="14588" xr:uid="{4385AB52-59EF-43AA-B1C7-F33E2331CAFE}"/>
    <cellStyle name="Note 2 3 5 4" xfId="10370" xr:uid="{4A9D7963-117E-4B2E-B88B-FCDCBB8A4C93}"/>
    <cellStyle name="Note 2 3 6" xfId="2252" xr:uid="{00000000-0005-0000-0000-000012210000}"/>
    <cellStyle name="Note 2 3 6 2" xfId="4481" xr:uid="{00000000-0005-0000-0000-000013210000}"/>
    <cellStyle name="Note 2 3 6 2 2" xfId="8704" xr:uid="{00000000-0005-0000-0000-000014210000}"/>
    <cellStyle name="Note 2 3 6 2 2 2" xfId="17146" xr:uid="{31A374DD-7CD5-43EF-9163-99E560F9DD7C}"/>
    <cellStyle name="Note 2 3 6 2 3" xfId="12928" xr:uid="{70090850-E240-46AA-9A66-0B2E146295C7}"/>
    <cellStyle name="Note 2 3 6 3" xfId="6559" xr:uid="{00000000-0005-0000-0000-000015210000}"/>
    <cellStyle name="Note 2 3 6 3 2" xfId="15001" xr:uid="{587A6F78-9E4C-4A04-875E-CFD64BB06769}"/>
    <cellStyle name="Note 2 3 6 4" xfId="10783" xr:uid="{FB94E08F-25B2-4553-9F71-A947C3AD8013}"/>
    <cellStyle name="Note 2 3 7" xfId="2688" xr:uid="{00000000-0005-0000-0000-000016210000}"/>
    <cellStyle name="Note 2 3 7 2" xfId="6972" xr:uid="{00000000-0005-0000-0000-000017210000}"/>
    <cellStyle name="Note 2 3 7 2 2" xfId="15414" xr:uid="{5A364CA1-C828-4550-956A-5C0320F0E3DE}"/>
    <cellStyle name="Note 2 3 7 3" xfId="11196" xr:uid="{65F2F650-EEFB-409C-BFF8-022DB4B9CBBC}"/>
    <cellStyle name="Note 2 3 8" xfId="2747" xr:uid="{00000000-0005-0000-0000-000018210000}"/>
    <cellStyle name="Note 2 3 9" xfId="2828" xr:uid="{00000000-0005-0000-0000-000019210000}"/>
    <cellStyle name="Note 2 3 9 2" xfId="7052" xr:uid="{00000000-0005-0000-0000-00001A210000}"/>
    <cellStyle name="Note 2 3 9 2 2" xfId="15494" xr:uid="{6A041534-69CD-4BC9-8DBD-EFB89D53A853}"/>
    <cellStyle name="Note 2 3 9 3" xfId="11276" xr:uid="{F812C530-B04D-4056-8962-9B0DE43DCB91}"/>
    <cellStyle name="Note 2 4" xfId="551" xr:uid="{00000000-0005-0000-0000-00001B210000}"/>
    <cellStyle name="Note 2 4 10" xfId="9133" xr:uid="{1CA23149-8F81-4DDF-8D27-0D52AF9C8FCF}"/>
    <cellStyle name="Note 2 4 2" xfId="1012" xr:uid="{00000000-0005-0000-0000-00001C210000}"/>
    <cellStyle name="Note 2 4 2 2" xfId="3244" xr:uid="{00000000-0005-0000-0000-00001D210000}"/>
    <cellStyle name="Note 2 4 2 2 2" xfId="7467" xr:uid="{00000000-0005-0000-0000-00001E210000}"/>
    <cellStyle name="Note 2 4 2 2 2 2" xfId="15909" xr:uid="{B9863BF1-D731-471F-9904-41CC397A960C}"/>
    <cellStyle name="Note 2 4 2 2 3" xfId="11691" xr:uid="{82B922D9-93AE-46AA-8ED4-44F5C753CAD8}"/>
    <cellStyle name="Note 2 4 2 3" xfId="5322" xr:uid="{00000000-0005-0000-0000-00001F210000}"/>
    <cellStyle name="Note 2 4 2 3 2" xfId="13764" xr:uid="{FBF71208-9AF3-4629-ACCC-B75B545D8568}"/>
    <cellStyle name="Note 2 4 2 4" xfId="9546" xr:uid="{CA692F53-C8B9-419B-AE14-78758176C33B}"/>
    <cellStyle name="Note 2 4 3" xfId="1427" xr:uid="{00000000-0005-0000-0000-000020210000}"/>
    <cellStyle name="Note 2 4 3 2" xfId="3657" xr:uid="{00000000-0005-0000-0000-000021210000}"/>
    <cellStyle name="Note 2 4 3 2 2" xfId="7880" xr:uid="{00000000-0005-0000-0000-000022210000}"/>
    <cellStyle name="Note 2 4 3 2 2 2" xfId="16322" xr:uid="{E14F5CE1-B95D-4169-911C-D122881B439D}"/>
    <cellStyle name="Note 2 4 3 2 3" xfId="12104" xr:uid="{8C88B14D-B619-42DB-8388-492F90383987}"/>
    <cellStyle name="Note 2 4 3 3" xfId="5735" xr:uid="{00000000-0005-0000-0000-000023210000}"/>
    <cellStyle name="Note 2 4 3 3 2" xfId="14177" xr:uid="{36546829-D9DA-4317-8A6B-EDDAA00D2628}"/>
    <cellStyle name="Note 2 4 3 4" xfId="9959" xr:uid="{1AF86399-059E-4413-86FA-A28451E913C1}"/>
    <cellStyle name="Note 2 4 4" xfId="1841" xr:uid="{00000000-0005-0000-0000-000024210000}"/>
    <cellStyle name="Note 2 4 4 2" xfId="4070" xr:uid="{00000000-0005-0000-0000-000025210000}"/>
    <cellStyle name="Note 2 4 4 2 2" xfId="8293" xr:uid="{00000000-0005-0000-0000-000026210000}"/>
    <cellStyle name="Note 2 4 4 2 2 2" xfId="16735" xr:uid="{10E3B583-B7E3-42D2-AE49-DFF19EF3F27E}"/>
    <cellStyle name="Note 2 4 4 2 3" xfId="12517" xr:uid="{B8E167F8-52CF-482A-9CC7-73BA61B18408}"/>
    <cellStyle name="Note 2 4 4 3" xfId="6148" xr:uid="{00000000-0005-0000-0000-000027210000}"/>
    <cellStyle name="Note 2 4 4 3 2" xfId="14590" xr:uid="{961FFCAF-7548-4EAA-ADCB-2BBEB7584E57}"/>
    <cellStyle name="Note 2 4 4 4" xfId="10372" xr:uid="{76CF0EC2-101B-48DE-AFF5-168DCB699428}"/>
    <cellStyle name="Note 2 4 5" xfId="2254" xr:uid="{00000000-0005-0000-0000-000028210000}"/>
    <cellStyle name="Note 2 4 5 2" xfId="4483" xr:uid="{00000000-0005-0000-0000-000029210000}"/>
    <cellStyle name="Note 2 4 5 2 2" xfId="8706" xr:uid="{00000000-0005-0000-0000-00002A210000}"/>
    <cellStyle name="Note 2 4 5 2 2 2" xfId="17148" xr:uid="{D4D2DFB5-AFF3-4C23-9A60-025173B318A7}"/>
    <cellStyle name="Note 2 4 5 2 3" xfId="12930" xr:uid="{9B694F87-0BD5-4512-851D-8B1EF1175AF7}"/>
    <cellStyle name="Note 2 4 5 3" xfId="6561" xr:uid="{00000000-0005-0000-0000-00002B210000}"/>
    <cellStyle name="Note 2 4 5 3 2" xfId="15003" xr:uid="{26D032BE-4849-4086-BE35-A351E50A9435}"/>
    <cellStyle name="Note 2 4 5 4" xfId="10785" xr:uid="{E3B6F97E-DC7C-4647-8A0B-EF7C1054417E}"/>
    <cellStyle name="Note 2 4 6" xfId="2690" xr:uid="{00000000-0005-0000-0000-00002C210000}"/>
    <cellStyle name="Note 2 4 6 2" xfId="6974" xr:uid="{00000000-0005-0000-0000-00002D210000}"/>
    <cellStyle name="Note 2 4 6 2 2" xfId="15416" xr:uid="{738DAC84-823F-43E1-BE67-F5839E0FE944}"/>
    <cellStyle name="Note 2 4 6 3" xfId="11198" xr:uid="{98A9BB6C-7339-4981-9F6D-24279D3BAAA0}"/>
    <cellStyle name="Note 2 4 7" xfId="2749" xr:uid="{00000000-0005-0000-0000-00002E210000}"/>
    <cellStyle name="Note 2 4 8" xfId="2830" xr:uid="{00000000-0005-0000-0000-00002F210000}"/>
    <cellStyle name="Note 2 4 8 2" xfId="7054" xr:uid="{00000000-0005-0000-0000-000030210000}"/>
    <cellStyle name="Note 2 4 8 2 2" xfId="15496" xr:uid="{49AB45FD-7D0E-4CC6-AA12-C893E122923E}"/>
    <cellStyle name="Note 2 4 8 3" xfId="11278" xr:uid="{C24555A4-B37B-4BB7-BF87-846729D6B314}"/>
    <cellStyle name="Note 2 4 9" xfId="4909" xr:uid="{00000000-0005-0000-0000-000031210000}"/>
    <cellStyle name="Note 2 4 9 2" xfId="13351" xr:uid="{632CE4D4-355E-446D-9B3E-E68784E2EE3E}"/>
    <cellStyle name="Note 2 5" xfId="552" xr:uid="{00000000-0005-0000-0000-000032210000}"/>
    <cellStyle name="Note 2 5 10" xfId="9134" xr:uid="{E8AA2A34-3843-4765-B87E-E90911702959}"/>
    <cellStyle name="Note 2 5 2" xfId="1013" xr:uid="{00000000-0005-0000-0000-000033210000}"/>
    <cellStyle name="Note 2 5 2 2" xfId="3245" xr:uid="{00000000-0005-0000-0000-000034210000}"/>
    <cellStyle name="Note 2 5 2 2 2" xfId="7468" xr:uid="{00000000-0005-0000-0000-000035210000}"/>
    <cellStyle name="Note 2 5 2 2 2 2" xfId="15910" xr:uid="{A8B2431E-5422-48B9-81A9-DA9229E6CECE}"/>
    <cellStyle name="Note 2 5 2 2 3" xfId="11692" xr:uid="{CD660425-C294-4CB4-9229-A90309AC1627}"/>
    <cellStyle name="Note 2 5 2 3" xfId="5323" xr:uid="{00000000-0005-0000-0000-000036210000}"/>
    <cellStyle name="Note 2 5 2 3 2" xfId="13765" xr:uid="{5DF149B4-FE10-4919-ABB7-717A5D672EFB}"/>
    <cellStyle name="Note 2 5 2 4" xfId="9547" xr:uid="{C52B6FCC-5EC4-4A61-B5E7-34B6F9840725}"/>
    <cellStyle name="Note 2 5 3" xfId="1428" xr:uid="{00000000-0005-0000-0000-000037210000}"/>
    <cellStyle name="Note 2 5 3 2" xfId="3658" xr:uid="{00000000-0005-0000-0000-000038210000}"/>
    <cellStyle name="Note 2 5 3 2 2" xfId="7881" xr:uid="{00000000-0005-0000-0000-000039210000}"/>
    <cellStyle name="Note 2 5 3 2 2 2" xfId="16323" xr:uid="{D827ED02-B9D3-4222-9FA5-78F30A00624E}"/>
    <cellStyle name="Note 2 5 3 2 3" xfId="12105" xr:uid="{36D86CC4-A74F-4288-9416-0E8E814BE224}"/>
    <cellStyle name="Note 2 5 3 3" xfId="5736" xr:uid="{00000000-0005-0000-0000-00003A210000}"/>
    <cellStyle name="Note 2 5 3 3 2" xfId="14178" xr:uid="{78A54D15-D374-4C1F-94C8-1FB85AF58BBD}"/>
    <cellStyle name="Note 2 5 3 4" xfId="9960" xr:uid="{2E75D59B-CDEA-4D0E-BCE8-B0361D8F46FC}"/>
    <cellStyle name="Note 2 5 4" xfId="1842" xr:uid="{00000000-0005-0000-0000-00003B210000}"/>
    <cellStyle name="Note 2 5 4 2" xfId="4071" xr:uid="{00000000-0005-0000-0000-00003C210000}"/>
    <cellStyle name="Note 2 5 4 2 2" xfId="8294" xr:uid="{00000000-0005-0000-0000-00003D210000}"/>
    <cellStyle name="Note 2 5 4 2 2 2" xfId="16736" xr:uid="{8AB21404-E313-4DDC-815F-745D5F1D8CA6}"/>
    <cellStyle name="Note 2 5 4 2 3" xfId="12518" xr:uid="{C30E6445-EC29-4FBD-8C7C-F5E54AF15C48}"/>
    <cellStyle name="Note 2 5 4 3" xfId="6149" xr:uid="{00000000-0005-0000-0000-00003E210000}"/>
    <cellStyle name="Note 2 5 4 3 2" xfId="14591" xr:uid="{106F9E39-E3BF-499D-A9CD-7D3114D6CED7}"/>
    <cellStyle name="Note 2 5 4 4" xfId="10373" xr:uid="{AFEBF984-D7D3-46A3-9721-C37237C95041}"/>
    <cellStyle name="Note 2 5 5" xfId="2255" xr:uid="{00000000-0005-0000-0000-00003F210000}"/>
    <cellStyle name="Note 2 5 5 2" xfId="4484" xr:uid="{00000000-0005-0000-0000-000040210000}"/>
    <cellStyle name="Note 2 5 5 2 2" xfId="8707" xr:uid="{00000000-0005-0000-0000-000041210000}"/>
    <cellStyle name="Note 2 5 5 2 2 2" xfId="17149" xr:uid="{17289F4E-026C-4916-AFF6-AD7A09F23CFF}"/>
    <cellStyle name="Note 2 5 5 2 3" xfId="12931" xr:uid="{446A5CC6-ABA5-4464-B2CD-0F24C5EA9820}"/>
    <cellStyle name="Note 2 5 5 3" xfId="6562" xr:uid="{00000000-0005-0000-0000-000042210000}"/>
    <cellStyle name="Note 2 5 5 3 2" xfId="15004" xr:uid="{FB758A4A-8B17-47A0-B586-18390E530D6E}"/>
    <cellStyle name="Note 2 5 5 4" xfId="10786" xr:uid="{185BF27A-D2B6-40B1-B6D1-1372ED4BC2D5}"/>
    <cellStyle name="Note 2 5 6" xfId="2691" xr:uid="{00000000-0005-0000-0000-000043210000}"/>
    <cellStyle name="Note 2 5 6 2" xfId="6975" xr:uid="{00000000-0005-0000-0000-000044210000}"/>
    <cellStyle name="Note 2 5 6 2 2" xfId="15417" xr:uid="{FE2A1999-E497-4629-B1DB-B1D2D50BD4E6}"/>
    <cellStyle name="Note 2 5 6 3" xfId="11199" xr:uid="{8B40C10B-3BDC-4238-9695-26685301B137}"/>
    <cellStyle name="Note 2 5 7" xfId="2750" xr:uid="{00000000-0005-0000-0000-000045210000}"/>
    <cellStyle name="Note 2 5 8" xfId="2831" xr:uid="{00000000-0005-0000-0000-000046210000}"/>
    <cellStyle name="Note 2 5 8 2" xfId="7055" xr:uid="{00000000-0005-0000-0000-000047210000}"/>
    <cellStyle name="Note 2 5 8 2 2" xfId="15497" xr:uid="{ADABD891-94F2-497A-BE2F-3B3FAD8E0BA6}"/>
    <cellStyle name="Note 2 5 8 3" xfId="11279" xr:uid="{F7EF9775-E213-4E85-B25F-6D3A18F47345}"/>
    <cellStyle name="Note 2 5 9" xfId="4910" xr:uid="{00000000-0005-0000-0000-000048210000}"/>
    <cellStyle name="Note 2 5 9 2" xfId="13352" xr:uid="{26DE7982-FC2B-4477-B278-613BE4E14F56}"/>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7568085D-186E-4C51-A0FC-992E70F40C27}"/>
    <cellStyle name="Note 3 2 10 3" xfId="11280" xr:uid="{246E38B7-4739-41EC-A279-6609EA7B5B8B}"/>
    <cellStyle name="Note 3 2 11" xfId="4911" xr:uid="{00000000-0005-0000-0000-00004D210000}"/>
    <cellStyle name="Note 3 2 11 2" xfId="13353" xr:uid="{4F4ABD3D-3B60-4135-B436-1081A960EFDF}"/>
    <cellStyle name="Note 3 2 12" xfId="9135" xr:uid="{4A761C3D-DD21-43DF-AFDA-94B5F811EB35}"/>
    <cellStyle name="Note 3 2 2" xfId="555" xr:uid="{00000000-0005-0000-0000-00004E210000}"/>
    <cellStyle name="Note 3 2 2 10" xfId="4912" xr:uid="{00000000-0005-0000-0000-00004F210000}"/>
    <cellStyle name="Note 3 2 2 10 2" xfId="13354" xr:uid="{5F313D36-8776-4D2E-A0EA-B46C46A6B9E9}"/>
    <cellStyle name="Note 3 2 2 11" xfId="9136" xr:uid="{0EAAA519-CAC7-4176-B25F-92D5F7076598}"/>
    <cellStyle name="Note 3 2 2 2" xfId="556" xr:uid="{00000000-0005-0000-0000-000050210000}"/>
    <cellStyle name="Note 3 2 2 2 10" xfId="9137" xr:uid="{B2A3DFCC-64CB-4A6C-BE21-7199B54BB11C}"/>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C64C7C17-BCC2-42C5-A889-BD478BE1D0C4}"/>
    <cellStyle name="Note 3 2 2 2 2 2 3" xfId="11695" xr:uid="{2FDA3C86-B09A-4879-9567-A47F07A3CDA4}"/>
    <cellStyle name="Note 3 2 2 2 2 3" xfId="5326" xr:uid="{00000000-0005-0000-0000-000054210000}"/>
    <cellStyle name="Note 3 2 2 2 2 3 2" xfId="13768" xr:uid="{9C7642C6-C9BE-4DF1-AB46-8E35FB9BE3EB}"/>
    <cellStyle name="Note 3 2 2 2 2 4" xfId="9550" xr:uid="{AEB8A486-E169-4A4B-9912-1B6233519358}"/>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CAD9D52E-6F7C-4288-B8B8-030B5A377923}"/>
    <cellStyle name="Note 3 2 2 2 3 2 3" xfId="12108" xr:uid="{65958D90-BAAF-43BD-A6BF-C76945B8938C}"/>
    <cellStyle name="Note 3 2 2 2 3 3" xfId="5739" xr:uid="{00000000-0005-0000-0000-000058210000}"/>
    <cellStyle name="Note 3 2 2 2 3 3 2" xfId="14181" xr:uid="{6E9ACCA6-B393-498C-B36A-64C687AF2670}"/>
    <cellStyle name="Note 3 2 2 2 3 4" xfId="9963" xr:uid="{C4F028AF-F603-4428-9E77-D3E37DC73D79}"/>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F8D983DA-3931-4125-ADE5-3F4828ED0D9C}"/>
    <cellStyle name="Note 3 2 2 2 4 2 3" xfId="12521" xr:uid="{C6AF9C1C-0BF8-4BD6-A85D-41DE11E2059B}"/>
    <cellStyle name="Note 3 2 2 2 4 3" xfId="6152" xr:uid="{00000000-0005-0000-0000-00005C210000}"/>
    <cellStyle name="Note 3 2 2 2 4 3 2" xfId="14594" xr:uid="{C0D34E79-FB9C-4B95-95FB-FFF3115C3049}"/>
    <cellStyle name="Note 3 2 2 2 4 4" xfId="10376" xr:uid="{C4D7964E-4098-4071-AADF-AAC00EBFCFE0}"/>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79B29E81-8629-46EB-BBE6-C3624842121B}"/>
    <cellStyle name="Note 3 2 2 2 5 2 3" xfId="12934" xr:uid="{4788CB9B-CC74-444F-85FC-C9E337AFCC5D}"/>
    <cellStyle name="Note 3 2 2 2 5 3" xfId="6565" xr:uid="{00000000-0005-0000-0000-000060210000}"/>
    <cellStyle name="Note 3 2 2 2 5 3 2" xfId="15007" xr:uid="{6A4C812D-009E-4B8E-B1DD-445E6CE0EF5D}"/>
    <cellStyle name="Note 3 2 2 2 5 4" xfId="10789" xr:uid="{5514E0EE-60E2-4774-815E-7D5516F31457}"/>
    <cellStyle name="Note 3 2 2 2 6" xfId="2694" xr:uid="{00000000-0005-0000-0000-000061210000}"/>
    <cellStyle name="Note 3 2 2 2 6 2" xfId="6978" xr:uid="{00000000-0005-0000-0000-000062210000}"/>
    <cellStyle name="Note 3 2 2 2 6 2 2" xfId="15420" xr:uid="{7265A111-5D92-4795-98F2-9B5F785FC06D}"/>
    <cellStyle name="Note 3 2 2 2 6 3" xfId="11202" xr:uid="{3F8F9519-3C1E-4B09-8EAC-7A3E2E85E16F}"/>
    <cellStyle name="Note 3 2 2 2 7" xfId="2753" xr:uid="{00000000-0005-0000-0000-000063210000}"/>
    <cellStyle name="Note 3 2 2 2 8" xfId="2834" xr:uid="{00000000-0005-0000-0000-000064210000}"/>
    <cellStyle name="Note 3 2 2 2 8 2" xfId="7058" xr:uid="{00000000-0005-0000-0000-000065210000}"/>
    <cellStyle name="Note 3 2 2 2 8 2 2" xfId="15500" xr:uid="{E08A3ADF-C4C9-4AF9-845F-86C716FBD1E3}"/>
    <cellStyle name="Note 3 2 2 2 8 3" xfId="11282" xr:uid="{630E46B4-2296-4AF5-BAA1-01CB06CFBE2C}"/>
    <cellStyle name="Note 3 2 2 2 9" xfId="4913" xr:uid="{00000000-0005-0000-0000-000066210000}"/>
    <cellStyle name="Note 3 2 2 2 9 2" xfId="13355" xr:uid="{F6343160-92F8-496D-9142-A5ECF7AFA1F3}"/>
    <cellStyle name="Note 3 2 2 3" xfId="1015" xr:uid="{00000000-0005-0000-0000-000067210000}"/>
    <cellStyle name="Note 3 2 2 3 2" xfId="3247" xr:uid="{00000000-0005-0000-0000-000068210000}"/>
    <cellStyle name="Note 3 2 2 3 2 2" xfId="7470" xr:uid="{00000000-0005-0000-0000-000069210000}"/>
    <cellStyle name="Note 3 2 2 3 2 2 2" xfId="15912" xr:uid="{D70BB783-44A3-4E83-96C6-2B98BBD073E2}"/>
    <cellStyle name="Note 3 2 2 3 2 3" xfId="11694" xr:uid="{4D85AF4C-7F24-46FE-88DA-F0D7F9184173}"/>
    <cellStyle name="Note 3 2 2 3 3" xfId="5325" xr:uid="{00000000-0005-0000-0000-00006A210000}"/>
    <cellStyle name="Note 3 2 2 3 3 2" xfId="13767" xr:uid="{EF1BAC51-DE37-4CA4-A75E-5757ADEE3F8A}"/>
    <cellStyle name="Note 3 2 2 3 4" xfId="9549" xr:uid="{E5D6F5B3-0789-4C99-AC4B-1BF203615ABD}"/>
    <cellStyle name="Note 3 2 2 4" xfId="1430" xr:uid="{00000000-0005-0000-0000-00006B210000}"/>
    <cellStyle name="Note 3 2 2 4 2" xfId="3660" xr:uid="{00000000-0005-0000-0000-00006C210000}"/>
    <cellStyle name="Note 3 2 2 4 2 2" xfId="7883" xr:uid="{00000000-0005-0000-0000-00006D210000}"/>
    <cellStyle name="Note 3 2 2 4 2 2 2" xfId="16325" xr:uid="{3849B257-5D17-4114-B313-F7E630AD3A47}"/>
    <cellStyle name="Note 3 2 2 4 2 3" xfId="12107" xr:uid="{BB60365D-13F5-4B6A-8414-8162138099D0}"/>
    <cellStyle name="Note 3 2 2 4 3" xfId="5738" xr:uid="{00000000-0005-0000-0000-00006E210000}"/>
    <cellStyle name="Note 3 2 2 4 3 2" xfId="14180" xr:uid="{29106A4A-9B98-440F-AF9F-75D94990B9F5}"/>
    <cellStyle name="Note 3 2 2 4 4" xfId="9962" xr:uid="{11A11805-75E4-441E-B397-6DF4145E3D87}"/>
    <cellStyle name="Note 3 2 2 5" xfId="1844" xr:uid="{00000000-0005-0000-0000-00006F210000}"/>
    <cellStyle name="Note 3 2 2 5 2" xfId="4073" xr:uid="{00000000-0005-0000-0000-000070210000}"/>
    <cellStyle name="Note 3 2 2 5 2 2" xfId="8296" xr:uid="{00000000-0005-0000-0000-000071210000}"/>
    <cellStyle name="Note 3 2 2 5 2 2 2" xfId="16738" xr:uid="{4D99EE89-32B5-4451-AFB1-D59CCB8D5F66}"/>
    <cellStyle name="Note 3 2 2 5 2 3" xfId="12520" xr:uid="{A29A518D-2907-4313-A691-2626621CC9CD}"/>
    <cellStyle name="Note 3 2 2 5 3" xfId="6151" xr:uid="{00000000-0005-0000-0000-000072210000}"/>
    <cellStyle name="Note 3 2 2 5 3 2" xfId="14593" xr:uid="{860BA803-3701-4816-8E95-D0058E600EC0}"/>
    <cellStyle name="Note 3 2 2 5 4" xfId="10375" xr:uid="{677E5CFE-0CBB-4F3B-8C4B-D6174E686B91}"/>
    <cellStyle name="Note 3 2 2 6" xfId="2257" xr:uid="{00000000-0005-0000-0000-000073210000}"/>
    <cellStyle name="Note 3 2 2 6 2" xfId="4486" xr:uid="{00000000-0005-0000-0000-000074210000}"/>
    <cellStyle name="Note 3 2 2 6 2 2" xfId="8709" xr:uid="{00000000-0005-0000-0000-000075210000}"/>
    <cellStyle name="Note 3 2 2 6 2 2 2" xfId="17151" xr:uid="{910D0F14-6F4E-48EB-BB90-C5117B9A89FC}"/>
    <cellStyle name="Note 3 2 2 6 2 3" xfId="12933" xr:uid="{7109476E-525F-45AD-B854-D4D69E5B3881}"/>
    <cellStyle name="Note 3 2 2 6 3" xfId="6564" xr:uid="{00000000-0005-0000-0000-000076210000}"/>
    <cellStyle name="Note 3 2 2 6 3 2" xfId="15006" xr:uid="{30C87D25-3D67-43AA-8F99-0D86E5BD3DDF}"/>
    <cellStyle name="Note 3 2 2 6 4" xfId="10788" xr:uid="{1AFAB77E-B735-475D-BC1D-51ACB60A10AA}"/>
    <cellStyle name="Note 3 2 2 7" xfId="2693" xr:uid="{00000000-0005-0000-0000-000077210000}"/>
    <cellStyle name="Note 3 2 2 7 2" xfId="6977" xr:uid="{00000000-0005-0000-0000-000078210000}"/>
    <cellStyle name="Note 3 2 2 7 2 2" xfId="15419" xr:uid="{5362CE02-CCE8-437E-9020-96652924708B}"/>
    <cellStyle name="Note 3 2 2 7 3" xfId="11201" xr:uid="{FDDD90C2-D67D-4EC2-9BD4-37BA79298E19}"/>
    <cellStyle name="Note 3 2 2 8" xfId="2752" xr:uid="{00000000-0005-0000-0000-000079210000}"/>
    <cellStyle name="Note 3 2 2 9" xfId="2833" xr:uid="{00000000-0005-0000-0000-00007A210000}"/>
    <cellStyle name="Note 3 2 2 9 2" xfId="7057" xr:uid="{00000000-0005-0000-0000-00007B210000}"/>
    <cellStyle name="Note 3 2 2 9 2 2" xfId="15499" xr:uid="{668ABDFE-71B6-4144-A1A6-F39880CB101B}"/>
    <cellStyle name="Note 3 2 2 9 3" xfId="11281" xr:uid="{814E7665-4292-4FE1-9BDE-9434526CBAF4}"/>
    <cellStyle name="Note 3 2 3" xfId="557" xr:uid="{00000000-0005-0000-0000-00007C210000}"/>
    <cellStyle name="Note 3 2 3 10" xfId="9138" xr:uid="{3FC5B40C-2417-4FF5-B957-AFF5389587EB}"/>
    <cellStyle name="Note 3 2 3 2" xfId="1017" xr:uid="{00000000-0005-0000-0000-00007D210000}"/>
    <cellStyle name="Note 3 2 3 2 2" xfId="3249" xr:uid="{00000000-0005-0000-0000-00007E210000}"/>
    <cellStyle name="Note 3 2 3 2 2 2" xfId="7472" xr:uid="{00000000-0005-0000-0000-00007F210000}"/>
    <cellStyle name="Note 3 2 3 2 2 2 2" xfId="15914" xr:uid="{0B94FE36-AAC7-4FA0-8B0C-5AF9102398EE}"/>
    <cellStyle name="Note 3 2 3 2 2 3" xfId="11696" xr:uid="{677A764C-5851-446E-8623-DD62DA2CB81D}"/>
    <cellStyle name="Note 3 2 3 2 3" xfId="5327" xr:uid="{00000000-0005-0000-0000-000080210000}"/>
    <cellStyle name="Note 3 2 3 2 3 2" xfId="13769" xr:uid="{CEABCA97-DBF8-4423-B1E4-42E2CCECFD76}"/>
    <cellStyle name="Note 3 2 3 2 4" xfId="9551" xr:uid="{57F7BAE1-931E-4381-A109-5C1D2573A0C3}"/>
    <cellStyle name="Note 3 2 3 3" xfId="1432" xr:uid="{00000000-0005-0000-0000-000081210000}"/>
    <cellStyle name="Note 3 2 3 3 2" xfId="3662" xr:uid="{00000000-0005-0000-0000-000082210000}"/>
    <cellStyle name="Note 3 2 3 3 2 2" xfId="7885" xr:uid="{00000000-0005-0000-0000-000083210000}"/>
    <cellStyle name="Note 3 2 3 3 2 2 2" xfId="16327" xr:uid="{5C623A83-1405-42F6-AC9D-8790BBD4B730}"/>
    <cellStyle name="Note 3 2 3 3 2 3" xfId="12109" xr:uid="{108CD2F1-6784-4FEE-83DE-1F03F9FC3C2D}"/>
    <cellStyle name="Note 3 2 3 3 3" xfId="5740" xr:uid="{00000000-0005-0000-0000-000084210000}"/>
    <cellStyle name="Note 3 2 3 3 3 2" xfId="14182" xr:uid="{EBB578E0-C301-4F1D-9FE4-5410F2B9E911}"/>
    <cellStyle name="Note 3 2 3 3 4" xfId="9964" xr:uid="{12E97AC6-8172-4F57-8F07-86493F32EF2B}"/>
    <cellStyle name="Note 3 2 3 4" xfId="1846" xr:uid="{00000000-0005-0000-0000-000085210000}"/>
    <cellStyle name="Note 3 2 3 4 2" xfId="4075" xr:uid="{00000000-0005-0000-0000-000086210000}"/>
    <cellStyle name="Note 3 2 3 4 2 2" xfId="8298" xr:uid="{00000000-0005-0000-0000-000087210000}"/>
    <cellStyle name="Note 3 2 3 4 2 2 2" xfId="16740" xr:uid="{3E005ADA-3A8F-4D88-AE7C-901F91AC4459}"/>
    <cellStyle name="Note 3 2 3 4 2 3" xfId="12522" xr:uid="{4B387A90-4975-435B-B0D0-545A62CE938D}"/>
    <cellStyle name="Note 3 2 3 4 3" xfId="6153" xr:uid="{00000000-0005-0000-0000-000088210000}"/>
    <cellStyle name="Note 3 2 3 4 3 2" xfId="14595" xr:uid="{4666A302-56B5-4EC4-862E-F5F857B220DA}"/>
    <cellStyle name="Note 3 2 3 4 4" xfId="10377" xr:uid="{103B8F2B-7695-4669-BC87-701B3CF8D93A}"/>
    <cellStyle name="Note 3 2 3 5" xfId="2259" xr:uid="{00000000-0005-0000-0000-000089210000}"/>
    <cellStyle name="Note 3 2 3 5 2" xfId="4488" xr:uid="{00000000-0005-0000-0000-00008A210000}"/>
    <cellStyle name="Note 3 2 3 5 2 2" xfId="8711" xr:uid="{00000000-0005-0000-0000-00008B210000}"/>
    <cellStyle name="Note 3 2 3 5 2 2 2" xfId="17153" xr:uid="{8540DAF7-4A72-4FEB-815C-DAF26CD6D9EB}"/>
    <cellStyle name="Note 3 2 3 5 2 3" xfId="12935" xr:uid="{071865B6-9CF6-4B36-8DAD-E14741AAD63B}"/>
    <cellStyle name="Note 3 2 3 5 3" xfId="6566" xr:uid="{00000000-0005-0000-0000-00008C210000}"/>
    <cellStyle name="Note 3 2 3 5 3 2" xfId="15008" xr:uid="{DF21F696-C327-47D9-A057-635A6B25A178}"/>
    <cellStyle name="Note 3 2 3 5 4" xfId="10790" xr:uid="{E6FFA2E8-6FB0-4516-AED0-63D6CAD62B7D}"/>
    <cellStyle name="Note 3 2 3 6" xfId="2695" xr:uid="{00000000-0005-0000-0000-00008D210000}"/>
    <cellStyle name="Note 3 2 3 6 2" xfId="6979" xr:uid="{00000000-0005-0000-0000-00008E210000}"/>
    <cellStyle name="Note 3 2 3 6 2 2" xfId="15421" xr:uid="{3EF0D8A4-01E9-4AFE-BF91-8485DA49C618}"/>
    <cellStyle name="Note 3 2 3 6 3" xfId="11203" xr:uid="{C55D4473-3855-428D-9A1B-50F8EFF81781}"/>
    <cellStyle name="Note 3 2 3 7" xfId="2754" xr:uid="{00000000-0005-0000-0000-00008F210000}"/>
    <cellStyle name="Note 3 2 3 8" xfId="2835" xr:uid="{00000000-0005-0000-0000-000090210000}"/>
    <cellStyle name="Note 3 2 3 8 2" xfId="7059" xr:uid="{00000000-0005-0000-0000-000091210000}"/>
    <cellStyle name="Note 3 2 3 8 2 2" xfId="15501" xr:uid="{BCF422ED-6E7C-4073-92FD-480A42757184}"/>
    <cellStyle name="Note 3 2 3 8 3" xfId="11283" xr:uid="{E92D381A-EED8-4880-816E-7144C97AB1F5}"/>
    <cellStyle name="Note 3 2 3 9" xfId="4914" xr:uid="{00000000-0005-0000-0000-000092210000}"/>
    <cellStyle name="Note 3 2 3 9 2" xfId="13356" xr:uid="{BEBBA67A-86E0-4AA0-ABD7-1F5B9D800C0E}"/>
    <cellStyle name="Note 3 2 4" xfId="1014" xr:uid="{00000000-0005-0000-0000-000093210000}"/>
    <cellStyle name="Note 3 2 4 2" xfId="3246" xr:uid="{00000000-0005-0000-0000-000094210000}"/>
    <cellStyle name="Note 3 2 4 2 2" xfId="7469" xr:uid="{00000000-0005-0000-0000-000095210000}"/>
    <cellStyle name="Note 3 2 4 2 2 2" xfId="15911" xr:uid="{80AF9B94-F86B-4B56-B439-C1BBAF40BD4B}"/>
    <cellStyle name="Note 3 2 4 2 3" xfId="11693" xr:uid="{915CDF69-CB1E-4D79-8F95-DADF0BBA022B}"/>
    <cellStyle name="Note 3 2 4 3" xfId="5324" xr:uid="{00000000-0005-0000-0000-000096210000}"/>
    <cellStyle name="Note 3 2 4 3 2" xfId="13766" xr:uid="{AA306E37-B5E3-4D45-B13D-9A1B40A85F7C}"/>
    <cellStyle name="Note 3 2 4 4" xfId="9548" xr:uid="{6A3DC65C-76A0-4060-B62E-5F97C04AE20E}"/>
    <cellStyle name="Note 3 2 5" xfId="1429" xr:uid="{00000000-0005-0000-0000-000097210000}"/>
    <cellStyle name="Note 3 2 5 2" xfId="3659" xr:uid="{00000000-0005-0000-0000-000098210000}"/>
    <cellStyle name="Note 3 2 5 2 2" xfId="7882" xr:uid="{00000000-0005-0000-0000-000099210000}"/>
    <cellStyle name="Note 3 2 5 2 2 2" xfId="16324" xr:uid="{8E30350B-398D-4D14-BDF0-7E05F34D2327}"/>
    <cellStyle name="Note 3 2 5 2 3" xfId="12106" xr:uid="{55DEE590-4E29-4D58-832A-272F4DB440BE}"/>
    <cellStyle name="Note 3 2 5 3" xfId="5737" xr:uid="{00000000-0005-0000-0000-00009A210000}"/>
    <cellStyle name="Note 3 2 5 3 2" xfId="14179" xr:uid="{B75DDECB-A730-4E0F-A9D4-5BEE897D8AFF}"/>
    <cellStyle name="Note 3 2 5 4" xfId="9961" xr:uid="{A44A0FA1-08CA-4DEF-8FEE-30E4B670D43C}"/>
    <cellStyle name="Note 3 2 6" xfId="1843" xr:uid="{00000000-0005-0000-0000-00009B210000}"/>
    <cellStyle name="Note 3 2 6 2" xfId="4072" xr:uid="{00000000-0005-0000-0000-00009C210000}"/>
    <cellStyle name="Note 3 2 6 2 2" xfId="8295" xr:uid="{00000000-0005-0000-0000-00009D210000}"/>
    <cellStyle name="Note 3 2 6 2 2 2" xfId="16737" xr:uid="{F1EE3E7B-AC1E-40DA-A0A6-6A2D9DBFBCFE}"/>
    <cellStyle name="Note 3 2 6 2 3" xfId="12519" xr:uid="{0C1D7F64-5A57-479F-9449-2A490536E59A}"/>
    <cellStyle name="Note 3 2 6 3" xfId="6150" xr:uid="{00000000-0005-0000-0000-00009E210000}"/>
    <cellStyle name="Note 3 2 6 3 2" xfId="14592" xr:uid="{3017F181-6050-4A98-9C34-AFC8A9303B2F}"/>
    <cellStyle name="Note 3 2 6 4" xfId="10374" xr:uid="{F089C70B-6307-4559-A406-CB5CAC9CB564}"/>
    <cellStyle name="Note 3 2 7" xfId="2256" xr:uid="{00000000-0005-0000-0000-00009F210000}"/>
    <cellStyle name="Note 3 2 7 2" xfId="4485" xr:uid="{00000000-0005-0000-0000-0000A0210000}"/>
    <cellStyle name="Note 3 2 7 2 2" xfId="8708" xr:uid="{00000000-0005-0000-0000-0000A1210000}"/>
    <cellStyle name="Note 3 2 7 2 2 2" xfId="17150" xr:uid="{F529907F-5A91-479D-849A-E6E3A2AECEF2}"/>
    <cellStyle name="Note 3 2 7 2 3" xfId="12932" xr:uid="{B1E6A55C-F287-4DE0-A8E4-2D37285F4A60}"/>
    <cellStyle name="Note 3 2 7 3" xfId="6563" xr:uid="{00000000-0005-0000-0000-0000A2210000}"/>
    <cellStyle name="Note 3 2 7 3 2" xfId="15005" xr:uid="{057DE185-6CD8-478C-B004-09B539CF3D2C}"/>
    <cellStyle name="Note 3 2 7 4" xfId="10787" xr:uid="{812FF8E2-7242-4071-ADCC-5A544E1A2CB8}"/>
    <cellStyle name="Note 3 2 8" xfId="2692" xr:uid="{00000000-0005-0000-0000-0000A3210000}"/>
    <cellStyle name="Note 3 2 8 2" xfId="6976" xr:uid="{00000000-0005-0000-0000-0000A4210000}"/>
    <cellStyle name="Note 3 2 8 2 2" xfId="15418" xr:uid="{5948677C-86F9-435B-A6AE-57D3FA61AAAA}"/>
    <cellStyle name="Note 3 2 8 3" xfId="11200" xr:uid="{B6888DF3-F7AF-4081-9852-E0BCD42DA699}"/>
    <cellStyle name="Note 3 2 9" xfId="2751" xr:uid="{00000000-0005-0000-0000-0000A5210000}"/>
    <cellStyle name="Note 3 3" xfId="558" xr:uid="{00000000-0005-0000-0000-0000A6210000}"/>
    <cellStyle name="Note 3 3 10" xfId="4915" xr:uid="{00000000-0005-0000-0000-0000A7210000}"/>
    <cellStyle name="Note 3 3 10 2" xfId="13357" xr:uid="{9EC20A05-2554-4FF9-9CF9-94FDE8EF348B}"/>
    <cellStyle name="Note 3 3 11" xfId="9139" xr:uid="{9F9CC7BC-8CA5-41A6-B47F-37C39D66353F}"/>
    <cellStyle name="Note 3 3 2" xfId="559" xr:uid="{00000000-0005-0000-0000-0000A8210000}"/>
    <cellStyle name="Note 3 3 2 10" xfId="9140" xr:uid="{9C126C48-1662-4AEE-A478-8ECB2F836ACA}"/>
    <cellStyle name="Note 3 3 2 2" xfId="1019" xr:uid="{00000000-0005-0000-0000-0000A9210000}"/>
    <cellStyle name="Note 3 3 2 2 2" xfId="3251" xr:uid="{00000000-0005-0000-0000-0000AA210000}"/>
    <cellStyle name="Note 3 3 2 2 2 2" xfId="7474" xr:uid="{00000000-0005-0000-0000-0000AB210000}"/>
    <cellStyle name="Note 3 3 2 2 2 2 2" xfId="15916" xr:uid="{EB31CCDD-62B6-4EA7-A22D-269C53D061BC}"/>
    <cellStyle name="Note 3 3 2 2 2 3" xfId="11698" xr:uid="{E2D30E09-D430-4F13-8F04-8CD08A583928}"/>
    <cellStyle name="Note 3 3 2 2 3" xfId="5329" xr:uid="{00000000-0005-0000-0000-0000AC210000}"/>
    <cellStyle name="Note 3 3 2 2 3 2" xfId="13771" xr:uid="{F8AE3989-D2B4-4C52-AAA5-97CB0452378E}"/>
    <cellStyle name="Note 3 3 2 2 4" xfId="9553" xr:uid="{99AE8AEA-74FB-4AA8-95FF-F2950026001B}"/>
    <cellStyle name="Note 3 3 2 3" xfId="1434" xr:uid="{00000000-0005-0000-0000-0000AD210000}"/>
    <cellStyle name="Note 3 3 2 3 2" xfId="3664" xr:uid="{00000000-0005-0000-0000-0000AE210000}"/>
    <cellStyle name="Note 3 3 2 3 2 2" xfId="7887" xr:uid="{00000000-0005-0000-0000-0000AF210000}"/>
    <cellStyle name="Note 3 3 2 3 2 2 2" xfId="16329" xr:uid="{7D220FFB-7093-45B6-8B16-420D7BE6B53B}"/>
    <cellStyle name="Note 3 3 2 3 2 3" xfId="12111" xr:uid="{030061E0-2E59-4ABB-AF36-D52AC3A362DB}"/>
    <cellStyle name="Note 3 3 2 3 3" xfId="5742" xr:uid="{00000000-0005-0000-0000-0000B0210000}"/>
    <cellStyle name="Note 3 3 2 3 3 2" xfId="14184" xr:uid="{EF04190F-063A-42E3-9048-787D881CCCE0}"/>
    <cellStyle name="Note 3 3 2 3 4" xfId="9966" xr:uid="{671082BC-6FE2-4B04-9591-E1045C28E527}"/>
    <cellStyle name="Note 3 3 2 4" xfId="1848" xr:uid="{00000000-0005-0000-0000-0000B1210000}"/>
    <cellStyle name="Note 3 3 2 4 2" xfId="4077" xr:uid="{00000000-0005-0000-0000-0000B2210000}"/>
    <cellStyle name="Note 3 3 2 4 2 2" xfId="8300" xr:uid="{00000000-0005-0000-0000-0000B3210000}"/>
    <cellStyle name="Note 3 3 2 4 2 2 2" xfId="16742" xr:uid="{360FD481-3523-4AC0-9305-EB8E0987CA73}"/>
    <cellStyle name="Note 3 3 2 4 2 3" xfId="12524" xr:uid="{00529BFA-DEB6-497E-B794-44080A1148C9}"/>
    <cellStyle name="Note 3 3 2 4 3" xfId="6155" xr:uid="{00000000-0005-0000-0000-0000B4210000}"/>
    <cellStyle name="Note 3 3 2 4 3 2" xfId="14597" xr:uid="{2E735D8B-0322-436D-A8D6-A2DFFE7324FC}"/>
    <cellStyle name="Note 3 3 2 4 4" xfId="10379" xr:uid="{F1ACE1C4-ED76-4620-A913-B839FDDCBEEE}"/>
    <cellStyle name="Note 3 3 2 5" xfId="2261" xr:uid="{00000000-0005-0000-0000-0000B5210000}"/>
    <cellStyle name="Note 3 3 2 5 2" xfId="4490" xr:uid="{00000000-0005-0000-0000-0000B6210000}"/>
    <cellStyle name="Note 3 3 2 5 2 2" xfId="8713" xr:uid="{00000000-0005-0000-0000-0000B7210000}"/>
    <cellStyle name="Note 3 3 2 5 2 2 2" xfId="17155" xr:uid="{1C29E88F-B909-4944-A42F-1350A2D72581}"/>
    <cellStyle name="Note 3 3 2 5 2 3" xfId="12937" xr:uid="{36D85521-7929-45ED-A16A-075A7495AD16}"/>
    <cellStyle name="Note 3 3 2 5 3" xfId="6568" xr:uid="{00000000-0005-0000-0000-0000B8210000}"/>
    <cellStyle name="Note 3 3 2 5 3 2" xfId="15010" xr:uid="{49A1EA57-C106-4A2B-B13D-5225C4292137}"/>
    <cellStyle name="Note 3 3 2 5 4" xfId="10792" xr:uid="{CDCD4DCD-91A3-4ECF-9597-A43C4D19FA09}"/>
    <cellStyle name="Note 3 3 2 6" xfId="2697" xr:uid="{00000000-0005-0000-0000-0000B9210000}"/>
    <cellStyle name="Note 3 3 2 6 2" xfId="6981" xr:uid="{00000000-0005-0000-0000-0000BA210000}"/>
    <cellStyle name="Note 3 3 2 6 2 2" xfId="15423" xr:uid="{EAA08720-4AAB-4176-A1EF-337F02D34A34}"/>
    <cellStyle name="Note 3 3 2 6 3" xfId="11205" xr:uid="{F621AF1C-9223-40AB-822C-A035DE2A7F59}"/>
    <cellStyle name="Note 3 3 2 7" xfId="2756" xr:uid="{00000000-0005-0000-0000-0000BB210000}"/>
    <cellStyle name="Note 3 3 2 8" xfId="2837" xr:uid="{00000000-0005-0000-0000-0000BC210000}"/>
    <cellStyle name="Note 3 3 2 8 2" xfId="7061" xr:uid="{00000000-0005-0000-0000-0000BD210000}"/>
    <cellStyle name="Note 3 3 2 8 2 2" xfId="15503" xr:uid="{D83C6F70-C6D3-411F-A468-337E86D103DD}"/>
    <cellStyle name="Note 3 3 2 8 3" xfId="11285" xr:uid="{BDF5C3F8-2568-4A5F-B40B-61359FF0B499}"/>
    <cellStyle name="Note 3 3 2 9" xfId="4916" xr:uid="{00000000-0005-0000-0000-0000BE210000}"/>
    <cellStyle name="Note 3 3 2 9 2" xfId="13358" xr:uid="{7EB90076-5F3D-4C39-8941-DF685694D69B}"/>
    <cellStyle name="Note 3 3 3" xfId="1018" xr:uid="{00000000-0005-0000-0000-0000BF210000}"/>
    <cellStyle name="Note 3 3 3 2" xfId="3250" xr:uid="{00000000-0005-0000-0000-0000C0210000}"/>
    <cellStyle name="Note 3 3 3 2 2" xfId="7473" xr:uid="{00000000-0005-0000-0000-0000C1210000}"/>
    <cellStyle name="Note 3 3 3 2 2 2" xfId="15915" xr:uid="{11D329EE-9D8D-4269-9B44-5533F67A7074}"/>
    <cellStyle name="Note 3 3 3 2 3" xfId="11697" xr:uid="{97134783-E3B6-43E1-83FB-8D3AD0CC4B47}"/>
    <cellStyle name="Note 3 3 3 3" xfId="5328" xr:uid="{00000000-0005-0000-0000-0000C2210000}"/>
    <cellStyle name="Note 3 3 3 3 2" xfId="13770" xr:uid="{DBF487E0-8CC4-4B9A-A510-7DC0D5FA4035}"/>
    <cellStyle name="Note 3 3 3 4" xfId="9552" xr:uid="{B26849BD-F00E-43DC-A366-4118C844790D}"/>
    <cellStyle name="Note 3 3 4" xfId="1433" xr:uid="{00000000-0005-0000-0000-0000C3210000}"/>
    <cellStyle name="Note 3 3 4 2" xfId="3663" xr:uid="{00000000-0005-0000-0000-0000C4210000}"/>
    <cellStyle name="Note 3 3 4 2 2" xfId="7886" xr:uid="{00000000-0005-0000-0000-0000C5210000}"/>
    <cellStyle name="Note 3 3 4 2 2 2" xfId="16328" xr:uid="{1B2236CC-D003-4BDF-B366-046FBA8B31FB}"/>
    <cellStyle name="Note 3 3 4 2 3" xfId="12110" xr:uid="{5D69F0F5-E099-4E3D-8EE0-B37557D99757}"/>
    <cellStyle name="Note 3 3 4 3" xfId="5741" xr:uid="{00000000-0005-0000-0000-0000C6210000}"/>
    <cellStyle name="Note 3 3 4 3 2" xfId="14183" xr:uid="{F3FB3B56-CDA7-4F14-B75C-D1A9BE3B66CE}"/>
    <cellStyle name="Note 3 3 4 4" xfId="9965" xr:uid="{E3CAB1F1-0F30-4FD6-B115-7FCA2B7EACCE}"/>
    <cellStyle name="Note 3 3 5" xfId="1847" xr:uid="{00000000-0005-0000-0000-0000C7210000}"/>
    <cellStyle name="Note 3 3 5 2" xfId="4076" xr:uid="{00000000-0005-0000-0000-0000C8210000}"/>
    <cellStyle name="Note 3 3 5 2 2" xfId="8299" xr:uid="{00000000-0005-0000-0000-0000C9210000}"/>
    <cellStyle name="Note 3 3 5 2 2 2" xfId="16741" xr:uid="{77C8B1E3-AAC1-44AF-85CD-8B416E6FBF78}"/>
    <cellStyle name="Note 3 3 5 2 3" xfId="12523" xr:uid="{F74F0552-A4E1-4BD1-8D76-CF1350BA1F67}"/>
    <cellStyle name="Note 3 3 5 3" xfId="6154" xr:uid="{00000000-0005-0000-0000-0000CA210000}"/>
    <cellStyle name="Note 3 3 5 3 2" xfId="14596" xr:uid="{30AEB459-AE69-4F9E-85BA-DF1B0F6CEA61}"/>
    <cellStyle name="Note 3 3 5 4" xfId="10378" xr:uid="{2E627030-5A8A-4478-82B4-342F4F98C664}"/>
    <cellStyle name="Note 3 3 6" xfId="2260" xr:uid="{00000000-0005-0000-0000-0000CB210000}"/>
    <cellStyle name="Note 3 3 6 2" xfId="4489" xr:uid="{00000000-0005-0000-0000-0000CC210000}"/>
    <cellStyle name="Note 3 3 6 2 2" xfId="8712" xr:uid="{00000000-0005-0000-0000-0000CD210000}"/>
    <cellStyle name="Note 3 3 6 2 2 2" xfId="17154" xr:uid="{5355E22C-162F-4F90-98B8-CD646E9F0E8C}"/>
    <cellStyle name="Note 3 3 6 2 3" xfId="12936" xr:uid="{D4B36F3C-BEFC-4F14-9616-719BB9A662EC}"/>
    <cellStyle name="Note 3 3 6 3" xfId="6567" xr:uid="{00000000-0005-0000-0000-0000CE210000}"/>
    <cellStyle name="Note 3 3 6 3 2" xfId="15009" xr:uid="{EA3E2608-B278-483E-9874-3D11CC82D717}"/>
    <cellStyle name="Note 3 3 6 4" xfId="10791" xr:uid="{E5EC12E1-C2BD-4CA7-B5E5-153C469F99DF}"/>
    <cellStyle name="Note 3 3 7" xfId="2696" xr:uid="{00000000-0005-0000-0000-0000CF210000}"/>
    <cellStyle name="Note 3 3 7 2" xfId="6980" xr:uid="{00000000-0005-0000-0000-0000D0210000}"/>
    <cellStyle name="Note 3 3 7 2 2" xfId="15422" xr:uid="{81DF3173-A232-462D-8038-A2061005D5E0}"/>
    <cellStyle name="Note 3 3 7 3" xfId="11204" xr:uid="{46E3094E-DFFF-4D9F-8FE2-B3CA08D8FEE0}"/>
    <cellStyle name="Note 3 3 8" xfId="2755" xr:uid="{00000000-0005-0000-0000-0000D1210000}"/>
    <cellStyle name="Note 3 3 9" xfId="2836" xr:uid="{00000000-0005-0000-0000-0000D2210000}"/>
    <cellStyle name="Note 3 3 9 2" xfId="7060" xr:uid="{00000000-0005-0000-0000-0000D3210000}"/>
    <cellStyle name="Note 3 3 9 2 2" xfId="15502" xr:uid="{0E846FEB-9BEA-42FA-98DC-E3911FB1F7C3}"/>
    <cellStyle name="Note 3 3 9 3" xfId="11284" xr:uid="{23340A34-5457-407D-AF7B-66212BE52B0D}"/>
    <cellStyle name="Note 3 4" xfId="560" xr:uid="{00000000-0005-0000-0000-0000D4210000}"/>
    <cellStyle name="Note 3 4 10" xfId="9141" xr:uid="{D0E1CEC6-3E1B-441B-8B2D-B959617884AF}"/>
    <cellStyle name="Note 3 4 2" xfId="1020" xr:uid="{00000000-0005-0000-0000-0000D5210000}"/>
    <cellStyle name="Note 3 4 2 2" xfId="3252" xr:uid="{00000000-0005-0000-0000-0000D6210000}"/>
    <cellStyle name="Note 3 4 2 2 2" xfId="7475" xr:uid="{00000000-0005-0000-0000-0000D7210000}"/>
    <cellStyle name="Note 3 4 2 2 2 2" xfId="15917" xr:uid="{125C75BF-D014-4439-82B2-C9E4887DFC33}"/>
    <cellStyle name="Note 3 4 2 2 3" xfId="11699" xr:uid="{E2F0D606-8925-44CF-99AB-3828731877E2}"/>
    <cellStyle name="Note 3 4 2 3" xfId="5330" xr:uid="{00000000-0005-0000-0000-0000D8210000}"/>
    <cellStyle name="Note 3 4 2 3 2" xfId="13772" xr:uid="{A5D38567-62B9-497C-B689-F5465AA47869}"/>
    <cellStyle name="Note 3 4 2 4" xfId="9554" xr:uid="{B8F13F34-2437-4AEF-9033-952BE9F764DC}"/>
    <cellStyle name="Note 3 4 3" xfId="1435" xr:uid="{00000000-0005-0000-0000-0000D9210000}"/>
    <cellStyle name="Note 3 4 3 2" xfId="3665" xr:uid="{00000000-0005-0000-0000-0000DA210000}"/>
    <cellStyle name="Note 3 4 3 2 2" xfId="7888" xr:uid="{00000000-0005-0000-0000-0000DB210000}"/>
    <cellStyle name="Note 3 4 3 2 2 2" xfId="16330" xr:uid="{61C5D9E3-F941-46BE-B620-460C2425C512}"/>
    <cellStyle name="Note 3 4 3 2 3" xfId="12112" xr:uid="{3311EA9B-BCFA-47E4-BC32-948BB74A343C}"/>
    <cellStyle name="Note 3 4 3 3" xfId="5743" xr:uid="{00000000-0005-0000-0000-0000DC210000}"/>
    <cellStyle name="Note 3 4 3 3 2" xfId="14185" xr:uid="{119CB90A-D2E0-4016-95FA-93CFA351C348}"/>
    <cellStyle name="Note 3 4 3 4" xfId="9967" xr:uid="{6DCFD522-57A3-403D-9300-C4A0D28F0D63}"/>
    <cellStyle name="Note 3 4 4" xfId="1849" xr:uid="{00000000-0005-0000-0000-0000DD210000}"/>
    <cellStyle name="Note 3 4 4 2" xfId="4078" xr:uid="{00000000-0005-0000-0000-0000DE210000}"/>
    <cellStyle name="Note 3 4 4 2 2" xfId="8301" xr:uid="{00000000-0005-0000-0000-0000DF210000}"/>
    <cellStyle name="Note 3 4 4 2 2 2" xfId="16743" xr:uid="{A28942D9-A1C4-496C-8AFB-AAC2FF1CA219}"/>
    <cellStyle name="Note 3 4 4 2 3" xfId="12525" xr:uid="{B2131FC3-7EB7-4446-BA72-E3CA04670412}"/>
    <cellStyle name="Note 3 4 4 3" xfId="6156" xr:uid="{00000000-0005-0000-0000-0000E0210000}"/>
    <cellStyle name="Note 3 4 4 3 2" xfId="14598" xr:uid="{F3B886F0-0E26-4DF1-9EBD-6EA9F9A0CF0E}"/>
    <cellStyle name="Note 3 4 4 4" xfId="10380" xr:uid="{21381DAD-B5E8-4381-A9D6-0BE7BBE3C131}"/>
    <cellStyle name="Note 3 4 5" xfId="2262" xr:uid="{00000000-0005-0000-0000-0000E1210000}"/>
    <cellStyle name="Note 3 4 5 2" xfId="4491" xr:uid="{00000000-0005-0000-0000-0000E2210000}"/>
    <cellStyle name="Note 3 4 5 2 2" xfId="8714" xr:uid="{00000000-0005-0000-0000-0000E3210000}"/>
    <cellStyle name="Note 3 4 5 2 2 2" xfId="17156" xr:uid="{C43A102D-4B2C-4CDF-964D-56F093B826A1}"/>
    <cellStyle name="Note 3 4 5 2 3" xfId="12938" xr:uid="{164D3E4D-6273-4DA7-85D8-2627FB4670DE}"/>
    <cellStyle name="Note 3 4 5 3" xfId="6569" xr:uid="{00000000-0005-0000-0000-0000E4210000}"/>
    <cellStyle name="Note 3 4 5 3 2" xfId="15011" xr:uid="{4FD45FF9-C4AF-46E1-8F97-F0364AFF0A56}"/>
    <cellStyle name="Note 3 4 5 4" xfId="10793" xr:uid="{6C27C4F0-C652-4ED3-A478-37A4D0AC04A7}"/>
    <cellStyle name="Note 3 4 6" xfId="2698" xr:uid="{00000000-0005-0000-0000-0000E5210000}"/>
    <cellStyle name="Note 3 4 6 2" xfId="6982" xr:uid="{00000000-0005-0000-0000-0000E6210000}"/>
    <cellStyle name="Note 3 4 6 2 2" xfId="15424" xr:uid="{DD5AB21A-69AE-48C9-9588-B3C513E58DB1}"/>
    <cellStyle name="Note 3 4 6 3" xfId="11206" xr:uid="{C8C28177-3B0D-48D9-B2BD-66AC9A593C12}"/>
    <cellStyle name="Note 3 4 7" xfId="2757" xr:uid="{00000000-0005-0000-0000-0000E7210000}"/>
    <cellStyle name="Note 3 4 8" xfId="2838" xr:uid="{00000000-0005-0000-0000-0000E8210000}"/>
    <cellStyle name="Note 3 4 8 2" xfId="7062" xr:uid="{00000000-0005-0000-0000-0000E9210000}"/>
    <cellStyle name="Note 3 4 8 2 2" xfId="15504" xr:uid="{3109DC40-0641-4126-B0CD-3D8BFE1FE447}"/>
    <cellStyle name="Note 3 4 8 3" xfId="11286" xr:uid="{ECD45502-D226-4558-97F8-8850890B0716}"/>
    <cellStyle name="Note 3 4 9" xfId="4917" xr:uid="{00000000-0005-0000-0000-0000EA210000}"/>
    <cellStyle name="Note 3 4 9 2" xfId="13359" xr:uid="{E733A010-B29A-421C-A16B-0BEDEB5A997A}"/>
    <cellStyle name="Note 3 5" xfId="561" xr:uid="{00000000-0005-0000-0000-0000EB210000}"/>
    <cellStyle name="Note 3 5 10" xfId="9142" xr:uid="{02790D3E-9712-42CB-8202-6F7C6A531FB7}"/>
    <cellStyle name="Note 3 5 2" xfId="1021" xr:uid="{00000000-0005-0000-0000-0000EC210000}"/>
    <cellStyle name="Note 3 5 2 2" xfId="3253" xr:uid="{00000000-0005-0000-0000-0000ED210000}"/>
    <cellStyle name="Note 3 5 2 2 2" xfId="7476" xr:uid="{00000000-0005-0000-0000-0000EE210000}"/>
    <cellStyle name="Note 3 5 2 2 2 2" xfId="15918" xr:uid="{BFF45AE6-572F-4D76-9D4D-0530C21D4FF1}"/>
    <cellStyle name="Note 3 5 2 2 3" xfId="11700" xr:uid="{9710FD07-D149-40B5-85BF-310F4509434A}"/>
    <cellStyle name="Note 3 5 2 3" xfId="5331" xr:uid="{00000000-0005-0000-0000-0000EF210000}"/>
    <cellStyle name="Note 3 5 2 3 2" xfId="13773" xr:uid="{7E8E5885-0F54-4A64-AD64-407AE0ACB4F9}"/>
    <cellStyle name="Note 3 5 2 4" xfId="9555" xr:uid="{54513E4C-9ACD-4AB5-AB9A-1D0193371559}"/>
    <cellStyle name="Note 3 5 3" xfId="1436" xr:uid="{00000000-0005-0000-0000-0000F0210000}"/>
    <cellStyle name="Note 3 5 3 2" xfId="3666" xr:uid="{00000000-0005-0000-0000-0000F1210000}"/>
    <cellStyle name="Note 3 5 3 2 2" xfId="7889" xr:uid="{00000000-0005-0000-0000-0000F2210000}"/>
    <cellStyle name="Note 3 5 3 2 2 2" xfId="16331" xr:uid="{A06E7A1F-B979-4DEA-8C82-1D8C58BBE161}"/>
    <cellStyle name="Note 3 5 3 2 3" xfId="12113" xr:uid="{D181D97D-E684-4848-BF96-DEFDFCC9DB05}"/>
    <cellStyle name="Note 3 5 3 3" xfId="5744" xr:uid="{00000000-0005-0000-0000-0000F3210000}"/>
    <cellStyle name="Note 3 5 3 3 2" xfId="14186" xr:uid="{89149704-3382-44B5-810D-CF27CF305B8C}"/>
    <cellStyle name="Note 3 5 3 4" xfId="9968" xr:uid="{5D729627-6503-4E67-92CF-9B0A7E92173C}"/>
    <cellStyle name="Note 3 5 4" xfId="1850" xr:uid="{00000000-0005-0000-0000-0000F4210000}"/>
    <cellStyle name="Note 3 5 4 2" xfId="4079" xr:uid="{00000000-0005-0000-0000-0000F5210000}"/>
    <cellStyle name="Note 3 5 4 2 2" xfId="8302" xr:uid="{00000000-0005-0000-0000-0000F6210000}"/>
    <cellStyle name="Note 3 5 4 2 2 2" xfId="16744" xr:uid="{7981CCDE-DE46-42B6-A1FC-F5287208D6C1}"/>
    <cellStyle name="Note 3 5 4 2 3" xfId="12526" xr:uid="{770096CF-A7E4-4226-92AF-6322CF1F9452}"/>
    <cellStyle name="Note 3 5 4 3" xfId="6157" xr:uid="{00000000-0005-0000-0000-0000F7210000}"/>
    <cellStyle name="Note 3 5 4 3 2" xfId="14599" xr:uid="{0EC0F4EC-1721-48B3-8449-15F910B1DCA7}"/>
    <cellStyle name="Note 3 5 4 4" xfId="10381" xr:uid="{4D4A1EA7-0A24-435C-86ED-56E771EF32D6}"/>
    <cellStyle name="Note 3 5 5" xfId="2263" xr:uid="{00000000-0005-0000-0000-0000F8210000}"/>
    <cellStyle name="Note 3 5 5 2" xfId="4492" xr:uid="{00000000-0005-0000-0000-0000F9210000}"/>
    <cellStyle name="Note 3 5 5 2 2" xfId="8715" xr:uid="{00000000-0005-0000-0000-0000FA210000}"/>
    <cellStyle name="Note 3 5 5 2 2 2" xfId="17157" xr:uid="{C25DE778-41B4-4EED-9EBF-9EEF9BA7959A}"/>
    <cellStyle name="Note 3 5 5 2 3" xfId="12939" xr:uid="{3BCE83F1-5027-45DA-B09E-F4B6E2B74703}"/>
    <cellStyle name="Note 3 5 5 3" xfId="6570" xr:uid="{00000000-0005-0000-0000-0000FB210000}"/>
    <cellStyle name="Note 3 5 5 3 2" xfId="15012" xr:uid="{27402C32-5496-4374-97BB-4B6592283FBC}"/>
    <cellStyle name="Note 3 5 5 4" xfId="10794" xr:uid="{4E5B5AC4-42FA-48DE-9D28-909F49827B36}"/>
    <cellStyle name="Note 3 5 6" xfId="2699" xr:uid="{00000000-0005-0000-0000-0000FC210000}"/>
    <cellStyle name="Note 3 5 6 2" xfId="6983" xr:uid="{00000000-0005-0000-0000-0000FD210000}"/>
    <cellStyle name="Note 3 5 6 2 2" xfId="15425" xr:uid="{CE1E2689-4609-49E9-AB2C-9E2195122B6A}"/>
    <cellStyle name="Note 3 5 6 3" xfId="11207" xr:uid="{A425FA61-5B6C-4971-8247-93734FBF6A0A}"/>
    <cellStyle name="Note 3 5 7" xfId="2758" xr:uid="{00000000-0005-0000-0000-0000FE210000}"/>
    <cellStyle name="Note 3 5 8" xfId="2839" xr:uid="{00000000-0005-0000-0000-0000FF210000}"/>
    <cellStyle name="Note 3 5 8 2" xfId="7063" xr:uid="{00000000-0005-0000-0000-000000220000}"/>
    <cellStyle name="Note 3 5 8 2 2" xfId="15505" xr:uid="{D86933C4-8B56-47B7-91BD-241A2EFBBB3A}"/>
    <cellStyle name="Note 3 5 8 3" xfId="11287" xr:uid="{DF7BDC4D-33E7-4E0C-B512-AF785C49B614}"/>
    <cellStyle name="Note 3 5 9" xfId="4918" xr:uid="{00000000-0005-0000-0000-000001220000}"/>
    <cellStyle name="Note 3 5 9 2" xfId="13360" xr:uid="{3FA8FCC0-236D-40FA-8725-B8E2DCB2A9C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12605AD8-9469-487A-874C-5934F15849B4}"/>
    <cellStyle name="Percent 4" xfId="4502" xr:uid="{00000000-0005-0000-0000-000007220000}"/>
    <cellStyle name="Percent 4 2" xfId="8718" xr:uid="{00000000-0005-0000-0000-000008220000}"/>
    <cellStyle name="Percent 4 2 2" xfId="17160" xr:uid="{64FE577A-80BA-4C90-9429-F14D2CA97554}"/>
    <cellStyle name="Percent 4 3" xfId="8721" xr:uid="{D09CD3FC-D632-4B66-A68A-5CC92F993799}"/>
    <cellStyle name="Percent 4 3 2" xfId="8725" xr:uid="{D57AE941-8E59-43F0-AB73-09B3BCCFA234}"/>
    <cellStyle name="Percent 4 3 2 2" xfId="8728" xr:uid="{D24D76A7-D076-4554-9944-551B122393DE}"/>
    <cellStyle name="Percent 4 3 2 2 2" xfId="17169" xr:uid="{29A4530F-DDBC-42C3-8B19-9EF71D2B597F}"/>
    <cellStyle name="Percent 4 3 2 3" xfId="17166" xr:uid="{44CAFC3B-0AD2-4245-970C-6C5A719723FA}"/>
    <cellStyle name="Percent 4 3 3" xfId="17163" xr:uid="{639F12CD-2B7C-47B1-97C9-444832384867}"/>
    <cellStyle name="Percent 4 4" xfId="12946" xr:uid="{0F3A9B9D-37B4-4633-B6A8-22B66D061B6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5" workbookViewId="0">
      <selection sqref="A1:BE1"/>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5" t="s">
        <v>2414</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2461</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1" t="str">
        <f>IF(Application!H18="","",Application!H18)</f>
        <v>493 Eastmoor Ave</v>
      </c>
      <c r="M4" s="2572"/>
      <c r="N4" s="2572"/>
      <c r="O4" s="2572"/>
      <c r="P4" s="2572"/>
      <c r="Q4" s="2572"/>
      <c r="R4" s="2572"/>
      <c r="S4" s="2572"/>
      <c r="T4" s="2572"/>
      <c r="U4" s="2572"/>
      <c r="V4" s="2572"/>
      <c r="W4" s="2572"/>
      <c r="X4" s="2572"/>
      <c r="Y4" s="2572"/>
      <c r="Z4" s="2572"/>
      <c r="AA4" s="2572"/>
      <c r="AB4" s="2572"/>
      <c r="AC4" s="2573"/>
      <c r="AD4" s="1209"/>
      <c r="AE4" s="1209"/>
      <c r="AF4" s="2218" t="s">
        <v>2462</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2463</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1" t="str">
        <f>IF(Application!H16="","",Application!H16)</f>
        <v>Affordable Housing CDC, Inc.</v>
      </c>
      <c r="M6" s="2572"/>
      <c r="N6" s="2572"/>
      <c r="O6" s="2572"/>
      <c r="P6" s="2572"/>
      <c r="Q6" s="2572"/>
      <c r="R6" s="2572"/>
      <c r="S6" s="2572"/>
      <c r="T6" s="2572"/>
      <c r="U6" s="2572"/>
      <c r="V6" s="2572"/>
      <c r="W6" s="2572"/>
      <c r="X6" s="2572"/>
      <c r="Y6" s="2572"/>
      <c r="Z6" s="2572"/>
      <c r="AA6" s="2572"/>
      <c r="AB6" s="2572"/>
      <c r="AC6" s="2573"/>
      <c r="AD6" s="1209"/>
      <c r="AE6" s="1209"/>
      <c r="AF6" s="2574" t="s">
        <v>2464</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2465</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2466</v>
      </c>
      <c r="AG8" s="2574"/>
      <c r="AH8" s="2574"/>
      <c r="AI8" s="2574"/>
      <c r="AJ8" s="2574"/>
      <c r="AK8" s="2574"/>
      <c r="AL8" s="2574"/>
      <c r="AM8" s="2574"/>
      <c r="AN8" s="2574"/>
      <c r="AO8" s="2574"/>
      <c r="AP8" s="2564" t="s">
        <v>2418</v>
      </c>
      <c r="AQ8" s="2564"/>
      <c r="AR8" s="2564"/>
      <c r="AS8" s="2564"/>
      <c r="AT8" s="2564"/>
      <c r="AU8" s="2564"/>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2626</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6">
        <f>Application!AO627</f>
        <v>7050000</v>
      </c>
      <c r="O10" s="2546"/>
      <c r="P10" s="2546"/>
      <c r="Q10" s="2546"/>
      <c r="R10" s="2546"/>
      <c r="S10" s="2546"/>
      <c r="T10" s="2546"/>
      <c r="U10" s="1209"/>
      <c r="V10" s="1209"/>
      <c r="W10" s="1209"/>
      <c r="X10" s="1258"/>
      <c r="Y10" s="1258"/>
      <c r="Z10" s="1258"/>
      <c r="AA10" s="1258"/>
      <c r="AB10" s="1258"/>
      <c r="AC10" s="1258"/>
      <c r="AD10" s="1258"/>
      <c r="AE10" s="1258"/>
      <c r="AF10" s="2218" t="s">
        <v>2625</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2624</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3" t="s">
        <v>1795</v>
      </c>
      <c r="C13" s="2554"/>
      <c r="D13" s="2554"/>
      <c r="E13" s="2554"/>
      <c r="F13" s="2554"/>
      <c r="G13" s="2554"/>
      <c r="H13" s="2554"/>
      <c r="I13" s="2554"/>
      <c r="J13" s="2554"/>
      <c r="K13" s="2554"/>
      <c r="L13" s="2554"/>
      <c r="M13" s="2554"/>
      <c r="N13" s="2554"/>
      <c r="O13" s="2554"/>
      <c r="P13" s="2555"/>
      <c r="Q13" s="2556" t="s">
        <v>678</v>
      </c>
      <c r="R13" s="2557"/>
      <c r="S13" s="2557"/>
      <c r="T13" s="2558"/>
      <c r="U13" s="1258"/>
      <c r="V13" s="1209"/>
      <c r="W13" s="1209"/>
      <c r="X13" s="1209"/>
      <c r="Y13" s="1209"/>
      <c r="Z13" s="1209"/>
      <c r="AA13" s="2547" t="s">
        <v>2468</v>
      </c>
      <c r="AB13" s="2547"/>
      <c r="AC13" s="2547"/>
      <c r="AD13" s="2547"/>
      <c r="AE13" s="2547"/>
      <c r="AF13" s="2547"/>
      <c r="AG13" s="2547"/>
      <c r="AH13" s="2547"/>
      <c r="AI13" s="2547"/>
      <c r="AJ13" s="2547"/>
      <c r="AK13" s="2547"/>
      <c r="AL13" s="2547"/>
      <c r="AM13" s="2547"/>
      <c r="AN13" s="2547"/>
      <c r="AO13" s="2548">
        <f>Application!W473</f>
        <v>0</v>
      </c>
      <c r="AP13" s="2549"/>
      <c r="AQ13" s="2549"/>
      <c r="AR13" s="2549"/>
      <c r="AS13" s="2549"/>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2470</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thickBot="1">
      <c r="A15" s="1209"/>
      <c r="B15" s="2559" t="s">
        <v>1796</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2471</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7" t="s">
        <v>1797</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1798</v>
      </c>
      <c r="C18" s="2540"/>
      <c r="D18" s="2540"/>
      <c r="E18" s="2540"/>
      <c r="F18" s="2540"/>
      <c r="G18" s="2540"/>
      <c r="H18" s="2540"/>
      <c r="I18" s="2541"/>
      <c r="J18" s="2542" t="s">
        <v>1699</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1799</v>
      </c>
      <c r="AU18" s="2543"/>
      <c r="AV18" s="2543"/>
      <c r="AW18" s="2543"/>
      <c r="AX18" s="2543"/>
      <c r="AY18" s="2545"/>
      <c r="AZ18" s="1209"/>
      <c r="BA18" s="1209"/>
      <c r="BB18" s="1209"/>
      <c r="BC18" s="1209"/>
      <c r="BD18" s="1209"/>
      <c r="BE18" s="1205"/>
    </row>
    <row r="19" spans="1:58" ht="15">
      <c r="A19" s="1209"/>
      <c r="B19" s="2516">
        <v>0.3</v>
      </c>
      <c r="C19" s="2517"/>
      <c r="D19" s="2517"/>
      <c r="E19" s="2517"/>
      <c r="F19" s="2517"/>
      <c r="G19" s="2517"/>
      <c r="H19" s="2517"/>
      <c r="I19" s="2518"/>
      <c r="J19" s="2519">
        <f t="shared" ref="J19:J28" si="0">SUM(P19:AS19)</f>
        <v>53</v>
      </c>
      <c r="K19" s="2520"/>
      <c r="L19" s="2520"/>
      <c r="M19" s="2520"/>
      <c r="N19" s="2520"/>
      <c r="O19" s="2521"/>
      <c r="P19" s="2519" cm="1">
        <f t="array" ref="P19">SUMPRODUCT((Application!$B$718:$B$752 = 'CalHFA Addendum'!P$18)*(Application!$AC$718:$AC$752 = 'CalHFA Addendum'!$B19),Application!$G$718:$G$752)</f>
        <v>33</v>
      </c>
      <c r="Q19" s="2520"/>
      <c r="R19" s="2520"/>
      <c r="S19" s="2520"/>
      <c r="T19" s="2520"/>
      <c r="U19" s="2521"/>
      <c r="V19" s="2519" cm="1">
        <f t="array" ref="V19">SUMPRODUCT((Application!$B$714:$B$738 = 'CalHFA Addendum'!V$18)*(Application!$AC$714:$AC$738 = 'CalHFA Addendum'!$B19),Application!$G$714:$G$738)</f>
        <v>20</v>
      </c>
      <c r="W19" s="2520"/>
      <c r="X19" s="2520"/>
      <c r="Y19" s="2520"/>
      <c r="Z19" s="2520"/>
      <c r="AA19" s="2521"/>
      <c r="AB19" s="2519" cm="1">
        <f t="array" ref="AB19">SUMPRODUCT((Application!$B$714:$B$738 = 'CalHFA Addendum'!AB$18)*(Application!$AC$714:$AC$738 = 'CalHFA Addendum'!$B19),Application!$G$714:$G$738)</f>
        <v>0</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0.75714285714285712</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9"/>
      <c r="BA20" s="1209"/>
      <c r="BB20" s="1209"/>
      <c r="BC20" s="1209"/>
      <c r="BD20" s="1209"/>
      <c r="BE20" s="1205"/>
    </row>
    <row r="21" spans="1:58" ht="15">
      <c r="A21" s="1209"/>
      <c r="B21" s="2516">
        <v>0.5</v>
      </c>
      <c r="C21" s="2517"/>
      <c r="D21" s="2517"/>
      <c r="E21" s="2517"/>
      <c r="F21" s="2517"/>
      <c r="G21" s="2517"/>
      <c r="H21" s="2517"/>
      <c r="I21" s="2518"/>
      <c r="J21" s="2519">
        <f t="shared" si="0"/>
        <v>17</v>
      </c>
      <c r="K21" s="2520"/>
      <c r="L21" s="2520"/>
      <c r="M21" s="2520"/>
      <c r="N21" s="2520"/>
      <c r="O21" s="2521"/>
      <c r="P21" s="2519" cm="1">
        <f t="array" ref="P21">SUMPRODUCT((Application!$B$714:$B$738 = 'CalHFA Addendum'!P$18)*(Application!$AC$714:$AC$738 = 'CalHFA Addendum'!$B21),Application!$G$714:$G$738)</f>
        <v>1</v>
      </c>
      <c r="Q21" s="2520"/>
      <c r="R21" s="2520"/>
      <c r="S21" s="2520"/>
      <c r="T21" s="2520"/>
      <c r="U21" s="2521"/>
      <c r="V21" s="2519" cm="1">
        <f t="array" ref="V21">SUMPRODUCT((Application!$B$714:$B$738 = 'CalHFA Addendum'!V$18)*(Application!$AC$714:$AC$738 = 'CalHFA Addendum'!$B21),Application!$G$714:$G$738)</f>
        <v>16</v>
      </c>
      <c r="W21" s="2520"/>
      <c r="X21" s="2520"/>
      <c r="Y21" s="2520"/>
      <c r="Z21" s="2520"/>
      <c r="AA21" s="2521"/>
      <c r="AB21" s="2519" cm="1">
        <f t="array" ref="AB21">SUMPRODUCT((Application!$B$714:$B$738 = 'CalHFA Addendum'!AB$18)*(Application!$AC$714:$AC$738 = 'CalHFA Addendum'!$B21),Application!$G$714:$G$738)</f>
        <v>0</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0.24285714285714285</v>
      </c>
      <c r="AU21" s="2523"/>
      <c r="AV21" s="2523"/>
      <c r="AW21" s="2523"/>
      <c r="AX21" s="2523"/>
      <c r="AY21" s="2524"/>
      <c r="AZ21" s="1209"/>
      <c r="BA21" s="1209"/>
      <c r="BB21" s="1209"/>
      <c r="BC21" s="1209"/>
      <c r="BD21" s="1209"/>
      <c r="BE21" s="1205"/>
    </row>
    <row r="22" spans="1:58" ht="15">
      <c r="A22" s="1209"/>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9"/>
      <c r="BA22" s="1209"/>
      <c r="BB22" s="1209"/>
      <c r="BC22" s="1209"/>
      <c r="BD22" s="1209"/>
      <c r="BE22" s="1205"/>
    </row>
    <row r="23" spans="1:58" ht="15">
      <c r="A23" s="1209"/>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9"/>
      <c r="BA23" s="1209"/>
      <c r="BB23" s="1209"/>
      <c r="BC23" s="1209"/>
      <c r="BD23" s="1209"/>
      <c r="BE23" s="1205"/>
    </row>
    <row r="24" spans="1:58" ht="15">
      <c r="A24" s="1209"/>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9"/>
      <c r="BA24" s="1209"/>
      <c r="BB24" s="1209"/>
      <c r="BC24" s="1209"/>
      <c r="BD24" s="1209"/>
      <c r="BE24" s="1205"/>
    </row>
    <row r="25" spans="1:58" ht="1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thickBot="1">
      <c r="A28" s="1209"/>
      <c r="B28" s="2525" t="s">
        <v>1800</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thickBot="1">
      <c r="A29" s="1209"/>
      <c r="B29" s="2505" t="s">
        <v>1699</v>
      </c>
      <c r="C29" s="2483"/>
      <c r="D29" s="2483"/>
      <c r="E29" s="2483"/>
      <c r="F29" s="2483"/>
      <c r="G29" s="2483"/>
      <c r="H29" s="2483"/>
      <c r="I29" s="2484"/>
      <c r="J29" s="2482">
        <f>SUM(J19:O28)</f>
        <v>70</v>
      </c>
      <c r="K29" s="2483"/>
      <c r="L29" s="2483"/>
      <c r="M29" s="2483"/>
      <c r="N29" s="2483"/>
      <c r="O29" s="2484"/>
      <c r="P29" s="2482">
        <f>SUM(P19:U28)</f>
        <v>34</v>
      </c>
      <c r="Q29" s="2483"/>
      <c r="R29" s="2483"/>
      <c r="S29" s="2483"/>
      <c r="T29" s="2483"/>
      <c r="U29" s="2484"/>
      <c r="V29" s="2482">
        <f>SUM(V19:AA28)</f>
        <v>36</v>
      </c>
      <c r="W29" s="2483"/>
      <c r="X29" s="2483"/>
      <c r="Y29" s="2483"/>
      <c r="Z29" s="2483"/>
      <c r="AA29" s="2484"/>
      <c r="AB29" s="2482">
        <f>SUM(AB19:AG28)</f>
        <v>0</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6" t="s">
        <v>1801</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thickBot="1">
      <c r="A32" s="1209"/>
      <c r="B32" s="2501" t="s">
        <v>2474</v>
      </c>
      <c r="C32" s="2502"/>
      <c r="D32" s="2502"/>
      <c r="E32" s="2502"/>
      <c r="F32" s="2502"/>
      <c r="G32" s="2502"/>
      <c r="H32" s="2502"/>
      <c r="I32" s="2502"/>
      <c r="J32" s="2534" t="s">
        <v>2475</v>
      </c>
      <c r="K32" s="2535"/>
      <c r="L32" s="2535"/>
      <c r="M32" s="2535"/>
      <c r="N32" s="2534" t="s">
        <v>1802</v>
      </c>
      <c r="O32" s="2535"/>
      <c r="P32" s="2535"/>
      <c r="Q32" s="2537"/>
      <c r="R32" s="2495" t="s">
        <v>1803</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1804</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1805</v>
      </c>
      <c r="AT35" s="2513"/>
      <c r="AU35" s="2513"/>
      <c r="AV35" s="2513"/>
      <c r="AW35" s="2513"/>
      <c r="AX35" s="2514"/>
      <c r="AY35" s="2512" t="s">
        <v>1806</v>
      </c>
      <c r="AZ35" s="2513"/>
      <c r="BA35" s="2513"/>
      <c r="BB35" s="2513"/>
      <c r="BC35" s="2513"/>
      <c r="BD35" s="2515"/>
      <c r="BE35" s="1205"/>
    </row>
    <row r="36" spans="1:58" ht="15.75" customHeight="1">
      <c r="A36" s="1209"/>
      <c r="B36" s="2243" t="s">
        <v>1807</v>
      </c>
      <c r="C36" s="2244"/>
      <c r="D36" s="2244"/>
      <c r="E36" s="2244"/>
      <c r="F36" s="2244"/>
      <c r="G36" s="2244"/>
      <c r="H36" s="2244"/>
      <c r="I36" s="2244"/>
      <c r="J36" s="2475" t="s">
        <v>1808</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0.7142857142857143</v>
      </c>
      <c r="AZ36" s="2480"/>
      <c r="BA36" s="2480"/>
      <c r="BB36" s="2480"/>
      <c r="BC36" s="2480"/>
      <c r="BD36" s="2481"/>
      <c r="BE36" s="1205"/>
    </row>
    <row r="37" spans="1:58" ht="15.75" customHeight="1">
      <c r="A37" s="1209"/>
      <c r="B37" s="2243" t="s">
        <v>2476</v>
      </c>
      <c r="C37" s="2244"/>
      <c r="D37" s="2244"/>
      <c r="E37" s="2244"/>
      <c r="F37" s="2244"/>
      <c r="G37" s="2244"/>
      <c r="H37" s="2244"/>
      <c r="I37" s="2244"/>
      <c r="J37" s="2475" t="s">
        <v>1809</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0.14285714285714285</v>
      </c>
      <c r="AZ37" s="2480"/>
      <c r="BA37" s="2480"/>
      <c r="BB37" s="2480"/>
      <c r="BC37" s="2480"/>
      <c r="BD37" s="2481"/>
      <c r="BE37" s="1205"/>
    </row>
    <row r="38" spans="1:58" ht="15.75" customHeight="1">
      <c r="A38" s="1209"/>
      <c r="B38" s="2243" t="s">
        <v>2415</v>
      </c>
      <c r="C38" s="2244"/>
      <c r="D38" s="2244"/>
      <c r="E38" s="2244"/>
      <c r="F38" s="2244"/>
      <c r="G38" s="2244"/>
      <c r="H38" s="2244"/>
      <c r="I38" s="2244"/>
      <c r="J38" s="2475" t="s">
        <v>1810</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1811</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1811</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1812</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1812</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1813</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1814</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1815</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1816</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1817</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1818</v>
      </c>
      <c r="C51" s="2175"/>
      <c r="D51" s="2175"/>
      <c r="E51" s="2175"/>
      <c r="F51" s="2175"/>
      <c r="G51" s="2175"/>
      <c r="H51" s="2175"/>
      <c r="I51" s="2175"/>
      <c r="J51" s="2175" t="s">
        <v>2478</v>
      </c>
      <c r="K51" s="2175"/>
      <c r="L51" s="2175"/>
      <c r="M51" s="2175"/>
      <c r="N51" s="2175"/>
      <c r="O51" s="2175"/>
      <c r="P51" s="2175"/>
      <c r="Q51" s="2175"/>
      <c r="R51" s="2466" t="s">
        <v>2479</v>
      </c>
      <c r="S51" s="2466"/>
      <c r="T51" s="2466"/>
      <c r="U51" s="2466"/>
      <c r="V51" s="2466"/>
      <c r="W51" s="2466"/>
      <c r="X51" s="2466"/>
      <c r="Y51" s="2466"/>
      <c r="Z51" s="2466" t="s">
        <v>1819</v>
      </c>
      <c r="AA51" s="2466"/>
      <c r="AB51" s="2466"/>
      <c r="AC51" s="2466"/>
      <c r="AD51" s="2466"/>
      <c r="AE51" s="2466"/>
      <c r="AF51" s="2466"/>
      <c r="AG51" s="2466"/>
      <c r="AH51" s="2466" t="s">
        <v>1820</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2186</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2187</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1699</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1818</v>
      </c>
      <c r="C59" s="2463"/>
      <c r="D59" s="2463"/>
      <c r="E59" s="2463"/>
      <c r="F59" s="2463"/>
      <c r="G59" s="2463"/>
      <c r="H59" s="2463"/>
      <c r="I59" s="2464"/>
      <c r="J59" s="2428" t="s">
        <v>2480</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1822</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1823</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9"/>
      <c r="BE68" s="1205"/>
      <c r="BM68" s="1254" t="s">
        <v>2481</v>
      </c>
    </row>
    <row r="69" spans="1:65" ht="15.75" customHeight="1" thickTop="1" thickBot="1">
      <c r="A69" s="1209"/>
      <c r="B69" s="2233" t="s">
        <v>1824</v>
      </c>
      <c r="C69" s="2234"/>
      <c r="D69" s="2234"/>
      <c r="E69" s="2234"/>
      <c r="F69" s="2234"/>
      <c r="G69" s="2234"/>
      <c r="H69" s="2234"/>
      <c r="I69" s="2234"/>
      <c r="J69" s="2234"/>
      <c r="K69" s="2234"/>
      <c r="L69" s="2234"/>
      <c r="M69" s="2234"/>
      <c r="N69" s="2234"/>
      <c r="O69" s="2235" t="s">
        <v>1825</v>
      </c>
      <c r="P69" s="2236"/>
      <c r="Q69" s="2236"/>
      <c r="R69" s="2236"/>
      <c r="S69" s="2236"/>
      <c r="T69" s="2236"/>
      <c r="U69" s="2236"/>
      <c r="V69" s="2236"/>
      <c r="W69" s="2236"/>
      <c r="X69" s="2236"/>
      <c r="Y69" s="2236"/>
      <c r="Z69" s="2236"/>
      <c r="AA69" s="2237"/>
      <c r="AB69" s="1209"/>
      <c r="AC69" s="2238" t="s">
        <v>1826</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554</v>
      </c>
    </row>
    <row r="70" spans="1:65" ht="15.75" customHeight="1">
      <c r="A70" s="1209"/>
      <c r="B70" s="2243" t="s">
        <v>2482</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1827</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678</v>
      </c>
    </row>
    <row r="71" spans="1:65" ht="15.75" customHeight="1" thickBot="1">
      <c r="A71" s="1209"/>
      <c r="B71" s="2243" t="s">
        <v>2483</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1828</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2484</v>
      </c>
    </row>
    <row r="72" spans="1:65" ht="15.75" customHeight="1">
      <c r="A72" s="1209"/>
      <c r="B72" s="2243" t="s">
        <v>2485</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2486</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2487</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2188</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2" t="s">
        <v>2554</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2171</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2621</v>
      </c>
      <c r="AK83" s="2183"/>
      <c r="AL83" s="2183"/>
      <c r="AM83" s="2183"/>
      <c r="AN83" s="2183"/>
      <c r="AO83" s="2183"/>
      <c r="AP83" s="2183"/>
      <c r="AQ83" s="2183"/>
      <c r="AR83" s="2183"/>
      <c r="AS83" s="2183"/>
      <c r="AT83" s="2183"/>
      <c r="AU83" s="2183"/>
      <c r="AV83" s="2183"/>
      <c r="AW83" s="2183"/>
      <c r="AX83" s="2183"/>
      <c r="AY83" s="2204" t="s">
        <v>554</v>
      </c>
      <c r="AZ83" s="2204"/>
      <c r="BA83" s="2204"/>
      <c r="BB83" s="2205"/>
      <c r="BC83" s="1209"/>
      <c r="BD83" s="1209"/>
      <c r="BE83" s="1205"/>
    </row>
    <row r="84" spans="1:70" ht="15.75" customHeight="1">
      <c r="A84" s="1209"/>
      <c r="B84" s="2174"/>
      <c r="C84" s="2175"/>
      <c r="D84" s="2175"/>
      <c r="E84" s="2175"/>
      <c r="F84" s="2175"/>
      <c r="G84" s="2175"/>
      <c r="H84" s="2175"/>
      <c r="I84" s="2175" t="s">
        <v>1829</v>
      </c>
      <c r="J84" s="2175"/>
      <c r="K84" s="2175"/>
      <c r="L84" s="2175"/>
      <c r="M84" s="2175"/>
      <c r="N84" s="2175"/>
      <c r="O84" s="2175" t="s">
        <v>1830</v>
      </c>
      <c r="P84" s="2175"/>
      <c r="Q84" s="2175"/>
      <c r="R84" s="2175"/>
      <c r="S84" s="2175"/>
      <c r="T84" s="2175"/>
      <c r="U84" s="2175"/>
      <c r="V84" s="2176" t="s">
        <v>2189</v>
      </c>
      <c r="W84" s="2176"/>
      <c r="X84" s="2176"/>
      <c r="Y84" s="2176"/>
      <c r="Z84" s="2176"/>
      <c r="AA84" s="2176"/>
      <c r="AB84" s="2177" t="s">
        <v>1831</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2172</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2173</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2488</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1832</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2" t="s">
        <v>2554</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2618</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2617</v>
      </c>
      <c r="AK96" s="2183"/>
      <c r="AL96" s="2183"/>
      <c r="AM96" s="2183"/>
      <c r="AN96" s="2183"/>
      <c r="AO96" s="2183"/>
      <c r="AP96" s="2183"/>
      <c r="AQ96" s="2183"/>
      <c r="AR96" s="2183"/>
      <c r="AS96" s="2183"/>
      <c r="AT96" s="2183"/>
      <c r="AU96" s="2183"/>
      <c r="AV96" s="2183"/>
      <c r="AW96" s="2183"/>
      <c r="AX96" s="2183"/>
      <c r="AY96" s="2204" t="s">
        <v>554</v>
      </c>
      <c r="AZ96" s="2204"/>
      <c r="BA96" s="2204"/>
      <c r="BB96" s="2205"/>
      <c r="BC96" s="1209"/>
      <c r="BD96" s="1209"/>
      <c r="BE96" s="1205"/>
      <c r="BQ96" s="1248" t="str">
        <f>Application!M243</f>
        <v>Core Eastmoor, LLC</v>
      </c>
      <c r="BR96" s="1248">
        <f>Application!AH245</f>
        <v>0</v>
      </c>
    </row>
    <row r="97" spans="1:70" ht="15.75" customHeight="1">
      <c r="A97" s="1209"/>
      <c r="B97" s="2174"/>
      <c r="C97" s="2175"/>
      <c r="D97" s="2175"/>
      <c r="E97" s="2175"/>
      <c r="F97" s="2175"/>
      <c r="G97" s="2175"/>
      <c r="H97" s="2175"/>
      <c r="I97" s="2175" t="s">
        <v>1829</v>
      </c>
      <c r="J97" s="2175"/>
      <c r="K97" s="2175"/>
      <c r="L97" s="2175"/>
      <c r="M97" s="2175"/>
      <c r="N97" s="2175"/>
      <c r="O97" s="2175" t="s">
        <v>1830</v>
      </c>
      <c r="P97" s="2175"/>
      <c r="Q97" s="2175"/>
      <c r="R97" s="2175"/>
      <c r="S97" s="2175"/>
      <c r="T97" s="2175"/>
      <c r="U97" s="2175"/>
      <c r="V97" s="2176" t="s">
        <v>2189</v>
      </c>
      <c r="W97" s="2176"/>
      <c r="X97" s="2176"/>
      <c r="Y97" s="2176"/>
      <c r="Z97" s="2176"/>
      <c r="AA97" s="2176"/>
      <c r="AB97" s="2177" t="s">
        <v>1831</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t="str">
        <f>Application!M251</f>
        <v>AHCDC Daly LLC</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2172</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2173</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2488</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1832</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2614</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1829</v>
      </c>
      <c r="J108" s="2175"/>
      <c r="K108" s="2175"/>
      <c r="L108" s="2175"/>
      <c r="M108" s="2175"/>
      <c r="N108" s="2175"/>
      <c r="O108" s="2175" t="s">
        <v>1830</v>
      </c>
      <c r="P108" s="2175"/>
      <c r="Q108" s="2175"/>
      <c r="R108" s="2175"/>
      <c r="S108" s="2175"/>
      <c r="T108" s="2175"/>
      <c r="U108" s="2175"/>
      <c r="V108" s="2176" t="s">
        <v>2189</v>
      </c>
      <c r="W108" s="2176"/>
      <c r="X108" s="2176"/>
      <c r="Y108" s="2176"/>
      <c r="Z108" s="2176"/>
      <c r="AA108" s="2176"/>
      <c r="AB108" s="2177" t="s">
        <v>1831</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2172</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2173</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1832</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2489</v>
      </c>
      <c r="C117" s="2183"/>
      <c r="D117" s="2183"/>
      <c r="E117" s="2183"/>
      <c r="F117" s="2183"/>
      <c r="G117" s="2183"/>
      <c r="H117" s="2183"/>
      <c r="I117" s="2183"/>
      <c r="J117" s="2183"/>
      <c r="K117" s="2183"/>
      <c r="L117" s="2183"/>
      <c r="M117" s="2183"/>
      <c r="N117" s="2183"/>
      <c r="O117" s="2183"/>
      <c r="P117" s="2183"/>
      <c r="Q117" s="2204" t="s">
        <v>554</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2190</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2174</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1689</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2175</v>
      </c>
      <c r="J127" s="2175"/>
      <c r="K127" s="2175"/>
      <c r="L127" s="2175"/>
      <c r="M127" s="2175"/>
      <c r="N127" s="2175"/>
      <c r="O127" s="2435" t="s">
        <v>2176</v>
      </c>
      <c r="P127" s="2435"/>
      <c r="Q127" s="2435"/>
      <c r="R127" s="2435"/>
      <c r="S127" s="2435"/>
      <c r="T127" s="2435"/>
      <c r="U127" s="2436"/>
      <c r="V127" s="1209"/>
      <c r="W127" s="1209"/>
      <c r="X127" s="2398" t="s">
        <v>2188</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2177</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2178</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1835</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1830</v>
      </c>
      <c r="J134" s="2410"/>
      <c r="K134" s="2410"/>
      <c r="L134" s="2410"/>
      <c r="M134" s="2410"/>
      <c r="N134" s="2410"/>
      <c r="O134" s="2410"/>
      <c r="P134" s="2410" t="s">
        <v>2189</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2177</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2178</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1836</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1837</v>
      </c>
      <c r="C140" s="2418"/>
      <c r="D140" s="2418"/>
      <c r="E140" s="2418"/>
      <c r="F140" s="2418"/>
      <c r="G140" s="2418"/>
      <c r="H140" s="2418"/>
      <c r="I140" s="2418"/>
      <c r="J140" s="2418"/>
      <c r="K140" s="2418"/>
      <c r="L140" s="2418"/>
      <c r="M140" s="2418"/>
      <c r="N140" s="2418"/>
      <c r="O140" s="2418"/>
      <c r="P140" s="2418"/>
      <c r="Q140" s="2418"/>
      <c r="R140" s="2419" t="s">
        <v>2191</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2192</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1839</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2194</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1830</v>
      </c>
      <c r="J155" s="2410"/>
      <c r="K155" s="2410"/>
      <c r="L155" s="2410"/>
      <c r="M155" s="2410"/>
      <c r="N155" s="2410"/>
      <c r="O155" s="2410"/>
      <c r="P155" s="2410" t="s">
        <v>2195</v>
      </c>
      <c r="Q155" s="2410"/>
      <c r="R155" s="2410"/>
      <c r="S155" s="2410"/>
      <c r="T155" s="2410"/>
      <c r="U155" s="2411"/>
      <c r="V155" s="1209"/>
      <c r="W155" s="1209"/>
      <c r="X155" s="2395"/>
      <c r="Y155" s="2396"/>
      <c r="Z155" s="2396"/>
      <c r="AA155" s="2396"/>
      <c r="AB155" s="2396"/>
      <c r="AC155" s="2396"/>
      <c r="AD155" s="2396"/>
      <c r="AE155" s="2410" t="s">
        <v>1830</v>
      </c>
      <c r="AF155" s="2410"/>
      <c r="AG155" s="2410"/>
      <c r="AH155" s="2410"/>
      <c r="AI155" s="2410"/>
      <c r="AJ155" s="2410"/>
      <c r="AK155" s="2410"/>
      <c r="AL155" s="2410" t="s">
        <v>2189</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2177</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2177</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2178</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2179</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1840</v>
      </c>
      <c r="D161" s="2396"/>
      <c r="E161" s="2396"/>
      <c r="F161" s="2396"/>
      <c r="G161" s="2396"/>
      <c r="H161" s="2396"/>
      <c r="I161" s="2396"/>
      <c r="J161" s="2396"/>
      <c r="K161" s="2396"/>
      <c r="L161" s="2396"/>
      <c r="M161" s="2396"/>
      <c r="N161" s="2396"/>
      <c r="O161" s="2396"/>
      <c r="P161" s="2396"/>
      <c r="Q161" s="2396" t="s">
        <v>1841</v>
      </c>
      <c r="R161" s="2396"/>
      <c r="S161" s="2396"/>
      <c r="T161" s="2177" t="s">
        <v>2180</v>
      </c>
      <c r="U161" s="2177"/>
      <c r="V161" s="2177"/>
      <c r="W161" s="2177"/>
      <c r="X161" s="2177"/>
      <c r="Y161" s="2177"/>
      <c r="Z161" s="2177"/>
      <c r="AA161" s="2177"/>
      <c r="AB161" s="2396" t="s">
        <v>1842</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1843</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1844</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1845</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1816</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1846</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1846</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1846</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1847</v>
      </c>
      <c r="D170" s="2180"/>
      <c r="E170" s="2180"/>
      <c r="F170" s="2180"/>
      <c r="G170" s="2180"/>
      <c r="H170" s="2180"/>
      <c r="I170" s="2180"/>
      <c r="J170" s="2180"/>
      <c r="K170" s="2180"/>
      <c r="L170" s="2180"/>
      <c r="M170" s="2180"/>
      <c r="N170" s="2181"/>
      <c r="O170" s="1209"/>
      <c r="P170" s="2392" t="s">
        <v>1848</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1849</v>
      </c>
      <c r="D171" s="2396"/>
      <c r="E171" s="2396"/>
      <c r="F171" s="2396"/>
      <c r="G171" s="2396"/>
      <c r="H171" s="2396"/>
      <c r="I171" s="2396" t="s">
        <v>1850</v>
      </c>
      <c r="J171" s="2396"/>
      <c r="K171" s="2396"/>
      <c r="L171" s="2396"/>
      <c r="M171" s="2396"/>
      <c r="N171" s="2397"/>
      <c r="O171" s="1209"/>
      <c r="P171" s="2398" t="s">
        <v>2188</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2490</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2607</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2628</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1840</v>
      </c>
      <c r="D182" s="2180"/>
      <c r="E182" s="2180"/>
      <c r="F182" s="2180"/>
      <c r="G182" s="2180"/>
      <c r="H182" s="2180"/>
      <c r="I182" s="2180"/>
      <c r="J182" s="2180"/>
      <c r="K182" s="2180"/>
      <c r="L182" s="2180"/>
      <c r="M182" s="2180"/>
      <c r="N182" s="2180" t="s">
        <v>1851</v>
      </c>
      <c r="O182" s="2180"/>
      <c r="P182" s="2180"/>
      <c r="Q182" s="2180"/>
      <c r="R182" s="2180"/>
      <c r="S182" s="2180"/>
      <c r="T182" s="2180"/>
      <c r="U182" s="2212" t="s">
        <v>1840</v>
      </c>
      <c r="V182" s="2212"/>
      <c r="W182" s="2212"/>
      <c r="X182" s="2212"/>
      <c r="Y182" s="2212"/>
      <c r="Z182" s="2212"/>
      <c r="AA182" s="2212"/>
      <c r="AB182" s="2212"/>
      <c r="AC182" s="2212"/>
      <c r="AD182" s="2212"/>
      <c r="AE182" s="2213"/>
      <c r="AF182" s="1209"/>
      <c r="AG182" s="1209"/>
      <c r="AH182" s="2367" t="s">
        <v>2612</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2491</v>
      </c>
      <c r="D183" s="2357"/>
      <c r="E183" s="2357"/>
      <c r="F183" s="2357"/>
      <c r="G183" s="2357"/>
      <c r="H183" s="2357"/>
      <c r="I183" s="2357"/>
      <c r="J183" s="2357"/>
      <c r="K183" s="2357"/>
      <c r="L183" s="2357"/>
      <c r="M183" s="2357"/>
      <c r="N183" s="2370">
        <f>'Sources and Uses Budget'!B105</f>
        <v>76886718</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2611</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9"/>
      <c r="B184" s="1209"/>
      <c r="C184" s="2356" t="s">
        <v>2492</v>
      </c>
      <c r="D184" s="2357"/>
      <c r="E184" s="2357"/>
      <c r="F184" s="2357"/>
      <c r="G184" s="2357"/>
      <c r="H184" s="2357"/>
      <c r="I184" s="2357"/>
      <c r="J184" s="2357"/>
      <c r="K184" s="2357"/>
      <c r="L184" s="2357"/>
      <c r="M184" s="2357"/>
      <c r="N184" s="2370">
        <f>N183/J29</f>
        <v>1098381.6857142858</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2610</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9"/>
      <c r="B185" s="1209"/>
      <c r="C185" s="2373" t="s">
        <v>2493</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2609</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2494</v>
      </c>
      <c r="D186" s="2357"/>
      <c r="E186" s="2357"/>
      <c r="F186" s="2357"/>
      <c r="G186" s="2357"/>
      <c r="H186" s="2357"/>
      <c r="I186" s="2357"/>
      <c r="J186" s="2357"/>
      <c r="K186" s="2357"/>
      <c r="L186" s="2357"/>
      <c r="M186" s="2357"/>
      <c r="N186" s="2358">
        <f>SUM('Sources and Uses Budget'!B85:B86)</f>
        <v>1421928</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2495</v>
      </c>
      <c r="D187" s="2357"/>
      <c r="E187" s="2357"/>
      <c r="F187" s="2357"/>
      <c r="G187" s="2357"/>
      <c r="H187" s="2357"/>
      <c r="I187" s="2357"/>
      <c r="J187" s="2357"/>
      <c r="K187" s="2357"/>
      <c r="L187" s="2357"/>
      <c r="M187" s="2357"/>
      <c r="N187" s="2358">
        <f>'Sources and Uses Budget'!B8</f>
        <v>4000000</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1852</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2496</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1852</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2497</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2608</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1846</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2607</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1846</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1846</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1853</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1854</v>
      </c>
      <c r="D193" s="2333"/>
      <c r="E193" s="2333"/>
      <c r="F193" s="2333"/>
      <c r="G193" s="2333"/>
      <c r="H193" s="2333"/>
      <c r="I193" s="2333"/>
      <c r="J193" s="2333"/>
      <c r="K193" s="2333"/>
      <c r="L193" s="2333"/>
      <c r="M193" s="2333"/>
      <c r="N193" s="2334">
        <f>SUM(N185:T192)</f>
        <v>5421928</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2606</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2498</v>
      </c>
      <c r="D194" s="2313"/>
      <c r="E194" s="2313"/>
      <c r="F194" s="2313"/>
      <c r="G194" s="2313"/>
      <c r="H194" s="2313"/>
      <c r="I194" s="2313"/>
      <c r="J194" s="2313"/>
      <c r="K194" s="2313"/>
      <c r="L194" s="2313"/>
      <c r="M194" s="2313"/>
      <c r="N194" s="2314">
        <f>(N183-N193)/J29</f>
        <v>1020925.5714285715</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2605</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2604</v>
      </c>
      <c r="D198" s="2588"/>
      <c r="E198" s="2588"/>
      <c r="F198" s="2588"/>
      <c r="G198" s="2588"/>
      <c r="H198" s="2588"/>
      <c r="I198" s="2588"/>
      <c r="J198" s="2588"/>
      <c r="K198" s="2588"/>
      <c r="L198" s="2588"/>
      <c r="M198" s="2588"/>
      <c r="N198" s="2588"/>
      <c r="O198" s="2589" t="s">
        <v>2603</v>
      </c>
      <c r="P198" s="2589"/>
      <c r="Q198" s="2589"/>
      <c r="R198" s="2589"/>
      <c r="S198" s="2589"/>
      <c r="T198" s="2589"/>
      <c r="U198" s="2589"/>
      <c r="V198" s="2589"/>
      <c r="W198" s="2589"/>
      <c r="X198" s="2589" t="s">
        <v>2602</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2601</v>
      </c>
      <c r="D199" s="2586"/>
      <c r="E199" s="2586"/>
      <c r="F199" s="2586"/>
      <c r="G199" s="2586"/>
      <c r="H199" s="2586"/>
      <c r="I199" s="2586"/>
      <c r="J199" s="2586"/>
      <c r="K199" s="2586"/>
      <c r="L199" s="2586"/>
      <c r="M199" s="2586"/>
      <c r="N199" s="2586"/>
      <c r="O199" s="2318" t="s">
        <v>2600</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866</v>
      </c>
      <c r="D200" s="2586"/>
      <c r="E200" s="2586"/>
      <c r="F200" s="2586"/>
      <c r="G200" s="2586"/>
      <c r="H200" s="2586"/>
      <c r="I200" s="2586"/>
      <c r="J200" s="2586"/>
      <c r="K200" s="2586"/>
      <c r="L200" s="2586"/>
      <c r="M200" s="2586"/>
      <c r="N200" s="2586"/>
      <c r="O200" s="2318" t="s">
        <v>2600</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2599</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2598</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2597</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2596</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2595</v>
      </c>
      <c r="D205" s="2258"/>
      <c r="E205" s="2258"/>
      <c r="F205" s="2301"/>
      <c r="G205" s="2257" t="s">
        <v>2594</v>
      </c>
      <c r="H205" s="2258"/>
      <c r="I205" s="2258"/>
      <c r="J205" s="2258"/>
      <c r="K205" s="2258"/>
      <c r="L205" s="2258"/>
      <c r="M205" s="2258"/>
      <c r="N205" s="2258"/>
      <c r="O205" s="2301"/>
      <c r="P205" s="2304" t="s">
        <v>2593</v>
      </c>
      <c r="Q205" s="2305"/>
      <c r="R205" s="2305"/>
      <c r="S205" s="2305"/>
      <c r="T205" s="2306"/>
      <c r="U205" s="2251" t="s">
        <v>2592</v>
      </c>
      <c r="V205" s="2252"/>
      <c r="W205" s="2252"/>
      <c r="X205" s="2253"/>
      <c r="Y205" s="2251" t="s">
        <v>2591</v>
      </c>
      <c r="Z205" s="2252"/>
      <c r="AA205" s="2252"/>
      <c r="AB205" s="2253"/>
      <c r="AC205" s="2251" t="s">
        <v>2590</v>
      </c>
      <c r="AD205" s="2252"/>
      <c r="AE205" s="2252"/>
      <c r="AF205" s="2253"/>
      <c r="AG205" s="2257" t="s">
        <v>2589</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2155</v>
      </c>
      <c r="H207" s="2265"/>
      <c r="I207" s="2265"/>
      <c r="J207" s="2265"/>
      <c r="K207" s="2265"/>
      <c r="L207" s="2265"/>
      <c r="M207" s="2265"/>
      <c r="N207" s="2265"/>
      <c r="O207" s="2265"/>
      <c r="P207" s="2266"/>
      <c r="Q207" s="2267"/>
      <c r="R207" s="2267"/>
      <c r="S207" s="2267"/>
      <c r="T207" s="2267"/>
      <c r="U207" s="2268" t="s">
        <v>2155</v>
      </c>
      <c r="V207" s="2268"/>
      <c r="W207" s="2268"/>
      <c r="X207" s="2268"/>
      <c r="Y207" s="2268" t="s">
        <v>2155</v>
      </c>
      <c r="Z207" s="2268"/>
      <c r="AA207" s="2268"/>
      <c r="AB207" s="2268"/>
      <c r="AC207" s="2269" t="s">
        <v>2155</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2155</v>
      </c>
      <c r="H208" s="2265"/>
      <c r="I208" s="2265"/>
      <c r="J208" s="2265"/>
      <c r="K208" s="2265"/>
      <c r="L208" s="2265"/>
      <c r="M208" s="2265"/>
      <c r="N208" s="2265"/>
      <c r="O208" s="2265"/>
      <c r="P208" s="2266"/>
      <c r="Q208" s="2266"/>
      <c r="R208" s="2266"/>
      <c r="S208" s="2266"/>
      <c r="T208" s="2266"/>
      <c r="U208" s="2268" t="s">
        <v>2155</v>
      </c>
      <c r="V208" s="2268"/>
      <c r="W208" s="2268"/>
      <c r="X208" s="2268"/>
      <c r="Y208" s="2268" t="s">
        <v>2155</v>
      </c>
      <c r="Z208" s="2268"/>
      <c r="AA208" s="2268"/>
      <c r="AB208" s="2268"/>
      <c r="AC208" s="2269" t="s">
        <v>2155</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2155</v>
      </c>
      <c r="H209" s="2265"/>
      <c r="I209" s="2265"/>
      <c r="J209" s="2265"/>
      <c r="K209" s="2265"/>
      <c r="L209" s="2265"/>
      <c r="M209" s="2265"/>
      <c r="N209" s="2265"/>
      <c r="O209" s="2265"/>
      <c r="P209" s="2266"/>
      <c r="Q209" s="2266"/>
      <c r="R209" s="2266"/>
      <c r="S209" s="2266"/>
      <c r="T209" s="2266"/>
      <c r="U209" s="2268" t="s">
        <v>2155</v>
      </c>
      <c r="V209" s="2268"/>
      <c r="W209" s="2268"/>
      <c r="X209" s="2268"/>
      <c r="Y209" s="2268" t="s">
        <v>2155</v>
      </c>
      <c r="Z209" s="2268"/>
      <c r="AA209" s="2268"/>
      <c r="AB209" s="2268"/>
      <c r="AC209" s="2269" t="s">
        <v>2155</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2155</v>
      </c>
      <c r="H210" s="2265"/>
      <c r="I210" s="2265"/>
      <c r="J210" s="2265"/>
      <c r="K210" s="2265"/>
      <c r="L210" s="2265"/>
      <c r="M210" s="2265"/>
      <c r="N210" s="2265"/>
      <c r="O210" s="2265"/>
      <c r="P210" s="2266"/>
      <c r="Q210" s="2266"/>
      <c r="R210" s="2266"/>
      <c r="S210" s="2266"/>
      <c r="T210" s="2266"/>
      <c r="U210" s="2268" t="s">
        <v>2155</v>
      </c>
      <c r="V210" s="2268"/>
      <c r="W210" s="2268"/>
      <c r="X210" s="2268"/>
      <c r="Y210" s="2268" t="s">
        <v>2155</v>
      </c>
      <c r="Z210" s="2268"/>
      <c r="AA210" s="2268"/>
      <c r="AB210" s="2268"/>
      <c r="AC210" s="2269" t="s">
        <v>2155</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2155</v>
      </c>
      <c r="V211" s="2268"/>
      <c r="W211" s="2268"/>
      <c r="X211" s="2268"/>
      <c r="Y211" s="2268" t="s">
        <v>2155</v>
      </c>
      <c r="Z211" s="2268"/>
      <c r="AA211" s="2268"/>
      <c r="AB211" s="2268"/>
      <c r="AC211" s="2269" t="s">
        <v>2155</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2155</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2155</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2155</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2588</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1855</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1856</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1857</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1858</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1860</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2499</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1861</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1862</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1863</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444</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1864</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1865</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topLeftCell="A7" workbookViewId="0">
      <selection sqref="A1:AN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1391</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66618029</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506</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764" t="s">
        <v>980</v>
      </c>
      <c r="D18" s="1764"/>
      <c r="E18" s="1764"/>
      <c r="F18" s="1764"/>
      <c r="G18" s="1764"/>
      <c r="H18" s="1764"/>
      <c r="I18" s="1764"/>
      <c r="J18" s="1764"/>
      <c r="K18" s="1764"/>
      <c r="L18" s="1764"/>
      <c r="M18" s="1764"/>
      <c r="N18" s="1764"/>
      <c r="O18" s="1764"/>
      <c r="P18" s="1764"/>
      <c r="Q18" s="1764"/>
      <c r="R18" s="1764"/>
      <c r="S18" s="1765"/>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764" t="s">
        <v>980</v>
      </c>
      <c r="D19" s="1764"/>
      <c r="E19" s="1764"/>
      <c r="F19" s="1764"/>
      <c r="G19" s="1764"/>
      <c r="H19" s="1764"/>
      <c r="I19" s="1764"/>
      <c r="J19" s="1764"/>
      <c r="K19" s="1764"/>
      <c r="L19" s="1764"/>
      <c r="M19" s="1764"/>
      <c r="N19" s="1764"/>
      <c r="O19" s="1764"/>
      <c r="P19" s="1764"/>
      <c r="Q19" s="1764"/>
      <c r="R19" s="1764"/>
      <c r="S19" s="1765"/>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1374</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12">
        <f>T11+T22</f>
        <v>66618029</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135765838</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1375</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12">
        <f>T23*T25</f>
        <v>86603437.700000003</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IF(ISERROR((T26*T27)),0,(T26*T27))</f>
        <v>86603437.700000003</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14">
        <f>T28+Y28+AD28+AI28</f>
        <v>86603437.700000003</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1377</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1376</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86603437.700000003</v>
      </c>
      <c r="Z38" s="2613"/>
      <c r="AA38" s="2613"/>
      <c r="AB38" s="2613"/>
      <c r="AC38" s="2613"/>
      <c r="AD38" s="2613">
        <f>IF(T24&gt;=(T23+Y23+AD23+AI23),AD28+AI28,0)</f>
        <v>0</v>
      </c>
      <c r="AE38" s="2613"/>
      <c r="AF38" s="2613"/>
      <c r="AG38" s="2613"/>
      <c r="AH38" s="2613"/>
    </row>
    <row r="39" spans="1:76" ht="12.95" customHeight="1">
      <c r="B39" s="2619" t="s">
        <v>1882</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3464138</v>
      </c>
      <c r="Z40" s="2613"/>
      <c r="AA40" s="2613"/>
      <c r="AB40" s="2613"/>
      <c r="AC40" s="2613"/>
      <c r="AD40" s="2612">
        <f>ROUND(AD38*AD39,0)</f>
        <v>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3464138</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1387</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595</v>
      </c>
      <c r="C46" s="435" t="s">
        <v>283</v>
      </c>
    </row>
    <row r="47" spans="1:76" ht="12.95" customHeight="1">
      <c r="D47" s="435" t="s">
        <v>284</v>
      </c>
      <c r="AB47" s="2629">
        <f>'Sources and Uses Budget'!B105-MAX(IF('Sources and Uses Budget'!B15="",0,'Sources and Uses Budget'!B15),IF(Application!AG394="",0,Application!AG394))</f>
        <v>76886718</v>
      </c>
      <c r="AC47" s="2630"/>
      <c r="AD47" s="2630"/>
      <c r="AE47" s="2630"/>
      <c r="AF47" s="2631"/>
    </row>
    <row r="48" spans="1:76" ht="12.95" customHeight="1">
      <c r="D48" s="435" t="s">
        <v>21</v>
      </c>
      <c r="AB48" s="2629">
        <f>Application!AO639-MAX(IF('Sources and Uses Budget'!B15="",0,'Sources and Uses Budget'!B15),IF(Application!AG394="",0,Application!AG394))</f>
        <v>33037476</v>
      </c>
      <c r="AC48" s="2630"/>
      <c r="AD48" s="2630"/>
      <c r="AE48" s="2630"/>
      <c r="AF48" s="2631"/>
    </row>
    <row r="49" spans="1:76" ht="12.95" customHeight="1">
      <c r="D49" s="435" t="s">
        <v>91</v>
      </c>
      <c r="AB49" s="2629">
        <f>AB47-AB48</f>
        <v>43849242</v>
      </c>
      <c r="AC49" s="2630"/>
      <c r="AD49" s="2630"/>
      <c r="AE49" s="2630"/>
      <c r="AF49" s="2631"/>
    </row>
    <row r="50" spans="1:76" ht="12.95" customHeight="1">
      <c r="D50" s="435" t="s">
        <v>690</v>
      </c>
      <c r="AA50" s="446"/>
      <c r="AB50" s="2656">
        <v>0.9</v>
      </c>
      <c r="AC50" s="2657"/>
      <c r="AD50" s="2657"/>
      <c r="AE50" s="2657"/>
      <c r="AF50" s="2658"/>
    </row>
    <row r="51" spans="1:76" s="448" customFormat="1" ht="12.95" customHeight="1">
      <c r="A51" s="433"/>
      <c r="B51" s="433"/>
      <c r="C51" s="433"/>
      <c r="D51" s="433"/>
      <c r="E51" s="2659" t="s">
        <v>2042</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48721380</v>
      </c>
      <c r="AC54" s="2630"/>
      <c r="AD54" s="2630"/>
      <c r="AE54" s="2630"/>
      <c r="AF54" s="2631"/>
    </row>
    <row r="55" spans="1:76" ht="12.95" customHeight="1">
      <c r="D55" s="435" t="s">
        <v>334</v>
      </c>
      <c r="AB55" s="2629">
        <f>(AB54/10)</f>
        <v>4872138</v>
      </c>
      <c r="AC55" s="2630"/>
      <c r="AD55" s="2630"/>
      <c r="AE55" s="2630"/>
      <c r="AF55" s="2631"/>
    </row>
    <row r="56" spans="1:76" ht="12.95" customHeight="1">
      <c r="D56" s="435" t="s">
        <v>766</v>
      </c>
      <c r="AB56" s="2660">
        <f>(IF((Y41&lt;AB55),Y41,AB55))</f>
        <v>3464138</v>
      </c>
      <c r="AC56" s="2661"/>
      <c r="AD56" s="2661"/>
      <c r="AE56" s="2661"/>
      <c r="AF56" s="2662"/>
    </row>
    <row r="57" spans="1:76" ht="12.95" customHeight="1">
      <c r="D57" s="435" t="s">
        <v>765</v>
      </c>
      <c r="AB57" s="2629">
        <f>ROUND((10*AB56*AB50),0)</f>
        <v>31177242</v>
      </c>
      <c r="AC57" s="2630"/>
      <c r="AD57" s="2630"/>
      <c r="AE57" s="2630"/>
      <c r="AF57" s="2631"/>
    </row>
    <row r="58" spans="1:76" ht="12.95" customHeight="1">
      <c r="D58" s="435"/>
      <c r="AB58" s="454"/>
      <c r="AC58" s="454"/>
      <c r="AD58" s="454"/>
      <c r="AE58" s="454"/>
      <c r="AF58" s="454"/>
    </row>
    <row r="59" spans="1:76" ht="12.95" customHeight="1">
      <c r="D59" s="435" t="s">
        <v>764</v>
      </c>
      <c r="AB59" s="2652">
        <f>AB49-AB57</f>
        <v>12672000</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598</v>
      </c>
      <c r="C63" s="219" t="s">
        <v>1358</v>
      </c>
      <c r="Y63" s="2653" t="s">
        <v>1004</v>
      </c>
      <c r="Z63" s="2653"/>
      <c r="AA63" s="2653"/>
      <c r="AB63" s="2653"/>
      <c r="AC63" s="2653"/>
      <c r="AD63" s="2653" t="s">
        <v>370</v>
      </c>
      <c r="AE63" s="2653"/>
      <c r="AF63" s="2653"/>
      <c r="AG63" s="2653"/>
      <c r="AH63" s="2653"/>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66618029</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5"/>
      <c r="D68" s="219" t="s">
        <v>1360</v>
      </c>
      <c r="Y68" s="2613">
        <f>ROUND(Y64*Y67,0)</f>
        <v>19985409</v>
      </c>
      <c r="Z68" s="2671"/>
      <c r="AA68" s="2671"/>
      <c r="AB68" s="2671"/>
      <c r="AC68" s="2671"/>
      <c r="AD68" s="2613">
        <f>ROUND(AD64*AD67,0)</f>
        <v>0</v>
      </c>
      <c r="AE68" s="2671"/>
      <c r="AF68" s="2671"/>
      <c r="AG68" s="2671"/>
      <c r="AH68" s="2671"/>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6">
        <v>0.88</v>
      </c>
      <c r="AC71" s="2657"/>
      <c r="AD71" s="2657"/>
      <c r="AE71" s="2657"/>
      <c r="AF71" s="2658"/>
    </row>
    <row r="72" spans="1:36" ht="12.95" customHeight="1">
      <c r="A72" s="435"/>
      <c r="C72" s="435"/>
      <c r="D72" s="435"/>
      <c r="E72" s="2672" t="s">
        <v>1362</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2.95"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5">
        <f>ROUND(IF(ISERROR((AB59/AB71)),0,(AB59/AB71)),0)</f>
        <v>14400000</v>
      </c>
      <c r="AC76" s="2665"/>
      <c r="AD76" s="2665"/>
      <c r="AE76" s="2665"/>
      <c r="AF76" s="2665"/>
    </row>
    <row r="77" spans="1:36" ht="12.95" customHeight="1">
      <c r="C77" s="435"/>
      <c r="D77" s="219" t="s">
        <v>1364</v>
      </c>
      <c r="AB77" s="2666">
        <f>IF((Y68+AD68&lt;AB76),Y68+AD68,AB76)</f>
        <v>14400000</v>
      </c>
      <c r="AC77" s="2667"/>
      <c r="AD77" s="2667"/>
      <c r="AE77" s="2667"/>
      <c r="AF77" s="2668"/>
    </row>
    <row r="78" spans="1:36" ht="12.95" customHeight="1">
      <c r="C78" s="435"/>
      <c r="D78" s="219" t="s">
        <v>1365</v>
      </c>
      <c r="AB78" s="2669">
        <f>AB77*AB71</f>
        <v>12672000</v>
      </c>
      <c r="AC78" s="2669"/>
      <c r="AD78" s="2669"/>
      <c r="AE78" s="2669"/>
      <c r="AF78" s="2669"/>
    </row>
    <row r="79" spans="1:36" ht="12.95" customHeight="1">
      <c r="C79" s="435"/>
      <c r="D79" s="435"/>
      <c r="AB79" s="456"/>
      <c r="AC79" s="456"/>
      <c r="AD79" s="456"/>
      <c r="AE79" s="456"/>
      <c r="AF79" s="456"/>
    </row>
    <row r="80" spans="1:36" ht="12.95" customHeight="1">
      <c r="D80" s="435" t="s">
        <v>764</v>
      </c>
      <c r="AB80" s="2652">
        <f>AB49-(AB57+AB78)</f>
        <v>0</v>
      </c>
      <c r="AC80" s="2652"/>
      <c r="AD80" s="2652"/>
      <c r="AE80" s="2652"/>
      <c r="AF80" s="2652"/>
    </row>
    <row r="81" spans="1:78" ht="12.95" customHeight="1">
      <c r="F81" s="556"/>
      <c r="J81" s="556" t="str">
        <f>IF(AB80&gt;0,"FUNDING GAP MUST NOT EXCEED ZERO","")</f>
        <v/>
      </c>
    </row>
    <row r="82" spans="1:78" ht="12.95" customHeight="1">
      <c r="D82" s="557"/>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5"/>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15</v>
      </c>
      <c r="C4" s="1122" t="s">
        <v>386</v>
      </c>
      <c r="D4" s="459">
        <f>Application!O718</f>
        <v>913</v>
      </c>
      <c r="E4" s="460"/>
      <c r="F4" s="1123">
        <f>2372-62</f>
        <v>2310</v>
      </c>
      <c r="G4" s="459">
        <f>F4*B4</f>
        <v>34650</v>
      </c>
      <c r="H4" s="460"/>
      <c r="I4" s="459">
        <f t="shared" ref="I4:I27" si="0">IF(F4=0,"",(F4-D4))</f>
        <v>1397</v>
      </c>
      <c r="J4" s="459">
        <f t="shared" ref="J4:J27" si="1">IF(F4=0,"",(I4*B4))</f>
        <v>20955</v>
      </c>
      <c r="K4" s="218"/>
      <c r="L4" s="328"/>
    </row>
    <row r="5" spans="1:12">
      <c r="A5" s="459" t="str">
        <f>Application!B719</f>
        <v>SRO/Studio</v>
      </c>
      <c r="B5" s="1121">
        <f>Application!G719</f>
        <v>18</v>
      </c>
      <c r="C5" s="1122"/>
      <c r="D5" s="459">
        <f>Application!O719</f>
        <v>913</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t="s">
        <v>386</v>
      </c>
      <c r="D6" s="459">
        <f>Application!O720</f>
        <v>588</v>
      </c>
      <c r="E6" s="460"/>
      <c r="F6" s="1123">
        <v>2310</v>
      </c>
      <c r="G6" s="459">
        <f t="shared" si="2"/>
        <v>2310</v>
      </c>
      <c r="H6" s="460"/>
      <c r="I6" s="459">
        <f t="shared" si="0"/>
        <v>1722</v>
      </c>
      <c r="J6" s="459">
        <f t="shared" si="1"/>
        <v>1722</v>
      </c>
      <c r="K6" s="218"/>
      <c r="L6" s="328"/>
    </row>
    <row r="7" spans="1:12">
      <c r="A7" s="459" t="str">
        <f>Application!B721</f>
        <v>SRO/Studio</v>
      </c>
      <c r="B7" s="1121">
        <f>Application!G721</f>
        <v>1</v>
      </c>
      <c r="C7" s="1122"/>
      <c r="D7" s="459">
        <f>Application!O721</f>
        <v>1564</v>
      </c>
      <c r="E7" s="460"/>
      <c r="F7" s="1123"/>
      <c r="G7" s="459">
        <f t="shared" si="2"/>
        <v>0</v>
      </c>
      <c r="H7" s="460"/>
      <c r="I7" s="459" t="str">
        <f t="shared" si="0"/>
        <v/>
      </c>
      <c r="J7" s="459" t="str">
        <f t="shared" si="1"/>
        <v/>
      </c>
      <c r="K7" s="218"/>
      <c r="L7" s="328"/>
    </row>
    <row r="8" spans="1:12">
      <c r="A8" s="459" t="str">
        <f>Application!B722</f>
        <v>SRO/Studio</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1 Bedroom</v>
      </c>
      <c r="B9" s="1121">
        <f>Application!G723</f>
        <v>9</v>
      </c>
      <c r="C9" s="1122" t="s">
        <v>386</v>
      </c>
      <c r="D9" s="459">
        <f>Application!O723</f>
        <v>971</v>
      </c>
      <c r="E9" s="460"/>
      <c r="F9" s="1123">
        <f>2932-74</f>
        <v>2858</v>
      </c>
      <c r="G9" s="459">
        <f t="shared" si="2"/>
        <v>25722</v>
      </c>
      <c r="H9" s="460"/>
      <c r="I9" s="459">
        <f t="shared" si="0"/>
        <v>1887</v>
      </c>
      <c r="J9" s="459">
        <f t="shared" si="1"/>
        <v>16983</v>
      </c>
      <c r="K9" s="218"/>
      <c r="L9" s="328"/>
    </row>
    <row r="10" spans="1:12">
      <c r="A10" s="459" t="str">
        <f>Application!B724</f>
        <v>1 Bedroom</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t="str">
        <f>Application!B725</f>
        <v>1 Bedroom</v>
      </c>
      <c r="B11" s="1121">
        <f>Application!G725</f>
        <v>11</v>
      </c>
      <c r="C11" s="1122" t="s">
        <v>386</v>
      </c>
      <c r="D11" s="459">
        <f>Application!O725</f>
        <v>623</v>
      </c>
      <c r="E11" s="460"/>
      <c r="F11" s="1123">
        <f>F9</f>
        <v>2858</v>
      </c>
      <c r="G11" s="459">
        <f t="shared" si="2"/>
        <v>31438</v>
      </c>
      <c r="H11" s="460"/>
      <c r="I11" s="459">
        <f t="shared" si="0"/>
        <v>2235</v>
      </c>
      <c r="J11" s="459">
        <f t="shared" si="1"/>
        <v>24585</v>
      </c>
      <c r="K11" s="218"/>
      <c r="L11" s="328"/>
    </row>
    <row r="12" spans="1:12">
      <c r="A12" s="459" t="str">
        <f>Application!B726</f>
        <v>1 Bedroom</v>
      </c>
      <c r="B12" s="1121">
        <f>Application!G726</f>
        <v>16</v>
      </c>
      <c r="C12" s="1122"/>
      <c r="D12" s="459">
        <f>Application!O726</f>
        <v>1668</v>
      </c>
      <c r="E12" s="460"/>
      <c r="F12" s="1123"/>
      <c r="G12" s="459">
        <f t="shared" si="2"/>
        <v>0</v>
      </c>
      <c r="H12" s="460"/>
      <c r="I12" s="459" t="str">
        <f t="shared" si="0"/>
        <v/>
      </c>
      <c r="J12" s="459" t="str">
        <f t="shared" si="1"/>
        <v/>
      </c>
      <c r="K12" s="218"/>
      <c r="L12" s="328"/>
    </row>
    <row r="13" spans="1:12">
      <c r="A13" s="459" t="str">
        <f>Application!B727</f>
        <v>1 Bedroom</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74561</v>
      </c>
      <c r="E40" s="460"/>
      <c r="F40" s="460"/>
      <c r="G40" s="463">
        <f>SUM(G4:G38)*12</f>
        <v>1129440</v>
      </c>
      <c r="H40" s="464"/>
      <c r="I40" s="462"/>
      <c r="J40" s="463">
        <f>SUM(J4:J38)*12</f>
        <v>770940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894732</v>
      </c>
      <c r="G4" s="235">
        <f>E4*$C$4</f>
        <v>917100.29999999993</v>
      </c>
      <c r="I4" s="235">
        <f>G4*$C$4</f>
        <v>940027.80749999988</v>
      </c>
      <c r="K4" s="235">
        <f>I4*$C$4</f>
        <v>963528.50268749974</v>
      </c>
      <c r="M4" s="235">
        <f>K4*$C$4</f>
        <v>987616.71525468712</v>
      </c>
      <c r="O4" s="235">
        <f>M4*$C$4</f>
        <v>1012307.1331360543</v>
      </c>
      <c r="Q4" s="235">
        <f>O4*$C$4</f>
        <v>1037614.8114644556</v>
      </c>
      <c r="S4" s="235">
        <f>Q4*$C$4</f>
        <v>1063555.1817510668</v>
      </c>
      <c r="U4" s="235">
        <f>S4*$C$4</f>
        <v>1090144.0612948434</v>
      </c>
      <c r="W4" s="235">
        <f>U4*$C$4</f>
        <v>1117397.6628272145</v>
      </c>
      <c r="Y4" s="235">
        <f>W4*$C$4</f>
        <v>1145332.6043978948</v>
      </c>
      <c r="AA4" s="235">
        <f>Y4*$C$4</f>
        <v>1173965.919507842</v>
      </c>
      <c r="AC4" s="235">
        <f>AA4*$C$4</f>
        <v>1203315.0674955379</v>
      </c>
      <c r="AE4" s="235">
        <f>AC4*$C$4</f>
        <v>1233397.9441829263</v>
      </c>
      <c r="AG4" s="235">
        <f>AE4*$C$4</f>
        <v>1264232.8927874994</v>
      </c>
    </row>
    <row r="5" spans="1:34" s="225" customFormat="1" ht="14.25">
      <c r="B5" s="225" t="s">
        <v>850</v>
      </c>
      <c r="C5" s="254">
        <f>IF(Application!$D$211="Special Needs",0.1,0.05)</f>
        <v>0.05</v>
      </c>
      <c r="E5" s="237">
        <f>-E4*$C$5</f>
        <v>-44736.600000000006</v>
      </c>
      <c r="F5" s="237"/>
      <c r="G5" s="237">
        <f>-G4*$C$5</f>
        <v>-45855.014999999999</v>
      </c>
      <c r="H5" s="237"/>
      <c r="I5" s="237">
        <f>-I4*$C$5</f>
        <v>-47001.390374999995</v>
      </c>
      <c r="J5" s="237"/>
      <c r="K5" s="237">
        <f>-K4*$C$5</f>
        <v>-48176.425134374993</v>
      </c>
      <c r="L5" s="237"/>
      <c r="M5" s="237">
        <f>-M4*$C$5</f>
        <v>-49380.835762734358</v>
      </c>
      <c r="N5" s="237"/>
      <c r="O5" s="237">
        <f>-O4*$C$5</f>
        <v>-50615.356656802716</v>
      </c>
      <c r="P5" s="237"/>
      <c r="Q5" s="237">
        <f>-Q4*$C$5</f>
        <v>-51880.740573222778</v>
      </c>
      <c r="R5" s="237"/>
      <c r="S5" s="237">
        <f>-S4*$C$5</f>
        <v>-53177.759087553342</v>
      </c>
      <c r="T5" s="237"/>
      <c r="U5" s="237">
        <f>-U4*$C$5</f>
        <v>-54507.203064742178</v>
      </c>
      <c r="V5" s="237"/>
      <c r="W5" s="237">
        <f>-W4*$C$5</f>
        <v>-55869.883141360726</v>
      </c>
      <c r="X5" s="237"/>
      <c r="Y5" s="237">
        <f>-Y4*$C$5</f>
        <v>-57266.630219894745</v>
      </c>
      <c r="Z5" s="237"/>
      <c r="AA5" s="237">
        <f>-AA4*$C$5</f>
        <v>-58698.295975392102</v>
      </c>
      <c r="AB5" s="237"/>
      <c r="AC5" s="237">
        <f>-AC4*$C$5</f>
        <v>-60165.753374776898</v>
      </c>
      <c r="AD5" s="237"/>
      <c r="AE5" s="237">
        <f>-AE4*$C$5</f>
        <v>-61669.897209146322</v>
      </c>
      <c r="AF5" s="237"/>
      <c r="AG5" s="237">
        <f>-AG4*$C$5</f>
        <v>-63211.644639374972</v>
      </c>
    </row>
    <row r="6" spans="1:34" s="225" customFormat="1" ht="14.25">
      <c r="A6" s="225" t="s">
        <v>848</v>
      </c>
      <c r="C6" s="253">
        <v>1.0249999999999999</v>
      </c>
      <c r="E6" s="238">
        <f>Application!Z809</f>
        <v>770940</v>
      </c>
      <c r="F6" s="238"/>
      <c r="G6" s="238">
        <f>E6*$C$6</f>
        <v>790213.49999999988</v>
      </c>
      <c r="H6" s="238"/>
      <c r="I6" s="238">
        <f>G6*$C$6</f>
        <v>809968.83749999979</v>
      </c>
      <c r="J6" s="238"/>
      <c r="K6" s="238">
        <f>I6*$C$6</f>
        <v>830218.05843749968</v>
      </c>
      <c r="L6" s="238"/>
      <c r="M6" s="238">
        <f>K6*$C$6</f>
        <v>850973.50989843707</v>
      </c>
      <c r="N6" s="238"/>
      <c r="O6" s="238">
        <f>M6*$C$6</f>
        <v>872247.84764589788</v>
      </c>
      <c r="P6" s="238"/>
      <c r="Q6" s="238">
        <f>O6*$C$6</f>
        <v>894054.0438370452</v>
      </c>
      <c r="R6" s="238"/>
      <c r="S6" s="238">
        <f>Q6*$C$6</f>
        <v>916405.39493297122</v>
      </c>
      <c r="T6" s="238"/>
      <c r="U6" s="238">
        <f>S6*$C$6</f>
        <v>939315.52980629541</v>
      </c>
      <c r="V6" s="238"/>
      <c r="W6" s="238">
        <f>U6*$C$6</f>
        <v>962798.41805145273</v>
      </c>
      <c r="X6" s="238"/>
      <c r="Y6" s="238">
        <f>W6*$C$6</f>
        <v>986868.37850273901</v>
      </c>
      <c r="Z6" s="238"/>
      <c r="AA6" s="238">
        <f>Y6*$C$6</f>
        <v>1011540.0879653074</v>
      </c>
      <c r="AB6" s="238"/>
      <c r="AC6" s="238">
        <f>AA6*$C$6</f>
        <v>1036828.59016444</v>
      </c>
      <c r="AD6" s="238"/>
      <c r="AE6" s="238">
        <f>AC6*$C$6</f>
        <v>1062749.3049185509</v>
      </c>
      <c r="AF6" s="238"/>
      <c r="AG6" s="238">
        <f>AE6*$C$6</f>
        <v>1089318.0375415145</v>
      </c>
    </row>
    <row r="7" spans="1:34" s="225" customFormat="1" ht="14.25">
      <c r="B7" s="225" t="s">
        <v>850</v>
      </c>
      <c r="C7" s="254">
        <f>IF(Application!$D$211="Special Needs",0.1,0.05)</f>
        <v>0.05</v>
      </c>
      <c r="E7" s="237">
        <f>-E6*$C$7</f>
        <v>-38547</v>
      </c>
      <c r="F7" s="237"/>
      <c r="G7" s="237">
        <f>-G6*$C$7</f>
        <v>-39510.674999999996</v>
      </c>
      <c r="H7" s="237"/>
      <c r="I7" s="237">
        <f>-I6*$C$7</f>
        <v>-40498.44187499999</v>
      </c>
      <c r="J7" s="237"/>
      <c r="K7" s="237">
        <f>-K6*$C$7</f>
        <v>-41510.902921874986</v>
      </c>
      <c r="L7" s="237"/>
      <c r="M7" s="237">
        <f>-M6*$C$7</f>
        <v>-42548.675494921859</v>
      </c>
      <c r="N7" s="237"/>
      <c r="O7" s="237">
        <f>-O6*$C$7</f>
        <v>-43612.3923822949</v>
      </c>
      <c r="P7" s="237"/>
      <c r="Q7" s="237">
        <f>-Q6*$C$7</f>
        <v>-44702.702191852266</v>
      </c>
      <c r="R7" s="237"/>
      <c r="S7" s="237">
        <f>-S6*$C$7</f>
        <v>-45820.269746648562</v>
      </c>
      <c r="T7" s="237"/>
      <c r="U7" s="237">
        <f>-U6*$C$7</f>
        <v>-46965.776490314776</v>
      </c>
      <c r="V7" s="237"/>
      <c r="W7" s="237">
        <f>-W6*$C$7</f>
        <v>-48139.920902572638</v>
      </c>
      <c r="X7" s="237"/>
      <c r="Y7" s="237">
        <f>-Y6*$C$7</f>
        <v>-49343.418925136953</v>
      </c>
      <c r="Z7" s="237"/>
      <c r="AA7" s="237">
        <f>-AA6*$C$7</f>
        <v>-50577.004398265373</v>
      </c>
      <c r="AB7" s="237"/>
      <c r="AC7" s="237">
        <f>-AC6*$C$7</f>
        <v>-51841.429508222005</v>
      </c>
      <c r="AD7" s="237"/>
      <c r="AE7" s="237">
        <f>-AE6*$C$7</f>
        <v>-53137.465245927546</v>
      </c>
      <c r="AF7" s="237"/>
      <c r="AG7" s="237">
        <f>-AG6*$C$7</f>
        <v>-54465.901877075725</v>
      </c>
    </row>
    <row r="8" spans="1:34" s="225" customFormat="1" ht="14.25">
      <c r="A8" s="225" t="s">
        <v>289</v>
      </c>
      <c r="C8" s="253">
        <v>1.0249999999999999</v>
      </c>
      <c r="E8" s="238">
        <f>Application!Z817</f>
        <v>21977</v>
      </c>
      <c r="F8" s="238"/>
      <c r="G8" s="238">
        <f>E8*$C$8</f>
        <v>22526.424999999999</v>
      </c>
      <c r="H8" s="238"/>
      <c r="I8" s="238">
        <f>G8*$C$8</f>
        <v>23089.585624999996</v>
      </c>
      <c r="J8" s="238"/>
      <c r="K8" s="238">
        <f>I8*$C$8</f>
        <v>23666.825265624993</v>
      </c>
      <c r="L8" s="238"/>
      <c r="M8" s="238">
        <f>K8*$C$8</f>
        <v>24258.495897265617</v>
      </c>
      <c r="N8" s="238"/>
      <c r="O8" s="238">
        <f>M8*$C$8</f>
        <v>24864.958294697255</v>
      </c>
      <c r="P8" s="238"/>
      <c r="Q8" s="238">
        <f>O8*$C$8</f>
        <v>25486.582252064683</v>
      </c>
      <c r="R8" s="238"/>
      <c r="S8" s="238">
        <f>Q8*$C$8</f>
        <v>26123.746808366297</v>
      </c>
      <c r="T8" s="238"/>
      <c r="U8" s="238">
        <f>S8*$C$8</f>
        <v>26776.840478575454</v>
      </c>
      <c r="V8" s="238"/>
      <c r="W8" s="238">
        <f>U8*$C$8</f>
        <v>27446.261490539837</v>
      </c>
      <c r="X8" s="238"/>
      <c r="Y8" s="238">
        <f>W8*$C$8</f>
        <v>28132.418027803331</v>
      </c>
      <c r="Z8" s="238"/>
      <c r="AA8" s="238">
        <f>Y8*$C$8</f>
        <v>28835.728478498411</v>
      </c>
      <c r="AB8" s="238"/>
      <c r="AC8" s="238">
        <f>AA8*$C$8</f>
        <v>29556.62169046087</v>
      </c>
      <c r="AD8" s="238"/>
      <c r="AE8" s="238">
        <f>AC8*$C$8</f>
        <v>30295.537232722389</v>
      </c>
      <c r="AF8" s="238"/>
      <c r="AG8" s="238">
        <f>AE8*$C$8</f>
        <v>31052.925663540445</v>
      </c>
    </row>
    <row r="9" spans="1:34" s="225" customFormat="1" ht="14.25">
      <c r="B9" s="225" t="s">
        <v>850</v>
      </c>
      <c r="C9" s="254">
        <f>IF(Application!$D$211="Special Needs",0.1,0.05)</f>
        <v>0.05</v>
      </c>
      <c r="E9" s="237">
        <f>-E8*$C$9</f>
        <v>-1098.8500000000001</v>
      </c>
      <c r="F9" s="237"/>
      <c r="G9" s="237">
        <f>-G8*$C$9</f>
        <v>-1126.32125</v>
      </c>
      <c r="H9" s="237"/>
      <c r="I9" s="237">
        <f>-I8*$C$9</f>
        <v>-1154.4792812499998</v>
      </c>
      <c r="J9" s="237"/>
      <c r="K9" s="237">
        <f>-K8*$C$9</f>
        <v>-1183.3412632812497</v>
      </c>
      <c r="L9" s="237"/>
      <c r="M9" s="237">
        <f>-M8*$C$9</f>
        <v>-1212.9247948632808</v>
      </c>
      <c r="N9" s="237"/>
      <c r="O9" s="237">
        <f>-O8*$C$9</f>
        <v>-1243.2479147348629</v>
      </c>
      <c r="P9" s="237"/>
      <c r="Q9" s="237">
        <f>-Q8*$C$9</f>
        <v>-1274.3291126032343</v>
      </c>
      <c r="R9" s="237"/>
      <c r="S9" s="237">
        <f>-S8*$C$9</f>
        <v>-1306.187340418315</v>
      </c>
      <c r="T9" s="237"/>
      <c r="U9" s="237">
        <f>-U8*$C$9</f>
        <v>-1338.8420239287727</v>
      </c>
      <c r="V9" s="237"/>
      <c r="W9" s="237">
        <f>-W8*$C$9</f>
        <v>-1372.3130745269918</v>
      </c>
      <c r="X9" s="237"/>
      <c r="Y9" s="237">
        <f>-Y8*$C$9</f>
        <v>-1406.6209013901666</v>
      </c>
      <c r="Z9" s="237"/>
      <c r="AA9" s="237">
        <f>-AA8*$C$9</f>
        <v>-1441.7864239249207</v>
      </c>
      <c r="AB9" s="237"/>
      <c r="AC9" s="237">
        <f>-AC8*$C$9</f>
        <v>-1477.8310845230435</v>
      </c>
      <c r="AD9" s="237"/>
      <c r="AE9" s="237">
        <f>-AE8*$C$9</f>
        <v>-1514.7768616361195</v>
      </c>
      <c r="AF9" s="237"/>
      <c r="AG9" s="237">
        <f>-AG8*$C$9</f>
        <v>-1552.6462831770223</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1603266.5499999998</v>
      </c>
      <c r="G11" s="239">
        <f>SUM(G4:G10)</f>
        <v>1643348.2137499996</v>
      </c>
      <c r="I11" s="239">
        <f>SUM(I4:I10)</f>
        <v>1684431.9190937497</v>
      </c>
      <c r="K11" s="239">
        <f>SUM(K4:K10)</f>
        <v>1726542.7170710932</v>
      </c>
      <c r="M11" s="239">
        <f>SUM(M4:M10)</f>
        <v>1769706.2849978704</v>
      </c>
      <c r="O11" s="239">
        <f>SUM(O4:O10)</f>
        <v>1813948.9421228173</v>
      </c>
      <c r="Q11" s="239">
        <f>SUM(Q4:Q10)</f>
        <v>1859297.6656758871</v>
      </c>
      <c r="S11" s="239">
        <f>SUM(S4:S10)</f>
        <v>1905780.1073177841</v>
      </c>
      <c r="U11" s="239">
        <f>SUM(U4:U10)</f>
        <v>1953424.6100007286</v>
      </c>
      <c r="W11" s="239">
        <f>SUM(W4:W10)</f>
        <v>2002260.2252507466</v>
      </c>
      <c r="Y11" s="239">
        <f>SUM(Y4:Y10)</f>
        <v>2052316.7308820151</v>
      </c>
      <c r="AA11" s="239">
        <f>SUM(AA4:AA10)</f>
        <v>2103624.6491540652</v>
      </c>
      <c r="AC11" s="239">
        <f>SUM(AC4:AC10)</f>
        <v>2156215.2653829171</v>
      </c>
      <c r="AE11" s="239">
        <f>SUM(AE4:AE10)</f>
        <v>2210120.6470174892</v>
      </c>
      <c r="AG11" s="239">
        <f>SUM(AG4:AG10)</f>
        <v>2265373.6631929264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162556</v>
      </c>
      <c r="G15" s="235">
        <f>E15*$C$14</f>
        <v>168245.46</v>
      </c>
      <c r="I15" s="235">
        <f>G15*$C$14</f>
        <v>174134.05109999998</v>
      </c>
      <c r="K15" s="235">
        <f>I15*$C$14</f>
        <v>180228.74288849995</v>
      </c>
      <c r="M15" s="235">
        <f>K15*$C$14</f>
        <v>186536.74888959742</v>
      </c>
      <c r="O15" s="235">
        <f>M15*$C$14</f>
        <v>193065.53510073331</v>
      </c>
      <c r="Q15" s="235">
        <f>O15*$C$14</f>
        <v>199822.82882925897</v>
      </c>
      <c r="S15" s="235">
        <f>Q15*$C$14</f>
        <v>206816.62783828302</v>
      </c>
      <c r="U15" s="235">
        <f>S15*$C$14</f>
        <v>214055.2098126229</v>
      </c>
      <c r="W15" s="235">
        <f>U15*$C$14</f>
        <v>221547.14215606468</v>
      </c>
      <c r="Y15" s="235">
        <f>W15*$C$14</f>
        <v>229301.29213152692</v>
      </c>
      <c r="AA15" s="235">
        <f>Y15*$C$14</f>
        <v>237326.83735613033</v>
      </c>
      <c r="AC15" s="235">
        <f>AA15*$C$14</f>
        <v>245633.27666359488</v>
      </c>
      <c r="AE15" s="235">
        <f>AC15*$C$14</f>
        <v>254230.44134682068</v>
      </c>
      <c r="AG15" s="235">
        <f>AE15*$C$14</f>
        <v>263128.50679395936</v>
      </c>
    </row>
    <row r="16" spans="1:34" s="225" customFormat="1" ht="14.25">
      <c r="A16" s="225" t="s">
        <v>345</v>
      </c>
      <c r="C16" s="249"/>
      <c r="E16" s="238">
        <f>Application!W849</f>
        <v>74689</v>
      </c>
      <c r="F16" s="238"/>
      <c r="G16" s="238">
        <f t="shared" ref="G16:AG21" si="0">E16*$C$14</f>
        <v>77303.114999999991</v>
      </c>
      <c r="H16" s="238"/>
      <c r="I16" s="238">
        <f t="shared" si="0"/>
        <v>80008.724024999989</v>
      </c>
      <c r="J16" s="238"/>
      <c r="K16" s="238">
        <f t="shared" si="0"/>
        <v>82809.029365874987</v>
      </c>
      <c r="L16" s="238"/>
      <c r="M16" s="238">
        <f t="shared" si="0"/>
        <v>85707.345393680604</v>
      </c>
      <c r="N16" s="238"/>
      <c r="O16" s="238">
        <f t="shared" si="0"/>
        <v>88707.102482459421</v>
      </c>
      <c r="P16" s="238"/>
      <c r="Q16" s="238">
        <f t="shared" si="0"/>
        <v>91811.851069345488</v>
      </c>
      <c r="R16" s="238"/>
      <c r="S16" s="238">
        <f t="shared" si="0"/>
        <v>95025.265856772574</v>
      </c>
      <c r="T16" s="238"/>
      <c r="U16" s="238">
        <f t="shared" si="0"/>
        <v>98351.150161759608</v>
      </c>
      <c r="V16" s="238"/>
      <c r="W16" s="238">
        <f t="shared" si="0"/>
        <v>101793.44041742118</v>
      </c>
      <c r="X16" s="238"/>
      <c r="Y16" s="238">
        <f t="shared" si="0"/>
        <v>105356.21083203092</v>
      </c>
      <c r="Z16" s="238"/>
      <c r="AA16" s="238">
        <f t="shared" si="0"/>
        <v>109043.678211152</v>
      </c>
      <c r="AB16" s="238"/>
      <c r="AC16" s="238">
        <f t="shared" si="0"/>
        <v>112860.20694854231</v>
      </c>
      <c r="AD16" s="238"/>
      <c r="AE16" s="238">
        <f t="shared" si="0"/>
        <v>116810.31419174129</v>
      </c>
      <c r="AF16" s="238"/>
      <c r="AG16" s="238">
        <f t="shared" si="0"/>
        <v>120898.67518845222</v>
      </c>
    </row>
    <row r="17" spans="1:33" s="225" customFormat="1" ht="14.25">
      <c r="A17" s="225" t="s">
        <v>570</v>
      </c>
      <c r="C17" s="249"/>
      <c r="E17" s="238">
        <f>Application!W855</f>
        <v>98253</v>
      </c>
      <c r="F17" s="238"/>
      <c r="G17" s="238">
        <f t="shared" si="0"/>
        <v>101691.855</v>
      </c>
      <c r="H17" s="238"/>
      <c r="I17" s="238">
        <f t="shared" si="0"/>
        <v>105251.06992499999</v>
      </c>
      <c r="J17" s="238"/>
      <c r="K17" s="238">
        <f t="shared" si="0"/>
        <v>108934.85737237499</v>
      </c>
      <c r="L17" s="238"/>
      <c r="M17" s="238">
        <f t="shared" si="0"/>
        <v>112747.5773804081</v>
      </c>
      <c r="N17" s="238"/>
      <c r="O17" s="238">
        <f t="shared" si="0"/>
        <v>116693.74258872237</v>
      </c>
      <c r="P17" s="238"/>
      <c r="Q17" s="238">
        <f t="shared" si="0"/>
        <v>120778.02357932764</v>
      </c>
      <c r="R17" s="238"/>
      <c r="S17" s="238">
        <f t="shared" si="0"/>
        <v>125005.2544046041</v>
      </c>
      <c r="T17" s="238"/>
      <c r="U17" s="238">
        <f t="shared" si="0"/>
        <v>129380.43830876524</v>
      </c>
      <c r="V17" s="238"/>
      <c r="W17" s="238">
        <f t="shared" si="0"/>
        <v>133908.753649572</v>
      </c>
      <c r="X17" s="238"/>
      <c r="Y17" s="238">
        <f t="shared" si="0"/>
        <v>138595.56002730702</v>
      </c>
      <c r="Z17" s="238"/>
      <c r="AA17" s="238">
        <f t="shared" si="0"/>
        <v>143446.40462826274</v>
      </c>
      <c r="AB17" s="238"/>
      <c r="AC17" s="238">
        <f t="shared" si="0"/>
        <v>148467.02879025193</v>
      </c>
      <c r="AD17" s="238"/>
      <c r="AE17" s="238">
        <f t="shared" si="0"/>
        <v>153663.37479791074</v>
      </c>
      <c r="AF17" s="238"/>
      <c r="AG17" s="238">
        <f t="shared" si="0"/>
        <v>159041.59291583759</v>
      </c>
    </row>
    <row r="18" spans="1:33" s="225" customFormat="1" ht="14.25">
      <c r="A18" s="225" t="s">
        <v>854</v>
      </c>
      <c r="C18" s="249"/>
      <c r="E18" s="238">
        <f>Application!W862</f>
        <v>196674</v>
      </c>
      <c r="F18" s="238"/>
      <c r="G18" s="238">
        <f t="shared" si="0"/>
        <v>203557.59</v>
      </c>
      <c r="H18" s="238"/>
      <c r="I18" s="238">
        <f t="shared" si="0"/>
        <v>210682.10564999998</v>
      </c>
      <c r="J18" s="238"/>
      <c r="K18" s="238">
        <f t="shared" si="0"/>
        <v>218055.97934774996</v>
      </c>
      <c r="L18" s="238"/>
      <c r="M18" s="238">
        <f t="shared" si="0"/>
        <v>225687.9386249212</v>
      </c>
      <c r="N18" s="238"/>
      <c r="O18" s="238">
        <f t="shared" si="0"/>
        <v>233587.01647679342</v>
      </c>
      <c r="P18" s="238"/>
      <c r="Q18" s="238">
        <f t="shared" si="0"/>
        <v>241762.56205348118</v>
      </c>
      <c r="R18" s="238"/>
      <c r="S18" s="238">
        <f t="shared" si="0"/>
        <v>250224.25172535301</v>
      </c>
      <c r="T18" s="238"/>
      <c r="U18" s="238">
        <f t="shared" si="0"/>
        <v>258982.10053574035</v>
      </c>
      <c r="V18" s="238"/>
      <c r="W18" s="238">
        <f t="shared" si="0"/>
        <v>268046.47405449126</v>
      </c>
      <c r="X18" s="238"/>
      <c r="Y18" s="238">
        <f t="shared" si="0"/>
        <v>277428.10064639844</v>
      </c>
      <c r="Z18" s="238"/>
      <c r="AA18" s="238">
        <f t="shared" si="0"/>
        <v>287138.08416902239</v>
      </c>
      <c r="AB18" s="238"/>
      <c r="AC18" s="238">
        <f t="shared" si="0"/>
        <v>297187.91711493814</v>
      </c>
      <c r="AD18" s="238"/>
      <c r="AE18" s="238">
        <f t="shared" si="0"/>
        <v>307589.49421396095</v>
      </c>
      <c r="AF18" s="238"/>
      <c r="AG18" s="238">
        <f t="shared" si="0"/>
        <v>318355.12651144958</v>
      </c>
    </row>
    <row r="19" spans="1:33" s="225" customFormat="1" ht="14.25">
      <c r="A19" s="225" t="s">
        <v>155</v>
      </c>
      <c r="C19" s="249"/>
      <c r="E19" s="238">
        <f>Application!W863</f>
        <v>160000</v>
      </c>
      <c r="F19" s="238"/>
      <c r="G19" s="238">
        <f t="shared" si="0"/>
        <v>165600</v>
      </c>
      <c r="H19" s="238"/>
      <c r="I19" s="238">
        <f t="shared" si="0"/>
        <v>171396</v>
      </c>
      <c r="J19" s="238"/>
      <c r="K19" s="238">
        <f t="shared" si="0"/>
        <v>177394.86</v>
      </c>
      <c r="L19" s="238"/>
      <c r="M19" s="238">
        <f t="shared" si="0"/>
        <v>183603.68009999997</v>
      </c>
      <c r="N19" s="238"/>
      <c r="O19" s="238">
        <f t="shared" si="0"/>
        <v>190029.80890349994</v>
      </c>
      <c r="P19" s="238"/>
      <c r="Q19" s="238">
        <f t="shared" si="0"/>
        <v>196680.85221512243</v>
      </c>
      <c r="R19" s="238"/>
      <c r="S19" s="238">
        <f t="shared" si="0"/>
        <v>203564.68204265169</v>
      </c>
      <c r="T19" s="238"/>
      <c r="U19" s="238">
        <f t="shared" si="0"/>
        <v>210689.44591414448</v>
      </c>
      <c r="V19" s="238"/>
      <c r="W19" s="238">
        <f t="shared" si="0"/>
        <v>218063.57652113953</v>
      </c>
      <c r="X19" s="238"/>
      <c r="Y19" s="238">
        <f t="shared" si="0"/>
        <v>225695.8016993794</v>
      </c>
      <c r="Z19" s="238"/>
      <c r="AA19" s="238">
        <f t="shared" si="0"/>
        <v>233595.15475885765</v>
      </c>
      <c r="AB19" s="238"/>
      <c r="AC19" s="238">
        <f t="shared" si="0"/>
        <v>241770.98517541765</v>
      </c>
      <c r="AD19" s="238"/>
      <c r="AE19" s="238">
        <f t="shared" si="0"/>
        <v>250232.96965655725</v>
      </c>
      <c r="AF19" s="238"/>
      <c r="AG19" s="238">
        <f t="shared" si="0"/>
        <v>258991.12359453674</v>
      </c>
    </row>
    <row r="20" spans="1:33" s="225" customFormat="1" ht="14.25">
      <c r="A20" s="225" t="s">
        <v>391</v>
      </c>
      <c r="C20" s="249"/>
      <c r="E20" s="238">
        <f>Application!W872</f>
        <v>153948</v>
      </c>
      <c r="F20" s="238"/>
      <c r="G20" s="238">
        <f t="shared" si="0"/>
        <v>159336.18</v>
      </c>
      <c r="H20" s="238"/>
      <c r="I20" s="238">
        <f t="shared" si="0"/>
        <v>164912.94629999998</v>
      </c>
      <c r="J20" s="238"/>
      <c r="K20" s="238">
        <f t="shared" si="0"/>
        <v>170684.89942049998</v>
      </c>
      <c r="L20" s="238"/>
      <c r="M20" s="238">
        <f t="shared" si="0"/>
        <v>176658.87090021747</v>
      </c>
      <c r="N20" s="238"/>
      <c r="O20" s="238">
        <f t="shared" si="0"/>
        <v>182841.93138172507</v>
      </c>
      <c r="P20" s="238"/>
      <c r="Q20" s="238">
        <f t="shared" si="0"/>
        <v>189241.39898008542</v>
      </c>
      <c r="R20" s="238"/>
      <c r="S20" s="238">
        <f t="shared" si="0"/>
        <v>195864.8479443884</v>
      </c>
      <c r="T20" s="238"/>
      <c r="U20" s="238">
        <f t="shared" si="0"/>
        <v>202720.11762244199</v>
      </c>
      <c r="V20" s="238"/>
      <c r="W20" s="238">
        <f t="shared" si="0"/>
        <v>209815.32173922745</v>
      </c>
      <c r="X20" s="238"/>
      <c r="Y20" s="238">
        <f t="shared" si="0"/>
        <v>217158.85800010039</v>
      </c>
      <c r="Z20" s="238"/>
      <c r="AA20" s="238">
        <f t="shared" si="0"/>
        <v>224759.41803010387</v>
      </c>
      <c r="AB20" s="238"/>
      <c r="AC20" s="238">
        <f t="shared" si="0"/>
        <v>232625.99766115748</v>
      </c>
      <c r="AD20" s="238"/>
      <c r="AE20" s="238">
        <f t="shared" si="0"/>
        <v>240767.90757929799</v>
      </c>
      <c r="AF20" s="238"/>
      <c r="AG20" s="238">
        <f t="shared" si="0"/>
        <v>249194.78434457339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846120</v>
      </c>
      <c r="G22" s="239">
        <f>SUM(G15:G21)</f>
        <v>875734.2</v>
      </c>
      <c r="I22" s="239">
        <f>SUM(I15:I21)</f>
        <v>906384.89699999988</v>
      </c>
      <c r="K22" s="239">
        <f>SUM(K15:K21)</f>
        <v>938108.36839499976</v>
      </c>
      <c r="M22" s="239">
        <f>SUM(M15:M21)</f>
        <v>970942.16128882486</v>
      </c>
      <c r="O22" s="239">
        <f>SUM(O15:O21)</f>
        <v>1004925.1369339335</v>
      </c>
      <c r="Q22" s="239">
        <f>SUM(Q15:Q21)</f>
        <v>1040097.5167266211</v>
      </c>
      <c r="S22" s="239">
        <f>SUM(S15:S21)</f>
        <v>1076500.9298120528</v>
      </c>
      <c r="U22" s="239">
        <f>SUM(U15:U21)</f>
        <v>1114178.4623554747</v>
      </c>
      <c r="W22" s="239">
        <f>SUM(W15:W21)</f>
        <v>1153174.7085379162</v>
      </c>
      <c r="Y22" s="239">
        <f>SUM(Y15:Y21)</f>
        <v>1193535.8233367431</v>
      </c>
      <c r="AA22" s="239">
        <f>SUM(AA15:AA21)</f>
        <v>1235309.577153529</v>
      </c>
      <c r="AC22" s="239">
        <f>SUM(AC15:AC21)</f>
        <v>1278545.4123539024</v>
      </c>
      <c r="AE22" s="239">
        <f>SUM(AE15:AE21)</f>
        <v>1323294.5017862888</v>
      </c>
      <c r="AG22" s="239">
        <f>SUM(AG15:AG21)</f>
        <v>1369609.8093488091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131134</v>
      </c>
      <c r="F27" s="238"/>
      <c r="G27" s="238">
        <f>E27*$C$27</f>
        <v>135723.69</v>
      </c>
      <c r="H27" s="238"/>
      <c r="I27" s="238">
        <f>G27*$C$27</f>
        <v>140474.01914999998</v>
      </c>
      <c r="J27" s="238"/>
      <c r="K27" s="238">
        <f>I27*$C$27</f>
        <v>145390.60982024996</v>
      </c>
      <c r="L27" s="238"/>
      <c r="M27" s="238">
        <f>K27*$C$27</f>
        <v>150479.28116395869</v>
      </c>
      <c r="N27" s="238"/>
      <c r="O27" s="238">
        <f>M27*$C$27</f>
        <v>155746.05600469722</v>
      </c>
      <c r="P27" s="238"/>
      <c r="Q27" s="238">
        <f>O27*$C$27</f>
        <v>161197.16796486161</v>
      </c>
      <c r="R27" s="238"/>
      <c r="S27" s="238">
        <f>Q27*$C$27</f>
        <v>166839.06884363174</v>
      </c>
      <c r="T27" s="238"/>
      <c r="U27" s="238">
        <f>S27*$C$27</f>
        <v>172678.43625315884</v>
      </c>
      <c r="V27" s="238"/>
      <c r="W27" s="238">
        <f>U27*$C$27</f>
        <v>178722.18152201938</v>
      </c>
      <c r="X27" s="238"/>
      <c r="Y27" s="238">
        <f>W27*$C$27</f>
        <v>184977.45787529004</v>
      </c>
      <c r="Z27" s="238"/>
      <c r="AA27" s="238">
        <f>Y27*$C$27</f>
        <v>191451.66890092517</v>
      </c>
      <c r="AB27" s="238"/>
      <c r="AC27" s="238">
        <f>AA27*$C$27</f>
        <v>198152.47731245754</v>
      </c>
      <c r="AD27" s="238"/>
      <c r="AE27" s="238">
        <f>AC27*$C$27</f>
        <v>205087.81401839355</v>
      </c>
      <c r="AF27" s="238"/>
      <c r="AG27" s="238">
        <f>AE27*$C$27</f>
        <v>212265.8875090373</v>
      </c>
    </row>
    <row r="28" spans="1:33" s="225" customFormat="1" ht="14.25">
      <c r="A28" s="225" t="s">
        <v>858</v>
      </c>
      <c r="C28" s="253"/>
      <c r="E28" s="238">
        <f>Application!AC889</f>
        <v>36000</v>
      </c>
      <c r="F28" s="238"/>
      <c r="G28" s="238">
        <f>$E$28</f>
        <v>36000</v>
      </c>
      <c r="H28" s="238"/>
      <c r="I28" s="238">
        <f>$E$28</f>
        <v>36000</v>
      </c>
      <c r="J28" s="238"/>
      <c r="K28" s="238">
        <f>$E$28</f>
        <v>36000</v>
      </c>
      <c r="L28" s="238"/>
      <c r="M28" s="238">
        <f>$E$28</f>
        <v>36000</v>
      </c>
      <c r="N28" s="238"/>
      <c r="O28" s="238">
        <f>$E$28</f>
        <v>36000</v>
      </c>
      <c r="P28" s="238"/>
      <c r="Q28" s="238">
        <f>$E$28</f>
        <v>36000</v>
      </c>
      <c r="R28" s="238"/>
      <c r="S28" s="238">
        <f>$E$28</f>
        <v>36000</v>
      </c>
      <c r="T28" s="238"/>
      <c r="U28" s="238">
        <f>$E$28</f>
        <v>36000</v>
      </c>
      <c r="V28" s="238"/>
      <c r="W28" s="238">
        <f>$E$28</f>
        <v>36000</v>
      </c>
      <c r="X28" s="238"/>
      <c r="Y28" s="238">
        <f>$E$28</f>
        <v>36000</v>
      </c>
      <c r="Z28" s="238"/>
      <c r="AA28" s="238">
        <f>$E$28</f>
        <v>36000</v>
      </c>
      <c r="AB28" s="238"/>
      <c r="AC28" s="238">
        <f>$E$28</f>
        <v>36000</v>
      </c>
      <c r="AD28" s="238"/>
      <c r="AE28" s="238">
        <f>$E$28</f>
        <v>36000</v>
      </c>
      <c r="AF28" s="238"/>
      <c r="AG28" s="238">
        <f>$E$28</f>
        <v>36000</v>
      </c>
    </row>
    <row r="29" spans="1:33" s="225" customFormat="1" ht="14.25">
      <c r="A29" s="225" t="s">
        <v>1870</v>
      </c>
      <c r="C29" s="253"/>
      <c r="E29" s="238">
        <f>Application!AC890</f>
        <v>26500</v>
      </c>
      <c r="F29" s="238"/>
      <c r="G29" s="238">
        <f>$E$29</f>
        <v>26500</v>
      </c>
      <c r="H29" s="238"/>
      <c r="I29" s="238">
        <f>$E$29</f>
        <v>26500</v>
      </c>
      <c r="J29" s="238"/>
      <c r="K29" s="238">
        <f>$E$29</f>
        <v>26500</v>
      </c>
      <c r="L29" s="238"/>
      <c r="M29" s="238">
        <f>$E$29</f>
        <v>26500</v>
      </c>
      <c r="N29" s="238"/>
      <c r="O29" s="238">
        <f>$E$29</f>
        <v>26500</v>
      </c>
      <c r="P29" s="238"/>
      <c r="Q29" s="238">
        <f>$E$29</f>
        <v>26500</v>
      </c>
      <c r="R29" s="238"/>
      <c r="S29" s="238">
        <f>$E$29</f>
        <v>26500</v>
      </c>
      <c r="T29" s="238"/>
      <c r="U29" s="238">
        <f>$E$29</f>
        <v>26500</v>
      </c>
      <c r="V29" s="238"/>
      <c r="W29" s="238">
        <f>$E$29</f>
        <v>26500</v>
      </c>
      <c r="X29" s="238"/>
      <c r="Y29" s="238">
        <f>$E$29</f>
        <v>26500</v>
      </c>
      <c r="Z29" s="238"/>
      <c r="AA29" s="238">
        <f>$E$29</f>
        <v>26500</v>
      </c>
      <c r="AB29" s="238"/>
      <c r="AC29" s="238">
        <f>$E$29</f>
        <v>26500</v>
      </c>
      <c r="AD29" s="238"/>
      <c r="AE29" s="238">
        <f>$E$29</f>
        <v>26500</v>
      </c>
      <c r="AF29" s="238"/>
      <c r="AG29" s="238">
        <f>$E$29</f>
        <v>26500</v>
      </c>
    </row>
    <row r="30" spans="1:33" s="225" customFormat="1" ht="14.25">
      <c r="A30" s="225" t="s">
        <v>856</v>
      </c>
      <c r="C30" s="253">
        <v>1.02</v>
      </c>
      <c r="E30" s="238">
        <f>Application!AC891</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1049754</v>
      </c>
      <c r="G35" s="239">
        <f>SUM(G22:G33)</f>
        <v>1084157.8899999999</v>
      </c>
      <c r="I35" s="239">
        <f>SUM(I22:I33)</f>
        <v>1119762.9161499999</v>
      </c>
      <c r="K35" s="239">
        <f>SUM(K22:K33)</f>
        <v>1156611.0582152498</v>
      </c>
      <c r="M35" s="239">
        <f>SUM(M22:M33)</f>
        <v>1194745.7640527834</v>
      </c>
      <c r="O35" s="239">
        <f>SUM(O22:O33)</f>
        <v>1234212.0009706307</v>
      </c>
      <c r="Q35" s="239">
        <f>SUM(Q22:Q33)</f>
        <v>1275056.3088841226</v>
      </c>
      <c r="S35" s="239">
        <f>SUM(S22:S33)</f>
        <v>1317326.8553321774</v>
      </c>
      <c r="U35" s="239">
        <f>SUM(U22:U33)</f>
        <v>1361073.4924186561</v>
      </c>
      <c r="W35" s="239">
        <f>SUM(W22:W33)</f>
        <v>1406347.8157461588</v>
      </c>
      <c r="Y35" s="239">
        <f>SUM(Y22:Y33)</f>
        <v>1453203.2254119806</v>
      </c>
      <c r="AA35" s="239">
        <f>SUM(AA22:AA33)</f>
        <v>1501694.9891384006</v>
      </c>
      <c r="AC35" s="239">
        <f>SUM(AC22:AC33)</f>
        <v>1551880.3076119854</v>
      </c>
      <c r="AE35" s="239">
        <f>SUM(AE22:AE33)</f>
        <v>1603818.3821092204</v>
      </c>
      <c r="AG35" s="239">
        <f>SUM(AG22:AG33)</f>
        <v>1657570.4844884751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553512.54999999981</v>
      </c>
      <c r="G37" s="239">
        <f>G11-G35</f>
        <v>559190.32374999975</v>
      </c>
      <c r="I37" s="239">
        <f>I11-I35</f>
        <v>564669.00294374977</v>
      </c>
      <c r="K37" s="239">
        <f>K11-K35</f>
        <v>569931.65885584336</v>
      </c>
      <c r="M37" s="239">
        <f>M11-M35</f>
        <v>574960.52094508708</v>
      </c>
      <c r="O37" s="239">
        <f>O11-O35</f>
        <v>579736.9411521866</v>
      </c>
      <c r="Q37" s="239">
        <f>Q11-Q35</f>
        <v>584241.3567917645</v>
      </c>
      <c r="S37" s="239">
        <f>S11-S35</f>
        <v>588453.25198560674</v>
      </c>
      <c r="U37" s="239">
        <f>U11-U35</f>
        <v>592351.1175820725</v>
      </c>
      <c r="W37" s="239">
        <f>W11-W35</f>
        <v>595912.40950458776</v>
      </c>
      <c r="Y37" s="239">
        <f>Y11-Y35</f>
        <v>599113.50547003443</v>
      </c>
      <c r="AA37" s="239">
        <f>AA11-AA35</f>
        <v>601929.66001566453</v>
      </c>
      <c r="AC37" s="239">
        <f>AC11-AC35</f>
        <v>604334.95777093177</v>
      </c>
      <c r="AE37" s="239">
        <f>AE11-AE35</f>
        <v>606302.26490826881</v>
      </c>
      <c r="AG37" s="239">
        <f>AG11-AG35</f>
        <v>607803.1787044513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Bellwether - Permanent Loan</v>
      </c>
      <c r="B40" s="242"/>
      <c r="C40" s="236"/>
      <c r="E40" s="238">
        <f>Application!AF627</f>
        <v>451989</v>
      </c>
      <c r="F40" s="238"/>
      <c r="G40" s="238">
        <f>$E$40</f>
        <v>451989</v>
      </c>
      <c r="H40" s="238"/>
      <c r="I40" s="238">
        <f>$E$40</f>
        <v>451989</v>
      </c>
      <c r="J40" s="238"/>
      <c r="K40" s="238">
        <f>$E$40</f>
        <v>451989</v>
      </c>
      <c r="L40" s="238"/>
      <c r="M40" s="238">
        <f>$E$40</f>
        <v>451989</v>
      </c>
      <c r="N40" s="238"/>
      <c r="O40" s="238">
        <f>$E$40</f>
        <v>451989</v>
      </c>
      <c r="P40" s="238"/>
      <c r="Q40" s="238">
        <f>$E$40</f>
        <v>451989</v>
      </c>
      <c r="R40" s="238"/>
      <c r="S40" s="238">
        <f>$E$40</f>
        <v>451989</v>
      </c>
      <c r="T40" s="238"/>
      <c r="U40" s="238">
        <f>$E$40</f>
        <v>451989</v>
      </c>
      <c r="V40" s="238"/>
      <c r="W40" s="238">
        <f>$E$40</f>
        <v>451989</v>
      </c>
      <c r="X40" s="238"/>
      <c r="Y40" s="238">
        <f>$E$40</f>
        <v>451989</v>
      </c>
      <c r="Z40" s="238"/>
      <c r="AA40" s="238">
        <f>$E$40</f>
        <v>451989</v>
      </c>
      <c r="AB40" s="238"/>
      <c r="AC40" s="238">
        <f>$E$40</f>
        <v>451989</v>
      </c>
      <c r="AD40" s="238"/>
      <c r="AE40" s="238">
        <f>$E$40</f>
        <v>451989</v>
      </c>
      <c r="AF40" s="238"/>
      <c r="AG40" s="238">
        <f>$E$40</f>
        <v>451989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451989</v>
      </c>
      <c r="G43" s="239">
        <f>SUM(G40:G42)</f>
        <v>451989</v>
      </c>
      <c r="I43" s="239">
        <f>SUM(I40:I42)</f>
        <v>451989</v>
      </c>
      <c r="K43" s="239">
        <f>SUM(K40:K42)</f>
        <v>451989</v>
      </c>
      <c r="M43" s="239">
        <f>SUM(M40:M42)</f>
        <v>451989</v>
      </c>
      <c r="O43" s="239">
        <f>SUM(O40:O42)</f>
        <v>451989</v>
      </c>
      <c r="Q43" s="239">
        <f>SUM(Q40:Q42)</f>
        <v>451989</v>
      </c>
      <c r="S43" s="239">
        <f>SUM(S40:S42)</f>
        <v>451989</v>
      </c>
      <c r="U43" s="239">
        <f>SUM(U40:U42)</f>
        <v>451989</v>
      </c>
      <c r="W43" s="239">
        <f>SUM(W40:W42)</f>
        <v>451989</v>
      </c>
      <c r="Y43" s="239">
        <f>SUM(Y40:Y42)</f>
        <v>451989</v>
      </c>
      <c r="AA43" s="239">
        <f>SUM(AA40:AA42)</f>
        <v>451989</v>
      </c>
      <c r="AC43" s="239">
        <f>SUM(AC40:AC42)</f>
        <v>451989</v>
      </c>
      <c r="AE43" s="239">
        <f>SUM(AE40:AE42)</f>
        <v>451989</v>
      </c>
      <c r="AG43" s="239">
        <f>SUM(AG40:AG42)</f>
        <v>451989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101523.54999999981</v>
      </c>
      <c r="G45" s="239">
        <f>G37-G43</f>
        <v>107201.32374999975</v>
      </c>
      <c r="I45" s="239">
        <f>I37-I43</f>
        <v>112680.00294374977</v>
      </c>
      <c r="K45" s="239">
        <f>K37-K43</f>
        <v>117942.65885584336</v>
      </c>
      <c r="M45" s="239">
        <f>M37-M43</f>
        <v>122971.52094508708</v>
      </c>
      <c r="O45" s="239">
        <f>O37-O43</f>
        <v>127747.9411521866</v>
      </c>
      <c r="Q45" s="239">
        <f>Q37-Q43</f>
        <v>132252.3567917645</v>
      </c>
      <c r="S45" s="239">
        <f>S37-S43</f>
        <v>136464.25198560674</v>
      </c>
      <c r="U45" s="239">
        <f>U37-U43</f>
        <v>140362.1175820725</v>
      </c>
      <c r="W45" s="239">
        <f>W37-W43</f>
        <v>143923.40950458776</v>
      </c>
      <c r="Y45" s="239">
        <f>Y37-Y43</f>
        <v>147124.50547003443</v>
      </c>
      <c r="AA45" s="239">
        <f>AA37-AA43</f>
        <v>149940.66001566453</v>
      </c>
      <c r="AC45" s="239">
        <f>AC37-AC43</f>
        <v>152345.95777093177</v>
      </c>
      <c r="AE45" s="239">
        <f>AE37-AE43</f>
        <v>154313.26490826881</v>
      </c>
      <c r="AG45" s="239">
        <f>AG37-AG43</f>
        <v>155814.1787044513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6.0156792081765706E-2</v>
      </c>
      <c r="G47" s="243">
        <f>G45/(G4+G6+G8)</f>
        <v>6.1971806529125983E-2</v>
      </c>
      <c r="I47" s="243">
        <f>I45/(I4+I6+I8)</f>
        <v>6.3550210360626913E-2</v>
      </c>
      <c r="K47" s="243">
        <f>K45/(K4+K6+K8)</f>
        <v>6.4895889806378601E-2</v>
      </c>
      <c r="M47" s="243">
        <f>M45/(M4+M6+M8)</f>
        <v>6.6012617962744768E-2</v>
      </c>
      <c r="O47" s="243">
        <f>O45/(O4+O6+O8)</f>
        <v>6.6904057372503656E-2</v>
      </c>
      <c r="Q47" s="243">
        <f>Q45/(Q4+Q6+Q8)</f>
        <v>6.757376254033215E-2</v>
      </c>
      <c r="S47" s="243">
        <f>S45/(S4+S6+S8)</f>
        <v>6.8025182385172758E-2</v>
      </c>
      <c r="U47" s="243">
        <f>U45/(U4+U6+U8)</f>
        <v>6.8261662631003264E-2</v>
      </c>
      <c r="W47" s="243">
        <f>W45/(W4+W6+W8)</f>
        <v>6.8286448137497111E-2</v>
      </c>
      <c r="Y47" s="243">
        <f>Y45/(Y4+Y6+Y8)</f>
        <v>6.8102685172022684E-2</v>
      </c>
      <c r="AA47" s="243">
        <f>AA45/(AA4+AA6+AA8)</f>
        <v>6.7713423624391561E-2</v>
      </c>
      <c r="AC47" s="243">
        <f>AC45/(AC4+AC6+AC8)</f>
        <v>6.7121619165739096E-2</v>
      </c>
      <c r="AE47" s="243">
        <f>AE45/(AE4+AE6+AE8)</f>
        <v>6.6330135352875727E-2</v>
      </c>
      <c r="AG47" s="243">
        <f>AG45/(AG4+AG6+AG8)</f>
        <v>6.5341745679429034E-2</v>
      </c>
    </row>
    <row r="48" spans="1:33" s="243" customFormat="1" ht="14.25">
      <c r="A48" s="243" t="s">
        <v>864</v>
      </c>
      <c r="C48" s="236"/>
      <c r="E48" s="243">
        <f>E45/E43</f>
        <v>0.22461509019024758</v>
      </c>
      <c r="G48" s="243">
        <f>G45/G43</f>
        <v>0.23717684224616031</v>
      </c>
      <c r="I48" s="243">
        <f>I45/I43</f>
        <v>0.24929810890032672</v>
      </c>
      <c r="K48" s="243">
        <f>K45/K43</f>
        <v>0.26094143630894417</v>
      </c>
      <c r="M48" s="243">
        <f>M45/M43</f>
        <v>0.27206750815857705</v>
      </c>
      <c r="O48" s="243">
        <f>O45/O43</f>
        <v>0.28263506667681426</v>
      </c>
      <c r="Q48" s="243">
        <f>Q45/Q43</f>
        <v>0.29260083053296537</v>
      </c>
      <c r="S48" s="243">
        <f>S45/S43</f>
        <v>0.3019194095113083</v>
      </c>
      <c r="U48" s="243">
        <f>U45/U43</f>
        <v>0.31054321583505906</v>
      </c>
      <c r="W48" s="243">
        <f>W45/W43</f>
        <v>0.31842237201477858</v>
      </c>
      <c r="Y48" s="243">
        <f>Y45/Y43</f>
        <v>0.3255046150902664</v>
      </c>
      <c r="AA48" s="243">
        <f>AA45/AA43</f>
        <v>0.33173519713016142</v>
      </c>
      <c r="AC48" s="243">
        <f>AC45/AC43</f>
        <v>0.33705678184852234</v>
      </c>
      <c r="AE48" s="243">
        <f>AE45/AE43</f>
        <v>0.34140933719242905</v>
      </c>
      <c r="AG48" s="243">
        <f>AG45/AG43</f>
        <v>0.34473002374936407</v>
      </c>
    </row>
    <row r="49" spans="1:35" s="244" customFormat="1" ht="14.25">
      <c r="A49" s="244" t="s">
        <v>862</v>
      </c>
      <c r="C49" s="245"/>
      <c r="E49" s="244">
        <f>E37/E43</f>
        <v>1.2246150901902475</v>
      </c>
      <c r="G49" s="244">
        <f>G37/G43</f>
        <v>1.2371768422461602</v>
      </c>
      <c r="I49" s="244">
        <f>I37/I43</f>
        <v>1.2492981089003268</v>
      </c>
      <c r="K49" s="244">
        <f>K37/K43</f>
        <v>1.2609414363089442</v>
      </c>
      <c r="M49" s="244">
        <f>M37/M43</f>
        <v>1.2720675081585771</v>
      </c>
      <c r="O49" s="244">
        <f>O37/O43</f>
        <v>1.2826350666768143</v>
      </c>
      <c r="Q49" s="244">
        <f>Q37/Q43</f>
        <v>1.2926008305329655</v>
      </c>
      <c r="S49" s="244">
        <f>S37/S43</f>
        <v>1.3019194095113082</v>
      </c>
      <c r="U49" s="244">
        <f>U37/U43</f>
        <v>1.3105432158350589</v>
      </c>
      <c r="W49" s="244">
        <f>W37/W43</f>
        <v>1.3184223720147785</v>
      </c>
      <c r="Y49" s="244">
        <f>Y37/Y43</f>
        <v>1.3255046150902665</v>
      </c>
      <c r="AA49" s="244">
        <f>AA37/AA43</f>
        <v>1.3317351971301614</v>
      </c>
      <c r="AC49" s="244">
        <f>AC37/AC43</f>
        <v>1.3370567818485224</v>
      </c>
      <c r="AE49" s="244">
        <f>AE37/AE43</f>
        <v>1.3414093371924292</v>
      </c>
      <c r="AG49" s="244">
        <f>AG37/AG43</f>
        <v>1.344730023749364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18000</v>
      </c>
      <c r="G53" s="995">
        <f>E53*$C$53</f>
        <v>18540</v>
      </c>
      <c r="I53" s="995">
        <f>G53*$C$53</f>
        <v>19096.2</v>
      </c>
      <c r="K53" s="995">
        <f>I53*$C$53</f>
        <v>19669.086000000003</v>
      </c>
      <c r="M53" s="995">
        <f>K53*$C$53</f>
        <v>20259.158580000003</v>
      </c>
      <c r="O53" s="995">
        <f>M53*$C$53</f>
        <v>20866.933337400005</v>
      </c>
      <c r="Q53" s="995">
        <f>O53*$C$53</f>
        <v>21492.941337522007</v>
      </c>
      <c r="S53" s="995">
        <f>Q53*$C$53</f>
        <v>22137.729577647668</v>
      </c>
      <c r="U53" s="995">
        <f>S53*$C$53</f>
        <v>22801.861464977097</v>
      </c>
      <c r="W53" s="995">
        <f>U53*$C$53</f>
        <v>23485.917308926411</v>
      </c>
      <c r="Y53" s="995">
        <f>W53*$C$53</f>
        <v>24190.494828194205</v>
      </c>
      <c r="AA53" s="995">
        <f>Y53*$C$53</f>
        <v>24916.209673040034</v>
      </c>
      <c r="AC53" s="995">
        <f>AA53*$C$53</f>
        <v>25663.695963231236</v>
      </c>
      <c r="AE53" s="995">
        <f>AC53*$C$53</f>
        <v>26433.606842128174</v>
      </c>
      <c r="AG53" s="995">
        <f>AE53*$C$53</f>
        <v>27226.615047392021</v>
      </c>
    </row>
    <row r="54" spans="1:35" s="3" customFormat="1">
      <c r="A54" s="3" t="s">
        <v>867</v>
      </c>
      <c r="C54" s="993">
        <v>1.03</v>
      </c>
      <c r="E54" s="1000">
        <v>7000</v>
      </c>
      <c r="F54" s="995"/>
      <c r="G54" s="995">
        <f t="shared" ref="G54:AG57" si="1">E54*$C$53</f>
        <v>7210</v>
      </c>
      <c r="H54" s="995"/>
      <c r="I54" s="995">
        <f t="shared" si="1"/>
        <v>7426.3</v>
      </c>
      <c r="J54" s="995"/>
      <c r="K54" s="995">
        <f t="shared" si="1"/>
        <v>7649.0889999999999</v>
      </c>
      <c r="L54" s="995"/>
      <c r="M54" s="995">
        <f t="shared" si="1"/>
        <v>7878.56167</v>
      </c>
      <c r="N54" s="995"/>
      <c r="O54" s="995">
        <f t="shared" si="1"/>
        <v>8114.9185201</v>
      </c>
      <c r="P54" s="995"/>
      <c r="Q54" s="995">
        <f t="shared" si="1"/>
        <v>8358.3660757030011</v>
      </c>
      <c r="R54" s="995"/>
      <c r="S54" s="995">
        <f t="shared" si="1"/>
        <v>8609.1170579740919</v>
      </c>
      <c r="T54" s="995"/>
      <c r="U54" s="995">
        <f t="shared" si="1"/>
        <v>8867.3905697133141</v>
      </c>
      <c r="V54" s="995"/>
      <c r="W54" s="995">
        <f t="shared" si="1"/>
        <v>9133.4122868047143</v>
      </c>
      <c r="X54" s="995"/>
      <c r="Y54" s="995">
        <f t="shared" si="1"/>
        <v>9407.4146554088566</v>
      </c>
      <c r="Z54" s="995"/>
      <c r="AA54" s="995">
        <f t="shared" si="1"/>
        <v>9689.6370950711225</v>
      </c>
      <c r="AB54" s="995"/>
      <c r="AC54" s="995">
        <f t="shared" si="1"/>
        <v>9980.3262079232572</v>
      </c>
      <c r="AD54" s="995"/>
      <c r="AE54" s="995">
        <f t="shared" si="1"/>
        <v>10279.735994160956</v>
      </c>
      <c r="AF54" s="995"/>
      <c r="AG54" s="995">
        <f t="shared" si="1"/>
        <v>10588.128073985785</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28981.851857500005</v>
      </c>
      <c r="P58" s="995"/>
      <c r="Q58" s="995">
        <f>SUM(Q53:Q57)</f>
        <v>29851.307413225008</v>
      </c>
      <c r="R58" s="995"/>
      <c r="S58" s="995">
        <f>SUM(S53:S57)</f>
        <v>30746.846635621761</v>
      </c>
      <c r="T58" s="995"/>
      <c r="U58" s="995">
        <f>SUM(U53:U57)</f>
        <v>31669.252034690413</v>
      </c>
      <c r="V58" s="995"/>
      <c r="W58" s="995">
        <f>SUM(W53:W57)</f>
        <v>32619.329595731127</v>
      </c>
      <c r="X58" s="995"/>
      <c r="Y58" s="995">
        <f>SUM(Y53:Y57)</f>
        <v>33597.909483603064</v>
      </c>
      <c r="Z58" s="995"/>
      <c r="AA58" s="995">
        <f>SUM(AA53:AA57)</f>
        <v>34605.846768111158</v>
      </c>
      <c r="AB58" s="995"/>
      <c r="AC58" s="995">
        <f>SUM(AC53:AC57)</f>
        <v>35644.022171154495</v>
      </c>
      <c r="AD58" s="995"/>
      <c r="AE58" s="995">
        <f>SUM(AE53:AE57)</f>
        <v>36713.342836289128</v>
      </c>
      <c r="AF58" s="995"/>
      <c r="AG58" s="995">
        <f>SUM(AG53:AG57)</f>
        <v>37814.743121377804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76523.549999999814</v>
      </c>
      <c r="G60" s="997">
        <f>G45-G58</f>
        <v>81451.323749999749</v>
      </c>
      <c r="I60" s="997">
        <f>I45-I58</f>
        <v>86157.502943749772</v>
      </c>
      <c r="K60" s="997">
        <f>K45-K58</f>
        <v>90624.483855843355</v>
      </c>
      <c r="M60" s="997">
        <f>M45-M58</f>
        <v>94833.800695087077</v>
      </c>
      <c r="O60" s="997">
        <f>O45-O58</f>
        <v>98766.089294686593</v>
      </c>
      <c r="Q60" s="997">
        <f>Q45-Q58</f>
        <v>102401.04937853949</v>
      </c>
      <c r="S60" s="997">
        <f>S45-S58</f>
        <v>105717.40534998497</v>
      </c>
      <c r="U60" s="997">
        <f>U45-U58</f>
        <v>108692.8655473821</v>
      </c>
      <c r="W60" s="997">
        <f>W45-W58</f>
        <v>111304.07990885663</v>
      </c>
      <c r="Y60" s="997">
        <f>Y45-Y58</f>
        <v>113526.59598643138</v>
      </c>
      <c r="AA60" s="997">
        <f>AA45-AA58</f>
        <v>115334.81324755336</v>
      </c>
      <c r="AC60" s="997">
        <f>AC45-AC58</f>
        <v>116701.93559977727</v>
      </c>
      <c r="AE60" s="997">
        <f>AE45-AE58</f>
        <v>117599.92207197969</v>
      </c>
      <c r="AG60" s="997">
        <f>AG45-AG58</f>
        <v>117999.4355830735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76523.549999999814</v>
      </c>
      <c r="G62" s="997">
        <f>G60*$C$62</f>
        <v>81451.323749999749</v>
      </c>
      <c r="I62" s="997">
        <f>I60*$C$62</f>
        <v>86157.502943749772</v>
      </c>
      <c r="K62" s="997">
        <f>K60*$C$62</f>
        <v>90624.483855843355</v>
      </c>
      <c r="M62" s="997">
        <f>M60*$C$62</f>
        <v>94833.800695087077</v>
      </c>
      <c r="O62" s="997">
        <f>O60*$C$62</f>
        <v>98766.089294686593</v>
      </c>
      <c r="Q62" s="997">
        <f>Q60*$C$62</f>
        <v>102401.04937853949</v>
      </c>
      <c r="S62" s="997">
        <f>S60*$C$62</f>
        <v>105717.40534998497</v>
      </c>
      <c r="U62" s="997">
        <f>U60*$C$62</f>
        <v>108692.8655473821</v>
      </c>
      <c r="W62" s="997">
        <f>W60*$C$62</f>
        <v>111304.07990885663</v>
      </c>
      <c r="Y62" s="997">
        <f>Y60*$C$62</f>
        <v>113526.59598643138</v>
      </c>
      <c r="AA62" s="997">
        <f t="shared" ref="AA62" si="2">AA60*$C$62</f>
        <v>115334.81324755336</v>
      </c>
      <c r="AC62" s="997">
        <f>AC60*$C$62-24691-4390</f>
        <v>87620.935599777265</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2647</v>
      </c>
      <c r="B66" s="999"/>
      <c r="C66" s="998"/>
      <c r="E66" s="999"/>
      <c r="G66" s="995"/>
      <c r="I66" s="995"/>
      <c r="K66" s="995"/>
      <c r="M66" s="995"/>
      <c r="O66" s="995"/>
      <c r="Q66" s="995"/>
      <c r="S66" s="995"/>
      <c r="U66" s="995"/>
      <c r="W66" s="995"/>
      <c r="Y66" s="995">
        <f>(Y60-Y62)*$C$65</f>
        <v>0</v>
      </c>
      <c r="AA66" s="995">
        <f>(AA60-AA62)*$C$65</f>
        <v>0</v>
      </c>
      <c r="AC66" s="995">
        <f t="shared" ref="AC66" si="3">(AC60-AC62)*$C$65</f>
        <v>14540.5</v>
      </c>
      <c r="AE66" s="995">
        <f t="shared" ref="AE66" si="4">(AE60-AE62)*$C$65</f>
        <v>58799.961035989843</v>
      </c>
      <c r="AG66" s="995">
        <f t="shared" ref="AG66" si="5">(AG60-AG62)*$C$65</f>
        <v>58999.71779153675</v>
      </c>
    </row>
    <row r="67" spans="1:35" s="995" customFormat="1">
      <c r="A67" s="1000" t="s">
        <v>2648</v>
      </c>
      <c r="B67" s="1000"/>
      <c r="C67" s="1005"/>
      <c r="E67" s="999"/>
      <c r="Y67" s="995">
        <f>(Y60-Y62)*$C$65</f>
        <v>0</v>
      </c>
      <c r="AA67" s="995">
        <f>(AA60-AA62)*$C$65</f>
        <v>0</v>
      </c>
      <c r="AC67" s="995">
        <f t="shared" ref="AC67" si="6">(AC60-AC62)*$C$65</f>
        <v>14540.5</v>
      </c>
      <c r="AE67" s="995">
        <f t="shared" ref="AE67" si="7">(AE60-AE62)*$C$65</f>
        <v>58799.961035989843</v>
      </c>
      <c r="AG67" s="995">
        <f t="shared" ref="AG67" si="8">(AG60-AG62)*$C$65</f>
        <v>58999.71779153675</v>
      </c>
    </row>
    <row r="68" spans="1:35" s="995" customFormat="1">
      <c r="A68" s="1000"/>
      <c r="B68" s="1000"/>
      <c r="C68" s="1005"/>
      <c r="E68" s="1000"/>
      <c r="G68" s="995">
        <f t="shared" ref="G68:AG69" si="9">E68*$C$66</f>
        <v>0</v>
      </c>
      <c r="I68" s="995">
        <f t="shared" si="9"/>
        <v>0</v>
      </c>
      <c r="K68" s="995">
        <f t="shared" si="9"/>
        <v>0</v>
      </c>
      <c r="M68" s="995">
        <f t="shared" si="9"/>
        <v>0</v>
      </c>
      <c r="O68" s="995">
        <f t="shared" si="9"/>
        <v>0</v>
      </c>
      <c r="Q68" s="995">
        <f t="shared" si="9"/>
        <v>0</v>
      </c>
      <c r="S68" s="995">
        <f t="shared" si="9"/>
        <v>0</v>
      </c>
      <c r="U68" s="995">
        <f t="shared" si="9"/>
        <v>0</v>
      </c>
      <c r="W68" s="995">
        <f t="shared" si="9"/>
        <v>0</v>
      </c>
      <c r="Y68" s="995">
        <f t="shared" si="9"/>
        <v>0</v>
      </c>
      <c r="AA68" s="995">
        <f t="shared" si="9"/>
        <v>0</v>
      </c>
      <c r="AC68" s="995">
        <f t="shared" si="9"/>
        <v>0</v>
      </c>
      <c r="AE68" s="995">
        <f t="shared" si="9"/>
        <v>0</v>
      </c>
      <c r="AG68" s="995">
        <f t="shared" si="9"/>
        <v>0</v>
      </c>
    </row>
    <row r="69" spans="1:35" s="995" customFormat="1">
      <c r="A69" s="1000"/>
      <c r="B69" s="1000"/>
      <c r="C69" s="1005"/>
      <c r="E69" s="1002"/>
      <c r="G69" s="1003">
        <f t="shared" si="9"/>
        <v>0</v>
      </c>
      <c r="I69" s="1003">
        <f t="shared" si="9"/>
        <v>0</v>
      </c>
      <c r="K69" s="1003">
        <f t="shared" si="9"/>
        <v>0</v>
      </c>
      <c r="M69" s="1003">
        <f t="shared" si="9"/>
        <v>0</v>
      </c>
      <c r="O69" s="1003">
        <f t="shared" si="9"/>
        <v>0</v>
      </c>
      <c r="Q69" s="1003">
        <f t="shared" si="9"/>
        <v>0</v>
      </c>
      <c r="S69" s="1003">
        <f t="shared" si="9"/>
        <v>0</v>
      </c>
      <c r="U69" s="1003">
        <f t="shared" si="9"/>
        <v>0</v>
      </c>
      <c r="W69" s="1003">
        <f t="shared" si="9"/>
        <v>0</v>
      </c>
      <c r="Y69" s="1003">
        <f t="shared" si="9"/>
        <v>0</v>
      </c>
      <c r="AA69" s="1003">
        <f t="shared" si="9"/>
        <v>0</v>
      </c>
      <c r="AC69" s="1003">
        <f t="shared" si="9"/>
        <v>0</v>
      </c>
      <c r="AE69" s="1003">
        <f t="shared" si="9"/>
        <v>0</v>
      </c>
      <c r="AG69" s="1003">
        <f t="shared" si="9"/>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29081</v>
      </c>
      <c r="AE70" s="995">
        <f>SUM(AE66:AE69)</f>
        <v>117599.92207197969</v>
      </c>
      <c r="AG70" s="995">
        <f>SUM(AG66:AG69)</f>
        <v>117999.4355830735</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B74" s="995" t="s">
        <v>2731</v>
      </c>
      <c r="C74" s="192"/>
      <c r="E74" s="233">
        <f>'Sources and Uses Budget'!J99-'15 Year Pro Forma'!E62</f>
        <v>1196430.4500000002</v>
      </c>
      <c r="G74" s="233">
        <f>+E74-G62</f>
        <v>1114979.1262500004</v>
      </c>
      <c r="I74" s="233">
        <f t="shared" ref="I74" si="10">+G74-I62</f>
        <v>1028821.6233062507</v>
      </c>
      <c r="K74" s="233">
        <f t="shared" ref="K74" si="11">+I74-K62</f>
        <v>938197.13945040735</v>
      </c>
      <c r="M74" s="233">
        <f t="shared" ref="M74" si="12">+K74-M62</f>
        <v>843363.33875532029</v>
      </c>
      <c r="O74" s="233">
        <f t="shared" ref="O74" si="13">+M74-O62</f>
        <v>744597.24946063373</v>
      </c>
      <c r="Q74" s="233">
        <f t="shared" ref="Q74" si="14">+O74-Q62</f>
        <v>642196.20008209418</v>
      </c>
      <c r="S74" s="233">
        <f t="shared" ref="S74" si="15">+Q74-S62</f>
        <v>536478.79473210918</v>
      </c>
      <c r="U74" s="233">
        <f t="shared" ref="U74" si="16">+S74-U62</f>
        <v>427785.92918472708</v>
      </c>
      <c r="W74" s="233">
        <f t="shared" ref="W74" si="17">+U74-W62</f>
        <v>316481.84927587048</v>
      </c>
      <c r="Y74" s="233">
        <f t="shared" ref="Y74" si="18">+W74-Y62</f>
        <v>202955.2532894391</v>
      </c>
      <c r="AA74" s="233">
        <f>+Y74-AA62</f>
        <v>87620.44004188574</v>
      </c>
      <c r="AC74" s="233">
        <f t="shared" ref="AC74" si="19">+AA74-AC62</f>
        <v>-0.49555789152509533</v>
      </c>
      <c r="AE74" s="233">
        <f t="shared" ref="AE74" si="20">+AC74-AE62</f>
        <v>-0.49555789152509533</v>
      </c>
      <c r="AG74" s="233">
        <f t="shared" ref="AG74" si="21">+AE74-AG62</f>
        <v>-0.49555789152509533</v>
      </c>
    </row>
    <row r="75" spans="1:35" s="233" customFormat="1">
      <c r="A75" s="995" t="s">
        <v>1913</v>
      </c>
      <c r="C75" s="192"/>
    </row>
    <row r="76" spans="1:35" s="233" customFormat="1">
      <c r="C76" s="192"/>
    </row>
    <row r="77" spans="1:35" s="250" customFormat="1" ht="30" customHeight="1">
      <c r="A77" s="2674" t="s">
        <v>1912</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4000000</v>
      </c>
      <c r="C5" s="286">
        <f>'Sources and Uses Budget'!$C4</f>
        <v>4000000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4000000</v>
      </c>
      <c r="C9" s="290">
        <f>SUM(C5:C8)</f>
        <v>4000000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4000000</v>
      </c>
      <c r="C13" s="290">
        <f>SUM(C9+C12)</f>
        <v>4000000</v>
      </c>
      <c r="D13" s="290">
        <f t="shared" si="0"/>
        <v>0</v>
      </c>
      <c r="E13" s="288"/>
      <c r="F13" s="287"/>
      <c r="G13" s="383"/>
    </row>
    <row r="14" spans="1:7" s="380" customFormat="1">
      <c r="A14" s="397" t="s">
        <v>918</v>
      </c>
      <c r="B14" s="286">
        <f>'Sources and Uses Budget'!$C13</f>
        <v>2560288</v>
      </c>
      <c r="C14" s="286">
        <f>'Sources and Uses Budget'!$C13</f>
        <v>2560288</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1288604</v>
      </c>
      <c r="C30" s="286">
        <f>'Sources and Uses Budget'!$C29</f>
        <v>1288604</v>
      </c>
      <c r="D30" s="290">
        <f t="shared" si="0"/>
        <v>0</v>
      </c>
      <c r="E30" s="288"/>
      <c r="F30" s="287"/>
      <c r="G30" s="383"/>
    </row>
    <row r="31" spans="1:7" s="380" customFormat="1">
      <c r="A31" s="145" t="s">
        <v>608</v>
      </c>
      <c r="B31" s="286">
        <f>'Sources and Uses Budget'!$C30</f>
        <v>39887078</v>
      </c>
      <c r="C31" s="286">
        <f>'Sources and Uses Budget'!$C30</f>
        <v>39887078</v>
      </c>
      <c r="D31" s="290">
        <f t="shared" si="0"/>
        <v>0</v>
      </c>
      <c r="E31" s="288"/>
      <c r="F31" s="287"/>
      <c r="G31" s="383"/>
    </row>
    <row r="32" spans="1:7" s="380" customFormat="1">
      <c r="A32" s="145" t="s">
        <v>609</v>
      </c>
      <c r="B32" s="286">
        <f>'Sources and Uses Budget'!$C31</f>
        <v>4005000</v>
      </c>
      <c r="C32" s="286">
        <f>'Sources and Uses Budget'!$C31</f>
        <v>4005000</v>
      </c>
      <c r="D32" s="290">
        <f t="shared" si="0"/>
        <v>0</v>
      </c>
      <c r="E32" s="288"/>
      <c r="F32" s="287"/>
      <c r="G32" s="383"/>
    </row>
    <row r="33" spans="1:7" s="380" customFormat="1">
      <c r="A33" s="145" t="s">
        <v>137</v>
      </c>
      <c r="B33" s="286">
        <f>'Sources and Uses Budget'!$C32</f>
        <v>1945054</v>
      </c>
      <c r="C33" s="286">
        <f>'Sources and Uses Budget'!$C32</f>
        <v>1945054</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1350000</v>
      </c>
      <c r="C36" s="286">
        <f>'Sources and Uses Budget'!$C35</f>
        <v>1350000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SDI &amp; Bond</v>
      </c>
      <c r="B38" s="286">
        <f>'Sources and Uses Budget'!$C37</f>
        <v>1090826</v>
      </c>
      <c r="C38" s="286">
        <f>'Sources and Uses Budget'!$C37</f>
        <v>1090826</v>
      </c>
      <c r="D38" s="290">
        <f t="shared" si="0"/>
        <v>0</v>
      </c>
      <c r="E38" s="288"/>
      <c r="F38" s="287"/>
      <c r="G38" s="383"/>
    </row>
    <row r="39" spans="1:7" s="380" customFormat="1">
      <c r="A39" s="291" t="s">
        <v>143</v>
      </c>
      <c r="B39" s="290">
        <f>SUM(B30:B38)</f>
        <v>49566562</v>
      </c>
      <c r="C39" s="290">
        <f>SUM(C30:C38)</f>
        <v>49566562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1888998</v>
      </c>
      <c r="C41" s="286">
        <f>'Sources and Uses Budget'!$C40</f>
        <v>1888998</v>
      </c>
      <c r="D41" s="290">
        <f t="shared" si="0"/>
        <v>0</v>
      </c>
      <c r="E41" s="288"/>
      <c r="F41" s="287"/>
      <c r="G41" s="383"/>
    </row>
    <row r="42" spans="1:7" s="380" customFormat="1">
      <c r="A42" s="289" t="s">
        <v>146</v>
      </c>
      <c r="B42" s="286">
        <f>'Sources and Uses Budget'!$C41</f>
        <v>354491</v>
      </c>
      <c r="C42" s="286">
        <f>'Sources and Uses Budget'!$C41</f>
        <v>354491</v>
      </c>
      <c r="D42" s="290">
        <f t="shared" si="0"/>
        <v>0</v>
      </c>
      <c r="E42" s="288"/>
      <c r="F42" s="287"/>
      <c r="G42" s="383"/>
    </row>
    <row r="43" spans="1:7" s="380" customFormat="1">
      <c r="A43" s="291" t="s">
        <v>147</v>
      </c>
      <c r="B43" s="290">
        <f>SUM(B41:B42)</f>
        <v>2243489</v>
      </c>
      <c r="C43" s="290">
        <f>SUM(C41:C42)</f>
        <v>2243489</v>
      </c>
      <c r="D43" s="290">
        <f t="shared" si="0"/>
        <v>0</v>
      </c>
      <c r="E43" s="288"/>
      <c r="F43" s="287"/>
      <c r="G43" s="383"/>
    </row>
    <row r="44" spans="1:7" s="380" customFormat="1">
      <c r="A44" s="291" t="s">
        <v>148</v>
      </c>
      <c r="B44" s="286">
        <f>'Sources and Uses Budget'!$C43</f>
        <v>58000</v>
      </c>
      <c r="C44" s="286">
        <f>'Sources and Uses Budget'!$C43</f>
        <v>58000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3500000</v>
      </c>
      <c r="C46" s="286">
        <f>'Sources and Uses Budget'!$C45</f>
        <v>3500000</v>
      </c>
      <c r="D46" s="290">
        <f t="shared" si="0"/>
        <v>0</v>
      </c>
      <c r="E46" s="288"/>
      <c r="F46" s="287"/>
      <c r="G46" s="383"/>
    </row>
    <row r="47" spans="1:7" s="380" customFormat="1">
      <c r="A47" s="145" t="s">
        <v>151</v>
      </c>
      <c r="B47" s="286">
        <f>'Sources and Uses Budget'!$C46</f>
        <v>470000</v>
      </c>
      <c r="C47" s="286">
        <f>'Sources and Uses Budget'!$C46</f>
        <v>470000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171600</v>
      </c>
      <c r="C50" s="286">
        <f>'Sources and Uses Budget'!$C49</f>
        <v>171600</v>
      </c>
      <c r="D50" s="290">
        <f t="shared" si="0"/>
        <v>0</v>
      </c>
      <c r="E50" s="288"/>
      <c r="F50" s="287"/>
      <c r="G50" s="383"/>
    </row>
    <row r="51" spans="1:7" s="380" customFormat="1">
      <c r="A51" s="145" t="s">
        <v>156</v>
      </c>
      <c r="B51" s="286">
        <f>'Sources and Uses Budget'!$C50</f>
        <v>13000</v>
      </c>
      <c r="C51" s="286">
        <f>'Sources and Uses Budget'!$C50</f>
        <v>13000</v>
      </c>
      <c r="D51" s="290">
        <f t="shared" si="0"/>
        <v>0</v>
      </c>
      <c r="E51" s="288"/>
      <c r="F51" s="287"/>
      <c r="G51" s="383"/>
    </row>
    <row r="52" spans="1:7" s="380" customFormat="1">
      <c r="A52" s="304" t="s">
        <v>154</v>
      </c>
      <c r="B52" s="286">
        <f>'Sources and Uses Budget'!$C51</f>
        <v>125000</v>
      </c>
      <c r="C52" s="286">
        <f>'Sources and Uses Budget'!$C51</f>
        <v>125000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4279600</v>
      </c>
      <c r="C55" s="293">
        <f>SUM(C46:C54)</f>
        <v>4279600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76841</v>
      </c>
      <c r="C57" s="286">
        <f>'Sources and Uses Budget'!$C56</f>
        <v>76841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ht="25.5">
      <c r="A62" s="1054" t="str">
        <f>'Sources and Uses Budget'!A61</f>
        <v>Conversion Fee and Perm Lender Due Diligence</v>
      </c>
      <c r="B62" s="286">
        <f>'Sources and Uses Budget'!$C61</f>
        <v>37500</v>
      </c>
      <c r="C62" s="286">
        <f>'Sources and Uses Budget'!$C61</f>
        <v>37500</v>
      </c>
      <c r="D62" s="290">
        <f t="shared" si="0"/>
        <v>0</v>
      </c>
      <c r="E62" s="288"/>
      <c r="F62" s="287"/>
      <c r="G62" s="383"/>
    </row>
    <row r="63" spans="1:7" s="380" customFormat="1" ht="13.7" customHeight="1">
      <c r="A63" s="291" t="s">
        <v>302</v>
      </c>
      <c r="B63" s="290">
        <f>SUM(B57:B62)</f>
        <v>114341</v>
      </c>
      <c r="C63" s="290">
        <f>SUM(C57:C62)</f>
        <v>114341</v>
      </c>
      <c r="D63" s="290">
        <f t="shared" si="0"/>
        <v>0</v>
      </c>
      <c r="E63" s="288"/>
      <c r="F63" s="287"/>
      <c r="G63" s="383"/>
    </row>
    <row r="64" spans="1:7" s="380" customFormat="1">
      <c r="A64" s="294" t="s">
        <v>303</v>
      </c>
      <c r="B64" s="290">
        <f>SUM(B9+B12+B14+B15+B17+B26+B28+B39+B43+B44+B55+B63)</f>
        <v>62822280</v>
      </c>
      <c r="C64" s="290">
        <f>SUM(C9+C12+C14+C15+C17+C26+C28+C39+C43+C44+C55+C63)</f>
        <v>62822280</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150500</v>
      </c>
      <c r="C66" s="286">
        <f>'Sources and Uses Budget'!$C65</f>
        <v>150500</v>
      </c>
      <c r="D66" s="290">
        <f t="shared" si="0"/>
        <v>0</v>
      </c>
      <c r="E66" s="288"/>
      <c r="F66" s="287"/>
      <c r="G66" s="383"/>
    </row>
    <row r="67" spans="1:7" s="380" customFormat="1" ht="24">
      <c r="A67" s="304" t="s">
        <v>1755</v>
      </c>
      <c r="B67" s="286">
        <f>'Sources and Uses Budget'!$C66</f>
        <v>200000</v>
      </c>
      <c r="C67" s="286">
        <f>'Sources and Uses Budget'!$C66</f>
        <v>200000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Partnership Legal</v>
      </c>
      <c r="B70" s="286">
        <f>'Sources and Uses Budget'!$C69</f>
        <v>325000</v>
      </c>
      <c r="C70" s="286">
        <f>'Sources and Uses Budget'!$C69</f>
        <v>325000</v>
      </c>
      <c r="D70" s="290">
        <f t="shared" si="0"/>
        <v>0</v>
      </c>
      <c r="E70" s="288"/>
      <c r="F70" s="287"/>
      <c r="G70" s="383"/>
    </row>
    <row r="71" spans="1:7" s="380" customFormat="1">
      <c r="A71" s="149" t="s">
        <v>1759</v>
      </c>
      <c r="B71" s="290">
        <f>SUM(B66:B70)</f>
        <v>675500</v>
      </c>
      <c r="C71" s="290">
        <f>SUM(C66:C70)</f>
        <v>675500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75000</v>
      </c>
      <c r="C73" s="286">
        <f>'Sources and Uses Budget'!$C72</f>
        <v>75000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750872</v>
      </c>
      <c r="C76" s="286">
        <f>'Sources and Uses Budget'!$C75</f>
        <v>750872</v>
      </c>
      <c r="D76" s="290">
        <f t="shared" si="0"/>
        <v>0</v>
      </c>
      <c r="E76" s="288"/>
      <c r="F76" s="287"/>
      <c r="G76" s="383"/>
    </row>
    <row r="77" spans="1:7" s="380" customFormat="1">
      <c r="A77" s="292" t="s">
        <v>34</v>
      </c>
      <c r="B77" s="286">
        <f>'Sources and Uses Budget'!$C76</f>
        <v>66871</v>
      </c>
      <c r="C77" s="286">
        <f>'Sources and Uses Budget'!$C76</f>
        <v>66871</v>
      </c>
      <c r="D77" s="290">
        <f t="shared" si="0"/>
        <v>0</v>
      </c>
      <c r="E77" s="288"/>
      <c r="F77" s="287"/>
      <c r="G77" s="383"/>
    </row>
    <row r="78" spans="1:7" s="380" customFormat="1">
      <c r="A78" s="291" t="s">
        <v>615</v>
      </c>
      <c r="B78" s="290">
        <f>SUM(B73:B77)</f>
        <v>892743</v>
      </c>
      <c r="C78" s="290">
        <f>SUM(C73:C77)</f>
        <v>892743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3916477</v>
      </c>
      <c r="C80" s="286">
        <f>'Sources and Uses Budget'!$C79</f>
        <v>3916477</v>
      </c>
      <c r="D80" s="290">
        <f t="shared" si="1"/>
        <v>0</v>
      </c>
      <c r="E80" s="288"/>
      <c r="F80" s="287"/>
      <c r="G80" s="383"/>
    </row>
    <row r="81" spans="1:7" s="380" customFormat="1">
      <c r="A81" s="544" t="s">
        <v>58</v>
      </c>
      <c r="B81" s="286">
        <f>'Sources and Uses Budget'!$C80</f>
        <v>618378</v>
      </c>
      <c r="C81" s="286">
        <f>'Sources and Uses Budget'!$C80</f>
        <v>618378</v>
      </c>
      <c r="D81" s="290">
        <f>C81-B81</f>
        <v>0</v>
      </c>
      <c r="E81" s="288"/>
      <c r="F81" s="287"/>
      <c r="G81" s="383"/>
    </row>
    <row r="82" spans="1:7" s="380" customFormat="1">
      <c r="A82" s="291" t="s">
        <v>1316</v>
      </c>
      <c r="B82" s="290">
        <f>SUM(B80:B81)</f>
        <v>4534855</v>
      </c>
      <c r="C82" s="290">
        <f>SUM(C80:C81)</f>
        <v>4534855</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75312</v>
      </c>
      <c r="C84" s="286">
        <f>'Sources and Uses Budget'!$C83</f>
        <v>75312</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1064193</v>
      </c>
      <c r="C86" s="286">
        <f>'Sources and Uses Budget'!$C85</f>
        <v>1064193</v>
      </c>
      <c r="D86" s="290">
        <f t="shared" si="1"/>
        <v>0</v>
      </c>
      <c r="E86" s="288"/>
      <c r="F86" s="287"/>
      <c r="G86" s="383"/>
    </row>
    <row r="87" spans="1:7" s="380" customFormat="1">
      <c r="A87" s="289" t="s">
        <v>779</v>
      </c>
      <c r="B87" s="286">
        <f>'Sources and Uses Budget'!$C86</f>
        <v>357735</v>
      </c>
      <c r="C87" s="286">
        <f>'Sources and Uses Budget'!$C86</f>
        <v>357735</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104100</v>
      </c>
      <c r="C89" s="286">
        <f>'Sources and Uses Budget'!$C88</f>
        <v>104100</v>
      </c>
      <c r="D89" s="290">
        <f t="shared" si="1"/>
        <v>0</v>
      </c>
      <c r="E89" s="288"/>
      <c r="F89" s="287"/>
      <c r="G89" s="383"/>
    </row>
    <row r="90" spans="1:7" s="380" customFormat="1">
      <c r="A90" s="289" t="s">
        <v>782</v>
      </c>
      <c r="B90" s="286">
        <f>'Sources and Uses Budget'!$C89</f>
        <v>250000</v>
      </c>
      <c r="C90" s="286">
        <f>'Sources and Uses Budget'!$C89</f>
        <v>250000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100000</v>
      </c>
      <c r="C92" s="286">
        <f>'Sources and Uses Budget'!$C91</f>
        <v>100000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1961340</v>
      </c>
      <c r="C97" s="290">
        <f>SUM(C84:C96)</f>
        <v>1961340</v>
      </c>
      <c r="D97" s="290">
        <f t="shared" si="1"/>
        <v>0</v>
      </c>
      <c r="E97" s="288"/>
      <c r="F97" s="287"/>
      <c r="G97" s="383"/>
    </row>
    <row r="98" spans="1:7" s="380" customFormat="1">
      <c r="A98" s="291" t="s">
        <v>785</v>
      </c>
      <c r="B98" s="290">
        <f>SUM(B64+B71+B78+B82+B97)</f>
        <v>70886718</v>
      </c>
      <c r="C98" s="290">
        <f>SUM(C64+C71+C78+C82+C97)</f>
        <v>70886718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6000000</v>
      </c>
      <c r="C100" s="286">
        <f>'Sources and Uses Budget'!$C99</f>
        <v>6000000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6000000</v>
      </c>
      <c r="C105" s="290">
        <f>SUM(C100:C104)</f>
        <v>6000000</v>
      </c>
      <c r="D105" s="290">
        <f t="shared" si="1"/>
        <v>0</v>
      </c>
      <c r="E105" s="288"/>
      <c r="F105" s="287"/>
      <c r="G105" s="383"/>
    </row>
    <row r="106" spans="1:7" s="380" customFormat="1">
      <c r="A106" s="291" t="s">
        <v>790</v>
      </c>
      <c r="B106" s="293">
        <f>SUM(B98+B105)</f>
        <v>76886718</v>
      </c>
      <c r="C106" s="293">
        <f>SUM(C98+C105)</f>
        <v>76886718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5" workbookViewId="0"/>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topLeftCell="A276" workbookViewId="0">
      <selection activeCell="B1107" activeCellId="4" sqref="B1085 B1089 B1092 B1099 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2797</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2797</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2798</v>
      </c>
      <c r="D24" s="1281" t="s">
        <v>1154</v>
      </c>
      <c r="E24" s="1281"/>
      <c r="F24" s="1281"/>
      <c r="I24" s="524" t="s">
        <v>2075</v>
      </c>
    </row>
    <row r="25" spans="1:9" ht="14.25">
      <c r="A25" s="518"/>
      <c r="B25" s="518"/>
      <c r="D25" s="1281"/>
      <c r="E25" s="1281"/>
      <c r="F25" s="1281"/>
      <c r="I25" s="524"/>
    </row>
    <row r="26" spans="1:9">
      <c r="I26" s="524"/>
    </row>
    <row r="27" spans="1:9" ht="14.25">
      <c r="A27" s="518"/>
      <c r="B27" s="519" t="s">
        <v>2797</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2798</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2798</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2798</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2798</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2798</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2797</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2798</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2798</v>
      </c>
      <c r="D65" s="1281" t="s">
        <v>1163</v>
      </c>
      <c r="E65" s="1281"/>
      <c r="F65" s="1281"/>
      <c r="I65" s="524" t="s">
        <v>2077</v>
      </c>
    </row>
    <row r="66" spans="1:9">
      <c r="D66" s="1281"/>
      <c r="E66" s="1281"/>
      <c r="F66" s="1281"/>
      <c r="I66" s="524"/>
    </row>
    <row r="67" spans="1:9">
      <c r="I67" s="524"/>
    </row>
    <row r="68" spans="1:9" ht="14.25">
      <c r="A68" s="518"/>
      <c r="B68" s="519" t="s">
        <v>2798</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2798</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2797</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2797</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2797</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2797</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2798</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2798</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2798</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2797</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2797</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2797</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2798</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2798</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2798</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2798</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2798</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2798</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2798</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2798</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2798</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2798</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2797</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2797</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2798</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2798</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2797</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2797</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2798</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2798</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2798</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2798</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2798</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2798</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2798</v>
      </c>
      <c r="D305" s="1310" t="s">
        <v>1216</v>
      </c>
      <c r="E305" s="1310"/>
      <c r="F305" s="1310"/>
      <c r="I305" s="524" t="s">
        <v>2092</v>
      </c>
    </row>
    <row r="306" spans="1:9" ht="14.25">
      <c r="A306" s="518"/>
      <c r="B306" s="518"/>
      <c r="D306" s="528"/>
      <c r="E306" s="529"/>
      <c r="F306" s="529"/>
      <c r="I306" s="524"/>
    </row>
    <row r="307" spans="1:9" ht="13.7" customHeight="1">
      <c r="B307" s="519" t="s">
        <v>2798</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2798</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2798</v>
      </c>
      <c r="D316" s="1310" t="s">
        <v>1219</v>
      </c>
      <c r="E316" s="1310"/>
      <c r="F316" s="1310"/>
      <c r="I316" s="524" t="s">
        <v>2078</v>
      </c>
    </row>
    <row r="317" spans="1:9">
      <c r="E317" s="480"/>
      <c r="F317" s="480"/>
      <c r="I317" s="524"/>
    </row>
    <row r="318" spans="1:9" ht="14.25">
      <c r="A318" s="518"/>
      <c r="B318" s="519" t="s">
        <v>2798</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2798</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2798</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2798</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2798</v>
      </c>
      <c r="C360" s="510"/>
      <c r="D360" s="1314" t="s">
        <v>2372</v>
      </c>
      <c r="E360" s="1314"/>
      <c r="F360" s="1314"/>
      <c r="I360" s="514"/>
    </row>
    <row r="361" spans="1:9">
      <c r="A361" s="510"/>
      <c r="B361" s="510"/>
      <c r="C361" s="510"/>
      <c r="D361" s="481"/>
      <c r="E361" s="481"/>
      <c r="F361" s="480"/>
      <c r="I361" s="524"/>
    </row>
    <row r="362" spans="1:9">
      <c r="A362" s="510"/>
      <c r="B362" s="519" t="s">
        <v>2798</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2798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2798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2798</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2798</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2798</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2798</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2798</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2798</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2798</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2798</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2798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2798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2798</v>
      </c>
      <c r="C486" s="433"/>
      <c r="D486" s="1281"/>
      <c r="E486" s="1281"/>
      <c r="F486" s="1281"/>
      <c r="I486" s="524"/>
    </row>
    <row r="487" spans="1:9">
      <c r="A487" s="433"/>
      <c r="C487" s="433"/>
      <c r="D487" s="1281"/>
      <c r="E487" s="1281"/>
      <c r="F487" s="1281"/>
      <c r="I487" s="524"/>
    </row>
    <row r="488" spans="1:9">
      <c r="A488" s="433"/>
      <c r="B488" s="519" t="s">
        <v>2798</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2798</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2798</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2798</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2798</v>
      </c>
      <c r="D509" s="1310" t="s">
        <v>1243</v>
      </c>
      <c r="E509" s="1310"/>
      <c r="F509" s="1310"/>
      <c r="I509" s="524" t="s">
        <v>2097</v>
      </c>
    </row>
    <row r="510" spans="1:9" ht="14.25">
      <c r="A510" s="518"/>
      <c r="B510" s="518"/>
      <c r="D510" s="480"/>
      <c r="I510" s="524"/>
    </row>
    <row r="511" spans="1:9" ht="14.25">
      <c r="A511" s="518"/>
      <c r="B511" s="519" t="s">
        <v>2798</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2798</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2797</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2797</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2798</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2797</v>
      </c>
      <c r="C543" s="521"/>
      <c r="D543" s="1310" t="s">
        <v>897</v>
      </c>
      <c r="E543" s="1310"/>
      <c r="F543" s="1310"/>
      <c r="I543" s="524" t="s">
        <v>2148</v>
      </c>
    </row>
    <row r="544" spans="1:9" ht="13.7" customHeight="1">
      <c r="A544" s="521"/>
      <c r="B544" s="521"/>
      <c r="C544" s="521"/>
      <c r="D544" s="480"/>
      <c r="I544" s="524"/>
    </row>
    <row r="545" spans="1:9" ht="14.25">
      <c r="A545" s="518"/>
      <c r="B545" s="519" t="s">
        <v>2797</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2797</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2797</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2797</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2798</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2797</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2797</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2797</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2797</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2797</v>
      </c>
      <c r="D583" s="1303" t="s">
        <v>903</v>
      </c>
      <c r="E583" s="1303"/>
      <c r="F583" s="1303"/>
      <c r="I583" s="524"/>
    </row>
    <row r="584" spans="1:9">
      <c r="A584" s="524"/>
      <c r="B584" s="524"/>
      <c r="D584" s="510"/>
      <c r="I584" s="524"/>
    </row>
    <row r="585" spans="1:9">
      <c r="A585" s="524"/>
      <c r="B585" s="519" t="s">
        <v>2797</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2798</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2797</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2798</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2797</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2797</v>
      </c>
      <c r="D615" s="1283" t="s">
        <v>1189</v>
      </c>
      <c r="E615" s="1283"/>
      <c r="F615" s="1283"/>
      <c r="I615" s="524" t="s">
        <v>2153</v>
      </c>
    </row>
    <row r="616" spans="1:9">
      <c r="D616" s="1283"/>
      <c r="E616" s="1283"/>
      <c r="F616" s="1283"/>
      <c r="I616" s="524"/>
    </row>
    <row r="617" spans="1:9">
      <c r="I617" s="524"/>
    </row>
    <row r="618" spans="1:9">
      <c r="B618" s="519" t="s">
        <v>2797</v>
      </c>
      <c r="D618" s="1283" t="s">
        <v>1190</v>
      </c>
      <c r="E618" s="1283"/>
      <c r="F618" s="1283"/>
      <c r="I618" s="524" t="s">
        <v>2106</v>
      </c>
    </row>
    <row r="619" spans="1:9">
      <c r="C619" s="534"/>
      <c r="D619" s="1283"/>
      <c r="E619" s="1283"/>
      <c r="F619" s="1283"/>
      <c r="I619" s="524"/>
    </row>
    <row r="620" spans="1:9">
      <c r="C620" s="534"/>
      <c r="I620" s="524"/>
    </row>
    <row r="621" spans="1:9">
      <c r="B621" s="519" t="s">
        <v>2797</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2797</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2798</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2798</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2798</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2797</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2797</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2797</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2798</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2797</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2797</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2798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2797</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2797</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2798</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2798</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2798</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2798</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2798</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2798</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2797</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2797</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2797</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2798</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2797</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2797</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2798</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2798</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2798</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2798</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2798</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2798</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2797</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2797</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2798</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2798</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2798</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2797</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2797</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2798</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2798</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2798</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2798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2797</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2797</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2798</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2798</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2798</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2798</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2798</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2797</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2797</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2798</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2798</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2798</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2798</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2797</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2797</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2798</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2797</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2798</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2798</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2798</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2798</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2798</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2797</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2798</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2797</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2798</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2798</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2798</v>
      </c>
      <c r="C1050" s="433"/>
      <c r="D1050" s="433" t="s">
        <v>2004</v>
      </c>
      <c r="I1050" s="524" t="s">
        <v>2116</v>
      </c>
    </row>
    <row r="1051" spans="1:9">
      <c r="A1051" s="433"/>
      <c r="B1051" s="433"/>
      <c r="C1051" s="433"/>
      <c r="I1051" s="524"/>
    </row>
    <row r="1052" spans="1:9">
      <c r="A1052" s="433"/>
      <c r="B1052" s="519" t="s">
        <v>2798</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2797</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2798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2798</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2798</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2798</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2798</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2798</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2798</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2797</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2798</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59" zoomScaleNormal="100" workbookViewId="0">
      <selection activeCell="AH520" sqref="AH520:AK52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33" t="s">
        <v>2638</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58" t="s">
        <v>2685</v>
      </c>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8"/>
    </row>
    <row r="17" spans="1:52" ht="12.95" customHeight="1"/>
    <row r="18" spans="1:52" ht="12.95" customHeight="1">
      <c r="A18" s="57" t="s">
        <v>101</v>
      </c>
      <c r="C18" s="4"/>
      <c r="D18" s="4"/>
      <c r="E18" s="4"/>
      <c r="F18" s="4"/>
      <c r="G18" s="4"/>
      <c r="H18" s="1492" t="s">
        <v>2639</v>
      </c>
      <c r="I18" s="1492"/>
      <c r="J18" s="1492"/>
      <c r="K18" s="1492"/>
      <c r="L18" s="1492"/>
      <c r="M18" s="1492"/>
      <c r="N18" s="1492"/>
      <c r="O18" s="1492"/>
      <c r="P18" s="1492"/>
      <c r="Q18" s="1492"/>
      <c r="R18" s="1492"/>
      <c r="S18" s="1492"/>
      <c r="T18" s="1492"/>
      <c r="U18" s="1492"/>
      <c r="V18" s="1492"/>
      <c r="W18" s="1492"/>
      <c r="X18" s="1492"/>
      <c r="Y18" s="1492"/>
      <c r="Z18" s="1492"/>
      <c r="AA18" s="1492"/>
      <c r="AB18" s="1492"/>
      <c r="AC18" s="1492"/>
      <c r="AD18" s="1492"/>
      <c r="AE18" s="1492"/>
      <c r="AF18" s="1492"/>
      <c r="AG18" s="1492"/>
      <c r="AH18" s="1492"/>
      <c r="AI18" s="1492"/>
      <c r="AJ18" s="1492"/>
    </row>
    <row r="19" spans="1:52" ht="12.95" customHeight="1"/>
    <row r="20" spans="1:52" ht="12.95" customHeight="1">
      <c r="A20" s="1834" t="s">
        <v>885</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935"/>
      <c r="AV20" s="935"/>
      <c r="AW20" s="935"/>
      <c r="AX20" s="935"/>
      <c r="AY20" s="935"/>
    </row>
    <row r="21" spans="1:52" ht="12.95" customHeight="1">
      <c r="A21" s="1573" t="s">
        <v>1034</v>
      </c>
      <c r="B21" s="1573"/>
      <c r="C21" s="1573"/>
      <c r="D21" s="1573"/>
      <c r="E21" s="1573"/>
      <c r="F21" s="1573"/>
      <c r="G21" s="1573"/>
      <c r="H21" s="1573"/>
      <c r="I21" s="1573"/>
      <c r="J21" s="1573"/>
      <c r="K21" s="1573"/>
      <c r="L21" s="1573"/>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72">
        <f>'Basis &amp; Credits'!AB56</f>
        <v>3464138</v>
      </c>
      <c r="N26" s="1572"/>
      <c r="O26" s="1572"/>
      <c r="P26" s="1572"/>
      <c r="Q26" s="157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4">
        <f>'Basis &amp; Credits'!AB77</f>
        <v>14400000</v>
      </c>
      <c r="N27" s="1374"/>
      <c r="O27" s="1374"/>
      <c r="P27" s="1374"/>
      <c r="Q27" s="1374"/>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74" t="s">
        <v>2511</v>
      </c>
      <c r="B29" s="1574"/>
      <c r="C29" s="1574"/>
      <c r="D29" s="1574"/>
      <c r="E29" s="1574"/>
      <c r="F29" s="1574"/>
      <c r="G29" s="1574"/>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1574"/>
      <c r="AO29" s="1574"/>
      <c r="AP29" s="1574"/>
      <c r="AQ29" s="1574"/>
      <c r="AR29" s="1574"/>
      <c r="AS29" s="1574"/>
      <c r="AT29" s="1574"/>
    </row>
    <row r="30" spans="1:52" ht="12.95" customHeight="1">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1574"/>
      <c r="AO30" s="1574"/>
      <c r="AP30" s="1574"/>
      <c r="AQ30" s="1574"/>
      <c r="AR30" s="1574"/>
      <c r="AS30" s="1574"/>
      <c r="AT30" s="1574"/>
      <c r="AZ30" s="20"/>
    </row>
    <row r="31" spans="1:52" ht="12.95" customHeight="1">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1574"/>
      <c r="AO31" s="1574"/>
      <c r="AP31" s="1574"/>
      <c r="AQ31" s="1574"/>
      <c r="AR31" s="1574"/>
      <c r="AS31" s="1574"/>
      <c r="AT31" s="157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40" t="s">
        <v>554</v>
      </c>
      <c r="P33" s="1440"/>
      <c r="Q33" s="1835" t="s">
        <v>2512</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row>
    <row r="34" spans="1:52" ht="12.95" customHeight="1">
      <c r="A34" s="1574" t="s">
        <v>2513</v>
      </c>
      <c r="B34" s="1574"/>
      <c r="C34" s="1574"/>
      <c r="D34" s="1574"/>
      <c r="E34" s="1574"/>
      <c r="F34" s="1574"/>
      <c r="G34" s="1574"/>
      <c r="H34" s="1574"/>
      <c r="I34" s="1574"/>
      <c r="J34" s="1574"/>
      <c r="K34" s="1574"/>
      <c r="L34" s="1574"/>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1574"/>
      <c r="AO34" s="1574"/>
      <c r="AP34" s="1574"/>
      <c r="AQ34" s="1574"/>
      <c r="AR34" s="1574"/>
      <c r="AS34" s="1574"/>
      <c r="AT34" s="1574"/>
      <c r="AU34" s="20"/>
      <c r="AV34" s="20"/>
      <c r="AW34" s="20"/>
      <c r="AX34" s="20"/>
      <c r="AY34" s="20"/>
      <c r="AZ34" s="20"/>
    </row>
    <row r="35" spans="1:52" ht="12.95" customHeight="1">
      <c r="A35" s="1574"/>
      <c r="B35" s="1574"/>
      <c r="C35" s="1574"/>
      <c r="D35" s="1574"/>
      <c r="E35" s="1574"/>
      <c r="F35" s="1574"/>
      <c r="G35" s="1574"/>
      <c r="H35" s="1574"/>
      <c r="I35" s="1574"/>
      <c r="J35" s="1574"/>
      <c r="K35" s="1574"/>
      <c r="L35" s="1574"/>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1574"/>
      <c r="AO35" s="1574"/>
      <c r="AP35" s="1574"/>
      <c r="AQ35" s="1574"/>
      <c r="AR35" s="1574"/>
      <c r="AS35" s="1574"/>
      <c r="AT35" s="1574"/>
      <c r="AU35" s="20"/>
      <c r="AV35" s="20"/>
      <c r="AW35" s="20"/>
      <c r="AX35" s="20"/>
      <c r="AY35" s="20"/>
      <c r="AZ35" s="20"/>
    </row>
    <row r="36" spans="1:52" ht="12.95" customHeight="1">
      <c r="A36" s="1574"/>
      <c r="B36" s="1574"/>
      <c r="C36" s="1574"/>
      <c r="D36" s="1574"/>
      <c r="E36" s="1574"/>
      <c r="F36" s="1574"/>
      <c r="G36" s="1574"/>
      <c r="H36" s="1574"/>
      <c r="I36" s="1574"/>
      <c r="J36" s="1574"/>
      <c r="K36" s="1574"/>
      <c r="L36" s="1574"/>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c r="AN36" s="1574"/>
      <c r="AO36" s="1574"/>
      <c r="AP36" s="1574"/>
      <c r="AQ36" s="1574"/>
      <c r="AR36" s="1574"/>
      <c r="AS36" s="1574"/>
      <c r="AT36" s="1574"/>
      <c r="AU36" s="20"/>
      <c r="AV36" s="20"/>
      <c r="AW36" s="20"/>
      <c r="AX36" s="20"/>
      <c r="AY36" s="20"/>
      <c r="AZ36" s="20"/>
    </row>
    <row r="37" spans="1:52" ht="12.95" customHeight="1">
      <c r="A37" s="1574"/>
      <c r="B37" s="1574"/>
      <c r="C37" s="1574"/>
      <c r="D37" s="1574"/>
      <c r="E37" s="1574"/>
      <c r="F37" s="1574"/>
      <c r="G37" s="1574"/>
      <c r="H37" s="1574"/>
      <c r="I37" s="1574"/>
      <c r="J37" s="1574"/>
      <c r="K37" s="1574"/>
      <c r="L37" s="1574"/>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c r="AN37" s="1574"/>
      <c r="AO37" s="1574"/>
      <c r="AP37" s="1574"/>
      <c r="AQ37" s="1574"/>
      <c r="AR37" s="1574"/>
      <c r="AS37" s="1574"/>
      <c r="AT37" s="1574"/>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65" t="s">
        <v>2520</v>
      </c>
      <c r="B65" s="1565"/>
      <c r="C65" s="1565"/>
      <c r="D65" s="1565"/>
      <c r="E65" s="1565"/>
      <c r="F65" s="1565"/>
      <c r="G65" s="1565"/>
      <c r="H65" s="1565"/>
      <c r="I65" s="1565"/>
      <c r="J65" s="1565"/>
      <c r="K65" s="1565"/>
      <c r="L65" s="1565"/>
      <c r="M65" s="1565"/>
      <c r="N65" s="1565"/>
      <c r="O65" s="1565"/>
      <c r="P65" s="1565"/>
      <c r="Q65" s="1565"/>
      <c r="R65" s="1565"/>
      <c r="S65" s="1565"/>
      <c r="T65" s="1565"/>
      <c r="U65" s="1565"/>
      <c r="V65" s="1565"/>
      <c r="W65" s="1565"/>
      <c r="X65" s="1565"/>
      <c r="Y65" s="1565"/>
      <c r="Z65" s="1565"/>
      <c r="AA65" s="1565"/>
      <c r="AB65" s="1565"/>
      <c r="AC65" s="1565"/>
      <c r="AD65" s="1565"/>
      <c r="AE65" s="1565"/>
      <c r="AF65" s="1565"/>
      <c r="AG65" s="1565"/>
      <c r="AH65" s="1565"/>
      <c r="AI65" s="1565"/>
      <c r="AJ65" s="1565"/>
      <c r="AK65" s="1565"/>
      <c r="AL65" s="1565"/>
      <c r="AM65" s="1565"/>
      <c r="AN65" s="1565"/>
      <c r="AO65" s="1565"/>
      <c r="AP65" s="1565"/>
      <c r="AQ65" s="1565"/>
      <c r="AR65" s="1565"/>
      <c r="AS65" s="1565"/>
      <c r="AT65" s="1565"/>
      <c r="AU65" s="21"/>
      <c r="AV65" s="21"/>
      <c r="AW65" s="21"/>
      <c r="AX65" s="21"/>
      <c r="AY65" s="21"/>
      <c r="AZ65" s="20"/>
    </row>
    <row r="66" spans="1:52" ht="12.95" customHeight="1">
      <c r="A66" s="1565"/>
      <c r="B66" s="1565"/>
      <c r="C66" s="1565"/>
      <c r="D66" s="1565"/>
      <c r="E66" s="1565"/>
      <c r="F66" s="1565"/>
      <c r="G66" s="1565"/>
      <c r="H66" s="1565"/>
      <c r="I66" s="1565"/>
      <c r="J66" s="1565"/>
      <c r="K66" s="1565"/>
      <c r="L66" s="1565"/>
      <c r="M66" s="1565"/>
      <c r="N66" s="1565"/>
      <c r="O66" s="1565"/>
      <c r="P66" s="1565"/>
      <c r="Q66" s="1565"/>
      <c r="R66" s="1565"/>
      <c r="S66" s="1565"/>
      <c r="T66" s="1565"/>
      <c r="U66" s="1565"/>
      <c r="V66" s="1565"/>
      <c r="W66" s="1565"/>
      <c r="X66" s="1565"/>
      <c r="Y66" s="1565"/>
      <c r="Z66" s="1565"/>
      <c r="AA66" s="1565"/>
      <c r="AB66" s="1565"/>
      <c r="AC66" s="1565"/>
      <c r="AD66" s="1565"/>
      <c r="AE66" s="1565"/>
      <c r="AF66" s="1565"/>
      <c r="AG66" s="1565"/>
      <c r="AH66" s="1565"/>
      <c r="AI66" s="1565"/>
      <c r="AJ66" s="1565"/>
      <c r="AK66" s="1565"/>
      <c r="AL66" s="1565"/>
      <c r="AM66" s="1565"/>
      <c r="AN66" s="1565"/>
      <c r="AO66" s="1565"/>
      <c r="AP66" s="1565"/>
      <c r="AQ66" s="1565"/>
      <c r="AR66" s="1565"/>
      <c r="AS66" s="1565"/>
      <c r="AT66" s="1565"/>
      <c r="AU66" s="21"/>
      <c r="AV66" s="21"/>
      <c r="AW66" s="21"/>
      <c r="AX66" s="21"/>
      <c r="AY66" s="21"/>
      <c r="AZ66" s="20"/>
    </row>
    <row r="67" spans="1:52" ht="12.95" customHeight="1">
      <c r="A67" s="1565"/>
      <c r="B67" s="1565"/>
      <c r="C67" s="1565"/>
      <c r="D67" s="1565"/>
      <c r="E67" s="1565"/>
      <c r="F67" s="1565"/>
      <c r="G67" s="1565"/>
      <c r="H67" s="1565"/>
      <c r="I67" s="1565"/>
      <c r="J67" s="1565"/>
      <c r="K67" s="1565"/>
      <c r="L67" s="1565"/>
      <c r="M67" s="1565"/>
      <c r="N67" s="1565"/>
      <c r="O67" s="1565"/>
      <c r="P67" s="1565"/>
      <c r="Q67" s="1565"/>
      <c r="R67" s="1565"/>
      <c r="S67" s="1565"/>
      <c r="T67" s="1565"/>
      <c r="U67" s="1565"/>
      <c r="V67" s="1565"/>
      <c r="W67" s="1565"/>
      <c r="X67" s="1565"/>
      <c r="Y67" s="1565"/>
      <c r="Z67" s="1565"/>
      <c r="AA67" s="1565"/>
      <c r="AB67" s="1565"/>
      <c r="AC67" s="1565"/>
      <c r="AD67" s="1565"/>
      <c r="AE67" s="1565"/>
      <c r="AF67" s="1565"/>
      <c r="AG67" s="1565"/>
      <c r="AH67" s="1565"/>
      <c r="AI67" s="1565"/>
      <c r="AJ67" s="1565"/>
      <c r="AK67" s="1565"/>
      <c r="AL67" s="1565"/>
      <c r="AM67" s="1565"/>
      <c r="AN67" s="1565"/>
      <c r="AO67" s="1565"/>
      <c r="AP67" s="1565"/>
      <c r="AQ67" s="1565"/>
      <c r="AR67" s="1565"/>
      <c r="AS67" s="1565"/>
      <c r="AT67" s="156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65" t="s">
        <v>2521</v>
      </c>
      <c r="B69" s="1565"/>
      <c r="C69" s="1565"/>
      <c r="D69" s="1565"/>
      <c r="E69" s="1565"/>
      <c r="F69" s="1565"/>
      <c r="G69" s="1565"/>
      <c r="H69" s="1565"/>
      <c r="I69" s="1565"/>
      <c r="J69" s="1565"/>
      <c r="K69" s="1565"/>
      <c r="L69" s="1565"/>
      <c r="M69" s="1565"/>
      <c r="N69" s="1565"/>
      <c r="O69" s="1565"/>
      <c r="P69" s="1565"/>
      <c r="Q69" s="1565"/>
      <c r="R69" s="1565"/>
      <c r="S69" s="1565"/>
      <c r="T69" s="1565"/>
      <c r="U69" s="1565"/>
      <c r="V69" s="1565"/>
      <c r="W69" s="1565"/>
      <c r="X69" s="1565"/>
      <c r="Y69" s="1565"/>
      <c r="Z69" s="1565"/>
      <c r="AA69" s="1565"/>
      <c r="AB69" s="1565"/>
      <c r="AC69" s="1565"/>
      <c r="AD69" s="1565"/>
      <c r="AE69" s="1565"/>
      <c r="AF69" s="1565"/>
      <c r="AG69" s="1565"/>
      <c r="AH69" s="1565"/>
      <c r="AI69" s="1565"/>
      <c r="AJ69" s="1565"/>
      <c r="AK69" s="1565"/>
      <c r="AL69" s="1565"/>
      <c r="AM69" s="1565"/>
      <c r="AN69" s="1565"/>
      <c r="AO69" s="1565"/>
      <c r="AP69" s="1565"/>
      <c r="AQ69" s="1565"/>
      <c r="AR69" s="1565"/>
      <c r="AS69" s="1565"/>
      <c r="AT69" s="1565"/>
      <c r="AZ69" s="20"/>
    </row>
    <row r="70" spans="1:52" ht="12.95" customHeight="1">
      <c r="A70" s="1565"/>
      <c r="B70" s="1565"/>
      <c r="C70" s="1565"/>
      <c r="D70" s="1565"/>
      <c r="E70" s="1565"/>
      <c r="F70" s="1565"/>
      <c r="G70" s="1565"/>
      <c r="H70" s="1565"/>
      <c r="I70" s="1565"/>
      <c r="J70" s="1565"/>
      <c r="K70" s="1565"/>
      <c r="L70" s="1565"/>
      <c r="M70" s="1565"/>
      <c r="N70" s="1565"/>
      <c r="O70" s="1565"/>
      <c r="P70" s="1565"/>
      <c r="Q70" s="1565"/>
      <c r="R70" s="1565"/>
      <c r="S70" s="1565"/>
      <c r="T70" s="1565"/>
      <c r="U70" s="1565"/>
      <c r="V70" s="1565"/>
      <c r="W70" s="1565"/>
      <c r="X70" s="1565"/>
      <c r="Y70" s="1565"/>
      <c r="Z70" s="1565"/>
      <c r="AA70" s="1565"/>
      <c r="AB70" s="1565"/>
      <c r="AC70" s="1565"/>
      <c r="AD70" s="1565"/>
      <c r="AE70" s="1565"/>
      <c r="AF70" s="1565"/>
      <c r="AG70" s="1565"/>
      <c r="AH70" s="1565"/>
      <c r="AI70" s="1565"/>
      <c r="AJ70" s="1565"/>
      <c r="AK70" s="1565"/>
      <c r="AL70" s="1565"/>
      <c r="AM70" s="1565"/>
      <c r="AN70" s="1565"/>
      <c r="AO70" s="1565"/>
      <c r="AP70" s="1565"/>
      <c r="AQ70" s="1565"/>
      <c r="AR70" s="1565"/>
      <c r="AS70" s="1565"/>
      <c r="AT70" s="156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74" t="s">
        <v>2522</v>
      </c>
      <c r="B72" s="1574"/>
      <c r="C72" s="1574"/>
      <c r="D72" s="1574"/>
      <c r="E72" s="1574"/>
      <c r="F72" s="1574"/>
      <c r="G72" s="1574"/>
      <c r="H72" s="1574"/>
      <c r="I72" s="1574"/>
      <c r="J72" s="1574"/>
      <c r="K72" s="1574"/>
      <c r="L72" s="1574"/>
      <c r="M72" s="1574"/>
      <c r="N72" s="1574"/>
      <c r="O72" s="1574"/>
      <c r="P72" s="1574"/>
      <c r="Q72" s="1574"/>
      <c r="R72" s="1574"/>
      <c r="S72" s="1574"/>
      <c r="T72" s="1574"/>
      <c r="U72" s="1574"/>
      <c r="V72" s="1574"/>
      <c r="W72" s="1574"/>
      <c r="X72" s="1574"/>
      <c r="Y72" s="1574"/>
      <c r="Z72" s="1574"/>
      <c r="AA72" s="1574"/>
      <c r="AB72" s="1574"/>
      <c r="AC72" s="1574"/>
      <c r="AD72" s="1574"/>
      <c r="AE72" s="1574"/>
      <c r="AF72" s="1574"/>
      <c r="AG72" s="1574"/>
      <c r="AH72" s="1574"/>
      <c r="AI72" s="1574"/>
      <c r="AJ72" s="1574"/>
      <c r="AK72" s="1574"/>
      <c r="AL72" s="1574"/>
      <c r="AM72" s="1574"/>
      <c r="AN72" s="1574"/>
      <c r="AO72" s="1574"/>
      <c r="AP72" s="1574"/>
      <c r="AQ72" s="1574"/>
      <c r="AR72" s="1574"/>
      <c r="AS72" s="1574"/>
      <c r="AT72" s="1574"/>
      <c r="AU72" s="20"/>
      <c r="AV72" s="20"/>
      <c r="AW72" s="20"/>
      <c r="AX72" s="20"/>
      <c r="AY72" s="20"/>
      <c r="AZ72" s="20"/>
    </row>
    <row r="73" spans="1:52" ht="12.95" customHeight="1">
      <c r="A73" s="1574"/>
      <c r="B73" s="1574"/>
      <c r="C73" s="1574"/>
      <c r="D73" s="1574"/>
      <c r="E73" s="1574"/>
      <c r="F73" s="1574"/>
      <c r="G73" s="1574"/>
      <c r="H73" s="1574"/>
      <c r="I73" s="1574"/>
      <c r="J73" s="1574"/>
      <c r="K73" s="1574"/>
      <c r="L73" s="1574"/>
      <c r="M73" s="1574"/>
      <c r="N73" s="1574"/>
      <c r="O73" s="1574"/>
      <c r="P73" s="1574"/>
      <c r="Q73" s="1574"/>
      <c r="R73" s="1574"/>
      <c r="S73" s="1574"/>
      <c r="T73" s="1574"/>
      <c r="U73" s="1574"/>
      <c r="V73" s="1574"/>
      <c r="W73" s="1574"/>
      <c r="X73" s="1574"/>
      <c r="Y73" s="1574"/>
      <c r="Z73" s="1574"/>
      <c r="AA73" s="1574"/>
      <c r="AB73" s="1574"/>
      <c r="AC73" s="1574"/>
      <c r="AD73" s="1574"/>
      <c r="AE73" s="1574"/>
      <c r="AF73" s="1574"/>
      <c r="AG73" s="1574"/>
      <c r="AH73" s="1574"/>
      <c r="AI73" s="1574"/>
      <c r="AJ73" s="1574"/>
      <c r="AK73" s="1574"/>
      <c r="AL73" s="1574"/>
      <c r="AM73" s="1574"/>
      <c r="AN73" s="1574"/>
      <c r="AO73" s="1574"/>
      <c r="AP73" s="1574"/>
      <c r="AQ73" s="1574"/>
      <c r="AR73" s="1574"/>
      <c r="AS73" s="1574"/>
      <c r="AT73" s="157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63" t="s">
        <v>2523</v>
      </c>
      <c r="B75" s="1563"/>
      <c r="C75" s="1563"/>
      <c r="D75" s="1563"/>
      <c r="E75" s="1563"/>
      <c r="F75" s="1563"/>
      <c r="G75" s="1563"/>
      <c r="H75" s="1563"/>
      <c r="I75" s="1563"/>
      <c r="J75" s="1563"/>
      <c r="K75" s="1563"/>
      <c r="L75" s="1563"/>
      <c r="M75" s="1563"/>
      <c r="N75" s="1563"/>
      <c r="O75" s="1563"/>
      <c r="P75" s="1563"/>
      <c r="Q75" s="1563"/>
      <c r="R75" s="1563"/>
      <c r="S75" s="1563"/>
      <c r="T75" s="1563"/>
      <c r="U75" s="1563"/>
      <c r="V75" s="1563"/>
      <c r="W75" s="1563"/>
      <c r="X75" s="1563"/>
      <c r="Y75" s="1563"/>
      <c r="Z75" s="1563"/>
      <c r="AA75" s="1563"/>
      <c r="AB75" s="1563"/>
      <c r="AC75" s="1563"/>
      <c r="AD75" s="1563"/>
      <c r="AE75" s="1563"/>
      <c r="AF75" s="1563"/>
      <c r="AG75" s="1563"/>
      <c r="AH75" s="1563"/>
      <c r="AI75" s="1563"/>
      <c r="AJ75" s="1563"/>
      <c r="AK75" s="1563"/>
      <c r="AL75" s="1563"/>
      <c r="AM75" s="1563"/>
      <c r="AN75" s="1563"/>
      <c r="AO75" s="1563"/>
      <c r="AP75" s="1563"/>
      <c r="AQ75" s="1563"/>
      <c r="AR75" s="1563"/>
      <c r="AS75" s="1563"/>
      <c r="AT75" s="1563"/>
      <c r="AU75" s="20"/>
      <c r="AV75" s="20"/>
      <c r="AW75" s="20"/>
      <c r="AX75" s="20"/>
      <c r="AY75" s="20"/>
      <c r="AZ75" s="20"/>
    </row>
    <row r="76" spans="1:52" ht="12.95" customHeight="1">
      <c r="A76" s="1563"/>
      <c r="B76" s="1563"/>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63"/>
      <c r="Y76" s="1563"/>
      <c r="Z76" s="1563"/>
      <c r="AA76" s="1563"/>
      <c r="AB76" s="1563"/>
      <c r="AC76" s="1563"/>
      <c r="AD76" s="1563"/>
      <c r="AE76" s="1563"/>
      <c r="AF76" s="1563"/>
      <c r="AG76" s="1563"/>
      <c r="AH76" s="1563"/>
      <c r="AI76" s="1563"/>
      <c r="AJ76" s="1563"/>
      <c r="AK76" s="1563"/>
      <c r="AL76" s="1563"/>
      <c r="AM76" s="1563"/>
      <c r="AN76" s="1563"/>
      <c r="AO76" s="1563"/>
      <c r="AP76" s="1563"/>
      <c r="AQ76" s="1563"/>
      <c r="AR76" s="1563"/>
      <c r="AS76" s="1563"/>
      <c r="AT76" s="1563"/>
      <c r="AU76" s="20"/>
      <c r="AV76" s="20"/>
      <c r="AW76" s="20"/>
      <c r="AX76" s="20"/>
      <c r="AY76" s="20"/>
      <c r="AZ76" s="17"/>
    </row>
    <row r="77" spans="1:52" ht="12.95" customHeight="1">
      <c r="A77" s="1563"/>
      <c r="B77" s="1563"/>
      <c r="C77" s="1563"/>
      <c r="D77" s="1563"/>
      <c r="E77" s="1563"/>
      <c r="F77" s="1563"/>
      <c r="G77" s="1563"/>
      <c r="H77" s="1563"/>
      <c r="I77" s="1563"/>
      <c r="J77" s="1563"/>
      <c r="K77" s="1563"/>
      <c r="L77" s="1563"/>
      <c r="M77" s="1563"/>
      <c r="N77" s="1563"/>
      <c r="O77" s="1563"/>
      <c r="P77" s="1563"/>
      <c r="Q77" s="1563"/>
      <c r="R77" s="1563"/>
      <c r="S77" s="1563"/>
      <c r="T77" s="1563"/>
      <c r="U77" s="1563"/>
      <c r="V77" s="1563"/>
      <c r="W77" s="1563"/>
      <c r="X77" s="1563"/>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65" t="s">
        <v>2524</v>
      </c>
      <c r="B79" s="1565"/>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1565"/>
      <c r="AB79" s="1565"/>
      <c r="AC79" s="1565"/>
      <c r="AD79" s="1565"/>
      <c r="AE79" s="1565"/>
      <c r="AF79" s="1565"/>
      <c r="AG79" s="1565"/>
      <c r="AH79" s="1565"/>
      <c r="AI79" s="1565"/>
      <c r="AJ79" s="1565"/>
      <c r="AK79" s="1565"/>
      <c r="AL79" s="1565"/>
      <c r="AM79" s="1565"/>
      <c r="AN79" s="1565"/>
      <c r="AO79" s="1565"/>
      <c r="AP79" s="1565"/>
      <c r="AQ79" s="1565"/>
      <c r="AR79" s="1565"/>
      <c r="AS79" s="1565"/>
      <c r="AT79" s="1565"/>
      <c r="AU79" s="20"/>
      <c r="AV79" s="20"/>
      <c r="AW79" s="20"/>
      <c r="AX79" s="20"/>
      <c r="AY79" s="20"/>
      <c r="AZ79" s="20"/>
    </row>
    <row r="80" spans="1:52" ht="12.95" customHeight="1">
      <c r="A80" s="1565"/>
      <c r="B80" s="1565"/>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1565"/>
      <c r="AM80" s="1565"/>
      <c r="AN80" s="1565"/>
      <c r="AO80" s="1565"/>
      <c r="AP80" s="1565"/>
      <c r="AQ80" s="1565"/>
      <c r="AR80" s="1565"/>
      <c r="AS80" s="1565"/>
      <c r="AT80" s="1565"/>
      <c r="AU80" s="20"/>
      <c r="AV80" s="20"/>
      <c r="AW80" s="20"/>
      <c r="AX80" s="20"/>
      <c r="AY80" s="20"/>
      <c r="AZ80" s="20"/>
    </row>
    <row r="81" spans="1:52" ht="12.95" customHeight="1">
      <c r="A81" s="1565"/>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1565"/>
      <c r="AM81" s="1565"/>
      <c r="AN81" s="1565"/>
      <c r="AO81" s="1565"/>
      <c r="AP81" s="1565"/>
      <c r="AQ81" s="1565"/>
      <c r="AR81" s="1565"/>
      <c r="AS81" s="1565"/>
      <c r="AT81" s="156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2" t="s">
        <v>2527</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63" t="s">
        <v>2528</v>
      </c>
      <c r="B92" s="1563"/>
      <c r="C92" s="1563"/>
      <c r="D92" s="1563"/>
      <c r="E92" s="1563"/>
      <c r="F92" s="1563"/>
      <c r="G92" s="1563"/>
      <c r="H92" s="1563"/>
      <c r="I92" s="1563"/>
      <c r="J92" s="1563"/>
      <c r="K92" s="1563"/>
      <c r="L92" s="1563"/>
      <c r="M92" s="1563"/>
      <c r="N92" s="1563"/>
      <c r="O92" s="1563"/>
      <c r="P92" s="1563"/>
      <c r="Q92" s="1563"/>
      <c r="R92" s="1563"/>
      <c r="S92" s="1563"/>
      <c r="T92" s="1563"/>
      <c r="U92" s="1563"/>
      <c r="V92" s="1563"/>
      <c r="W92" s="1563"/>
      <c r="X92" s="1563"/>
      <c r="Y92" s="1563"/>
      <c r="Z92" s="1563"/>
      <c r="AA92" s="1563"/>
      <c r="AB92" s="1563"/>
      <c r="AC92" s="1563"/>
      <c r="AD92" s="1563"/>
      <c r="AE92" s="1563"/>
      <c r="AF92" s="1563"/>
      <c r="AG92" s="1563"/>
      <c r="AH92" s="1563"/>
      <c r="AI92" s="1563"/>
      <c r="AJ92" s="1563"/>
      <c r="AK92" s="1563"/>
      <c r="AL92" s="1563"/>
      <c r="AM92" s="1563"/>
      <c r="AN92" s="1563"/>
      <c r="AO92" s="1563"/>
      <c r="AP92" s="1563"/>
      <c r="AQ92" s="1563"/>
      <c r="AR92" s="1563"/>
      <c r="AS92" s="1563"/>
      <c r="AT92" s="1563"/>
      <c r="AU92" s="20"/>
      <c r="AV92" s="20"/>
      <c r="AW92" s="20"/>
      <c r="AX92" s="20"/>
      <c r="AY92" s="20"/>
      <c r="AZ92" s="20"/>
    </row>
    <row r="93" spans="1:52" ht="12.95" customHeight="1">
      <c r="A93" s="1563"/>
      <c r="B93" s="1563"/>
      <c r="C93" s="1563"/>
      <c r="D93" s="1563"/>
      <c r="E93" s="1563"/>
      <c r="F93" s="1563"/>
      <c r="G93" s="1563"/>
      <c r="H93" s="1563"/>
      <c r="I93" s="1563"/>
      <c r="J93" s="1563"/>
      <c r="K93" s="1563"/>
      <c r="L93" s="1563"/>
      <c r="M93" s="1563"/>
      <c r="N93" s="1563"/>
      <c r="O93" s="1563"/>
      <c r="P93" s="1563"/>
      <c r="Q93" s="1563"/>
      <c r="R93" s="1563"/>
      <c r="S93" s="1563"/>
      <c r="T93" s="1563"/>
      <c r="U93" s="1563"/>
      <c r="V93" s="1563"/>
      <c r="W93" s="1563"/>
      <c r="X93" s="1563"/>
      <c r="Y93" s="1563"/>
      <c r="Z93" s="1563"/>
      <c r="AA93" s="1563"/>
      <c r="AB93" s="1563"/>
      <c r="AC93" s="1563"/>
      <c r="AD93" s="1563"/>
      <c r="AE93" s="1563"/>
      <c r="AF93" s="1563"/>
      <c r="AG93" s="1563"/>
      <c r="AH93" s="1563"/>
      <c r="AI93" s="1563"/>
      <c r="AJ93" s="1563"/>
      <c r="AK93" s="1563"/>
      <c r="AL93" s="1563"/>
      <c r="AM93" s="1563"/>
      <c r="AN93" s="1563"/>
      <c r="AO93" s="1563"/>
      <c r="AP93" s="1563"/>
      <c r="AQ93" s="1563"/>
      <c r="AR93" s="1563"/>
      <c r="AS93" s="1563"/>
      <c r="AT93" s="1563"/>
      <c r="AU93" s="20"/>
      <c r="AV93" s="20"/>
      <c r="AW93" s="20"/>
      <c r="AX93" s="20"/>
      <c r="AY93" s="20"/>
      <c r="AZ93" s="20"/>
    </row>
    <row r="94" spans="1:52" ht="12.95" customHeight="1">
      <c r="A94" s="1563"/>
      <c r="B94" s="1563"/>
      <c r="C94" s="1563"/>
      <c r="D94" s="1563"/>
      <c r="E94" s="1563"/>
      <c r="F94" s="1563"/>
      <c r="G94" s="1563"/>
      <c r="H94" s="1563"/>
      <c r="I94" s="1563"/>
      <c r="J94" s="1563"/>
      <c r="K94" s="1563"/>
      <c r="L94" s="1563"/>
      <c r="M94" s="1563"/>
      <c r="N94" s="1563"/>
      <c r="O94" s="1563"/>
      <c r="P94" s="1563"/>
      <c r="Q94" s="1563"/>
      <c r="R94" s="1563"/>
      <c r="S94" s="1563"/>
      <c r="T94" s="1563"/>
      <c r="U94" s="1563"/>
      <c r="V94" s="1563"/>
      <c r="W94" s="1563"/>
      <c r="X94" s="1563"/>
      <c r="Y94" s="1563"/>
      <c r="Z94" s="1563"/>
      <c r="AA94" s="1563"/>
      <c r="AB94" s="1563"/>
      <c r="AC94" s="1563"/>
      <c r="AD94" s="1563"/>
      <c r="AE94" s="1563"/>
      <c r="AF94" s="1563"/>
      <c r="AG94" s="1563"/>
      <c r="AH94" s="1563"/>
      <c r="AI94" s="1563"/>
      <c r="AJ94" s="1563"/>
      <c r="AK94" s="1563"/>
      <c r="AL94" s="1563"/>
      <c r="AM94" s="1563"/>
      <c r="AN94" s="1563"/>
      <c r="AO94" s="1563"/>
      <c r="AP94" s="1563"/>
      <c r="AQ94" s="1563"/>
      <c r="AR94" s="1563"/>
      <c r="AS94" s="1563"/>
      <c r="AT94" s="1563"/>
      <c r="AU94" s="20"/>
      <c r="AV94" s="20"/>
      <c r="AW94" s="20"/>
      <c r="AX94" s="20"/>
      <c r="AY94" s="20"/>
      <c r="AZ94" s="20"/>
    </row>
    <row r="95" spans="1:52" ht="12.95" customHeight="1">
      <c r="A95" s="1563"/>
      <c r="B95" s="1563"/>
      <c r="C95" s="1563"/>
      <c r="D95" s="1563"/>
      <c r="E95" s="1563"/>
      <c r="F95" s="1563"/>
      <c r="G95" s="1563"/>
      <c r="H95" s="1563"/>
      <c r="I95" s="1563"/>
      <c r="J95" s="1563"/>
      <c r="K95" s="1563"/>
      <c r="L95" s="1563"/>
      <c r="M95" s="1563"/>
      <c r="N95" s="1563"/>
      <c r="O95" s="1563"/>
      <c r="P95" s="1563"/>
      <c r="Q95" s="1563"/>
      <c r="R95" s="1563"/>
      <c r="S95" s="1563"/>
      <c r="T95" s="1563"/>
      <c r="U95" s="1563"/>
      <c r="V95" s="1563"/>
      <c r="W95" s="1563"/>
      <c r="X95" s="1563"/>
      <c r="Y95" s="1563"/>
      <c r="Z95" s="1563"/>
      <c r="AA95" s="1563"/>
      <c r="AB95" s="1563"/>
      <c r="AC95" s="1563"/>
      <c r="AD95" s="1563"/>
      <c r="AE95" s="1563"/>
      <c r="AF95" s="1563"/>
      <c r="AG95" s="1563"/>
      <c r="AH95" s="1563"/>
      <c r="AI95" s="1563"/>
      <c r="AJ95" s="1563"/>
      <c r="AK95" s="1563"/>
      <c r="AL95" s="1563"/>
      <c r="AM95" s="1563"/>
      <c r="AN95" s="1563"/>
      <c r="AO95" s="1563"/>
      <c r="AP95" s="1563"/>
      <c r="AQ95" s="1563"/>
      <c r="AR95" s="1563"/>
      <c r="AS95" s="1563"/>
      <c r="AT95" s="1563"/>
      <c r="AU95" s="20"/>
      <c r="AV95" s="20"/>
      <c r="AW95" s="20"/>
      <c r="AX95" s="20"/>
      <c r="AY95" s="20"/>
      <c r="AZ95" s="20"/>
    </row>
    <row r="96" spans="1:52" ht="12.95" customHeight="1">
      <c r="A96" s="1563"/>
      <c r="B96" s="1563"/>
      <c r="C96" s="1563"/>
      <c r="D96" s="1563"/>
      <c r="E96" s="1563"/>
      <c r="F96" s="1563"/>
      <c r="G96" s="1563"/>
      <c r="H96" s="1563"/>
      <c r="I96" s="1563"/>
      <c r="J96" s="1563"/>
      <c r="K96" s="1563"/>
      <c r="L96" s="1563"/>
      <c r="M96" s="1563"/>
      <c r="N96" s="1563"/>
      <c r="O96" s="1563"/>
      <c r="P96" s="1563"/>
      <c r="Q96" s="1563"/>
      <c r="R96" s="1563"/>
      <c r="S96" s="1563"/>
      <c r="T96" s="1563"/>
      <c r="U96" s="1563"/>
      <c r="V96" s="1563"/>
      <c r="W96" s="1563"/>
      <c r="X96" s="1563"/>
      <c r="Y96" s="1563"/>
      <c r="Z96" s="1563"/>
      <c r="AA96" s="1563"/>
      <c r="AB96" s="1563"/>
      <c r="AC96" s="1563"/>
      <c r="AD96" s="1563"/>
      <c r="AE96" s="1563"/>
      <c r="AF96" s="1563"/>
      <c r="AG96" s="1563"/>
      <c r="AH96" s="1563"/>
      <c r="AI96" s="1563"/>
      <c r="AJ96" s="1563"/>
      <c r="AK96" s="1563"/>
      <c r="AL96" s="1563"/>
      <c r="AM96" s="1563"/>
      <c r="AN96" s="1563"/>
      <c r="AO96" s="1563"/>
      <c r="AP96" s="1563"/>
      <c r="AQ96" s="1563"/>
      <c r="AR96" s="1563"/>
      <c r="AS96" s="1563"/>
      <c r="AT96" s="1563"/>
      <c r="AU96" s="20"/>
      <c r="AV96" s="20"/>
      <c r="AW96" s="20"/>
      <c r="AX96" s="20"/>
      <c r="AY96" s="20"/>
      <c r="AZ96" s="20"/>
    </row>
    <row r="97" spans="1:52" ht="12.95" customHeight="1">
      <c r="A97" s="1563"/>
      <c r="B97" s="1563"/>
      <c r="C97" s="1563"/>
      <c r="D97" s="1563"/>
      <c r="E97" s="1563"/>
      <c r="F97" s="1563"/>
      <c r="G97" s="1563"/>
      <c r="H97" s="1563"/>
      <c r="I97" s="1563"/>
      <c r="J97" s="1563"/>
      <c r="K97" s="1563"/>
      <c r="L97" s="1563"/>
      <c r="M97" s="1563"/>
      <c r="N97" s="1563"/>
      <c r="O97" s="1563"/>
      <c r="P97" s="1563"/>
      <c r="Q97" s="1563"/>
      <c r="R97" s="1563"/>
      <c r="S97" s="1563"/>
      <c r="T97" s="1563"/>
      <c r="U97" s="1563"/>
      <c r="V97" s="1563"/>
      <c r="W97" s="1563"/>
      <c r="X97" s="1563"/>
      <c r="Y97" s="1563"/>
      <c r="Z97" s="1563"/>
      <c r="AA97" s="1563"/>
      <c r="AB97" s="1563"/>
      <c r="AC97" s="1563"/>
      <c r="AD97" s="1563"/>
      <c r="AE97" s="1563"/>
      <c r="AF97" s="1563"/>
      <c r="AG97" s="1563"/>
      <c r="AH97" s="1563"/>
      <c r="AI97" s="1563"/>
      <c r="AJ97" s="1563"/>
      <c r="AK97" s="1563"/>
      <c r="AL97" s="1563"/>
      <c r="AM97" s="1563"/>
      <c r="AN97" s="1563"/>
      <c r="AO97" s="1563"/>
      <c r="AP97" s="1563"/>
      <c r="AQ97" s="1563"/>
      <c r="AR97" s="1563"/>
      <c r="AS97" s="1563"/>
      <c r="AT97" s="1563"/>
      <c r="AU97" s="20"/>
      <c r="AV97" s="20"/>
      <c r="AW97" s="20"/>
      <c r="AX97" s="20"/>
      <c r="AY97" s="20"/>
      <c r="AZ97" s="20"/>
    </row>
    <row r="98" spans="1:52" ht="12.95" customHeight="1">
      <c r="A98" s="1563"/>
      <c r="B98" s="1563"/>
      <c r="C98" s="1563"/>
      <c r="D98" s="1563"/>
      <c r="E98" s="1563"/>
      <c r="F98" s="1563"/>
      <c r="G98" s="1563"/>
      <c r="H98" s="1563"/>
      <c r="I98" s="1563"/>
      <c r="J98" s="1563"/>
      <c r="K98" s="1563"/>
      <c r="L98" s="1563"/>
      <c r="M98" s="1563"/>
      <c r="N98" s="1563"/>
      <c r="O98" s="1563"/>
      <c r="P98" s="1563"/>
      <c r="Q98" s="1563"/>
      <c r="R98" s="1563"/>
      <c r="S98" s="1563"/>
      <c r="T98" s="1563"/>
      <c r="U98" s="1563"/>
      <c r="V98" s="1563"/>
      <c r="W98" s="1563"/>
      <c r="X98" s="1563"/>
      <c r="Y98" s="1563"/>
      <c r="Z98" s="1563"/>
      <c r="AA98" s="1563"/>
      <c r="AB98" s="1563"/>
      <c r="AC98" s="1563"/>
      <c r="AD98" s="1563"/>
      <c r="AE98" s="1563"/>
      <c r="AF98" s="1563"/>
      <c r="AG98" s="1563"/>
      <c r="AH98" s="1563"/>
      <c r="AI98" s="1563"/>
      <c r="AJ98" s="1563"/>
      <c r="AK98" s="1563"/>
      <c r="AL98" s="1563"/>
      <c r="AM98" s="1563"/>
      <c r="AN98" s="1563"/>
      <c r="AO98" s="1563"/>
      <c r="AP98" s="1563"/>
      <c r="AQ98" s="1563"/>
      <c r="AR98" s="1563"/>
      <c r="AS98" s="1563"/>
      <c r="AT98" s="156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6"/>
      <c r="H113" s="1556"/>
      <c r="I113" s="3" t="s">
        <v>182</v>
      </c>
      <c r="L113" s="1556"/>
      <c r="M113" s="1556"/>
      <c r="N113" s="1556"/>
      <c r="O113" s="1556"/>
      <c r="P113" s="1571" t="s">
        <v>2532</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85"/>
      <c r="D115" s="1585"/>
      <c r="E115" s="1585"/>
      <c r="F115" s="1585"/>
      <c r="G115" s="1585"/>
      <c r="H115" s="1585"/>
      <c r="I115" s="1585"/>
      <c r="J115" s="1585"/>
      <c r="K115" s="158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56"/>
      <c r="Z117" s="1556"/>
      <c r="AA117" s="1556"/>
      <c r="AB117" s="1556"/>
      <c r="AC117" s="1556"/>
      <c r="AD117" s="1556"/>
      <c r="AE117" s="1556"/>
      <c r="AF117" s="1556"/>
      <c r="AG117" s="1556"/>
      <c r="AH117" s="1556"/>
      <c r="AI117" s="1556"/>
      <c r="AJ117" s="1556"/>
      <c r="AK117" s="155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6"/>
      <c r="Z120" s="1556"/>
      <c r="AA120" s="1556"/>
      <c r="AB120" s="1556"/>
      <c r="AC120" s="1556"/>
      <c r="AD120" s="1556"/>
      <c r="AE120" s="1556"/>
      <c r="AF120" s="1556"/>
      <c r="AG120" s="1556"/>
      <c r="AH120" s="1556"/>
      <c r="AI120" s="1556"/>
      <c r="AJ120" s="1556"/>
      <c r="AK120" s="155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6"/>
      <c r="Z123" s="1556"/>
      <c r="AA123" s="1556"/>
      <c r="AB123" s="1556"/>
      <c r="AC123" s="1556"/>
      <c r="AD123" s="1556"/>
      <c r="AE123" s="1556"/>
      <c r="AF123" s="1556"/>
      <c r="AG123" s="1556"/>
      <c r="AH123" s="1556"/>
      <c r="AI123" s="1556"/>
      <c r="AJ123" s="1556"/>
      <c r="AK123" s="155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92" t="s">
        <v>2648</v>
      </c>
      <c r="P153" s="1501"/>
      <c r="Q153" s="1501"/>
      <c r="R153" s="1501"/>
      <c r="S153" s="1501"/>
      <c r="T153" s="1501"/>
      <c r="U153" s="1501"/>
      <c r="V153" s="1501"/>
      <c r="W153" s="1501"/>
      <c r="X153" s="1501"/>
      <c r="Y153" s="1501"/>
      <c r="Z153" s="1501"/>
      <c r="AA153" s="1501"/>
      <c r="AB153" s="1501"/>
      <c r="AC153" s="1501"/>
      <c r="AD153" s="1501"/>
      <c r="AE153" s="1501"/>
      <c r="AF153" s="1501"/>
      <c r="AG153" s="1501"/>
      <c r="AH153" s="1501"/>
    </row>
    <row r="154" spans="1:72" ht="12.95" customHeight="1">
      <c r="D154" s="325" t="s">
        <v>442</v>
      </c>
      <c r="O154" s="1495" t="s">
        <v>2663</v>
      </c>
      <c r="P154" s="1496"/>
      <c r="Q154" s="1496"/>
      <c r="R154" s="1496"/>
      <c r="S154" s="1496"/>
      <c r="T154" s="1496"/>
      <c r="U154" s="1496"/>
      <c r="V154" s="1496"/>
      <c r="W154" s="1496"/>
      <c r="X154" s="1496"/>
      <c r="Y154" s="1496"/>
      <c r="Z154" s="1496"/>
      <c r="AA154" s="1496"/>
      <c r="AB154" s="1496"/>
      <c r="AC154" s="1496"/>
      <c r="AD154" s="1496"/>
      <c r="AE154" s="1496"/>
      <c r="AF154" s="1496"/>
      <c r="AG154" s="1496"/>
      <c r="AH154" s="1496"/>
    </row>
    <row r="155" spans="1:72" ht="12.95" customHeight="1">
      <c r="D155" s="8" t="s">
        <v>444</v>
      </c>
      <c r="F155" s="8"/>
      <c r="G155" s="8"/>
      <c r="H155" s="8"/>
      <c r="I155" s="8"/>
      <c r="J155" s="8"/>
      <c r="K155" s="8"/>
      <c r="L155" s="8"/>
      <c r="M155" s="8"/>
      <c r="N155" s="8"/>
      <c r="O155" s="1583" t="s">
        <v>443</v>
      </c>
      <c r="P155" s="1583"/>
      <c r="Q155" s="1583"/>
      <c r="R155" s="1583"/>
      <c r="S155" s="1583"/>
      <c r="T155" s="1583"/>
      <c r="U155" s="1583"/>
      <c r="V155" s="1583"/>
      <c r="W155" s="1583"/>
      <c r="X155" s="1583"/>
      <c r="Y155" s="1583"/>
      <c r="Z155" s="1583"/>
      <c r="AA155" s="1583"/>
      <c r="AB155" s="1583"/>
      <c r="AC155" s="1583"/>
      <c r="AD155" s="1583"/>
      <c r="AE155" s="1583"/>
      <c r="AF155" s="1583"/>
      <c r="AG155" s="1583"/>
      <c r="AH155" s="1583"/>
    </row>
    <row r="156" spans="1:72" ht="12.95" customHeight="1">
      <c r="D156" t="s">
        <v>314</v>
      </c>
      <c r="O156" s="1463" t="s">
        <v>2664</v>
      </c>
      <c r="P156" s="1463"/>
      <c r="Q156" s="1463"/>
      <c r="R156" s="1463"/>
      <c r="S156" s="1463"/>
      <c r="T156" s="1463"/>
      <c r="U156" s="1463"/>
      <c r="V156" s="1463"/>
      <c r="W156" s="1463"/>
      <c r="X156" s="1463"/>
      <c r="Y156" s="1463"/>
      <c r="Z156" s="1463"/>
      <c r="AA156" s="1463"/>
      <c r="AB156" s="1463"/>
      <c r="AC156" s="1463"/>
      <c r="AD156" s="1463"/>
      <c r="AE156" s="1463"/>
      <c r="AF156" s="1463"/>
      <c r="AG156" s="1463"/>
      <c r="AH156" s="1463"/>
      <c r="BT156" t="s">
        <v>308</v>
      </c>
    </row>
    <row r="157" spans="1:72" ht="12.95" customHeight="1">
      <c r="D157" t="s">
        <v>315</v>
      </c>
      <c r="O157" s="1492" t="s">
        <v>2640</v>
      </c>
      <c r="P157" s="1501"/>
      <c r="Q157" s="1501"/>
      <c r="R157" s="1501"/>
      <c r="S157" s="1501"/>
      <c r="T157" s="1501"/>
      <c r="U157" s="1501"/>
      <c r="V157" s="1501"/>
      <c r="W157" s="1501"/>
      <c r="X157" s="1501"/>
      <c r="Y157" s="8"/>
      <c r="Z157" s="8"/>
      <c r="AA157" s="8"/>
      <c r="AB157" s="8"/>
      <c r="AC157" s="8"/>
      <c r="AD157" s="8"/>
      <c r="AE157" s="8"/>
      <c r="AF157" s="8"/>
      <c r="BN157" s="23" t="s">
        <v>645</v>
      </c>
      <c r="BT157" t="s">
        <v>485</v>
      </c>
    </row>
    <row r="158" spans="1:72" ht="12.95" customHeight="1">
      <c r="D158" t="s">
        <v>316</v>
      </c>
      <c r="O158" s="1568">
        <v>94015</v>
      </c>
      <c r="P158" s="1568"/>
      <c r="Q158" s="1568"/>
      <c r="R158" s="1568"/>
      <c r="S158" s="9"/>
      <c r="T158" s="9"/>
      <c r="U158" s="9"/>
      <c r="V158" s="9"/>
      <c r="W158" s="9"/>
      <c r="X158" s="9"/>
      <c r="Y158" s="9"/>
      <c r="Z158" s="9"/>
      <c r="AA158" s="9"/>
      <c r="AB158" s="9"/>
      <c r="AC158" s="9"/>
      <c r="AD158" s="9"/>
      <c r="AE158" s="9"/>
      <c r="AF158" s="9"/>
      <c r="BN158" s="23" t="s">
        <v>646</v>
      </c>
      <c r="BT158" t="s">
        <v>486</v>
      </c>
    </row>
    <row r="159" spans="1:72" ht="12.95" customHeight="1">
      <c r="D159" t="s">
        <v>317</v>
      </c>
      <c r="O159" s="1570" t="s">
        <v>2665</v>
      </c>
      <c r="P159" s="1570"/>
      <c r="Q159" s="1570"/>
      <c r="R159" s="1570"/>
      <c r="S159" s="1570"/>
      <c r="T159" s="1570"/>
      <c r="V159" s="97" t="s">
        <v>272</v>
      </c>
      <c r="W159" s="1569"/>
      <c r="X159" s="1569"/>
      <c r="Y159" s="10"/>
      <c r="Z159" s="10"/>
      <c r="AA159" s="10"/>
      <c r="AB159" s="10"/>
      <c r="AC159" s="10"/>
      <c r="AD159" s="10"/>
      <c r="AE159" s="10"/>
      <c r="AF159" s="10"/>
      <c r="BN159" s="23" t="s">
        <v>340</v>
      </c>
      <c r="BT159" t="s">
        <v>487</v>
      </c>
    </row>
    <row r="160" spans="1:72" ht="12.95" customHeight="1">
      <c r="D160" t="s">
        <v>318</v>
      </c>
      <c r="O160" s="1570" t="s">
        <v>2666</v>
      </c>
      <c r="P160" s="1570"/>
      <c r="Q160" s="1570"/>
      <c r="R160" s="1570"/>
      <c r="S160" s="1570"/>
      <c r="T160" s="1570"/>
      <c r="U160" s="10"/>
      <c r="V160" s="10"/>
      <c r="W160" s="10"/>
      <c r="X160" s="10"/>
      <c r="Y160" s="10"/>
      <c r="Z160" s="10"/>
      <c r="AA160" s="10"/>
      <c r="AB160" s="10"/>
      <c r="AC160" s="10"/>
      <c r="AD160" s="10"/>
      <c r="AE160" s="10"/>
      <c r="AF160" s="10"/>
      <c r="BN160" s="23" t="s">
        <v>669</v>
      </c>
      <c r="BT160" t="s">
        <v>488</v>
      </c>
    </row>
    <row r="161" spans="1:72" ht="12.95" customHeight="1">
      <c r="D161" t="s">
        <v>319</v>
      </c>
      <c r="O161" s="1541" t="s">
        <v>2667</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67" t="s">
        <v>2627</v>
      </c>
      <c r="E164" s="1567"/>
      <c r="F164" s="1567"/>
      <c r="G164" s="1567"/>
      <c r="H164" s="1567"/>
      <c r="I164" s="1567"/>
      <c r="J164" s="1567"/>
      <c r="K164" s="1567"/>
      <c r="L164" s="1567"/>
      <c r="M164" s="1567"/>
      <c r="N164" s="1567"/>
      <c r="O164" s="1567"/>
      <c r="P164" s="1567"/>
      <c r="Q164" s="1567"/>
      <c r="R164" s="1567"/>
      <c r="S164" s="1567"/>
      <c r="T164" s="1567"/>
      <c r="U164" s="1567"/>
      <c r="V164" s="1567"/>
      <c r="W164" s="1567"/>
      <c r="X164" s="1567"/>
      <c r="Y164" s="1567"/>
      <c r="Z164" s="1567"/>
      <c r="AA164" s="1567"/>
      <c r="AB164" s="1567"/>
      <c r="AC164" s="1567"/>
      <c r="AD164" s="1567"/>
      <c r="AE164" s="1567"/>
      <c r="AF164" s="1567"/>
      <c r="AG164" s="1567"/>
      <c r="AH164" s="156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39" t="s">
        <v>548</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682</v>
      </c>
      <c r="BT169" t="s">
        <v>497</v>
      </c>
    </row>
    <row r="170" spans="1:72"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82" t="s">
        <v>372</v>
      </c>
      <c r="K173" s="1582"/>
      <c r="L173" s="1582"/>
      <c r="M173" s="1582"/>
      <c r="N173" s="1582"/>
      <c r="O173" s="1582"/>
      <c r="P173" s="1582"/>
      <c r="Q173" s="1582"/>
      <c r="R173" s="1582"/>
      <c r="S173" s="1582"/>
      <c r="U173" s="25"/>
      <c r="X173" s="25"/>
      <c r="BB173" s="3" t="s">
        <v>308</v>
      </c>
      <c r="BN173" s="23" t="s">
        <v>215</v>
      </c>
      <c r="BT173" t="s">
        <v>501</v>
      </c>
    </row>
    <row r="174" spans="1:72" ht="12.95" customHeight="1">
      <c r="C174" s="24"/>
      <c r="D174" s="3" t="s">
        <v>1309</v>
      </c>
      <c r="J174" s="1463" t="s">
        <v>2422</v>
      </c>
      <c r="K174" s="1463"/>
      <c r="L174" s="1463"/>
      <c r="M174" s="1463"/>
      <c r="N174" s="1463"/>
      <c r="O174" s="1463"/>
      <c r="P174" s="1463"/>
      <c r="Q174" s="1463"/>
      <c r="R174" s="1463"/>
      <c r="S174" s="1463"/>
      <c r="T174" s="1463"/>
      <c r="U174" s="1463"/>
      <c r="V174" s="1463"/>
      <c r="W174" s="1463"/>
      <c r="X174" s="1463"/>
      <c r="Y174" s="1463"/>
      <c r="Z174" s="1463"/>
      <c r="AA174" s="1463"/>
      <c r="AB174" s="1463"/>
      <c r="BB174" t="s">
        <v>2275</v>
      </c>
      <c r="BN174" s="23" t="s">
        <v>217</v>
      </c>
      <c r="BT174" t="s">
        <v>502</v>
      </c>
    </row>
    <row r="175" spans="1:72" ht="12.95" customHeight="1">
      <c r="C175" s="8"/>
      <c r="D175" s="3" t="s">
        <v>323</v>
      </c>
      <c r="O175" s="27"/>
      <c r="U175" s="1440" t="s">
        <v>554</v>
      </c>
      <c r="V175" s="1440"/>
      <c r="BB175" t="s">
        <v>2239</v>
      </c>
      <c r="BN175" s="23" t="s">
        <v>218</v>
      </c>
      <c r="BT175" t="s">
        <v>503</v>
      </c>
    </row>
    <row r="176" spans="1:72" ht="12.95" customHeight="1">
      <c r="C176" s="8"/>
      <c r="D176" s="26"/>
      <c r="E176" t="s">
        <v>305</v>
      </c>
      <c r="O176" s="27"/>
      <c r="P176" t="s">
        <v>2397</v>
      </c>
      <c r="T176" s="27" t="s">
        <v>306</v>
      </c>
      <c r="U176" s="1587">
        <v>22</v>
      </c>
      <c r="V176" s="1587"/>
      <c r="W176" s="1" t="s">
        <v>307</v>
      </c>
      <c r="X176" s="1564">
        <v>728</v>
      </c>
      <c r="Y176" s="1564"/>
      <c r="BB176" t="s">
        <v>2276</v>
      </c>
      <c r="BN176" s="23" t="s">
        <v>220</v>
      </c>
      <c r="BT176" t="s">
        <v>504</v>
      </c>
    </row>
    <row r="177" spans="1:72" ht="12.95" customHeight="1">
      <c r="C177" s="24"/>
      <c r="D177" t="s">
        <v>250</v>
      </c>
      <c r="R177" s="1440" t="s">
        <v>678</v>
      </c>
      <c r="S177" s="1440"/>
      <c r="BB177" t="s">
        <v>2581</v>
      </c>
      <c r="BN177" s="23" t="s">
        <v>221</v>
      </c>
      <c r="BT177" t="s">
        <v>505</v>
      </c>
    </row>
    <row r="178" spans="1:72" ht="12.95" customHeight="1">
      <c r="C178" s="24"/>
      <c r="D178" s="3" t="s">
        <v>1310</v>
      </c>
      <c r="AA178" t="s">
        <v>2397</v>
      </c>
      <c r="AE178" s="27" t="s">
        <v>306</v>
      </c>
      <c r="AF178" s="1584"/>
      <c r="AG178" s="1584"/>
      <c r="AH178" s="1" t="s">
        <v>307</v>
      </c>
      <c r="AI178" s="1471"/>
      <c r="AJ178" s="1471"/>
      <c r="AK178" s="1471"/>
      <c r="BB178" t="s">
        <v>2582</v>
      </c>
      <c r="BN178" s="23" t="s">
        <v>222</v>
      </c>
      <c r="BT178" t="s">
        <v>53</v>
      </c>
    </row>
    <row r="179" spans="1:72" ht="12.95" customHeight="1">
      <c r="C179" s="24"/>
      <c r="BN179" s="23" t="s">
        <v>223</v>
      </c>
      <c r="BT179" t="s">
        <v>54</v>
      </c>
    </row>
    <row r="180" spans="1:72" ht="12.95" customHeight="1">
      <c r="C180" s="24"/>
      <c r="D180" t="s">
        <v>2398</v>
      </c>
      <c r="X180" s="1440"/>
      <c r="Y180" s="144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62" t="str">
        <f>H18</f>
        <v>493 Eastmoor Ave</v>
      </c>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c r="BC184" t="s">
        <v>596</v>
      </c>
      <c r="BN184" s="23" t="s">
        <v>231</v>
      </c>
      <c r="BT184" t="s">
        <v>62</v>
      </c>
    </row>
    <row r="185" spans="1:72" ht="12.95" customHeight="1">
      <c r="C185" s="21"/>
      <c r="D185" t="s">
        <v>588</v>
      </c>
      <c r="I185" s="1464" t="s">
        <v>2644</v>
      </c>
      <c r="J185" s="1464"/>
      <c r="K185" s="1464"/>
      <c r="L185" s="1464"/>
      <c r="M185" s="1464"/>
      <c r="N185" s="1464"/>
      <c r="O185" s="1464"/>
      <c r="P185" s="1464"/>
      <c r="Q185" s="1464"/>
      <c r="R185" s="1464"/>
      <c r="S185" s="1464"/>
      <c r="T185" s="1464"/>
      <c r="U185" s="1464"/>
      <c r="V185" s="1464"/>
      <c r="W185" s="1464"/>
      <c r="X185" s="1464"/>
      <c r="Y185" s="1464"/>
      <c r="Z185" s="1464"/>
      <c r="AA185" s="1464"/>
      <c r="AB185" s="1464"/>
      <c r="AC185" s="1464"/>
      <c r="AD185" s="1464"/>
      <c r="AE185" s="1464"/>
      <c r="BC185" t="s">
        <v>597</v>
      </c>
      <c r="BN185" s="23" t="s">
        <v>232</v>
      </c>
      <c r="BT185" t="s">
        <v>63</v>
      </c>
    </row>
    <row r="186" spans="1:72" ht="12.95" customHeight="1">
      <c r="C186" s="21"/>
      <c r="E186" t="s">
        <v>168</v>
      </c>
      <c r="BN186" s="23" t="s">
        <v>233</v>
      </c>
      <c r="BT186" t="s">
        <v>64</v>
      </c>
    </row>
    <row r="187" spans="1:72" ht="12.95" customHeight="1">
      <c r="C187" s="21"/>
      <c r="E187" s="1474"/>
      <c r="F187" s="1474"/>
      <c r="G187" s="1474"/>
      <c r="H187" s="1474"/>
      <c r="I187" s="1474"/>
      <c r="J187" s="1474"/>
      <c r="K187" s="1474"/>
      <c r="L187" s="1474"/>
      <c r="M187" s="1474"/>
      <c r="N187" s="1474"/>
      <c r="O187" s="1474"/>
      <c r="P187" s="1474"/>
      <c r="Q187" s="1474"/>
      <c r="R187" s="1474"/>
      <c r="S187" s="1474"/>
      <c r="T187" s="1474"/>
      <c r="U187" s="1474"/>
      <c r="V187" s="1474"/>
      <c r="W187" s="1474"/>
      <c r="X187" s="1474"/>
      <c r="Y187" s="1474"/>
      <c r="Z187" s="1474"/>
      <c r="AA187" s="1474"/>
      <c r="AB187" s="1474"/>
      <c r="AC187" s="1474"/>
      <c r="AD187" s="1474"/>
      <c r="AE187" s="1474"/>
      <c r="BN187" s="23" t="s">
        <v>234</v>
      </c>
      <c r="BT187" t="s">
        <v>65</v>
      </c>
    </row>
    <row r="188" spans="1:72" ht="12.95" customHeight="1">
      <c r="C188" s="21"/>
      <c r="E188" s="1475"/>
      <c r="F188" s="1475"/>
      <c r="G188" s="1475"/>
      <c r="H188" s="1475"/>
      <c r="I188" s="1475"/>
      <c r="J188" s="1475"/>
      <c r="K188" s="1475"/>
      <c r="L188" s="1475"/>
      <c r="M188" s="1475"/>
      <c r="N188" s="1475"/>
      <c r="O188" s="1475"/>
      <c r="P188" s="1475"/>
      <c r="Q188" s="1475"/>
      <c r="R188" s="1475"/>
      <c r="S188" s="1475"/>
      <c r="T188" s="1475"/>
      <c r="U188" s="1475"/>
      <c r="V188" s="1475"/>
      <c r="W188" s="1475"/>
      <c r="X188" s="1475"/>
      <c r="Y188" s="1475"/>
      <c r="Z188" s="1475"/>
      <c r="AA188" s="1475"/>
      <c r="AB188" s="1475"/>
      <c r="AC188" s="1475"/>
      <c r="AD188" s="1475"/>
      <c r="AE188" s="1475"/>
      <c r="BN188" s="23" t="s">
        <v>236</v>
      </c>
      <c r="BT188" t="s">
        <v>66</v>
      </c>
    </row>
    <row r="189" spans="1:72" ht="12.95" customHeight="1">
      <c r="C189" s="21"/>
      <c r="D189" t="s">
        <v>589</v>
      </c>
      <c r="I189" s="1463" t="s">
        <v>2640</v>
      </c>
      <c r="J189" s="1463"/>
      <c r="K189" s="1463"/>
      <c r="L189" s="1463"/>
      <c r="M189" s="1463"/>
      <c r="N189" s="1463"/>
      <c r="O189" s="1463"/>
      <c r="P189" s="1463"/>
      <c r="Q189" t="s">
        <v>591</v>
      </c>
      <c r="T189" s="1463" t="s">
        <v>70</v>
      </c>
      <c r="U189" s="1463"/>
      <c r="V189" s="1463"/>
      <c r="W189" s="1463"/>
      <c r="X189" s="1463"/>
      <c r="Y189" s="1463"/>
      <c r="Z189" s="1463"/>
      <c r="AA189" s="1463"/>
      <c r="AB189" s="1463"/>
      <c r="AC189" s="1463"/>
      <c r="AD189" s="1463"/>
      <c r="AE189" s="1463"/>
      <c r="BC189" t="s">
        <v>308</v>
      </c>
      <c r="BH189" s="3" t="s">
        <v>600</v>
      </c>
      <c r="BN189" s="23" t="s">
        <v>237</v>
      </c>
      <c r="BT189" t="s">
        <v>67</v>
      </c>
    </row>
    <row r="190" spans="1:72" ht="12.95" customHeight="1">
      <c r="C190" s="21"/>
      <c r="D190" t="s">
        <v>592</v>
      </c>
      <c r="I190" s="1464">
        <v>94015</v>
      </c>
      <c r="J190" s="1464"/>
      <c r="K190" s="1464"/>
      <c r="L190" s="1464"/>
      <c r="M190" s="1464"/>
      <c r="N190" s="1464"/>
      <c r="O190" t="s">
        <v>594</v>
      </c>
      <c r="T190" s="1588">
        <v>6014</v>
      </c>
      <c r="U190" s="1588"/>
      <c r="V190" s="1588"/>
      <c r="W190" s="1588"/>
      <c r="X190" s="1588"/>
      <c r="Y190" s="1588"/>
      <c r="Z190" s="1588"/>
      <c r="AA190" s="1588"/>
      <c r="AB190" s="1588"/>
      <c r="AC190" s="1588"/>
      <c r="AD190" s="1588"/>
      <c r="AE190" s="1588"/>
      <c r="BC190" t="s">
        <v>1066</v>
      </c>
      <c r="BH190" t="s">
        <v>1066</v>
      </c>
      <c r="BN190" s="23" t="s">
        <v>644</v>
      </c>
      <c r="BT190" t="s">
        <v>68</v>
      </c>
    </row>
    <row r="191" spans="1:72" ht="12.95" customHeight="1">
      <c r="C191" s="21"/>
      <c r="D191" t="s">
        <v>471</v>
      </c>
      <c r="N191" s="1474" t="s">
        <v>2668</v>
      </c>
      <c r="O191" s="1474"/>
      <c r="P191" s="1474"/>
      <c r="Q191" s="1474"/>
      <c r="R191" s="1474"/>
      <c r="S191" s="1474"/>
      <c r="T191" s="1474"/>
      <c r="U191" s="1474"/>
      <c r="V191" s="1474"/>
      <c r="W191" s="1474"/>
      <c r="X191" s="1474"/>
      <c r="Y191" s="1474"/>
      <c r="Z191" s="1474"/>
      <c r="AA191" s="1474"/>
      <c r="AB191" s="1474"/>
      <c r="AC191" s="1474"/>
      <c r="AD191" s="1474"/>
      <c r="AE191" s="1474"/>
      <c r="BC191" t="s">
        <v>1065</v>
      </c>
      <c r="BH191" t="s">
        <v>1065</v>
      </c>
      <c r="BN191" s="23" t="s">
        <v>698</v>
      </c>
      <c r="BT191" t="s">
        <v>737</v>
      </c>
    </row>
    <row r="192" spans="1:72" ht="12.95" customHeight="1">
      <c r="C192" s="21"/>
      <c r="M192" s="40"/>
      <c r="N192" s="1475"/>
      <c r="O192" s="1475"/>
      <c r="P192" s="1475"/>
      <c r="Q192" s="1475"/>
      <c r="R192" s="1475"/>
      <c r="S192" s="1475"/>
      <c r="T192" s="1475"/>
      <c r="U192" s="1475"/>
      <c r="V192" s="1475"/>
      <c r="W192" s="1475"/>
      <c r="X192" s="1475"/>
      <c r="Y192" s="1475"/>
      <c r="Z192" s="1475"/>
      <c r="AA192" s="1475"/>
      <c r="AB192" s="1475"/>
      <c r="AC192" s="1475"/>
      <c r="AD192" s="1475"/>
      <c r="AE192" s="1475"/>
      <c r="BC192" t="s">
        <v>1068</v>
      </c>
      <c r="BH192" s="3" t="s">
        <v>1476</v>
      </c>
      <c r="BN192" s="23" t="s">
        <v>699</v>
      </c>
      <c r="BT192" t="s">
        <v>738</v>
      </c>
    </row>
    <row r="193" spans="1:74" ht="12.95" customHeight="1">
      <c r="C193" s="21"/>
      <c r="D193" t="s">
        <v>2399</v>
      </c>
      <c r="M193" s="40"/>
      <c r="N193" s="928"/>
      <c r="O193" s="928"/>
      <c r="P193" s="928"/>
      <c r="Q193" s="928"/>
      <c r="R193" s="928"/>
      <c r="S193" s="928"/>
      <c r="T193" s="1580" t="s">
        <v>2276</v>
      </c>
      <c r="U193" s="1580"/>
      <c r="V193" s="1580"/>
      <c r="W193" s="1580"/>
      <c r="X193" s="1580"/>
      <c r="Y193" s="1580"/>
      <c r="Z193" s="1580"/>
      <c r="AA193" s="1580"/>
      <c r="AB193" s="1580"/>
      <c r="AC193" s="1580"/>
      <c r="AD193" s="1580"/>
      <c r="AE193" s="1580"/>
      <c r="AF193" s="1580"/>
      <c r="AG193" s="1580"/>
      <c r="AH193" s="1580"/>
      <c r="AI193" s="1580"/>
      <c r="BC193" t="s">
        <v>1067</v>
      </c>
      <c r="BH193" s="3" t="s">
        <v>1743</v>
      </c>
      <c r="BN193" s="23" t="s">
        <v>700</v>
      </c>
      <c r="BT193" t="s">
        <v>739</v>
      </c>
    </row>
    <row r="194" spans="1:74" ht="12.95" customHeight="1">
      <c r="C194" s="21"/>
      <c r="D194" s="3" t="s">
        <v>2583</v>
      </c>
      <c r="M194" s="40"/>
      <c r="N194" s="928"/>
      <c r="O194" s="928"/>
      <c r="P194" s="928"/>
      <c r="Q194" s="928"/>
      <c r="R194" s="928"/>
      <c r="S194" s="928"/>
      <c r="AH194" s="1440" t="s">
        <v>678</v>
      </c>
      <c r="AI194" s="1440"/>
      <c r="BC194" t="s">
        <v>1476</v>
      </c>
      <c r="BN194" s="23" t="s">
        <v>701</v>
      </c>
      <c r="BT194" t="s">
        <v>740</v>
      </c>
    </row>
    <row r="195" spans="1:74" ht="12.95" customHeight="1">
      <c r="C195" s="21"/>
      <c r="D195" t="s">
        <v>332</v>
      </c>
      <c r="T195" s="1440" t="s">
        <v>678</v>
      </c>
      <c r="U195" s="1440"/>
      <c r="W195" t="s">
        <v>694</v>
      </c>
      <c r="AH195" s="1440">
        <v>15</v>
      </c>
      <c r="AI195" s="1440"/>
      <c r="BC195" t="s">
        <v>2049</v>
      </c>
      <c r="BN195" s="23" t="s">
        <v>243</v>
      </c>
      <c r="BT195" t="s">
        <v>741</v>
      </c>
    </row>
    <row r="196" spans="1:74" ht="12.95" customHeight="1">
      <c r="C196" s="21"/>
      <c r="D196" t="s">
        <v>387</v>
      </c>
      <c r="T196" s="1421" t="s">
        <v>554</v>
      </c>
      <c r="U196" s="1421"/>
      <c r="W196" t="s">
        <v>695</v>
      </c>
      <c r="AH196" s="1440">
        <v>19</v>
      </c>
      <c r="AI196" s="1440"/>
      <c r="BN196" s="23" t="s">
        <v>244</v>
      </c>
      <c r="BT196" t="s">
        <v>69</v>
      </c>
    </row>
    <row r="197" spans="1:74" ht="12.95" customHeight="1">
      <c r="C197" s="21"/>
      <c r="D197" s="3" t="s">
        <v>169</v>
      </c>
      <c r="T197" s="1421" t="s">
        <v>678</v>
      </c>
      <c r="U197" s="1421"/>
      <c r="W197" t="s">
        <v>696</v>
      </c>
      <c r="AH197" s="1440">
        <v>11</v>
      </c>
      <c r="AI197" s="144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40" t="s">
        <v>678</v>
      </c>
      <c r="AA199" s="144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62" t="s">
        <v>386</v>
      </c>
      <c r="E204" s="1462"/>
      <c r="F204" s="1462"/>
      <c r="G204" s="1462"/>
      <c r="H204" s="1462"/>
      <c r="I204" s="1462"/>
      <c r="J204" s="1462"/>
      <c r="K204" s="1462"/>
      <c r="L204" s="1462"/>
      <c r="M204" s="1462"/>
      <c r="P204" s="1586">
        <f>M26</f>
        <v>3464138</v>
      </c>
      <c r="Q204" s="1579"/>
      <c r="R204" s="1579"/>
      <c r="S204" s="1579"/>
      <c r="T204" s="1579"/>
      <c r="U204" s="1579"/>
      <c r="Z204" s="1577" t="s">
        <v>2631</v>
      </c>
      <c r="AA204" s="1577"/>
      <c r="AB204" s="1577"/>
      <c r="AC204" s="1577"/>
      <c r="AD204" s="1577"/>
      <c r="AE204" s="1577"/>
      <c r="AF204" s="1577"/>
      <c r="BC204" t="s">
        <v>619</v>
      </c>
      <c r="BN204" s="23" t="s">
        <v>713</v>
      </c>
      <c r="BT204" s="32" t="s">
        <v>198</v>
      </c>
      <c r="BU204" s="14"/>
    </row>
    <row r="205" spans="1:74" ht="12.95" customHeight="1">
      <c r="C205" s="21"/>
      <c r="D205" s="1581" t="s">
        <v>1356</v>
      </c>
      <c r="E205" s="1462"/>
      <c r="F205" s="1462"/>
      <c r="G205" s="1462"/>
      <c r="H205" s="1462"/>
      <c r="I205" s="1462"/>
      <c r="J205" s="1462"/>
      <c r="K205" s="1462"/>
      <c r="L205" s="1462"/>
      <c r="M205" s="1462"/>
      <c r="P205" s="1579">
        <f>M27</f>
        <v>14400000</v>
      </c>
      <c r="Q205" s="1579"/>
      <c r="R205" s="1579"/>
      <c r="S205" s="1579"/>
      <c r="T205" s="1579"/>
      <c r="U205" s="1579"/>
      <c r="V205" s="28"/>
      <c r="W205" s="3" t="s">
        <v>1911</v>
      </c>
      <c r="Z205" s="1577"/>
      <c r="AA205" s="1577"/>
      <c r="AB205" s="1577"/>
      <c r="AC205" s="1577"/>
      <c r="AD205" s="1577"/>
      <c r="AE205" s="1577"/>
      <c r="AF205" s="1577"/>
      <c r="AG205" t="s">
        <v>1357</v>
      </c>
      <c r="AP205" s="1440" t="s">
        <v>678</v>
      </c>
      <c r="AQ205" s="144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8"/>
      <c r="AA206" s="1578"/>
      <c r="AB206" s="1578"/>
      <c r="AC206" s="1578"/>
      <c r="AD206" s="1578"/>
      <c r="AE206" s="1578"/>
      <c r="AF206" s="1578"/>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01" t="s">
        <v>2641</v>
      </c>
      <c r="E208" s="1501"/>
      <c r="F208" s="1501"/>
      <c r="G208" s="1501"/>
      <c r="H208" s="1501"/>
      <c r="I208" s="1501"/>
      <c r="J208" s="1501"/>
      <c r="K208" s="1501"/>
      <c r="L208" s="1501"/>
      <c r="M208" s="150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01" t="s">
        <v>2049</v>
      </c>
      <c r="E211" s="1501"/>
      <c r="F211" s="1501"/>
      <c r="G211" s="1501"/>
      <c r="H211" s="1501"/>
      <c r="I211" s="1501"/>
      <c r="J211" s="1501"/>
      <c r="K211" s="1501"/>
      <c r="L211" s="1501"/>
      <c r="M211" s="1501"/>
      <c r="BN211" s="23" t="s">
        <v>129</v>
      </c>
      <c r="BT211" s="32" t="s">
        <v>130</v>
      </c>
    </row>
    <row r="212" spans="1:72" ht="12.95" customHeight="1">
      <c r="C212" s="21"/>
      <c r="D212" t="s">
        <v>1353</v>
      </c>
      <c r="Y212" s="1440">
        <v>54</v>
      </c>
      <c r="Z212" s="1440"/>
      <c r="AB212" s="1575">
        <f>IFERROR(Y212/AG440,"")</f>
        <v>0.76056338028169013</v>
      </c>
      <c r="AC212" s="1576"/>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66" t="s">
        <v>600</v>
      </c>
      <c r="E214" s="1566"/>
      <c r="F214" s="1566"/>
      <c r="G214" s="1566"/>
      <c r="H214" s="1566"/>
      <c r="I214" s="1566"/>
      <c r="J214" s="1566"/>
      <c r="K214" s="1566"/>
      <c r="L214" s="1566"/>
      <c r="M214" s="1566"/>
      <c r="N214" s="1566"/>
      <c r="O214" s="1566"/>
      <c r="P214" s="1566"/>
      <c r="Q214" s="1566"/>
      <c r="R214" s="1566"/>
      <c r="S214" s="1566"/>
      <c r="T214" s="1566"/>
      <c r="U214" s="1566"/>
      <c r="V214" s="1566"/>
      <c r="W214" s="1566"/>
      <c r="X214" s="1566"/>
      <c r="Y214" s="1566"/>
      <c r="Z214" s="1566"/>
      <c r="AU214" s="21"/>
      <c r="AV214" s="21"/>
      <c r="AW214" s="21"/>
      <c r="AX214" s="21"/>
      <c r="AY214" s="21"/>
      <c r="BC214" t="s">
        <v>539</v>
      </c>
      <c r="BI214" t="s">
        <v>2637</v>
      </c>
      <c r="BN214" s="23" t="s">
        <v>327</v>
      </c>
      <c r="BT214" s="32" t="s">
        <v>206</v>
      </c>
    </row>
    <row r="215" spans="1:72" ht="12.95" customHeight="1">
      <c r="D215" s="3" t="s">
        <v>1767</v>
      </c>
      <c r="Z215" s="40"/>
      <c r="AB215" s="1497"/>
      <c r="AC215" s="1497"/>
      <c r="AD215" s="1497"/>
      <c r="AE215" s="1497"/>
      <c r="AF215" s="1497"/>
      <c r="AG215" s="1497"/>
      <c r="AH215" s="1497"/>
      <c r="AI215" s="1497"/>
      <c r="AJ215" s="1497"/>
      <c r="AK215" s="1497"/>
      <c r="AL215" s="1497"/>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97"/>
      <c r="AC216" s="1497"/>
      <c r="AD216" s="1497"/>
      <c r="AE216" s="1497"/>
      <c r="AF216" s="1497"/>
      <c r="AG216" s="1497"/>
      <c r="AH216" s="1497"/>
      <c r="AI216" s="1497"/>
      <c r="AJ216" s="1497"/>
      <c r="AK216" s="1497"/>
      <c r="AL216" s="1497"/>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92" t="s">
        <v>1051</v>
      </c>
      <c r="E220" s="1492"/>
      <c r="F220" s="1492"/>
      <c r="G220" s="1492"/>
      <c r="H220" s="1492"/>
      <c r="I220" s="1492"/>
      <c r="J220" s="1492"/>
      <c r="K220" s="1492"/>
      <c r="L220" s="1492"/>
      <c r="M220" s="1492"/>
      <c r="N220" s="1492"/>
      <c r="O220" s="1492"/>
      <c r="P220" s="1492"/>
      <c r="Q220" s="1492"/>
      <c r="R220" s="1492"/>
      <c r="S220" s="1492"/>
      <c r="T220" s="1492"/>
      <c r="U220" s="1492"/>
      <c r="V220" s="1492"/>
      <c r="W220" s="1492"/>
      <c r="X220" s="1492"/>
      <c r="Y220" s="1492"/>
      <c r="Z220" s="1492"/>
      <c r="BA220" s="3"/>
      <c r="BC220" t="s">
        <v>301</v>
      </c>
    </row>
    <row r="221" spans="1:72" ht="12.95" customHeight="1">
      <c r="A221" s="2"/>
      <c r="B221" s="14"/>
      <c r="C221" s="2"/>
      <c r="AU221" s="95"/>
      <c r="AV221" s="95"/>
      <c r="AW221" s="95"/>
      <c r="AX221" s="95"/>
      <c r="AY221" s="95"/>
      <c r="BA221" s="3"/>
    </row>
    <row r="222" spans="1:72" ht="12.95" customHeight="1">
      <c r="A222" s="1539" t="s">
        <v>549</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72"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0" t="s">
        <v>600</v>
      </c>
      <c r="AJ226" s="144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0" t="s">
        <v>554</v>
      </c>
      <c r="AJ227" s="144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0" t="s">
        <v>600</v>
      </c>
      <c r="AJ228" s="144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0" t="s">
        <v>600</v>
      </c>
      <c r="AJ229" s="1440"/>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57" t="str">
        <f>H16</f>
        <v>Affordable Housing CDC, Inc.</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92" t="s">
        <v>2680</v>
      </c>
      <c r="N233" s="1501"/>
      <c r="O233" s="1501"/>
      <c r="P233" s="1501"/>
      <c r="Q233" s="1501"/>
      <c r="R233" s="1501"/>
      <c r="S233" s="1501"/>
      <c r="T233" s="1501"/>
      <c r="U233" s="1501"/>
      <c r="V233" s="1501"/>
      <c r="W233" s="1501"/>
      <c r="X233" s="1501"/>
      <c r="Y233" s="1501"/>
      <c r="Z233" s="1501"/>
      <c r="AA233" s="1501"/>
      <c r="AB233" s="1501"/>
      <c r="AC233" s="1501"/>
      <c r="AD233" s="1501"/>
      <c r="AE233" s="1501"/>
      <c r="BB233" s="219" t="s">
        <v>547</v>
      </c>
      <c r="BG233" s="259">
        <f>IF(AND(AND($M$249="nonprofit",$M$257="for profit",$M$265="nonprofit")),2,0)</f>
        <v>0</v>
      </c>
    </row>
    <row r="234" spans="1:69" ht="12.95" customHeight="1">
      <c r="D234" s="4" t="s">
        <v>589</v>
      </c>
      <c r="E234" s="4"/>
      <c r="M234" s="1492" t="s">
        <v>2681</v>
      </c>
      <c r="N234" s="1501"/>
      <c r="O234" s="1501"/>
      <c r="P234" s="1501"/>
      <c r="Q234" s="1501"/>
      <c r="R234" s="1501"/>
      <c r="S234" s="1501"/>
      <c r="T234" s="1501"/>
      <c r="V234" s="33" t="s">
        <v>86</v>
      </c>
      <c r="W234" s="1495" t="s">
        <v>2671</v>
      </c>
      <c r="X234" s="1496"/>
      <c r="Y234" s="4" t="s">
        <v>592</v>
      </c>
      <c r="AC234" s="1501">
        <v>92694</v>
      </c>
      <c r="AD234" s="1501"/>
      <c r="AE234" s="150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92" t="s">
        <v>2682</v>
      </c>
      <c r="N235" s="1501"/>
      <c r="O235" s="1501"/>
      <c r="P235" s="1501"/>
      <c r="Q235" s="1501"/>
      <c r="R235" s="1501"/>
      <c r="S235" s="1501"/>
      <c r="T235" s="1501"/>
      <c r="U235" s="1501"/>
      <c r="V235" s="1501"/>
      <c r="W235" s="1501"/>
      <c r="X235" s="1501"/>
      <c r="Y235" s="1501"/>
      <c r="Z235" s="1501"/>
      <c r="AA235" s="1501"/>
      <c r="AB235" s="1501"/>
      <c r="AC235" s="1501"/>
      <c r="AD235" s="1501"/>
      <c r="AE235" s="1501"/>
      <c r="AI235" s="4"/>
      <c r="AJ235" s="4"/>
      <c r="AK235" s="4"/>
      <c r="AL235" s="4"/>
      <c r="AM235" s="4"/>
      <c r="AN235" s="4"/>
      <c r="AO235" s="4"/>
      <c r="AP235" s="4"/>
      <c r="AQ235" s="4"/>
      <c r="AR235" s="4"/>
      <c r="AS235" s="4"/>
      <c r="AT235" s="4"/>
      <c r="BB235" s="219"/>
      <c r="BG235" s="218"/>
    </row>
    <row r="236" spans="1:69" ht="12.95" customHeight="1">
      <c r="D236" s="4" t="s">
        <v>88</v>
      </c>
      <c r="E236" s="4"/>
      <c r="F236" s="4"/>
      <c r="M236" s="1554" t="s">
        <v>2683</v>
      </c>
      <c r="N236" s="1494"/>
      <c r="O236" s="1494"/>
      <c r="P236" s="1494"/>
      <c r="Q236" s="1494"/>
      <c r="R236" s="1494"/>
      <c r="S236" s="4" t="s">
        <v>207</v>
      </c>
      <c r="T236" s="4"/>
      <c r="U236" s="1496">
        <v>1316</v>
      </c>
      <c r="V236" s="1496"/>
      <c r="W236" s="1496"/>
      <c r="X236" s="4" t="s">
        <v>89</v>
      </c>
      <c r="Z236" s="1494"/>
      <c r="AA236" s="1494"/>
      <c r="AB236" s="1494"/>
      <c r="AC236" s="1494"/>
      <c r="AD236" s="1494"/>
      <c r="AE236" s="1494"/>
      <c r="AU236" s="4"/>
      <c r="AV236" s="4"/>
      <c r="AW236" s="4"/>
      <c r="AX236" s="4"/>
      <c r="AY236" s="4"/>
      <c r="AZ236" s="4"/>
      <c r="BB236" s="218" t="s">
        <v>546</v>
      </c>
      <c r="BG236" s="259">
        <f>IF(AND(AND($M$249="nonprofit",$M$257="nonprofit",$M$265="(select one)")),1,0)</f>
        <v>0</v>
      </c>
    </row>
    <row r="237" spans="1:69" ht="12.95" customHeight="1">
      <c r="D237" s="4" t="s">
        <v>90</v>
      </c>
      <c r="E237" s="4"/>
      <c r="F237" s="4"/>
      <c r="M237" s="1541" t="s">
        <v>2757</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64" t="s">
        <v>378</v>
      </c>
      <c r="N238" s="1464"/>
      <c r="O238" s="1464"/>
      <c r="P238" s="1464"/>
      <c r="Q238" s="1464"/>
      <c r="R238" s="1464"/>
      <c r="S238" s="1464"/>
      <c r="T238" s="1464"/>
      <c r="U238" s="218" t="s">
        <v>922</v>
      </c>
      <c r="V238" s="218"/>
      <c r="W238" s="218"/>
      <c r="X238" s="218"/>
      <c r="Y238" s="218"/>
      <c r="Z238" s="218"/>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63"/>
      <c r="N239" s="1463"/>
      <c r="O239" s="1463"/>
      <c r="P239" s="1463"/>
      <c r="Q239" s="1463"/>
      <c r="R239" s="1463"/>
      <c r="S239" s="1463"/>
      <c r="T239" s="1463"/>
      <c r="U239" s="1463"/>
      <c r="V239" s="1463"/>
      <c r="W239" s="1463"/>
      <c r="X239" s="1463"/>
      <c r="Y239" s="1463"/>
      <c r="Z239" s="1463"/>
      <c r="AA239" s="1463"/>
      <c r="AB239" s="1463"/>
      <c r="AC239" s="1463"/>
      <c r="AD239" s="1463"/>
      <c r="AE239" s="146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58" t="s">
        <v>2662</v>
      </c>
      <c r="N243" s="1504"/>
      <c r="O243" s="1504"/>
      <c r="P243" s="1504"/>
      <c r="Q243" s="1504"/>
      <c r="R243" s="1504"/>
      <c r="S243" s="1504"/>
      <c r="T243" s="1504"/>
      <c r="U243" s="1504"/>
      <c r="V243" s="1504"/>
      <c r="W243" s="1504"/>
      <c r="X243" s="1504"/>
      <c r="Y243" s="1504"/>
      <c r="Z243" s="1504"/>
      <c r="AA243" s="1504"/>
      <c r="AB243" s="1504"/>
      <c r="AC243" s="1504"/>
      <c r="AD243" s="1504"/>
      <c r="AE243" s="1504"/>
      <c r="AF243" s="1504" t="s">
        <v>2673</v>
      </c>
      <c r="AG243" s="1504"/>
      <c r="AH243" s="1504"/>
      <c r="AI243" s="1504"/>
      <c r="AJ243" s="1504"/>
      <c r="AK243" s="150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92" t="s">
        <v>2674</v>
      </c>
      <c r="N244" s="1501"/>
      <c r="O244" s="1501"/>
      <c r="P244" s="1501"/>
      <c r="Q244" s="1501"/>
      <c r="R244" s="1501"/>
      <c r="S244" s="1501"/>
      <c r="T244" s="1501"/>
      <c r="U244" s="1501"/>
      <c r="V244" s="1501"/>
      <c r="W244" s="1501"/>
      <c r="X244" s="1501"/>
      <c r="Y244" s="1501"/>
      <c r="Z244" s="1501"/>
      <c r="AA244" s="1501"/>
      <c r="AB244" s="1501"/>
      <c r="AC244" s="1501"/>
      <c r="AD244" s="1501"/>
      <c r="AE244" s="150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92" t="s">
        <v>2670</v>
      </c>
      <c r="N245" s="1501"/>
      <c r="O245" s="1501"/>
      <c r="P245" s="1501"/>
      <c r="Q245" s="1501"/>
      <c r="R245" s="1501"/>
      <c r="S245" s="1501"/>
      <c r="T245" s="1501"/>
      <c r="V245" s="33" t="s">
        <v>86</v>
      </c>
      <c r="W245" s="1495" t="s">
        <v>2671</v>
      </c>
      <c r="X245" s="1496"/>
      <c r="Y245" s="4" t="s">
        <v>592</v>
      </c>
      <c r="AC245" s="1501">
        <v>95113</v>
      </c>
      <c r="AD245" s="1501"/>
      <c r="AE245" s="1501"/>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92" t="s">
        <v>2672</v>
      </c>
      <c r="N246" s="1501"/>
      <c r="O246" s="1501"/>
      <c r="P246" s="1501"/>
      <c r="Q246" s="1501"/>
      <c r="R246" s="1501"/>
      <c r="S246" s="1501"/>
      <c r="T246" s="1501"/>
      <c r="U246" s="1501"/>
      <c r="V246" s="1501"/>
      <c r="W246" s="1501"/>
      <c r="X246" s="1501"/>
      <c r="Y246" s="1501"/>
      <c r="Z246" s="1501"/>
      <c r="AA246" s="1501"/>
      <c r="AB246" s="1501"/>
      <c r="AC246" s="1501"/>
      <c r="AD246" s="1501"/>
      <c r="AE246" s="1501"/>
      <c r="AH246" s="1439">
        <v>5.1000000000000004E-3</v>
      </c>
      <c r="AI246" s="1439"/>
      <c r="AJ246" s="1439"/>
      <c r="AK246" s="143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54" t="s">
        <v>2675</v>
      </c>
      <c r="N247" s="1494"/>
      <c r="O247" s="1494"/>
      <c r="P247" s="1494"/>
      <c r="Q247" s="1494"/>
      <c r="R247" s="1494"/>
      <c r="S247" s="4" t="s">
        <v>207</v>
      </c>
      <c r="T247" s="4"/>
      <c r="U247" s="1496">
        <v>1316</v>
      </c>
      <c r="V247" s="1496"/>
      <c r="W247" s="1496"/>
      <c r="X247" s="4" t="s">
        <v>89</v>
      </c>
      <c r="Z247" s="1494"/>
      <c r="AA247" s="1494"/>
      <c r="AB247" s="1494"/>
      <c r="AC247" s="1494"/>
      <c r="AD247" s="1494"/>
      <c r="AE247" s="1494"/>
      <c r="AU247" s="4"/>
      <c r="AV247" s="4"/>
      <c r="AW247" s="4"/>
      <c r="AX247" s="4"/>
      <c r="AY247" s="4"/>
      <c r="BG247">
        <v>0</v>
      </c>
      <c r="BH247" s="3"/>
      <c r="BN247" s="34"/>
    </row>
    <row r="248" spans="1:71" ht="12.95" customHeight="1">
      <c r="A248" s="19"/>
      <c r="B248" s="4"/>
      <c r="C248" s="4"/>
      <c r="D248" s="4" t="s">
        <v>90</v>
      </c>
      <c r="E248" s="4"/>
      <c r="F248" s="4"/>
      <c r="M248" s="1541" t="s">
        <v>2676</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64" t="s">
        <v>545</v>
      </c>
      <c r="N249" s="1464"/>
      <c r="O249" s="1464"/>
      <c r="P249" s="1464"/>
      <c r="Q249" s="1464"/>
      <c r="R249" s="1464"/>
      <c r="S249" s="1464"/>
      <c r="T249" s="1464"/>
      <c r="U249" s="218" t="s">
        <v>922</v>
      </c>
      <c r="V249" s="218"/>
      <c r="W249" s="218"/>
      <c r="X249" s="218"/>
      <c r="Y249" s="218"/>
      <c r="Z249" s="218"/>
      <c r="AA249" s="1559" t="s">
        <v>2677</v>
      </c>
      <c r="AB249" s="1560"/>
      <c r="AC249" s="1560"/>
      <c r="AD249" s="1560"/>
      <c r="AE249" s="1560"/>
      <c r="AF249" s="1560"/>
      <c r="AG249" s="1560"/>
      <c r="AH249" s="1560"/>
      <c r="AI249" s="1560"/>
      <c r="AJ249" s="1560"/>
      <c r="AK249" s="156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58" t="s">
        <v>2678</v>
      </c>
      <c r="N251" s="1504"/>
      <c r="O251" s="1504"/>
      <c r="P251" s="1504"/>
      <c r="Q251" s="1504"/>
      <c r="R251" s="1504"/>
      <c r="S251" s="1504"/>
      <c r="T251" s="1504"/>
      <c r="U251" s="1504"/>
      <c r="V251" s="1504"/>
      <c r="W251" s="1504"/>
      <c r="X251" s="1504"/>
      <c r="Y251" s="1504"/>
      <c r="Z251" s="1504"/>
      <c r="AA251" s="1504"/>
      <c r="AB251" s="1504"/>
      <c r="AC251" s="1504"/>
      <c r="AD251" s="1504"/>
      <c r="AE251" s="1504"/>
      <c r="AF251" s="1504" t="s">
        <v>2679</v>
      </c>
      <c r="AG251" s="1504"/>
      <c r="AH251" s="1504"/>
      <c r="AI251" s="1504"/>
      <c r="AJ251" s="1504"/>
      <c r="AK251" s="1504"/>
      <c r="AU251" s="4"/>
      <c r="AV251" s="4"/>
      <c r="AW251" s="4"/>
      <c r="AX251" s="4"/>
      <c r="AY251" s="4"/>
      <c r="BN251" s="34"/>
    </row>
    <row r="252" spans="1:71" ht="12.95" customHeight="1">
      <c r="A252" s="19"/>
      <c r="B252" s="4"/>
      <c r="C252" s="4"/>
      <c r="D252" s="4" t="s">
        <v>85</v>
      </c>
      <c r="E252" s="4"/>
      <c r="F252" s="4"/>
      <c r="G252" s="4"/>
      <c r="H252" s="4"/>
      <c r="I252" s="4"/>
      <c r="J252" s="4"/>
      <c r="K252" s="4"/>
      <c r="L252" s="4"/>
      <c r="M252" s="1492" t="s">
        <v>2680</v>
      </c>
      <c r="N252" s="1501"/>
      <c r="O252" s="1501"/>
      <c r="P252" s="1501"/>
      <c r="Q252" s="1501"/>
      <c r="R252" s="1501"/>
      <c r="S252" s="1501"/>
      <c r="T252" s="1501"/>
      <c r="U252" s="1501"/>
      <c r="V252" s="1501"/>
      <c r="W252" s="1501"/>
      <c r="X252" s="1501"/>
      <c r="Y252" s="1501"/>
      <c r="Z252" s="1501"/>
      <c r="AA252" s="1501"/>
      <c r="AB252" s="1501"/>
      <c r="AC252" s="1501"/>
      <c r="AD252" s="1501"/>
      <c r="AE252" s="1501"/>
      <c r="AF252" s="3" t="s">
        <v>1286</v>
      </c>
      <c r="AL252" s="4"/>
      <c r="AM252" s="4"/>
      <c r="AN252" s="4"/>
      <c r="AO252" s="4"/>
      <c r="AP252" s="4"/>
      <c r="AQ252" s="4"/>
      <c r="AR252" s="4"/>
      <c r="AS252" s="4"/>
      <c r="AT252" s="4"/>
      <c r="BN252" s="34"/>
    </row>
    <row r="253" spans="1:71" ht="12.95" customHeight="1">
      <c r="A253" s="19"/>
      <c r="B253" s="4"/>
      <c r="C253" s="4"/>
      <c r="D253" s="4" t="s">
        <v>589</v>
      </c>
      <c r="E253" s="4"/>
      <c r="M253" s="1492" t="s">
        <v>2681</v>
      </c>
      <c r="N253" s="1501"/>
      <c r="O253" s="1501"/>
      <c r="P253" s="1501"/>
      <c r="Q253" s="1501"/>
      <c r="R253" s="1501"/>
      <c r="S253" s="1501"/>
      <c r="T253" s="1501"/>
      <c r="V253" s="33" t="s">
        <v>86</v>
      </c>
      <c r="W253" s="1495" t="s">
        <v>2671</v>
      </c>
      <c r="X253" s="1496"/>
      <c r="Y253" s="4" t="s">
        <v>592</v>
      </c>
      <c r="AC253" s="1501">
        <v>92694</v>
      </c>
      <c r="AD253" s="1501"/>
      <c r="AE253" s="150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92" t="s">
        <v>2682</v>
      </c>
      <c r="N254" s="1501"/>
      <c r="O254" s="1501"/>
      <c r="P254" s="1501"/>
      <c r="Q254" s="1501"/>
      <c r="R254" s="1501"/>
      <c r="S254" s="1501"/>
      <c r="T254" s="1501"/>
      <c r="U254" s="1501"/>
      <c r="V254" s="1501"/>
      <c r="W254" s="1501"/>
      <c r="X254" s="1501"/>
      <c r="Y254" s="1501"/>
      <c r="Z254" s="1501"/>
      <c r="AA254" s="1501"/>
      <c r="AB254" s="1501"/>
      <c r="AC254" s="1501"/>
      <c r="AD254" s="1501"/>
      <c r="AE254" s="1501"/>
      <c r="AH254" s="1439">
        <v>4.8999999999999998E-3</v>
      </c>
      <c r="AI254" s="1439"/>
      <c r="AJ254" s="1439"/>
      <c r="AK254" s="1439"/>
      <c r="AL254" s="4"/>
      <c r="AM254" s="4"/>
      <c r="AN254" s="4"/>
      <c r="AO254" s="4"/>
      <c r="AP254" s="4"/>
      <c r="AQ254" s="4"/>
      <c r="AR254" s="4"/>
      <c r="AS254" s="4"/>
      <c r="AT254" s="4"/>
    </row>
    <row r="255" spans="1:71" ht="12.95" customHeight="1">
      <c r="A255" s="19"/>
      <c r="B255" s="4"/>
      <c r="C255" s="4"/>
      <c r="D255" s="4" t="s">
        <v>88</v>
      </c>
      <c r="E255" s="4"/>
      <c r="F255" s="4"/>
      <c r="M255" s="1554" t="s">
        <v>2683</v>
      </c>
      <c r="N255" s="1494"/>
      <c r="O255" s="1494"/>
      <c r="P255" s="1494"/>
      <c r="Q255" s="1494"/>
      <c r="R255" s="1494"/>
      <c r="S255" s="4" t="s">
        <v>207</v>
      </c>
      <c r="T255" s="4"/>
      <c r="U255" s="1496"/>
      <c r="V255" s="1496"/>
      <c r="W255" s="1496"/>
      <c r="X255" s="4" t="s">
        <v>89</v>
      </c>
      <c r="Z255" s="1554" t="s">
        <v>2684</v>
      </c>
      <c r="AA255" s="1494"/>
      <c r="AB255" s="1494"/>
      <c r="AC255" s="1494"/>
      <c r="AD255" s="1494"/>
      <c r="AE255" s="1494"/>
      <c r="AU255" s="4"/>
      <c r="AV255" s="4"/>
      <c r="AW255" s="4"/>
      <c r="AX255" s="4"/>
      <c r="AY255" s="4"/>
      <c r="BN255" s="34"/>
    </row>
    <row r="256" spans="1:71" ht="12.95" customHeight="1">
      <c r="A256" s="19"/>
      <c r="B256" s="4"/>
      <c r="C256" s="4"/>
      <c r="D256" s="4" t="s">
        <v>90</v>
      </c>
      <c r="E256" s="4"/>
      <c r="F256" s="4"/>
      <c r="M256" s="1541" t="s">
        <v>2757</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64" t="s">
        <v>543</v>
      </c>
      <c r="N257" s="1464"/>
      <c r="O257" s="1464"/>
      <c r="P257" s="1464"/>
      <c r="Q257" s="1464"/>
      <c r="R257" s="1464"/>
      <c r="S257" s="1464"/>
      <c r="T257" s="1464"/>
      <c r="U257" s="218" t="s">
        <v>922</v>
      </c>
      <c r="V257" s="218"/>
      <c r="W257" s="218"/>
      <c r="X257" s="218"/>
      <c r="Y257" s="218"/>
      <c r="Z257" s="218"/>
      <c r="AA257" s="1559" t="s">
        <v>2685</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04"/>
      <c r="N259" s="1504"/>
      <c r="O259" s="1504"/>
      <c r="P259" s="1504"/>
      <c r="Q259" s="1504"/>
      <c r="R259" s="1504"/>
      <c r="S259" s="1504"/>
      <c r="T259" s="1504"/>
      <c r="U259" s="1504"/>
      <c r="V259" s="1504"/>
      <c r="W259" s="1504"/>
      <c r="X259" s="1504"/>
      <c r="Y259" s="1504"/>
      <c r="Z259" s="1504"/>
      <c r="AA259" s="1504"/>
      <c r="AB259" s="1504"/>
      <c r="AC259" s="1504"/>
      <c r="AD259" s="1504"/>
      <c r="AE259" s="1504"/>
      <c r="AF259" s="1504" t="s">
        <v>308</v>
      </c>
      <c r="AG259" s="1504"/>
      <c r="AH259" s="1504"/>
      <c r="AI259" s="1504"/>
      <c r="AJ259" s="1504"/>
      <c r="AK259" s="150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1"/>
      <c r="N260" s="1501"/>
      <c r="O260" s="1501"/>
      <c r="P260" s="1501"/>
      <c r="Q260" s="1501"/>
      <c r="R260" s="1501"/>
      <c r="S260" s="1501"/>
      <c r="T260" s="1501"/>
      <c r="U260" s="1501"/>
      <c r="V260" s="1501"/>
      <c r="W260" s="1501"/>
      <c r="X260" s="1501"/>
      <c r="Y260" s="1501"/>
      <c r="Z260" s="1501"/>
      <c r="AA260" s="1501"/>
      <c r="AB260" s="1501"/>
      <c r="AC260" s="1501"/>
      <c r="AD260" s="1501"/>
      <c r="AE260" s="150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01"/>
      <c r="N261" s="1501"/>
      <c r="O261" s="1501"/>
      <c r="P261" s="1501"/>
      <c r="Q261" s="1501"/>
      <c r="R261" s="1501"/>
      <c r="S261" s="1501"/>
      <c r="T261" s="1501"/>
      <c r="V261" s="33" t="s">
        <v>86</v>
      </c>
      <c r="W261" s="1496"/>
      <c r="X261" s="1496"/>
      <c r="Y261" s="4" t="s">
        <v>592</v>
      </c>
      <c r="AC261" s="1501"/>
      <c r="AD261" s="1501"/>
      <c r="AE261" s="150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1"/>
      <c r="N262" s="1501"/>
      <c r="O262" s="1501"/>
      <c r="P262" s="1501"/>
      <c r="Q262" s="1501"/>
      <c r="R262" s="1501"/>
      <c r="S262" s="1501"/>
      <c r="T262" s="1501"/>
      <c r="U262" s="1501"/>
      <c r="V262" s="1501"/>
      <c r="W262" s="1501"/>
      <c r="X262" s="1501"/>
      <c r="Y262" s="1501"/>
      <c r="Z262" s="1501"/>
      <c r="AA262" s="1501"/>
      <c r="AB262" s="1501"/>
      <c r="AC262" s="1501"/>
      <c r="AD262" s="1501"/>
      <c r="AE262" s="1501"/>
      <c r="AH262" s="1439"/>
      <c r="AI262" s="1439"/>
      <c r="AJ262" s="1439"/>
      <c r="AK262" s="143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94"/>
      <c r="N263" s="1494"/>
      <c r="O263" s="1494"/>
      <c r="P263" s="1494"/>
      <c r="Q263" s="1494"/>
      <c r="R263" s="1494"/>
      <c r="S263" s="4" t="s">
        <v>207</v>
      </c>
      <c r="T263" s="4"/>
      <c r="U263" s="1496"/>
      <c r="V263" s="1496"/>
      <c r="W263" s="1496"/>
      <c r="X263" s="4" t="s">
        <v>89</v>
      </c>
      <c r="Z263" s="1494"/>
      <c r="AA263" s="1494"/>
      <c r="AB263" s="1494"/>
      <c r="AC263" s="1494"/>
      <c r="AD263" s="1494"/>
      <c r="AE263" s="149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64" t="s">
        <v>308</v>
      </c>
      <c r="N265" s="1464"/>
      <c r="O265" s="1464"/>
      <c r="P265" s="1464"/>
      <c r="Q265" s="1464"/>
      <c r="R265" s="1464"/>
      <c r="S265" s="1464"/>
      <c r="T265" s="1464"/>
      <c r="U265" s="218" t="s">
        <v>922</v>
      </c>
      <c r="V265" s="218"/>
      <c r="W265" s="218"/>
      <c r="X265" s="218"/>
      <c r="Y265" s="218"/>
      <c r="Z265" s="218"/>
      <c r="AA265" s="1561"/>
      <c r="AB265" s="1561"/>
      <c r="AC265" s="1561"/>
      <c r="AD265" s="1561"/>
      <c r="AE265" s="1561"/>
      <c r="AF265" s="1561"/>
      <c r="AG265" s="1561"/>
      <c r="AH265" s="1561"/>
      <c r="AI265" s="1561"/>
      <c r="AJ265" s="1561"/>
      <c r="AK265" s="1561"/>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01" t="s">
        <v>281</v>
      </c>
      <c r="E270" s="1501"/>
      <c r="F270" s="1501"/>
      <c r="G270" s="1501"/>
      <c r="H270" s="1501"/>
      <c r="J270" t="s">
        <v>280</v>
      </c>
      <c r="X270" s="1555"/>
      <c r="Y270" s="1555"/>
      <c r="Z270" s="1555"/>
      <c r="AA270" s="1555"/>
      <c r="AB270" s="1555"/>
      <c r="AC270" s="155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58" t="s">
        <v>2799</v>
      </c>
      <c r="M274" s="1504"/>
      <c r="N274" s="1504"/>
      <c r="O274" s="1504"/>
      <c r="P274" s="1504"/>
      <c r="Q274" s="1504"/>
      <c r="R274" s="1504"/>
      <c r="S274" s="1504"/>
      <c r="T274" s="1504"/>
      <c r="U274" s="1504"/>
      <c r="V274" s="1504"/>
      <c r="W274" s="1504"/>
      <c r="X274" s="1504"/>
      <c r="Y274" s="1504"/>
      <c r="Z274" s="1504"/>
      <c r="AA274" s="1504"/>
      <c r="AB274" s="1504"/>
      <c r="AC274" s="1504"/>
      <c r="AD274" s="1504"/>
      <c r="AE274" s="1504"/>
      <c r="AF274" s="1504"/>
      <c r="AG274" s="1504"/>
      <c r="AH274" s="1504"/>
      <c r="AI274" s="1504"/>
      <c r="AJ274" s="150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2" t="s">
        <v>2674</v>
      </c>
      <c r="M275" s="1501"/>
      <c r="N275" s="1501"/>
      <c r="O275" s="1501"/>
      <c r="P275" s="1501"/>
      <c r="Q275" s="1501"/>
      <c r="R275" s="1501"/>
      <c r="S275" s="1501"/>
      <c r="T275" s="1501"/>
      <c r="U275" s="1501"/>
      <c r="V275" s="1501"/>
      <c r="W275" s="1501"/>
      <c r="X275" s="1501"/>
      <c r="Y275" s="1501"/>
      <c r="Z275" s="1501"/>
      <c r="AA275" s="1501"/>
      <c r="AB275" s="1501"/>
      <c r="AC275" s="1501"/>
      <c r="AD275" s="150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92" t="s">
        <v>2670</v>
      </c>
      <c r="M276" s="1501"/>
      <c r="N276" s="1501"/>
      <c r="O276" s="1501"/>
      <c r="P276" s="1501"/>
      <c r="Q276" s="1501"/>
      <c r="R276" s="1501"/>
      <c r="S276" s="1501"/>
      <c r="U276" s="33" t="s">
        <v>86</v>
      </c>
      <c r="V276" s="1495" t="s">
        <v>2671</v>
      </c>
      <c r="W276" s="1496"/>
      <c r="X276" s="4" t="s">
        <v>592</v>
      </c>
      <c r="AB276" s="1501">
        <v>95113</v>
      </c>
      <c r="AC276" s="1501"/>
      <c r="AD276" s="150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92" t="s">
        <v>2686</v>
      </c>
      <c r="M277" s="1501"/>
      <c r="N277" s="1501"/>
      <c r="O277" s="1501"/>
      <c r="P277" s="1501"/>
      <c r="Q277" s="1501"/>
      <c r="R277" s="1501"/>
      <c r="S277" s="1501"/>
      <c r="T277" s="1501"/>
      <c r="U277" s="1501"/>
      <c r="V277" s="1501"/>
      <c r="W277" s="1501"/>
      <c r="X277" s="1501"/>
      <c r="Y277" s="1501"/>
      <c r="Z277" s="1501"/>
      <c r="AA277" s="1501"/>
      <c r="AB277" s="1501"/>
      <c r="AC277" s="1501"/>
      <c r="AD277" s="1501"/>
      <c r="AI277" s="4"/>
      <c r="AJ277" s="4"/>
      <c r="AK277" s="3"/>
      <c r="AL277" s="3"/>
      <c r="AM277" s="3"/>
      <c r="AN277" s="3"/>
      <c r="AO277" s="3"/>
      <c r="AP277" s="3"/>
      <c r="AQ277" s="3"/>
      <c r="AR277" s="3"/>
      <c r="AS277" s="3"/>
      <c r="AT277" s="3"/>
      <c r="BN277" s="34"/>
    </row>
    <row r="278" spans="1:66" ht="12.95" customHeight="1">
      <c r="D278" s="4" t="s">
        <v>88</v>
      </c>
      <c r="E278" s="4"/>
      <c r="F278" s="4"/>
      <c r="L278" s="1554" t="s">
        <v>2706</v>
      </c>
      <c r="M278" s="1494"/>
      <c r="N278" s="1494"/>
      <c r="O278" s="1494"/>
      <c r="P278" s="1494"/>
      <c r="Q278" s="1494"/>
      <c r="R278" s="4" t="s">
        <v>207</v>
      </c>
      <c r="S278" s="4"/>
      <c r="T278" s="1496"/>
      <c r="U278" s="1496"/>
      <c r="V278" s="1496"/>
      <c r="W278" s="4" t="s">
        <v>89</v>
      </c>
      <c r="Y278" s="1494"/>
      <c r="Z278" s="1494"/>
      <c r="AA278" s="1494"/>
      <c r="AB278" s="1494"/>
      <c r="AC278" s="1494"/>
      <c r="AD278" s="1494"/>
      <c r="BN278" s="34"/>
    </row>
    <row r="279" spans="1:66" ht="12.95" customHeight="1">
      <c r="D279" s="4" t="s">
        <v>90</v>
      </c>
      <c r="E279" s="4"/>
      <c r="F279" s="4"/>
      <c r="L279" s="1541" t="s">
        <v>2707</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2.95" customHeight="1">
      <c r="D280" s="3" t="s">
        <v>632</v>
      </c>
      <c r="E280" s="3"/>
      <c r="F280" s="3"/>
      <c r="G280" s="3"/>
      <c r="H280" s="3"/>
      <c r="I280" s="3"/>
      <c r="L280" s="1495" t="s">
        <v>2800</v>
      </c>
      <c r="M280" s="1495"/>
      <c r="N280" s="1495"/>
      <c r="O280" s="1495"/>
      <c r="P280" s="1495"/>
      <c r="Q280" s="1495"/>
      <c r="R280" s="1495"/>
      <c r="S280" s="1495"/>
      <c r="T280" s="1495"/>
      <c r="U280" s="1495"/>
      <c r="V280" s="1495"/>
      <c r="W280" s="1495"/>
      <c r="X280" s="1495"/>
      <c r="Y280" s="1495"/>
      <c r="Z280" s="1495"/>
      <c r="AA280" s="1495"/>
      <c r="AB280" s="1495"/>
      <c r="AC280" s="1495"/>
      <c r="AD280" s="149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39" t="s">
        <v>550</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c r="BN282" s="34"/>
    </row>
    <row r="283" spans="1:66"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63" t="s">
        <v>2687</v>
      </c>
      <c r="I287" s="1463"/>
      <c r="J287" s="1463"/>
      <c r="K287" s="1463"/>
      <c r="L287" s="1463"/>
      <c r="M287" s="1463"/>
      <c r="N287" s="1463"/>
      <c r="O287" s="1463"/>
      <c r="P287" s="1463"/>
      <c r="Q287" s="1463"/>
      <c r="R287" s="1463"/>
      <c r="T287" s="3" t="s">
        <v>576</v>
      </c>
      <c r="V287" s="3"/>
      <c r="W287" s="3"/>
      <c r="X287" s="3"/>
      <c r="Y287" s="3"/>
      <c r="AA287" s="1463" t="s">
        <v>2735</v>
      </c>
      <c r="AB287" s="1463"/>
      <c r="AC287" s="1463"/>
      <c r="AD287" s="1463"/>
      <c r="AE287" s="1463"/>
      <c r="AF287" s="1463"/>
      <c r="AG287" s="1463"/>
      <c r="AH287" s="1463"/>
      <c r="AI287" s="1463"/>
      <c r="AJ287" s="1463"/>
      <c r="AK287" s="1463"/>
      <c r="BN287" s="34"/>
    </row>
    <row r="288" spans="1:66" ht="12.95" customHeight="1">
      <c r="B288" s="3" t="s">
        <v>480</v>
      </c>
      <c r="C288" s="3"/>
      <c r="D288" s="3"/>
      <c r="E288" s="3"/>
      <c r="F288" s="3"/>
      <c r="H288" s="1464" t="s">
        <v>2669</v>
      </c>
      <c r="I288" s="1464"/>
      <c r="J288" s="1464"/>
      <c r="K288" s="1464"/>
      <c r="L288" s="1464"/>
      <c r="M288" s="1464"/>
      <c r="N288" s="1464"/>
      <c r="O288" s="1464"/>
      <c r="P288" s="1464"/>
      <c r="Q288" s="1464"/>
      <c r="R288" s="1464"/>
      <c r="T288" s="3" t="s">
        <v>480</v>
      </c>
      <c r="V288" s="3"/>
      <c r="W288" s="3"/>
      <c r="X288" s="3"/>
      <c r="Y288" s="3"/>
      <c r="AA288" s="1464" t="s">
        <v>2736</v>
      </c>
      <c r="AB288" s="1464"/>
      <c r="AC288" s="1464"/>
      <c r="AD288" s="1464"/>
      <c r="AE288" s="1464"/>
      <c r="AF288" s="1464"/>
      <c r="AG288" s="1464"/>
      <c r="AH288" s="1464"/>
      <c r="AI288" s="1464"/>
      <c r="AJ288" s="1464"/>
      <c r="AK288" s="1464"/>
      <c r="BN288" s="34"/>
    </row>
    <row r="289" spans="2:66" ht="12.95" customHeight="1">
      <c r="B289" s="3" t="s">
        <v>481</v>
      </c>
      <c r="C289" s="3"/>
      <c r="D289" s="3"/>
      <c r="E289" s="3"/>
      <c r="F289" s="3"/>
      <c r="H289" s="1464" t="s">
        <v>2688</v>
      </c>
      <c r="I289" s="1464"/>
      <c r="J289" s="1464"/>
      <c r="K289" s="1464"/>
      <c r="L289" s="1464"/>
      <c r="M289" s="1464"/>
      <c r="N289" s="1464"/>
      <c r="O289" s="1464"/>
      <c r="P289" s="1464"/>
      <c r="Q289" s="1464"/>
      <c r="R289" s="1464"/>
      <c r="T289" s="3" t="s">
        <v>75</v>
      </c>
      <c r="V289" s="3"/>
      <c r="W289" s="3"/>
      <c r="X289" s="3"/>
      <c r="Y289" s="3"/>
      <c r="AA289" s="1464" t="s">
        <v>2737</v>
      </c>
      <c r="AB289" s="1464"/>
      <c r="AC289" s="1464"/>
      <c r="AD289" s="1464"/>
      <c r="AE289" s="1464"/>
      <c r="AF289" s="1464"/>
      <c r="AG289" s="1464"/>
      <c r="AH289" s="1464"/>
      <c r="AI289" s="1464"/>
      <c r="AJ289" s="1464"/>
      <c r="AK289" s="1464"/>
      <c r="BN289" s="34"/>
    </row>
    <row r="290" spans="2:66" ht="12.95" customHeight="1">
      <c r="B290" s="3" t="s">
        <v>87</v>
      </c>
      <c r="C290" s="3"/>
      <c r="D290" s="3"/>
      <c r="E290" s="3"/>
      <c r="F290" s="3"/>
      <c r="H290" s="1464" t="s">
        <v>2672</v>
      </c>
      <c r="I290" s="1464"/>
      <c r="J290" s="1464"/>
      <c r="K290" s="1464"/>
      <c r="L290" s="1464"/>
      <c r="M290" s="1464"/>
      <c r="N290" s="1464"/>
      <c r="O290" s="1464"/>
      <c r="P290" s="1464"/>
      <c r="Q290" s="1464"/>
      <c r="R290" s="1464"/>
      <c r="T290" s="3" t="s">
        <v>87</v>
      </c>
      <c r="V290" s="3"/>
      <c r="W290" s="3"/>
      <c r="X290" s="3"/>
      <c r="Y290" s="3"/>
      <c r="AA290" s="1464" t="s">
        <v>2738</v>
      </c>
      <c r="AB290" s="1464"/>
      <c r="AC290" s="1464"/>
      <c r="AD290" s="1464"/>
      <c r="AE290" s="1464"/>
      <c r="AF290" s="1464"/>
      <c r="AG290" s="1464"/>
      <c r="AH290" s="1464"/>
      <c r="AI290" s="1464"/>
      <c r="AJ290" s="1464"/>
      <c r="AK290" s="1464"/>
      <c r="BN290" s="34"/>
    </row>
    <row r="291" spans="2:66" ht="12.95" customHeight="1">
      <c r="B291" s="3" t="s">
        <v>88</v>
      </c>
      <c r="C291" s="3"/>
      <c r="D291" s="3"/>
      <c r="E291" s="3"/>
      <c r="F291" s="3"/>
      <c r="G291" s="3"/>
      <c r="H291" s="1503" t="s">
        <v>2689</v>
      </c>
      <c r="I291" s="1503"/>
      <c r="J291" s="1503"/>
      <c r="K291" s="1503"/>
      <c r="L291" s="1503"/>
      <c r="M291" s="1503"/>
      <c r="N291" s="4" t="s">
        <v>207</v>
      </c>
      <c r="O291" s="4"/>
      <c r="P291" s="1501">
        <v>1316</v>
      </c>
      <c r="Q291" s="1501"/>
      <c r="R291" s="1501"/>
      <c r="S291" s="3"/>
      <c r="T291" s="3" t="s">
        <v>88</v>
      </c>
      <c r="V291" s="3"/>
      <c r="W291" s="3"/>
      <c r="X291" s="3"/>
      <c r="Y291" s="3"/>
      <c r="AA291" s="1502" t="s">
        <v>2739</v>
      </c>
      <c r="AB291" s="1503"/>
      <c r="AC291" s="1503"/>
      <c r="AD291" s="1503"/>
      <c r="AE291" s="1503"/>
      <c r="AF291" s="1503"/>
      <c r="AG291" s="4" t="s">
        <v>207</v>
      </c>
      <c r="AH291" s="4"/>
      <c r="AI291" s="1501"/>
      <c r="AJ291" s="1501"/>
      <c r="AK291" s="1501"/>
      <c r="BN291" s="34"/>
    </row>
    <row r="292" spans="2:66" ht="12.95" customHeight="1">
      <c r="B292" s="3" t="s">
        <v>89</v>
      </c>
      <c r="C292" s="3"/>
      <c r="D292" s="3"/>
      <c r="E292" s="3"/>
      <c r="F292" s="3"/>
      <c r="G292" s="3"/>
      <c r="H292" s="1494"/>
      <c r="I292" s="1494"/>
      <c r="J292" s="1494"/>
      <c r="K292" s="1494"/>
      <c r="L292" s="1494"/>
      <c r="M292" s="1494"/>
      <c r="N292" s="4"/>
      <c r="O292" s="4"/>
      <c r="P292" s="35"/>
      <c r="Q292" s="35"/>
      <c r="R292" s="35"/>
      <c r="S292" s="3"/>
      <c r="T292" s="3" t="s">
        <v>89</v>
      </c>
      <c r="V292" s="3"/>
      <c r="W292" s="3"/>
      <c r="X292" s="3"/>
      <c r="Y292" s="3"/>
      <c r="AA292" s="1494"/>
      <c r="AB292" s="1494"/>
      <c r="AC292" s="1494"/>
      <c r="AD292" s="1494"/>
      <c r="AE292" s="1494"/>
      <c r="AF292" s="1494"/>
      <c r="AG292" s="4"/>
      <c r="AH292" s="4"/>
      <c r="AI292" s="35"/>
      <c r="AJ292" s="35"/>
      <c r="AK292" s="35"/>
      <c r="BN292" s="34"/>
    </row>
    <row r="293" spans="2:66" ht="12.95" customHeight="1">
      <c r="B293" s="3" t="s">
        <v>76</v>
      </c>
      <c r="C293" s="3"/>
      <c r="D293" s="3"/>
      <c r="E293" s="3"/>
      <c r="F293" s="3"/>
      <c r="G293" s="3"/>
      <c r="H293" s="1464" t="s">
        <v>2676</v>
      </c>
      <c r="I293" s="1464"/>
      <c r="J293" s="1464"/>
      <c r="K293" s="1464"/>
      <c r="L293" s="1464"/>
      <c r="M293" s="1464"/>
      <c r="N293" s="1463"/>
      <c r="O293" s="1463"/>
      <c r="P293" s="1463"/>
      <c r="Q293" s="1463"/>
      <c r="R293" s="1463"/>
      <c r="S293" s="3"/>
      <c r="T293" s="3" t="s">
        <v>76</v>
      </c>
      <c r="V293" s="3"/>
      <c r="W293" s="3"/>
      <c r="X293" s="3"/>
      <c r="Y293" s="3"/>
      <c r="AA293" s="1495" t="s">
        <v>2740</v>
      </c>
      <c r="AB293" s="1464"/>
      <c r="AC293" s="1464"/>
      <c r="AD293" s="1464"/>
      <c r="AE293" s="1464"/>
      <c r="AF293" s="1464"/>
      <c r="AG293" s="1463"/>
      <c r="AH293" s="1463"/>
      <c r="AI293" s="1463"/>
      <c r="AJ293" s="1463"/>
      <c r="AK293" s="146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3" t="s">
        <v>2690</v>
      </c>
      <c r="I295" s="1463"/>
      <c r="J295" s="1463"/>
      <c r="K295" s="1463"/>
      <c r="L295" s="1463"/>
      <c r="M295" s="1463"/>
      <c r="N295" s="1463"/>
      <c r="O295" s="1463"/>
      <c r="P295" s="1463"/>
      <c r="Q295" s="1463"/>
      <c r="R295" s="1463"/>
      <c r="T295" s="3" t="s">
        <v>365</v>
      </c>
      <c r="V295" s="3"/>
      <c r="W295" s="3"/>
      <c r="X295" s="3"/>
      <c r="Y295" s="3"/>
      <c r="AA295" s="1492" t="s">
        <v>2747</v>
      </c>
      <c r="AB295" s="1463"/>
      <c r="AC295" s="1463"/>
      <c r="AD295" s="1463"/>
      <c r="AE295" s="1463"/>
      <c r="AF295" s="1463"/>
      <c r="AG295" s="1463"/>
      <c r="AH295" s="1463"/>
      <c r="AI295" s="1463"/>
      <c r="AJ295" s="1463"/>
      <c r="AK295" s="1463"/>
      <c r="BN295" s="34"/>
    </row>
    <row r="296" spans="2:66" ht="12.95" customHeight="1">
      <c r="B296" s="3" t="s">
        <v>480</v>
      </c>
      <c r="C296" s="3"/>
      <c r="D296" s="3"/>
      <c r="E296" s="3"/>
      <c r="F296" s="3"/>
      <c r="H296" s="1464" t="s">
        <v>2691</v>
      </c>
      <c r="I296" s="1464"/>
      <c r="J296" s="1464"/>
      <c r="K296" s="1464"/>
      <c r="L296" s="1464"/>
      <c r="M296" s="1464"/>
      <c r="N296" s="1464"/>
      <c r="O296" s="1464"/>
      <c r="P296" s="1464"/>
      <c r="Q296" s="1464"/>
      <c r="R296" s="1464"/>
      <c r="T296" s="3" t="s">
        <v>480</v>
      </c>
      <c r="V296" s="3"/>
      <c r="W296" s="3"/>
      <c r="X296" s="3"/>
      <c r="Y296" s="3"/>
      <c r="AA296" s="1464" t="s">
        <v>2669</v>
      </c>
      <c r="AB296" s="1464"/>
      <c r="AC296" s="1464"/>
      <c r="AD296" s="1464"/>
      <c r="AE296" s="1464"/>
      <c r="AF296" s="1464"/>
      <c r="AG296" s="1464"/>
      <c r="AH296" s="1464"/>
      <c r="AI296" s="1464"/>
      <c r="AJ296" s="1464"/>
      <c r="AK296" s="1464"/>
      <c r="BN296" s="34"/>
    </row>
    <row r="297" spans="2:66" ht="12.95" customHeight="1">
      <c r="B297" s="3" t="s">
        <v>481</v>
      </c>
      <c r="C297" s="3"/>
      <c r="D297" s="3"/>
      <c r="E297" s="3"/>
      <c r="F297" s="3"/>
      <c r="H297" s="1464" t="s">
        <v>2692</v>
      </c>
      <c r="I297" s="1464"/>
      <c r="J297" s="1464"/>
      <c r="K297" s="1464"/>
      <c r="L297" s="1464"/>
      <c r="M297" s="1464"/>
      <c r="N297" s="1464"/>
      <c r="O297" s="1464"/>
      <c r="P297" s="1464"/>
      <c r="Q297" s="1464"/>
      <c r="R297" s="1464"/>
      <c r="T297" s="3" t="s">
        <v>75</v>
      </c>
      <c r="V297" s="3"/>
      <c r="W297" s="3"/>
      <c r="X297" s="3"/>
      <c r="Y297" s="3"/>
      <c r="AA297" s="1464" t="s">
        <v>2688</v>
      </c>
      <c r="AB297" s="1464"/>
      <c r="AC297" s="1464"/>
      <c r="AD297" s="1464"/>
      <c r="AE297" s="1464"/>
      <c r="AF297" s="1464"/>
      <c r="AG297" s="1464"/>
      <c r="AH297" s="1464"/>
      <c r="AI297" s="1464"/>
      <c r="AJ297" s="1464"/>
      <c r="AK297" s="1464"/>
      <c r="BN297" s="34"/>
    </row>
    <row r="298" spans="2:66" ht="12.95" customHeight="1">
      <c r="B298" s="3" t="s">
        <v>87</v>
      </c>
      <c r="C298" s="3"/>
      <c r="D298" s="3"/>
      <c r="E298" s="3"/>
      <c r="F298" s="3"/>
      <c r="H298" s="1464" t="s">
        <v>2693</v>
      </c>
      <c r="I298" s="1464"/>
      <c r="J298" s="1464"/>
      <c r="K298" s="1464"/>
      <c r="L298" s="1464"/>
      <c r="M298" s="1464"/>
      <c r="N298" s="1464"/>
      <c r="O298" s="1464"/>
      <c r="P298" s="1464"/>
      <c r="Q298" s="1464"/>
      <c r="R298" s="1464"/>
      <c r="T298" s="3" t="s">
        <v>87</v>
      </c>
      <c r="V298" s="3"/>
      <c r="W298" s="3"/>
      <c r="X298" s="3"/>
      <c r="Y298" s="3"/>
      <c r="AA298" s="1495" t="s">
        <v>2748</v>
      </c>
      <c r="AB298" s="1464"/>
      <c r="AC298" s="1464"/>
      <c r="AD298" s="1464"/>
      <c r="AE298" s="1464"/>
      <c r="AF298" s="1464"/>
      <c r="AG298" s="1464"/>
      <c r="AH298" s="1464"/>
      <c r="AI298" s="1464"/>
      <c r="AJ298" s="1464"/>
      <c r="AK298" s="1464"/>
      <c r="BN298" s="34"/>
    </row>
    <row r="299" spans="2:66" ht="12.95" customHeight="1">
      <c r="B299" s="3" t="s">
        <v>88</v>
      </c>
      <c r="C299" s="3"/>
      <c r="D299" s="3"/>
      <c r="E299" s="3"/>
      <c r="F299" s="3"/>
      <c r="G299" s="3"/>
      <c r="H299" s="1503" t="s">
        <v>2694</v>
      </c>
      <c r="I299" s="1503"/>
      <c r="J299" s="1503"/>
      <c r="K299" s="1503"/>
      <c r="L299" s="1503"/>
      <c r="M299" s="1503"/>
      <c r="N299" s="4" t="s">
        <v>207</v>
      </c>
      <c r="O299" s="4"/>
      <c r="P299" s="1501"/>
      <c r="Q299" s="1501"/>
      <c r="R299" s="1501"/>
      <c r="S299" s="3"/>
      <c r="T299" s="3" t="s">
        <v>88</v>
      </c>
      <c r="V299" s="3"/>
      <c r="W299" s="3"/>
      <c r="X299" s="3"/>
      <c r="Y299" s="3"/>
      <c r="AA299" s="1502" t="s">
        <v>2749</v>
      </c>
      <c r="AB299" s="1503"/>
      <c r="AC299" s="1503"/>
      <c r="AD299" s="1503"/>
      <c r="AE299" s="1503"/>
      <c r="AF299" s="1503"/>
      <c r="AG299" s="4" t="s">
        <v>207</v>
      </c>
      <c r="AH299" s="4"/>
      <c r="AI299" s="1501"/>
      <c r="AJ299" s="1501"/>
      <c r="AK299" s="1501"/>
      <c r="BN299" s="34"/>
    </row>
    <row r="300" spans="2:66" ht="12.95" customHeight="1">
      <c r="B300" s="3" t="s">
        <v>89</v>
      </c>
      <c r="C300" s="3"/>
      <c r="D300" s="3"/>
      <c r="E300" s="3"/>
      <c r="F300" s="3"/>
      <c r="G300" s="3"/>
      <c r="H300" s="1494" t="s">
        <v>2695</v>
      </c>
      <c r="I300" s="1494"/>
      <c r="J300" s="1494"/>
      <c r="K300" s="1494"/>
      <c r="L300" s="1494"/>
      <c r="M300" s="1494"/>
      <c r="N300" s="4"/>
      <c r="O300" s="4"/>
      <c r="P300" s="35"/>
      <c r="Q300" s="35"/>
      <c r="R300" s="35"/>
      <c r="S300" s="3"/>
      <c r="T300" s="3" t="s">
        <v>89</v>
      </c>
      <c r="V300" s="3"/>
      <c r="W300" s="3"/>
      <c r="X300" s="3"/>
      <c r="Y300" s="3"/>
      <c r="AA300" s="1494"/>
      <c r="AB300" s="1494"/>
      <c r="AC300" s="1494"/>
      <c r="AD300" s="1494"/>
      <c r="AE300" s="1494"/>
      <c r="AF300" s="1494"/>
      <c r="AG300" s="4"/>
      <c r="AH300" s="4"/>
      <c r="AI300" s="35"/>
      <c r="AJ300" s="35"/>
      <c r="AK300" s="35"/>
      <c r="BN300" s="34"/>
    </row>
    <row r="301" spans="2:66" ht="12.95" customHeight="1">
      <c r="B301" s="3" t="s">
        <v>76</v>
      </c>
      <c r="C301" s="3"/>
      <c r="D301" s="3"/>
      <c r="E301" s="3"/>
      <c r="F301" s="3"/>
      <c r="G301" s="3"/>
      <c r="H301" s="1464" t="s">
        <v>2696</v>
      </c>
      <c r="I301" s="1464"/>
      <c r="J301" s="1464"/>
      <c r="K301" s="1464"/>
      <c r="L301" s="1464"/>
      <c r="M301" s="1464"/>
      <c r="N301" s="1463"/>
      <c r="O301" s="1463"/>
      <c r="P301" s="1463"/>
      <c r="Q301" s="1463"/>
      <c r="R301" s="1463"/>
      <c r="S301" s="3"/>
      <c r="T301" s="3" t="s">
        <v>76</v>
      </c>
      <c r="V301" s="3"/>
      <c r="W301" s="3"/>
      <c r="X301" s="3"/>
      <c r="Y301" s="3"/>
      <c r="AA301" s="1495" t="s">
        <v>2750</v>
      </c>
      <c r="AB301" s="1464"/>
      <c r="AC301" s="1464"/>
      <c r="AD301" s="1464"/>
      <c r="AE301" s="1464"/>
      <c r="AF301" s="1464"/>
      <c r="AG301" s="1463"/>
      <c r="AH301" s="1463"/>
      <c r="AI301" s="1463"/>
      <c r="AJ301" s="1463"/>
      <c r="AK301" s="1463"/>
      <c r="BN301" s="34"/>
    </row>
    <row r="302" spans="2:66" ht="12.95" customHeight="1">
      <c r="BN302" s="34"/>
    </row>
    <row r="303" spans="2:66" ht="12.95" customHeight="1">
      <c r="B303" s="3" t="s">
        <v>77</v>
      </c>
      <c r="C303" s="3"/>
      <c r="D303" s="3"/>
      <c r="E303" s="3"/>
      <c r="F303" s="3"/>
      <c r="H303" s="1463" t="s">
        <v>2697</v>
      </c>
      <c r="I303" s="1463"/>
      <c r="J303" s="1463"/>
      <c r="K303" s="1463"/>
      <c r="L303" s="1463"/>
      <c r="M303" s="1463"/>
      <c r="N303" s="1463"/>
      <c r="O303" s="1463"/>
      <c r="P303" s="1463"/>
      <c r="Q303" s="1463"/>
      <c r="R303" s="1463"/>
      <c r="T303" s="4" t="s">
        <v>891</v>
      </c>
      <c r="V303" s="3"/>
      <c r="W303" s="3"/>
      <c r="X303" s="3"/>
      <c r="Y303" s="3"/>
      <c r="AA303" s="1463"/>
      <c r="AB303" s="1463"/>
      <c r="AC303" s="1463"/>
      <c r="AD303" s="1463"/>
      <c r="AE303" s="1463"/>
      <c r="AF303" s="1463"/>
      <c r="AG303" s="1463"/>
      <c r="AH303" s="1463"/>
      <c r="AI303" s="1463"/>
      <c r="AJ303" s="1463"/>
      <c r="AK303" s="1463"/>
      <c r="BN303" s="34"/>
    </row>
    <row r="304" spans="2:66" ht="12.95" customHeight="1">
      <c r="B304" s="3" t="s">
        <v>480</v>
      </c>
      <c r="C304" s="3"/>
      <c r="D304" s="3"/>
      <c r="E304" s="3"/>
      <c r="F304" s="3"/>
      <c r="H304" s="1464" t="s">
        <v>2698</v>
      </c>
      <c r="I304" s="1464"/>
      <c r="J304" s="1464"/>
      <c r="K304" s="1464"/>
      <c r="L304" s="1464"/>
      <c r="M304" s="1464"/>
      <c r="N304" s="1464"/>
      <c r="O304" s="1464"/>
      <c r="P304" s="1464"/>
      <c r="Q304" s="1464"/>
      <c r="R304" s="1464"/>
      <c r="T304" s="3" t="s">
        <v>480</v>
      </c>
      <c r="V304" s="3"/>
      <c r="W304" s="3"/>
      <c r="X304" s="3"/>
      <c r="Y304" s="3"/>
      <c r="AA304" s="1464"/>
      <c r="AB304" s="1464"/>
      <c r="AC304" s="1464"/>
      <c r="AD304" s="1464"/>
      <c r="AE304" s="1464"/>
      <c r="AF304" s="1464"/>
      <c r="AG304" s="1464"/>
      <c r="AH304" s="1464"/>
      <c r="AI304" s="1464"/>
      <c r="AJ304" s="1464"/>
      <c r="AK304" s="1464"/>
      <c r="BN304" s="34"/>
    </row>
    <row r="305" spans="2:66" ht="12.95" customHeight="1">
      <c r="B305" s="3" t="s">
        <v>481</v>
      </c>
      <c r="C305" s="3"/>
      <c r="D305" s="3"/>
      <c r="E305" s="3"/>
      <c r="F305" s="3"/>
      <c r="H305" s="1464" t="s">
        <v>2699</v>
      </c>
      <c r="I305" s="1464"/>
      <c r="J305" s="1464"/>
      <c r="K305" s="1464"/>
      <c r="L305" s="1464"/>
      <c r="M305" s="1464"/>
      <c r="N305" s="1464"/>
      <c r="O305" s="1464"/>
      <c r="P305" s="1464"/>
      <c r="Q305" s="1464"/>
      <c r="R305" s="1464"/>
      <c r="T305" s="3" t="s">
        <v>75</v>
      </c>
      <c r="V305" s="3"/>
      <c r="W305" s="3"/>
      <c r="X305" s="3"/>
      <c r="Y305" s="3"/>
      <c r="AA305" s="1464"/>
      <c r="AB305" s="1464"/>
      <c r="AC305" s="1464"/>
      <c r="AD305" s="1464"/>
      <c r="AE305" s="1464"/>
      <c r="AF305" s="1464"/>
      <c r="AG305" s="1464"/>
      <c r="AH305" s="1464"/>
      <c r="AI305" s="1464"/>
      <c r="AJ305" s="1464"/>
      <c r="AK305" s="1464"/>
      <c r="BN305" s="34"/>
    </row>
    <row r="306" spans="2:66" ht="12.95" customHeight="1">
      <c r="B306" s="3" t="s">
        <v>87</v>
      </c>
      <c r="C306" s="3"/>
      <c r="D306" s="3"/>
      <c r="E306" s="3"/>
      <c r="F306" s="3"/>
      <c r="H306" s="1464" t="s">
        <v>2708</v>
      </c>
      <c r="I306" s="1464"/>
      <c r="J306" s="1464"/>
      <c r="K306" s="1464"/>
      <c r="L306" s="1464"/>
      <c r="M306" s="1464"/>
      <c r="N306" s="1464"/>
      <c r="O306" s="1464"/>
      <c r="P306" s="1464"/>
      <c r="Q306" s="1464"/>
      <c r="R306" s="1464"/>
      <c r="T306" s="3" t="s">
        <v>87</v>
      </c>
      <c r="V306" s="3"/>
      <c r="W306" s="3"/>
      <c r="X306" s="3"/>
      <c r="Y306" s="3"/>
      <c r="AA306" s="1464"/>
      <c r="AB306" s="1464"/>
      <c r="AC306" s="1464"/>
      <c r="AD306" s="1464"/>
      <c r="AE306" s="1464"/>
      <c r="AF306" s="1464"/>
      <c r="AG306" s="1464"/>
      <c r="AH306" s="1464"/>
      <c r="AI306" s="1464"/>
      <c r="AJ306" s="1464"/>
      <c r="AK306" s="1464"/>
      <c r="BN306" s="34"/>
    </row>
    <row r="307" spans="2:66" ht="12.95" customHeight="1">
      <c r="B307" s="3" t="s">
        <v>88</v>
      </c>
      <c r="C307" s="3"/>
      <c r="D307" s="3"/>
      <c r="E307" s="3"/>
      <c r="F307" s="3"/>
      <c r="G307" s="3"/>
      <c r="H307" s="1503" t="s">
        <v>2700</v>
      </c>
      <c r="I307" s="1503"/>
      <c r="J307" s="1503"/>
      <c r="K307" s="1503"/>
      <c r="L307" s="1503"/>
      <c r="M307" s="1503"/>
      <c r="N307" s="4" t="s">
        <v>207</v>
      </c>
      <c r="O307" s="4"/>
      <c r="P307" s="1501"/>
      <c r="Q307" s="1501"/>
      <c r="R307" s="1501"/>
      <c r="S307" s="3"/>
      <c r="T307" s="3" t="s">
        <v>88</v>
      </c>
      <c r="V307" s="3"/>
      <c r="W307" s="3"/>
      <c r="X307" s="3"/>
      <c r="Y307" s="3"/>
      <c r="AA307" s="1503"/>
      <c r="AB307" s="1503"/>
      <c r="AC307" s="1503"/>
      <c r="AD307" s="1503"/>
      <c r="AE307" s="1503"/>
      <c r="AF307" s="1503"/>
      <c r="AG307" s="4" t="s">
        <v>207</v>
      </c>
      <c r="AH307" s="4"/>
      <c r="AI307" s="1501"/>
      <c r="AJ307" s="1501"/>
      <c r="AK307" s="1501"/>
      <c r="BN307" s="34"/>
    </row>
    <row r="308" spans="2:66" ht="12.95" customHeight="1">
      <c r="B308" s="3" t="s">
        <v>89</v>
      </c>
      <c r="C308" s="3"/>
      <c r="D308" s="3"/>
      <c r="E308" s="3"/>
      <c r="F308" s="3"/>
      <c r="G308" s="3"/>
      <c r="H308" s="1494" t="s">
        <v>2701</v>
      </c>
      <c r="I308" s="1494"/>
      <c r="J308" s="1494"/>
      <c r="K308" s="1494"/>
      <c r="L308" s="1494"/>
      <c r="M308" s="1494"/>
      <c r="N308" s="4"/>
      <c r="O308" s="4"/>
      <c r="P308" s="35"/>
      <c r="Q308" s="35"/>
      <c r="R308" s="35"/>
      <c r="S308" s="3"/>
      <c r="T308" s="3" t="s">
        <v>89</v>
      </c>
      <c r="V308" s="3"/>
      <c r="W308" s="3"/>
      <c r="X308" s="3"/>
      <c r="Y308" s="3"/>
      <c r="AA308" s="1494"/>
      <c r="AB308" s="1494"/>
      <c r="AC308" s="1494"/>
      <c r="AD308" s="1494"/>
      <c r="AE308" s="1494"/>
      <c r="AF308" s="1494"/>
      <c r="AG308" s="4"/>
      <c r="AH308" s="4"/>
      <c r="AI308" s="35"/>
      <c r="AJ308" s="35"/>
      <c r="AK308" s="35"/>
      <c r="BN308" s="34"/>
    </row>
    <row r="309" spans="2:66" ht="12.95" customHeight="1">
      <c r="B309" s="3" t="s">
        <v>76</v>
      </c>
      <c r="C309" s="3"/>
      <c r="D309" s="3"/>
      <c r="E309" s="3"/>
      <c r="F309" s="3"/>
      <c r="G309" s="3"/>
      <c r="H309" s="1464" t="s">
        <v>2709</v>
      </c>
      <c r="I309" s="1464"/>
      <c r="J309" s="1464"/>
      <c r="K309" s="1464"/>
      <c r="L309" s="1464"/>
      <c r="M309" s="1464"/>
      <c r="N309" s="1463"/>
      <c r="O309" s="1463"/>
      <c r="P309" s="1463"/>
      <c r="Q309" s="1463"/>
      <c r="R309" s="1463"/>
      <c r="S309" s="3"/>
      <c r="T309" s="3" t="s">
        <v>76</v>
      </c>
      <c r="V309" s="3"/>
      <c r="W309" s="3"/>
      <c r="X309" s="3"/>
      <c r="Y309" s="3"/>
      <c r="AA309" s="1464"/>
      <c r="AB309" s="1464"/>
      <c r="AC309" s="1464"/>
      <c r="AD309" s="1464"/>
      <c r="AE309" s="1464"/>
      <c r="AF309" s="1464"/>
      <c r="AG309" s="1463"/>
      <c r="AH309" s="1463"/>
      <c r="AI309" s="1463"/>
      <c r="AJ309" s="1463"/>
      <c r="AK309" s="146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63" t="s">
        <v>2697</v>
      </c>
      <c r="I311" s="1463"/>
      <c r="J311" s="1463"/>
      <c r="K311" s="1463"/>
      <c r="L311" s="1463"/>
      <c r="M311" s="1463"/>
      <c r="N311" s="1463"/>
      <c r="O311" s="1463"/>
      <c r="P311" s="1463"/>
      <c r="Q311" s="1463"/>
      <c r="R311" s="1463"/>
      <c r="S311" s="3"/>
      <c r="T311" s="3" t="s">
        <v>366</v>
      </c>
      <c r="V311" s="3"/>
      <c r="W311" s="3"/>
      <c r="X311" s="3"/>
      <c r="Y311" s="3"/>
      <c r="AA311" s="1492" t="s">
        <v>2741</v>
      </c>
      <c r="AB311" s="1463"/>
      <c r="AC311" s="1463"/>
      <c r="AD311" s="1463"/>
      <c r="AE311" s="1463"/>
      <c r="AF311" s="1463"/>
      <c r="AG311" s="1463"/>
      <c r="AH311" s="1463"/>
      <c r="AI311" s="1463"/>
      <c r="AJ311" s="1463"/>
      <c r="AK311" s="1463"/>
      <c r="BN311" s="34"/>
    </row>
    <row r="312" spans="2:66" ht="12.95" customHeight="1">
      <c r="B312" s="3" t="s">
        <v>480</v>
      </c>
      <c r="C312" s="3"/>
      <c r="D312" s="3"/>
      <c r="E312" s="3"/>
      <c r="F312" s="3"/>
      <c r="H312" s="1464" t="s">
        <v>2698</v>
      </c>
      <c r="I312" s="1464"/>
      <c r="J312" s="1464"/>
      <c r="K312" s="1464"/>
      <c r="L312" s="1464"/>
      <c r="M312" s="1464"/>
      <c r="N312" s="1464"/>
      <c r="O312" s="1464"/>
      <c r="P312" s="1464"/>
      <c r="Q312" s="1464"/>
      <c r="R312" s="1464"/>
      <c r="S312" s="3"/>
      <c r="T312" s="3" t="s">
        <v>480</v>
      </c>
      <c r="V312" s="3"/>
      <c r="W312" s="3"/>
      <c r="X312" s="3"/>
      <c r="Y312" s="3"/>
      <c r="AA312" s="1495" t="s">
        <v>2742</v>
      </c>
      <c r="AB312" s="1464"/>
      <c r="AC312" s="1464"/>
      <c r="AD312" s="1464"/>
      <c r="AE312" s="1464"/>
      <c r="AF312" s="1464"/>
      <c r="AG312" s="1464"/>
      <c r="AH312" s="1464"/>
      <c r="AI312" s="1464"/>
      <c r="AJ312" s="1464"/>
      <c r="AK312" s="1464"/>
      <c r="BN312" s="34"/>
    </row>
    <row r="313" spans="2:66" ht="12.95" customHeight="1">
      <c r="B313" s="3" t="s">
        <v>481</v>
      </c>
      <c r="C313" s="3"/>
      <c r="D313" s="3"/>
      <c r="E313" s="3"/>
      <c r="F313" s="3"/>
      <c r="H313" s="1464" t="s">
        <v>2699</v>
      </c>
      <c r="I313" s="1464"/>
      <c r="J313" s="1464"/>
      <c r="K313" s="1464"/>
      <c r="L313" s="1464"/>
      <c r="M313" s="1464"/>
      <c r="N313" s="1464"/>
      <c r="O313" s="1464"/>
      <c r="P313" s="1464"/>
      <c r="Q313" s="1464"/>
      <c r="R313" s="1464"/>
      <c r="S313" s="3"/>
      <c r="T313" s="3" t="s">
        <v>75</v>
      </c>
      <c r="V313" s="3"/>
      <c r="W313" s="3"/>
      <c r="X313" s="3"/>
      <c r="Y313" s="3"/>
      <c r="AA313" s="1495" t="s">
        <v>2743</v>
      </c>
      <c r="AB313" s="1464"/>
      <c r="AC313" s="1464"/>
      <c r="AD313" s="1464"/>
      <c r="AE313" s="1464"/>
      <c r="AF313" s="1464"/>
      <c r="AG313" s="1464"/>
      <c r="AH313" s="1464"/>
      <c r="AI313" s="1464"/>
      <c r="AJ313" s="1464"/>
      <c r="AK313" s="1464"/>
      <c r="BN313" s="34"/>
    </row>
    <row r="314" spans="2:66" ht="12.95" customHeight="1">
      <c r="B314" s="3" t="s">
        <v>87</v>
      </c>
      <c r="C314" s="3"/>
      <c r="D314" s="3"/>
      <c r="E314" s="3"/>
      <c r="F314" s="3"/>
      <c r="H314" s="1464" t="s">
        <v>2708</v>
      </c>
      <c r="I314" s="1464"/>
      <c r="J314" s="1464"/>
      <c r="K314" s="1464"/>
      <c r="L314" s="1464"/>
      <c r="M314" s="1464"/>
      <c r="N314" s="1464"/>
      <c r="O314" s="1464"/>
      <c r="P314" s="1464"/>
      <c r="Q314" s="1464"/>
      <c r="R314" s="1464"/>
      <c r="S314" s="3"/>
      <c r="T314" s="3" t="s">
        <v>87</v>
      </c>
      <c r="V314" s="3"/>
      <c r="W314" s="3"/>
      <c r="X314" s="3"/>
      <c r="Y314" s="3"/>
      <c r="AA314" s="1495" t="s">
        <v>2744</v>
      </c>
      <c r="AB314" s="1464"/>
      <c r="AC314" s="1464"/>
      <c r="AD314" s="1464"/>
      <c r="AE314" s="1464"/>
      <c r="AF314" s="1464"/>
      <c r="AG314" s="1464"/>
      <c r="AH314" s="1464"/>
      <c r="AI314" s="1464"/>
      <c r="AJ314" s="1464"/>
      <c r="AK314" s="1464"/>
      <c r="BN314" s="34"/>
    </row>
    <row r="315" spans="2:66" ht="12.95" customHeight="1">
      <c r="B315" s="3" t="s">
        <v>88</v>
      </c>
      <c r="C315" s="3"/>
      <c r="D315" s="3"/>
      <c r="E315" s="3"/>
      <c r="F315" s="3"/>
      <c r="G315" s="3"/>
      <c r="H315" s="1503" t="s">
        <v>2700</v>
      </c>
      <c r="I315" s="1503"/>
      <c r="J315" s="1503"/>
      <c r="K315" s="1503"/>
      <c r="L315" s="1503"/>
      <c r="M315" s="1503"/>
      <c r="N315" s="4" t="s">
        <v>207</v>
      </c>
      <c r="O315" s="4"/>
      <c r="P315" s="1501"/>
      <c r="Q315" s="1501"/>
      <c r="R315" s="1501"/>
      <c r="S315" s="3"/>
      <c r="T315" s="3" t="s">
        <v>88</v>
      </c>
      <c r="V315" s="3"/>
      <c r="W315" s="3"/>
      <c r="X315" s="3"/>
      <c r="Y315" s="3"/>
      <c r="AA315" s="1502" t="s">
        <v>2745</v>
      </c>
      <c r="AB315" s="1503"/>
      <c r="AC315" s="1503"/>
      <c r="AD315" s="1503"/>
      <c r="AE315" s="1503"/>
      <c r="AF315" s="1503"/>
      <c r="AG315" s="4" t="s">
        <v>207</v>
      </c>
      <c r="AH315" s="4"/>
      <c r="AI315" s="1501"/>
      <c r="AJ315" s="1501"/>
      <c r="AK315" s="1501"/>
      <c r="BN315" s="34"/>
    </row>
    <row r="316" spans="2:66" ht="12.95" customHeight="1">
      <c r="B316" s="3" t="s">
        <v>89</v>
      </c>
      <c r="C316" s="3"/>
      <c r="D316" s="3"/>
      <c r="E316" s="3"/>
      <c r="F316" s="3"/>
      <c r="G316" s="3"/>
      <c r="H316" s="1494" t="s">
        <v>2701</v>
      </c>
      <c r="I316" s="1494"/>
      <c r="J316" s="1494"/>
      <c r="K316" s="1494"/>
      <c r="L316" s="1494"/>
      <c r="M316" s="1494"/>
      <c r="N316" s="4"/>
      <c r="O316" s="4"/>
      <c r="P316" s="35"/>
      <c r="Q316" s="35"/>
      <c r="R316" s="35"/>
      <c r="S316" s="3"/>
      <c r="T316" s="3" t="s">
        <v>89</v>
      </c>
      <c r="V316" s="3"/>
      <c r="W316" s="3"/>
      <c r="X316" s="3"/>
      <c r="Y316" s="3"/>
      <c r="AA316" s="1494"/>
      <c r="AB316" s="1494"/>
      <c r="AC316" s="1494"/>
      <c r="AD316" s="1494"/>
      <c r="AE316" s="1494"/>
      <c r="AF316" s="1494"/>
      <c r="AG316" s="4"/>
      <c r="AH316" s="4"/>
      <c r="AI316" s="35"/>
      <c r="AJ316" s="35"/>
      <c r="AK316" s="35"/>
      <c r="BN316" s="34"/>
    </row>
    <row r="317" spans="2:66" ht="12.95" customHeight="1">
      <c r="B317" s="3" t="s">
        <v>76</v>
      </c>
      <c r="C317" s="3"/>
      <c r="D317" s="3"/>
      <c r="E317" s="3"/>
      <c r="F317" s="3"/>
      <c r="G317" s="3"/>
      <c r="H317" s="1464" t="s">
        <v>2709</v>
      </c>
      <c r="I317" s="1464"/>
      <c r="J317" s="1464"/>
      <c r="K317" s="1464"/>
      <c r="L317" s="1464"/>
      <c r="M317" s="1464"/>
      <c r="N317" s="1463"/>
      <c r="O317" s="1463"/>
      <c r="P317" s="1463"/>
      <c r="Q317" s="1463"/>
      <c r="R317" s="1463"/>
      <c r="S317" s="3"/>
      <c r="T317" s="3" t="s">
        <v>76</v>
      </c>
      <c r="V317" s="3"/>
      <c r="W317" s="3"/>
      <c r="X317" s="3"/>
      <c r="Y317" s="3"/>
      <c r="AA317" s="1495" t="s">
        <v>2746</v>
      </c>
      <c r="AB317" s="1464"/>
      <c r="AC317" s="1464"/>
      <c r="AD317" s="1464"/>
      <c r="AE317" s="1464"/>
      <c r="AF317" s="1464"/>
      <c r="AG317" s="1463"/>
      <c r="AH317" s="1463"/>
      <c r="AI317" s="1463"/>
      <c r="AJ317" s="1463"/>
      <c r="AK317" s="1463"/>
      <c r="BN317" s="34"/>
    </row>
    <row r="318" spans="2:66" ht="12.95" customHeight="1">
      <c r="BN318" s="34"/>
    </row>
    <row r="319" spans="2:66" ht="12.95" customHeight="1">
      <c r="B319" s="4" t="s">
        <v>924</v>
      </c>
      <c r="C319" s="3"/>
      <c r="D319" s="3"/>
      <c r="E319" s="3"/>
      <c r="F319" s="3"/>
      <c r="H319" s="1463" t="s">
        <v>2710</v>
      </c>
      <c r="I319" s="1463"/>
      <c r="J319" s="1463"/>
      <c r="K319" s="1463"/>
      <c r="L319" s="1463"/>
      <c r="M319" s="1463"/>
      <c r="N319" s="1463"/>
      <c r="O319" s="1463"/>
      <c r="P319" s="1463"/>
      <c r="Q319" s="1463"/>
      <c r="R319" s="1463"/>
      <c r="T319" s="3" t="s">
        <v>367</v>
      </c>
      <c r="V319" s="3"/>
      <c r="W319" s="3"/>
      <c r="X319" s="3"/>
      <c r="Y319" s="3"/>
      <c r="AA319" s="1463" t="s">
        <v>2697</v>
      </c>
      <c r="AB319" s="1463"/>
      <c r="AC319" s="1463"/>
      <c r="AD319" s="1463"/>
      <c r="AE319" s="1463"/>
      <c r="AF319" s="1463"/>
      <c r="AG319" s="1463"/>
      <c r="AH319" s="1463"/>
      <c r="AI319" s="1463"/>
      <c r="AJ319" s="1463"/>
      <c r="AK319" s="1463"/>
      <c r="BN319" s="34"/>
    </row>
    <row r="320" spans="2:66" ht="12.95" customHeight="1">
      <c r="B320" s="3" t="s">
        <v>480</v>
      </c>
      <c r="C320" s="3"/>
      <c r="D320" s="3"/>
      <c r="E320" s="3"/>
      <c r="F320" s="3"/>
      <c r="H320" s="1464" t="s">
        <v>2712</v>
      </c>
      <c r="I320" s="1464"/>
      <c r="J320" s="1464"/>
      <c r="K320" s="1464"/>
      <c r="L320" s="1464"/>
      <c r="M320" s="1464"/>
      <c r="N320" s="1464"/>
      <c r="O320" s="1464"/>
      <c r="P320" s="1464"/>
      <c r="Q320" s="1464"/>
      <c r="R320" s="1464"/>
      <c r="T320" s="3" t="s">
        <v>480</v>
      </c>
      <c r="V320" s="3"/>
      <c r="W320" s="3"/>
      <c r="X320" s="3"/>
      <c r="Y320" s="3"/>
      <c r="AA320" s="1464" t="s">
        <v>2702</v>
      </c>
      <c r="AB320" s="1464"/>
      <c r="AC320" s="1464"/>
      <c r="AD320" s="1464"/>
      <c r="AE320" s="1464"/>
      <c r="AF320" s="1464"/>
      <c r="AG320" s="1464"/>
      <c r="AH320" s="1464"/>
      <c r="AI320" s="1464"/>
      <c r="AJ320" s="1464"/>
      <c r="AK320" s="1464"/>
      <c r="BN320" s="34"/>
    </row>
    <row r="321" spans="2:66" ht="12.95" customHeight="1">
      <c r="B321" s="3" t="s">
        <v>481</v>
      </c>
      <c r="C321" s="3"/>
      <c r="D321" s="3"/>
      <c r="E321" s="3"/>
      <c r="F321" s="3"/>
      <c r="H321" s="1464" t="s">
        <v>2713</v>
      </c>
      <c r="I321" s="1464"/>
      <c r="J321" s="1464"/>
      <c r="K321" s="1464"/>
      <c r="L321" s="1464"/>
      <c r="M321" s="1464"/>
      <c r="N321" s="1464"/>
      <c r="O321" s="1464"/>
      <c r="P321" s="1464"/>
      <c r="Q321" s="1464"/>
      <c r="R321" s="1464"/>
      <c r="T321" s="3" t="s">
        <v>75</v>
      </c>
      <c r="V321" s="3"/>
      <c r="W321" s="3"/>
      <c r="X321" s="3"/>
      <c r="Y321" s="3"/>
      <c r="AA321" s="1464" t="s">
        <v>2703</v>
      </c>
      <c r="AB321" s="1464"/>
      <c r="AC321" s="1464"/>
      <c r="AD321" s="1464"/>
      <c r="AE321" s="1464"/>
      <c r="AF321" s="1464"/>
      <c r="AG321" s="1464"/>
      <c r="AH321" s="1464"/>
      <c r="AI321" s="1464"/>
      <c r="AJ321" s="1464"/>
      <c r="AK321" s="1464"/>
      <c r="BN321" s="34"/>
    </row>
    <row r="322" spans="2:66" ht="12.95" customHeight="1">
      <c r="B322" s="3" t="s">
        <v>87</v>
      </c>
      <c r="C322" s="3"/>
      <c r="D322" s="3"/>
      <c r="E322" s="3"/>
      <c r="F322" s="3"/>
      <c r="H322" s="1464" t="s">
        <v>2711</v>
      </c>
      <c r="I322" s="1464"/>
      <c r="J322" s="1464"/>
      <c r="K322" s="1464"/>
      <c r="L322" s="1464"/>
      <c r="M322" s="1464"/>
      <c r="N322" s="1464"/>
      <c r="O322" s="1464"/>
      <c r="P322" s="1464"/>
      <c r="Q322" s="1464"/>
      <c r="R322" s="1464"/>
      <c r="T322" s="3" t="s">
        <v>87</v>
      </c>
      <c r="V322" s="3"/>
      <c r="W322" s="3"/>
      <c r="X322" s="3"/>
      <c r="Y322" s="3"/>
      <c r="AA322" s="1464" t="s">
        <v>2704</v>
      </c>
      <c r="AB322" s="1464"/>
      <c r="AC322" s="1464"/>
      <c r="AD322" s="1464"/>
      <c r="AE322" s="1464"/>
      <c r="AF322" s="1464"/>
      <c r="AG322" s="1464"/>
      <c r="AH322" s="1464"/>
      <c r="AI322" s="1464"/>
      <c r="AJ322" s="1464"/>
      <c r="AK322" s="1464"/>
      <c r="BN322" s="34"/>
    </row>
    <row r="323" spans="2:66" ht="12.95" customHeight="1">
      <c r="B323" s="3" t="s">
        <v>88</v>
      </c>
      <c r="C323" s="3"/>
      <c r="D323" s="3"/>
      <c r="E323" s="3"/>
      <c r="F323" s="3"/>
      <c r="G323" s="3"/>
      <c r="H323" s="1502" t="s">
        <v>2714</v>
      </c>
      <c r="I323" s="1503"/>
      <c r="J323" s="1503"/>
      <c r="K323" s="1503"/>
      <c r="L323" s="1503"/>
      <c r="M323" s="1503"/>
      <c r="N323" s="4" t="s">
        <v>207</v>
      </c>
      <c r="O323" s="4"/>
      <c r="P323" s="1501"/>
      <c r="Q323" s="1501"/>
      <c r="R323" s="1501"/>
      <c r="S323" s="3"/>
      <c r="T323" s="3" t="s">
        <v>88</v>
      </c>
      <c r="V323" s="3"/>
      <c r="W323" s="3"/>
      <c r="X323" s="3"/>
      <c r="Y323" s="3"/>
      <c r="AA323" s="1502" t="s">
        <v>2716</v>
      </c>
      <c r="AB323" s="1503"/>
      <c r="AC323" s="1503"/>
      <c r="AD323" s="1503"/>
      <c r="AE323" s="1503"/>
      <c r="AF323" s="1503"/>
      <c r="AG323" s="4" t="s">
        <v>207</v>
      </c>
      <c r="AH323" s="4"/>
      <c r="AI323" s="1501"/>
      <c r="AJ323" s="1501"/>
      <c r="AK323" s="1501"/>
    </row>
    <row r="324" spans="2:66" ht="12.95" customHeight="1">
      <c r="B324" s="3" t="s">
        <v>89</v>
      </c>
      <c r="C324" s="3"/>
      <c r="D324" s="3"/>
      <c r="E324" s="3"/>
      <c r="F324" s="3"/>
      <c r="G324" s="3"/>
      <c r="H324" s="1494" t="s">
        <v>2714</v>
      </c>
      <c r="I324" s="1494"/>
      <c r="J324" s="1494"/>
      <c r="K324" s="1494"/>
      <c r="L324" s="1494"/>
      <c r="M324" s="1494"/>
      <c r="N324" s="4"/>
      <c r="O324" s="4"/>
      <c r="P324" s="35"/>
      <c r="Q324" s="35"/>
      <c r="R324" s="35"/>
      <c r="S324" s="3"/>
      <c r="T324" s="3" t="s">
        <v>89</v>
      </c>
      <c r="V324" s="3"/>
      <c r="W324" s="3"/>
      <c r="X324" s="3"/>
      <c r="Y324" s="3"/>
      <c r="AA324" s="1494"/>
      <c r="AB324" s="1494"/>
      <c r="AC324" s="1494"/>
      <c r="AD324" s="1494"/>
      <c r="AE324" s="1494"/>
      <c r="AF324" s="1494"/>
      <c r="AG324" s="4"/>
      <c r="AH324" s="4"/>
      <c r="AI324" s="35"/>
      <c r="AJ324" s="35"/>
      <c r="AK324" s="35"/>
    </row>
    <row r="325" spans="2:66" ht="12.95" customHeight="1">
      <c r="B325" s="3" t="s">
        <v>76</v>
      </c>
      <c r="C325" s="3"/>
      <c r="D325" s="3"/>
      <c r="E325" s="3"/>
      <c r="F325" s="3"/>
      <c r="G325" s="3"/>
      <c r="H325" s="1464" t="s">
        <v>2715</v>
      </c>
      <c r="I325" s="1464"/>
      <c r="J325" s="1464"/>
      <c r="K325" s="1464"/>
      <c r="L325" s="1464"/>
      <c r="M325" s="1464"/>
      <c r="N325" s="1463"/>
      <c r="O325" s="1463"/>
      <c r="P325" s="1463"/>
      <c r="Q325" s="1463"/>
      <c r="R325" s="1463"/>
      <c r="S325" s="3"/>
      <c r="T325" s="3" t="s">
        <v>76</v>
      </c>
      <c r="V325" s="3"/>
      <c r="W325" s="3"/>
      <c r="X325" s="3"/>
      <c r="Y325" s="3"/>
      <c r="AA325" s="1464" t="s">
        <v>2705</v>
      </c>
      <c r="AB325" s="1464"/>
      <c r="AC325" s="1464"/>
      <c r="AD325" s="1464"/>
      <c r="AE325" s="1464"/>
      <c r="AF325" s="1464"/>
      <c r="AG325" s="1463"/>
      <c r="AH325" s="1463"/>
      <c r="AI325" s="1463"/>
      <c r="AJ325" s="1463"/>
      <c r="AK325" s="146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3"/>
      <c r="I327" s="1463"/>
      <c r="J327" s="1463"/>
      <c r="K327" s="1463"/>
      <c r="L327" s="1463"/>
      <c r="M327" s="1463"/>
      <c r="N327" s="1463"/>
      <c r="O327" s="1463"/>
      <c r="P327" s="1463"/>
      <c r="Q327" s="1463"/>
      <c r="R327" s="1463"/>
      <c r="T327" s="3" t="s">
        <v>369</v>
      </c>
      <c r="V327" s="3"/>
      <c r="W327" s="3"/>
      <c r="X327" s="3"/>
      <c r="Y327" s="3"/>
      <c r="AA327" s="1463"/>
      <c r="AB327" s="1463"/>
      <c r="AC327" s="1463"/>
      <c r="AD327" s="1463"/>
      <c r="AE327" s="1463"/>
      <c r="AF327" s="1463"/>
      <c r="AG327" s="1463"/>
      <c r="AH327" s="1463"/>
      <c r="AI327" s="1463"/>
      <c r="AJ327" s="1463"/>
      <c r="AK327" s="1463"/>
    </row>
    <row r="328" spans="2:66" ht="12.95" customHeight="1">
      <c r="B328" s="3" t="s">
        <v>480</v>
      </c>
      <c r="C328" s="3"/>
      <c r="D328" s="3"/>
      <c r="E328" s="3"/>
      <c r="F328" s="3"/>
      <c r="H328" s="1464"/>
      <c r="I328" s="1464"/>
      <c r="J328" s="1464"/>
      <c r="K328" s="1464"/>
      <c r="L328" s="1464"/>
      <c r="M328" s="1464"/>
      <c r="N328" s="1464"/>
      <c r="O328" s="1464"/>
      <c r="P328" s="1464"/>
      <c r="Q328" s="1464"/>
      <c r="R328" s="1464"/>
      <c r="T328" s="3" t="s">
        <v>480</v>
      </c>
      <c r="V328" s="3"/>
      <c r="W328" s="3"/>
      <c r="X328" s="3"/>
      <c r="Y328" s="3"/>
      <c r="AA328" s="1464"/>
      <c r="AB328" s="1464"/>
      <c r="AC328" s="1464"/>
      <c r="AD328" s="1464"/>
      <c r="AE328" s="1464"/>
      <c r="AF328" s="1464"/>
      <c r="AG328" s="1464"/>
      <c r="AH328" s="1464"/>
      <c r="AI328" s="1464"/>
      <c r="AJ328" s="1464"/>
      <c r="AK328" s="1464"/>
    </row>
    <row r="329" spans="2:66" ht="12.95" customHeight="1">
      <c r="B329" s="3" t="s">
        <v>481</v>
      </c>
      <c r="C329" s="3"/>
      <c r="D329" s="3"/>
      <c r="E329" s="3"/>
      <c r="F329" s="3"/>
      <c r="H329" s="1464"/>
      <c r="I329" s="1464"/>
      <c r="J329" s="1464"/>
      <c r="K329" s="1464"/>
      <c r="L329" s="1464"/>
      <c r="M329" s="1464"/>
      <c r="N329" s="1464"/>
      <c r="O329" s="1464"/>
      <c r="P329" s="1464"/>
      <c r="Q329" s="1464"/>
      <c r="R329" s="1464"/>
      <c r="T329" s="3" t="s">
        <v>75</v>
      </c>
      <c r="V329" s="3"/>
      <c r="W329" s="3"/>
      <c r="X329" s="3"/>
      <c r="Y329" s="3"/>
      <c r="AA329" s="1464"/>
      <c r="AB329" s="1464"/>
      <c r="AC329" s="1464"/>
      <c r="AD329" s="1464"/>
      <c r="AE329" s="1464"/>
      <c r="AF329" s="1464"/>
      <c r="AG329" s="1464"/>
      <c r="AH329" s="1464"/>
      <c r="AI329" s="1464"/>
      <c r="AJ329" s="1464"/>
      <c r="AK329" s="1464"/>
    </row>
    <row r="330" spans="2:66" ht="12.95" customHeight="1">
      <c r="B330" s="3" t="s">
        <v>87</v>
      </c>
      <c r="C330" s="3"/>
      <c r="D330" s="3"/>
      <c r="E330" s="3"/>
      <c r="F330" s="3"/>
      <c r="H330" s="1464"/>
      <c r="I330" s="1464"/>
      <c r="J330" s="1464"/>
      <c r="K330" s="1464"/>
      <c r="L330" s="1464"/>
      <c r="M330" s="1464"/>
      <c r="N330" s="1464"/>
      <c r="O330" s="1464"/>
      <c r="P330" s="1464"/>
      <c r="Q330" s="1464"/>
      <c r="R330" s="1464"/>
      <c r="T330" s="3" t="s">
        <v>87</v>
      </c>
      <c r="V330" s="3"/>
      <c r="W330" s="3"/>
      <c r="X330" s="3"/>
      <c r="Y330" s="3"/>
      <c r="AA330" s="1464"/>
      <c r="AB330" s="1464"/>
      <c r="AC330" s="1464"/>
      <c r="AD330" s="1464"/>
      <c r="AE330" s="1464"/>
      <c r="AF330" s="1464"/>
      <c r="AG330" s="1464"/>
      <c r="AH330" s="1464"/>
      <c r="AI330" s="1464"/>
      <c r="AJ330" s="1464"/>
      <c r="AK330" s="1464"/>
    </row>
    <row r="331" spans="2:66" ht="12.95" customHeight="1">
      <c r="B331" s="3" t="s">
        <v>88</v>
      </c>
      <c r="C331" s="3"/>
      <c r="D331" s="3"/>
      <c r="E331" s="3"/>
      <c r="F331" s="3"/>
      <c r="G331" s="3"/>
      <c r="H331" s="1503"/>
      <c r="I331" s="1503"/>
      <c r="J331" s="1503"/>
      <c r="K331" s="1503"/>
      <c r="L331" s="1503"/>
      <c r="M331" s="1503"/>
      <c r="N331" s="4" t="s">
        <v>207</v>
      </c>
      <c r="O331" s="4"/>
      <c r="P331" s="1501"/>
      <c r="Q331" s="1501"/>
      <c r="R331" s="1501"/>
      <c r="S331" s="3"/>
      <c r="T331" s="3" t="s">
        <v>88</v>
      </c>
      <c r="V331" s="3"/>
      <c r="W331" s="3"/>
      <c r="X331" s="3"/>
      <c r="Y331" s="3"/>
      <c r="AA331" s="1503"/>
      <c r="AB331" s="1503"/>
      <c r="AC331" s="1503"/>
      <c r="AD331" s="1503"/>
      <c r="AE331" s="1503"/>
      <c r="AF331" s="1503"/>
      <c r="AG331" s="4" t="s">
        <v>207</v>
      </c>
      <c r="AH331" s="4"/>
      <c r="AI331" s="1501"/>
      <c r="AJ331" s="1501"/>
      <c r="AK331" s="1501"/>
    </row>
    <row r="332" spans="2:66" ht="12.95" customHeight="1">
      <c r="B332" s="3" t="s">
        <v>89</v>
      </c>
      <c r="C332" s="3"/>
      <c r="D332" s="3"/>
      <c r="E332" s="3"/>
      <c r="F332" s="3"/>
      <c r="G332" s="3"/>
      <c r="H332" s="1494"/>
      <c r="I332" s="1494"/>
      <c r="J332" s="1494"/>
      <c r="K332" s="1494"/>
      <c r="L332" s="1494"/>
      <c r="M332" s="1494"/>
      <c r="N332" s="4"/>
      <c r="O332" s="4"/>
      <c r="P332" s="35"/>
      <c r="Q332" s="35"/>
      <c r="R332" s="35"/>
      <c r="S332" s="3"/>
      <c r="T332" s="3" t="s">
        <v>89</v>
      </c>
      <c r="V332" s="3"/>
      <c r="W332" s="3"/>
      <c r="X332" s="3"/>
      <c r="Y332" s="3"/>
      <c r="AA332" s="1494"/>
      <c r="AB332" s="1494"/>
      <c r="AC332" s="1494"/>
      <c r="AD332" s="1494"/>
      <c r="AE332" s="1494"/>
      <c r="AF332" s="1494"/>
      <c r="AG332" s="4"/>
      <c r="AH332" s="4"/>
      <c r="AI332" s="35"/>
      <c r="AJ332" s="35"/>
      <c r="AK332" s="35"/>
    </row>
    <row r="333" spans="2:66" ht="12.95" customHeight="1">
      <c r="B333" s="3" t="s">
        <v>76</v>
      </c>
      <c r="C333" s="3"/>
      <c r="D333" s="3"/>
      <c r="E333" s="3"/>
      <c r="F333" s="3"/>
      <c r="G333" s="3"/>
      <c r="H333" s="1464"/>
      <c r="I333" s="1464"/>
      <c r="J333" s="1464"/>
      <c r="K333" s="1464"/>
      <c r="L333" s="1464"/>
      <c r="M333" s="1464"/>
      <c r="N333" s="1463"/>
      <c r="O333" s="1463"/>
      <c r="P333" s="1463"/>
      <c r="Q333" s="1463"/>
      <c r="R333" s="1463"/>
      <c r="S333" s="3"/>
      <c r="T333" s="3" t="s">
        <v>76</v>
      </c>
      <c r="V333" s="3"/>
      <c r="W333" s="3"/>
      <c r="X333" s="3"/>
      <c r="Y333" s="3"/>
      <c r="AA333" s="1464"/>
      <c r="AB333" s="1464"/>
      <c r="AC333" s="1464"/>
      <c r="AD333" s="1464"/>
      <c r="AE333" s="1464"/>
      <c r="AF333" s="1464"/>
      <c r="AG333" s="1463"/>
      <c r="AH333" s="1463"/>
      <c r="AI333" s="1463"/>
      <c r="AJ333" s="1463"/>
      <c r="AK333" s="146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3" t="s">
        <v>2717</v>
      </c>
      <c r="I335" s="1463"/>
      <c r="J335" s="1463"/>
      <c r="K335" s="1463"/>
      <c r="L335" s="1463"/>
      <c r="M335" s="1463"/>
      <c r="N335" s="1463"/>
      <c r="O335" s="1463"/>
      <c r="P335" s="1463"/>
      <c r="Q335" s="1463"/>
      <c r="R335" s="1463"/>
      <c r="T335" s="218" t="s">
        <v>900</v>
      </c>
      <c r="V335" s="3"/>
      <c r="W335" s="3"/>
      <c r="X335" s="3"/>
      <c r="Y335" s="3"/>
      <c r="AA335" s="1492" t="s">
        <v>2751</v>
      </c>
      <c r="AB335" s="1463"/>
      <c r="AC335" s="1463"/>
      <c r="AD335" s="1463"/>
      <c r="AE335" s="1463"/>
      <c r="AF335" s="1463"/>
      <c r="AG335" s="1463"/>
      <c r="AH335" s="1463"/>
      <c r="AI335" s="1463"/>
      <c r="AJ335" s="1463"/>
      <c r="AK335" s="1463"/>
    </row>
    <row r="336" spans="2:66" ht="12.95" customHeight="1">
      <c r="B336" s="3" t="s">
        <v>480</v>
      </c>
      <c r="C336" s="3"/>
      <c r="D336" s="3"/>
      <c r="E336" s="3"/>
      <c r="F336" s="3"/>
      <c r="H336" s="1464" t="s">
        <v>2720</v>
      </c>
      <c r="I336" s="1464"/>
      <c r="J336" s="1464"/>
      <c r="K336" s="1464"/>
      <c r="L336" s="1464"/>
      <c r="M336" s="1464"/>
      <c r="N336" s="1464"/>
      <c r="O336" s="1464"/>
      <c r="P336" s="1464"/>
      <c r="Q336" s="1464"/>
      <c r="R336" s="1464"/>
      <c r="T336" s="3" t="s">
        <v>480</v>
      </c>
      <c r="V336" s="3"/>
      <c r="W336" s="3"/>
      <c r="X336" s="3"/>
      <c r="Y336" s="3"/>
      <c r="AA336" s="1495" t="s">
        <v>2752</v>
      </c>
      <c r="AB336" s="1464"/>
      <c r="AC336" s="1464"/>
      <c r="AD336" s="1464"/>
      <c r="AE336" s="1464"/>
      <c r="AF336" s="1464"/>
      <c r="AG336" s="1464"/>
      <c r="AH336" s="1464"/>
      <c r="AI336" s="1464"/>
      <c r="AJ336" s="1464"/>
      <c r="AK336" s="1464"/>
    </row>
    <row r="337" spans="1:66" ht="12.95" customHeight="1">
      <c r="B337" s="3" t="s">
        <v>75</v>
      </c>
      <c r="C337" s="3"/>
      <c r="D337" s="3"/>
      <c r="E337" s="3"/>
      <c r="F337" s="3"/>
      <c r="H337" s="1464" t="s">
        <v>2721</v>
      </c>
      <c r="I337" s="1464"/>
      <c r="J337" s="1464"/>
      <c r="K337" s="1464"/>
      <c r="L337" s="1464"/>
      <c r="M337" s="1464"/>
      <c r="N337" s="1464"/>
      <c r="O337" s="1464"/>
      <c r="P337" s="1464"/>
      <c r="Q337" s="1464"/>
      <c r="R337" s="1464"/>
      <c r="T337" s="3" t="s">
        <v>75</v>
      </c>
      <c r="V337" s="3"/>
      <c r="W337" s="3"/>
      <c r="X337" s="3"/>
      <c r="Y337" s="3"/>
      <c r="AA337" s="1495" t="s">
        <v>2753</v>
      </c>
      <c r="AB337" s="1464"/>
      <c r="AC337" s="1464"/>
      <c r="AD337" s="1464"/>
      <c r="AE337" s="1464"/>
      <c r="AF337" s="1464"/>
      <c r="AG337" s="1464"/>
      <c r="AH337" s="1464"/>
      <c r="AI337" s="1464"/>
      <c r="AJ337" s="1464"/>
      <c r="AK337" s="1464"/>
    </row>
    <row r="338" spans="1:66" ht="12.95" customHeight="1">
      <c r="B338" s="3" t="s">
        <v>87</v>
      </c>
      <c r="C338" s="3"/>
      <c r="D338" s="3"/>
      <c r="E338" s="3"/>
      <c r="F338" s="3"/>
      <c r="G338" s="3"/>
      <c r="H338" s="1464" t="s">
        <v>2718</v>
      </c>
      <c r="I338" s="1464"/>
      <c r="J338" s="1464"/>
      <c r="K338" s="1464"/>
      <c r="L338" s="1464"/>
      <c r="M338" s="1464"/>
      <c r="N338" s="1464"/>
      <c r="O338" s="1464"/>
      <c r="P338" s="1464"/>
      <c r="Q338" s="1464"/>
      <c r="R338" s="1464"/>
      <c r="T338" s="3" t="s">
        <v>87</v>
      </c>
      <c r="V338" s="3"/>
      <c r="W338" s="3"/>
      <c r="X338" s="3"/>
      <c r="Y338" s="3"/>
      <c r="AA338" s="1495" t="s">
        <v>2754</v>
      </c>
      <c r="AB338" s="1464"/>
      <c r="AC338" s="1464"/>
      <c r="AD338" s="1464"/>
      <c r="AE338" s="1464"/>
      <c r="AF338" s="1464"/>
      <c r="AG338" s="1464"/>
      <c r="AH338" s="1464"/>
      <c r="AI338" s="1464"/>
      <c r="AJ338" s="1464"/>
      <c r="AK338" s="1464"/>
    </row>
    <row r="339" spans="1:66" ht="12.95" customHeight="1">
      <c r="B339" s="3" t="s">
        <v>88</v>
      </c>
      <c r="C339" s="3"/>
      <c r="D339" s="3"/>
      <c r="E339" s="3"/>
      <c r="F339" s="3"/>
      <c r="G339" s="3"/>
      <c r="H339" s="1502" t="s">
        <v>2722</v>
      </c>
      <c r="I339" s="1503"/>
      <c r="J339" s="1503"/>
      <c r="K339" s="1503"/>
      <c r="L339" s="1503"/>
      <c r="M339" s="1503"/>
      <c r="N339" s="4" t="s">
        <v>207</v>
      </c>
      <c r="O339" s="4"/>
      <c r="P339" s="1501"/>
      <c r="Q339" s="1501"/>
      <c r="R339" s="1501"/>
      <c r="S339" s="3"/>
      <c r="T339" s="3" t="s">
        <v>88</v>
      </c>
      <c r="V339" s="3"/>
      <c r="W339" s="3"/>
      <c r="X339" s="3"/>
      <c r="Y339" s="3"/>
      <c r="AA339" s="1502" t="s">
        <v>2755</v>
      </c>
      <c r="AB339" s="1503"/>
      <c r="AC339" s="1503"/>
      <c r="AD339" s="1503"/>
      <c r="AE339" s="1503"/>
      <c r="AF339" s="1503"/>
      <c r="AG339" s="4" t="s">
        <v>207</v>
      </c>
      <c r="AH339" s="4"/>
      <c r="AI339" s="1501"/>
      <c r="AJ339" s="1501"/>
      <c r="AK339" s="1501"/>
    </row>
    <row r="340" spans="1:66" ht="12.95" customHeight="1">
      <c r="B340" s="3" t="s">
        <v>89</v>
      </c>
      <c r="C340" s="3"/>
      <c r="D340" s="3"/>
      <c r="E340" s="3"/>
      <c r="F340" s="3"/>
      <c r="G340" s="3"/>
      <c r="H340" s="1494"/>
      <c r="I340" s="1494"/>
      <c r="J340" s="1494"/>
      <c r="K340" s="1494"/>
      <c r="L340" s="1494"/>
      <c r="M340" s="1494"/>
      <c r="N340" s="4"/>
      <c r="O340" s="4"/>
      <c r="P340" s="35"/>
      <c r="Q340" s="35"/>
      <c r="R340" s="35"/>
      <c r="S340" s="3"/>
      <c r="T340" s="3" t="s">
        <v>89</v>
      </c>
      <c r="V340" s="3"/>
      <c r="W340" s="3"/>
      <c r="X340" s="3"/>
      <c r="Y340" s="3"/>
      <c r="AA340" s="1494"/>
      <c r="AB340" s="1494"/>
      <c r="AC340" s="1494"/>
      <c r="AD340" s="1494"/>
      <c r="AE340" s="1494"/>
      <c r="AF340" s="1494"/>
      <c r="AG340" s="4"/>
      <c r="AH340" s="4"/>
      <c r="AI340" s="35"/>
      <c r="AJ340" s="35"/>
      <c r="AK340" s="35"/>
    </row>
    <row r="341" spans="1:66" ht="12.95" customHeight="1">
      <c r="B341" s="3" t="s">
        <v>76</v>
      </c>
      <c r="C341" s="3"/>
      <c r="D341" s="3"/>
      <c r="E341" s="3"/>
      <c r="F341" s="3"/>
      <c r="G341" s="3"/>
      <c r="H341" s="1464" t="s">
        <v>2719</v>
      </c>
      <c r="I341" s="1464"/>
      <c r="J341" s="1464"/>
      <c r="K341" s="1464"/>
      <c r="L341" s="1464"/>
      <c r="M341" s="1464"/>
      <c r="N341" s="1463"/>
      <c r="O341" s="1463"/>
      <c r="P341" s="1463"/>
      <c r="Q341" s="1463"/>
      <c r="R341" s="1463"/>
      <c r="S341" s="3"/>
      <c r="T341" s="3" t="s">
        <v>76</v>
      </c>
      <c r="V341" s="3"/>
      <c r="W341" s="3"/>
      <c r="X341" s="3"/>
      <c r="Y341" s="3"/>
      <c r="AA341" s="1495" t="s">
        <v>2756</v>
      </c>
      <c r="AB341" s="1464"/>
      <c r="AC341" s="1464"/>
      <c r="AD341" s="1464"/>
      <c r="AE341" s="1464"/>
      <c r="AF341" s="1464"/>
      <c r="AG341" s="1463"/>
      <c r="AH341" s="1463"/>
      <c r="AI341" s="1463"/>
      <c r="AJ341" s="1463"/>
      <c r="AK341" s="146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63"/>
      <c r="Q343" s="1463"/>
      <c r="R343" s="1463"/>
      <c r="S343" s="1463"/>
      <c r="T343" s="1463"/>
      <c r="U343" s="1463"/>
      <c r="V343" s="1463"/>
      <c r="W343" s="1463"/>
      <c r="X343" s="1463"/>
      <c r="Y343" s="1463"/>
      <c r="Z343" s="1463"/>
      <c r="AA343" s="1463"/>
      <c r="AB343" s="1463"/>
      <c r="AC343" s="1463"/>
      <c r="AD343" s="1463"/>
      <c r="AE343" s="1463"/>
      <c r="BN343" t="s">
        <v>678</v>
      </c>
    </row>
    <row r="344" spans="1:66" ht="12.95" customHeight="1">
      <c r="B344" s="4"/>
      <c r="C344" s="4"/>
      <c r="D344" s="4"/>
      <c r="E344" s="4"/>
      <c r="F344" s="4"/>
      <c r="I344" s="4" t="s">
        <v>480</v>
      </c>
      <c r="P344" s="1464"/>
      <c r="Q344" s="1464"/>
      <c r="R344" s="1464"/>
      <c r="S344" s="1464"/>
      <c r="T344" s="1464"/>
      <c r="U344" s="1464"/>
      <c r="V344" s="1464"/>
      <c r="W344" s="1464"/>
      <c r="X344" s="1464"/>
      <c r="Y344" s="1464"/>
      <c r="Z344" s="1464"/>
      <c r="AA344" s="1464"/>
      <c r="AB344" s="1464"/>
      <c r="AC344" s="1464"/>
      <c r="AD344" s="1464"/>
      <c r="AE344" s="1464"/>
      <c r="BN344" t="s">
        <v>554</v>
      </c>
    </row>
    <row r="345" spans="1:66" ht="12.95" customHeight="1">
      <c r="B345" s="4"/>
      <c r="C345" s="4"/>
      <c r="D345" s="4"/>
      <c r="E345" s="4"/>
      <c r="F345" s="4"/>
      <c r="I345" s="4" t="s">
        <v>75</v>
      </c>
      <c r="P345" s="1464"/>
      <c r="Q345" s="1464"/>
      <c r="R345" s="1464"/>
      <c r="S345" s="1464"/>
      <c r="T345" s="1464"/>
      <c r="U345" s="1464"/>
      <c r="V345" s="1464"/>
      <c r="W345" s="1464"/>
      <c r="X345" s="1464"/>
      <c r="Y345" s="1464"/>
      <c r="Z345" s="1464"/>
      <c r="AA345" s="1464"/>
      <c r="AB345" s="1464"/>
      <c r="AC345" s="1464"/>
      <c r="AD345" s="1464"/>
      <c r="AE345" s="1464"/>
    </row>
    <row r="346" spans="1:66" ht="12.95" customHeight="1">
      <c r="B346" s="4"/>
      <c r="C346" s="4"/>
      <c r="D346" s="4"/>
      <c r="E346" s="4"/>
      <c r="F346" s="4"/>
      <c r="G346" s="4"/>
      <c r="I346" s="4" t="s">
        <v>87</v>
      </c>
      <c r="P346" s="1464"/>
      <c r="Q346" s="1464"/>
      <c r="R346" s="1464"/>
      <c r="S346" s="1464"/>
      <c r="T346" s="1464"/>
      <c r="U346" s="1464"/>
      <c r="V346" s="1464"/>
      <c r="W346" s="1464"/>
      <c r="X346" s="1464"/>
      <c r="Y346" s="1464"/>
      <c r="Z346" s="1464"/>
      <c r="AA346" s="1464"/>
      <c r="AB346" s="1464"/>
      <c r="AC346" s="1464"/>
      <c r="AD346" s="1464"/>
      <c r="AE346" s="1464"/>
    </row>
    <row r="347" spans="1:66" ht="12.95" customHeight="1">
      <c r="B347" s="4"/>
      <c r="C347" s="4"/>
      <c r="D347" s="4"/>
      <c r="E347" s="4"/>
      <c r="F347" s="4"/>
      <c r="G347" s="4"/>
      <c r="H347" s="324"/>
      <c r="I347" s="4" t="s">
        <v>88</v>
      </c>
      <c r="P347" s="1494"/>
      <c r="Q347" s="1494"/>
      <c r="R347" s="1494"/>
      <c r="S347" s="1494"/>
      <c r="T347" s="1494"/>
      <c r="U347" s="1494"/>
      <c r="V347" s="1494"/>
      <c r="W347" s="1494"/>
      <c r="X347" s="1494"/>
      <c r="Y347" s="1494"/>
      <c r="Z347" s="1494"/>
      <c r="AA347" s="4" t="s">
        <v>207</v>
      </c>
      <c r="AB347" s="4"/>
      <c r="AC347" s="1496"/>
      <c r="AD347" s="1496"/>
      <c r="AE347" s="1496"/>
      <c r="AF347" s="324"/>
      <c r="AG347" s="4"/>
      <c r="AH347" s="4"/>
      <c r="AI347" s="4"/>
      <c r="AJ347" s="4"/>
      <c r="AK347" s="4"/>
    </row>
    <row r="348" spans="1:66" ht="12.95" customHeight="1">
      <c r="B348" s="4"/>
      <c r="C348" s="4"/>
      <c r="D348" s="4"/>
      <c r="E348" s="4"/>
      <c r="F348" s="4"/>
      <c r="G348" s="4"/>
      <c r="H348" s="324"/>
      <c r="I348" s="4" t="s">
        <v>89</v>
      </c>
      <c r="P348" s="1494"/>
      <c r="Q348" s="1494"/>
      <c r="R348" s="1494"/>
      <c r="S348" s="1494"/>
      <c r="T348" s="1494"/>
      <c r="U348" s="1494"/>
      <c r="V348" s="1494"/>
      <c r="W348" s="1494"/>
      <c r="X348" s="1494"/>
      <c r="Y348" s="1494"/>
      <c r="Z348" s="1494"/>
      <c r="AF348" s="324"/>
      <c r="AG348" s="4"/>
      <c r="AH348" s="4"/>
      <c r="AI348" s="35"/>
      <c r="AJ348" s="35"/>
      <c r="AK348" s="35"/>
    </row>
    <row r="349" spans="1:66" ht="12.95" customHeight="1">
      <c r="B349" s="4"/>
      <c r="C349" s="4"/>
      <c r="D349" s="4"/>
      <c r="E349" s="4"/>
      <c r="F349" s="4"/>
      <c r="G349" s="4"/>
      <c r="I349" s="4" t="s">
        <v>76</v>
      </c>
      <c r="P349" s="1463"/>
      <c r="Q349" s="1463"/>
      <c r="R349" s="1463"/>
      <c r="S349" s="1463"/>
      <c r="T349" s="1463"/>
      <c r="U349" s="1463"/>
      <c r="V349" s="1463"/>
      <c r="W349" s="1463"/>
      <c r="X349" s="1463"/>
      <c r="Y349" s="1463"/>
      <c r="Z349" s="1463"/>
      <c r="AA349" s="1463"/>
      <c r="AB349" s="1463"/>
      <c r="AC349" s="1463"/>
      <c r="AD349" s="1463"/>
      <c r="AE349" s="1463"/>
    </row>
    <row r="350" spans="1:66" ht="12.95" customHeight="1">
      <c r="T350" s="8"/>
      <c r="U350" s="8"/>
      <c r="V350" s="8"/>
      <c r="W350" s="8"/>
      <c r="X350" s="8"/>
      <c r="Y350" s="8"/>
      <c r="Z350" s="8"/>
      <c r="AU350" s="95"/>
      <c r="AV350" s="95"/>
      <c r="AW350" s="95"/>
      <c r="AX350" s="95"/>
      <c r="AY350" s="95"/>
    </row>
    <row r="351" spans="1:66" ht="12.95" customHeight="1">
      <c r="A351" s="1539" t="s">
        <v>551</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40" t="s">
        <v>554</v>
      </c>
      <c r="N355" s="1440"/>
      <c r="P355" t="s">
        <v>1764</v>
      </c>
      <c r="AJ355" s="1440" t="s">
        <v>678</v>
      </c>
      <c r="AK355" s="1440"/>
    </row>
    <row r="356" spans="1:46" ht="12.95" customHeight="1">
      <c r="D356" s="3" t="s">
        <v>1753</v>
      </c>
      <c r="M356" s="1440" t="s">
        <v>600</v>
      </c>
      <c r="N356" s="1440"/>
      <c r="P356" s="3" t="s">
        <v>1910</v>
      </c>
      <c r="AJ356" s="1479"/>
      <c r="AK356" s="1479"/>
    </row>
    <row r="357" spans="1:46" ht="12.95" customHeight="1">
      <c r="D357" s="3" t="s">
        <v>714</v>
      </c>
      <c r="M357" s="1440" t="s">
        <v>600</v>
      </c>
      <c r="N357" s="1440"/>
      <c r="P357" t="s">
        <v>1763</v>
      </c>
      <c r="AJ357" s="1440" t="s">
        <v>600</v>
      </c>
      <c r="AK357" s="1440"/>
    </row>
    <row r="358" spans="1:46" ht="12.95" customHeight="1">
      <c r="D358" s="3" t="s">
        <v>715</v>
      </c>
      <c r="M358" s="1440" t="s">
        <v>600</v>
      </c>
      <c r="N358" s="144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0" t="s">
        <v>600</v>
      </c>
      <c r="O363" s="1440"/>
      <c r="P363" s="40"/>
      <c r="Q363" s="40"/>
      <c r="R363" s="40"/>
      <c r="S363" s="40"/>
      <c r="T363" s="40"/>
      <c r="U363" s="40"/>
      <c r="V363" s="40"/>
      <c r="W363" s="40"/>
      <c r="X363" s="40"/>
      <c r="Y363" s="40"/>
      <c r="Z363" s="40"/>
      <c r="AC363" s="40"/>
      <c r="AD363" s="40"/>
      <c r="AE363" s="40"/>
    </row>
    <row r="364" spans="1:46" ht="12.95" customHeight="1">
      <c r="E364" t="s">
        <v>371</v>
      </c>
      <c r="Y364" s="1440" t="s">
        <v>600</v>
      </c>
      <c r="Z364" s="1440"/>
    </row>
    <row r="365" spans="1:46" ht="12.95" customHeight="1">
      <c r="D365" s="4" t="s">
        <v>998</v>
      </c>
      <c r="Q365" s="1463"/>
      <c r="R365" s="1463"/>
      <c r="S365" s="1463"/>
      <c r="T365" s="1463"/>
      <c r="U365" s="1463"/>
      <c r="V365" s="1463"/>
      <c r="W365" s="1463"/>
      <c r="X365" s="1463"/>
      <c r="Y365" s="1463"/>
      <c r="Z365" s="1463"/>
      <c r="AA365" s="1463"/>
      <c r="AB365" s="1463"/>
      <c r="AC365" s="1463"/>
      <c r="AD365" s="1463"/>
      <c r="AE365" s="1463"/>
      <c r="AF365" s="1463"/>
      <c r="AG365" s="146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0" t="s">
        <v>600</v>
      </c>
      <c r="K367" s="1440"/>
      <c r="L367" s="40"/>
      <c r="M367" s="40"/>
      <c r="N367" s="40"/>
      <c r="O367" s="40"/>
      <c r="P367" s="40"/>
      <c r="Q367" s="40"/>
      <c r="R367" s="40"/>
      <c r="S367" s="40"/>
      <c r="T367" s="40"/>
      <c r="U367" s="40"/>
      <c r="V367" s="40"/>
      <c r="W367" s="40"/>
      <c r="X367" s="40"/>
      <c r="Y367" s="40"/>
      <c r="Z367" s="40"/>
      <c r="AC367" s="40"/>
      <c r="AD367" s="40"/>
      <c r="AE367" s="40"/>
    </row>
    <row r="368" spans="1:46" ht="12.95" customHeight="1">
      <c r="E368" s="1565" t="s">
        <v>716</v>
      </c>
      <c r="F368" s="1565"/>
      <c r="G368" s="1565"/>
      <c r="H368" s="1565"/>
      <c r="I368" s="1565"/>
      <c r="J368" s="1565"/>
      <c r="K368" s="1565"/>
      <c r="L368" s="1565"/>
      <c r="M368" s="1565"/>
      <c r="N368" s="1565"/>
      <c r="O368" s="1565"/>
      <c r="P368" s="1565"/>
      <c r="Q368" s="1565"/>
      <c r="R368" s="1565"/>
      <c r="S368" s="1565"/>
      <c r="T368" s="1565"/>
      <c r="U368" s="1565"/>
      <c r="V368" s="1565"/>
      <c r="W368" s="1565"/>
      <c r="X368" s="1565"/>
      <c r="Y368" s="1565"/>
      <c r="Z368" s="1565"/>
      <c r="AA368" s="1565"/>
      <c r="AB368" s="1565"/>
      <c r="AC368" s="1565"/>
      <c r="AD368" s="1565"/>
      <c r="AE368" s="1565"/>
      <c r="AF368" s="1565"/>
      <c r="AG368" s="1565"/>
      <c r="AH368" s="1565"/>
    </row>
    <row r="369" spans="1:34" ht="12.95" customHeight="1">
      <c r="E369" s="1565"/>
      <c r="F369" s="1565"/>
      <c r="G369" s="1565"/>
      <c r="H369" s="1565"/>
      <c r="I369" s="1565"/>
      <c r="J369" s="1565"/>
      <c r="K369" s="1565"/>
      <c r="L369" s="1565"/>
      <c r="M369" s="1565"/>
      <c r="N369" s="1565"/>
      <c r="O369" s="1565"/>
      <c r="P369" s="1565"/>
      <c r="Q369" s="1565"/>
      <c r="R369" s="1565"/>
      <c r="S369" s="1565"/>
      <c r="T369" s="1565"/>
      <c r="U369" s="1565"/>
      <c r="V369" s="1565"/>
      <c r="W369" s="1565"/>
      <c r="X369" s="1565"/>
      <c r="Y369" s="1565"/>
      <c r="Z369" s="1565"/>
      <c r="AA369" s="1565"/>
      <c r="AB369" s="1565"/>
      <c r="AC369" s="1565"/>
      <c r="AD369" s="1565"/>
      <c r="AE369" s="1565"/>
      <c r="AF369" s="1565"/>
      <c r="AG369" s="1565"/>
      <c r="AH369" s="1565"/>
    </row>
    <row r="370" spans="1:34" ht="12.95" customHeight="1">
      <c r="E370" s="4" t="s">
        <v>457</v>
      </c>
      <c r="F370" s="4"/>
      <c r="G370" s="4"/>
      <c r="H370" s="4"/>
      <c r="I370" s="4"/>
      <c r="J370" s="4"/>
      <c r="K370" s="4"/>
      <c r="L370" s="4"/>
      <c r="N370" s="1432"/>
      <c r="O370" s="1432"/>
      <c r="P370" s="1432"/>
      <c r="Q370" s="1432"/>
      <c r="R370" s="4"/>
      <c r="U370" s="4" t="s">
        <v>458</v>
      </c>
      <c r="V370" s="4"/>
      <c r="W370" s="4"/>
      <c r="X370" s="4"/>
      <c r="Y370" s="4"/>
      <c r="Z370" s="4"/>
      <c r="AA370" s="4"/>
      <c r="AB370" s="4"/>
      <c r="AC370" s="1432"/>
      <c r="AD370" s="1432"/>
      <c r="AE370" s="1432"/>
      <c r="AF370" s="1432"/>
    </row>
    <row r="371" spans="1:34" ht="12.95" customHeight="1">
      <c r="E371" s="4" t="s">
        <v>459</v>
      </c>
      <c r="F371" s="4"/>
      <c r="G371" s="4"/>
      <c r="H371" s="4"/>
      <c r="I371" s="4"/>
      <c r="J371" s="4"/>
      <c r="K371" s="4"/>
      <c r="L371" s="4"/>
      <c r="N371" s="1432"/>
      <c r="O371" s="1432"/>
      <c r="P371" s="1432"/>
      <c r="Q371" s="1432"/>
      <c r="R371" s="4"/>
      <c r="U371" s="4" t="s">
        <v>0</v>
      </c>
      <c r="V371" s="4"/>
      <c r="W371" s="4"/>
      <c r="X371" s="4"/>
      <c r="Y371" s="4"/>
      <c r="Z371" s="4"/>
      <c r="AA371" s="4"/>
      <c r="AB371" s="4"/>
      <c r="AC371" s="1432"/>
      <c r="AD371" s="1432"/>
      <c r="AE371" s="1432"/>
      <c r="AF371" s="1432"/>
    </row>
    <row r="372" spans="1:34" ht="12.95" customHeight="1">
      <c r="E372" s="4" t="s">
        <v>1</v>
      </c>
      <c r="F372" s="4"/>
      <c r="G372" s="4"/>
      <c r="H372" s="4"/>
      <c r="I372" s="4"/>
      <c r="J372" s="4"/>
      <c r="K372" s="4"/>
      <c r="L372" s="4"/>
      <c r="N372" s="1432"/>
      <c r="O372" s="1432"/>
      <c r="P372" s="1432"/>
      <c r="Q372" s="1432"/>
      <c r="R372" s="4"/>
      <c r="V372" s="4"/>
      <c r="W372" s="4"/>
      <c r="X372" s="4"/>
      <c r="Y372" s="4"/>
      <c r="Z372" s="4"/>
      <c r="AA372" s="4"/>
      <c r="AB372" s="4"/>
    </row>
    <row r="373" spans="1:34" ht="12.95"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73"/>
      <c r="T377" s="1473"/>
      <c r="U377" s="1" t="s">
        <v>307</v>
      </c>
      <c r="V377" s="1473"/>
      <c r="W377" s="1473"/>
      <c r="Y377" t="s">
        <v>2397</v>
      </c>
      <c r="AC377" s="27" t="s">
        <v>306</v>
      </c>
      <c r="AD377" s="1473"/>
      <c r="AE377" s="1473"/>
      <c r="AF377" s="1" t="s">
        <v>307</v>
      </c>
      <c r="AG377" s="1473"/>
      <c r="AH377" s="1473"/>
    </row>
    <row r="378" spans="1:34" ht="12.95" customHeight="1">
      <c r="E378" s="4" t="s">
        <v>1012</v>
      </c>
      <c r="F378" s="4"/>
      <c r="G378" s="4"/>
      <c r="H378" s="4"/>
      <c r="I378" s="4"/>
      <c r="J378" s="4"/>
      <c r="K378" s="4"/>
      <c r="L378" s="4"/>
      <c r="N378" s="1473"/>
      <c r="O378" s="1473"/>
      <c r="P378" s="1473"/>
    </row>
    <row r="379" spans="1:34" ht="12.95" customHeight="1">
      <c r="E379" s="218" t="s">
        <v>2403</v>
      </c>
      <c r="F379" s="4"/>
      <c r="G379" s="4"/>
      <c r="H379" s="4"/>
      <c r="I379" s="4"/>
      <c r="J379" s="4"/>
      <c r="K379" s="4"/>
      <c r="L379" s="4"/>
      <c r="AG379" s="1471" t="s">
        <v>600</v>
      </c>
      <c r="AH379" s="1471"/>
    </row>
    <row r="380" spans="1:34" ht="12.95" customHeight="1">
      <c r="E380" s="4"/>
      <c r="F380" s="4"/>
      <c r="G380" s="4" t="s">
        <v>2404</v>
      </c>
      <c r="H380" s="4"/>
      <c r="I380" s="4"/>
      <c r="J380" s="4"/>
      <c r="K380" s="4"/>
      <c r="L380" s="4"/>
      <c r="AG380" s="1471" t="s">
        <v>600</v>
      </c>
      <c r="AH380" s="1471"/>
    </row>
    <row r="381" spans="1:34" ht="12.95" customHeight="1">
      <c r="E381" s="4"/>
      <c r="F381" s="4"/>
      <c r="G381" s="348" t="s">
        <v>1013</v>
      </c>
      <c r="H381" s="4"/>
      <c r="I381" s="4"/>
      <c r="J381" s="4"/>
      <c r="K381" s="4"/>
      <c r="L381" s="4"/>
      <c r="V381" s="1440" t="s">
        <v>600</v>
      </c>
      <c r="W381" s="1440"/>
      <c r="Y381" s="22" t="s">
        <v>1000</v>
      </c>
    </row>
    <row r="382" spans="1:34" ht="12.95" customHeight="1">
      <c r="E382" s="4" t="s">
        <v>1001</v>
      </c>
      <c r="F382" s="4"/>
      <c r="G382" s="4"/>
      <c r="H382" s="4"/>
      <c r="I382" s="4"/>
      <c r="J382" s="4"/>
      <c r="K382" s="4"/>
      <c r="L382" s="4"/>
      <c r="V382" s="1440" t="s">
        <v>600</v>
      </c>
      <c r="W382" s="1440"/>
      <c r="Y382" s="4" t="s">
        <v>1002</v>
      </c>
    </row>
    <row r="383" spans="1:34" ht="12.95" customHeight="1"/>
    <row r="384" spans="1:34" ht="12.95" customHeight="1">
      <c r="A384" s="2" t="s">
        <v>78</v>
      </c>
      <c r="B384" s="2"/>
    </row>
    <row r="385" spans="4:36" ht="12.95" customHeight="1">
      <c r="D385" t="s">
        <v>429</v>
      </c>
      <c r="J385" s="1463" t="s">
        <v>2723</v>
      </c>
      <c r="K385" s="1463"/>
      <c r="L385" s="1463"/>
      <c r="M385" s="1463"/>
      <c r="N385" s="1463"/>
      <c r="O385" s="1463"/>
      <c r="P385" s="1463"/>
      <c r="Q385" s="1463"/>
      <c r="R385" s="1463"/>
      <c r="S385" s="1463"/>
      <c r="T385" s="1463"/>
      <c r="U385" s="1463"/>
      <c r="V385" s="8" t="s">
        <v>83</v>
      </c>
      <c r="W385" s="8"/>
      <c r="X385" s="8"/>
      <c r="Y385" s="8"/>
      <c r="Z385" s="8"/>
      <c r="AA385" s="8"/>
      <c r="AB385" s="8"/>
      <c r="AC385" s="1463" t="s">
        <v>2724</v>
      </c>
      <c r="AD385" s="1463"/>
      <c r="AE385" s="1463"/>
      <c r="AF385" s="1463"/>
      <c r="AG385" s="1463"/>
      <c r="AH385" s="1463"/>
      <c r="AI385" s="1463"/>
      <c r="AJ385" s="1463"/>
    </row>
    <row r="386" spans="4:36" ht="12.95" customHeight="1">
      <c r="D386" s="3" t="s">
        <v>1289</v>
      </c>
      <c r="J386" s="1464" t="s">
        <v>2728</v>
      </c>
      <c r="K386" s="1464"/>
      <c r="L386" s="1464"/>
      <c r="M386" s="1464"/>
      <c r="N386" s="1464"/>
      <c r="O386" s="1464"/>
      <c r="P386" s="1464"/>
      <c r="Q386" s="1464"/>
      <c r="R386" s="1464"/>
      <c r="S386" s="1464"/>
      <c r="T386" s="1464"/>
      <c r="U386" s="1464"/>
      <c r="V386" s="3" t="s">
        <v>1289</v>
      </c>
      <c r="W386" s="8"/>
      <c r="X386" s="8"/>
      <c r="Y386" s="8"/>
      <c r="Z386" s="8"/>
      <c r="AA386" s="8"/>
      <c r="AB386" s="8"/>
      <c r="AC386" s="1463" t="s">
        <v>2725</v>
      </c>
      <c r="AD386" s="1463"/>
      <c r="AE386" s="1463"/>
      <c r="AF386" s="1463"/>
      <c r="AG386" s="1463"/>
      <c r="AH386" s="1463"/>
      <c r="AI386" s="1463"/>
      <c r="AJ386" s="1463"/>
    </row>
    <row r="387" spans="4:36" ht="12.95" customHeight="1">
      <c r="D387" s="3" t="s">
        <v>444</v>
      </c>
      <c r="J387" s="1464" t="s">
        <v>2726</v>
      </c>
      <c r="K387" s="1464"/>
      <c r="L387" s="1464"/>
      <c r="M387" s="1464"/>
      <c r="N387" s="1464"/>
      <c r="O387" s="1464"/>
      <c r="P387" s="1464"/>
      <c r="Q387" s="1464"/>
      <c r="R387" s="1464"/>
      <c r="S387" s="1464"/>
      <c r="T387" s="1464"/>
      <c r="U387" s="1464"/>
      <c r="V387" s="3" t="s">
        <v>444</v>
      </c>
      <c r="W387" s="8"/>
      <c r="X387" s="8"/>
      <c r="Y387" s="8"/>
      <c r="Z387" s="8"/>
      <c r="AA387" s="8"/>
      <c r="AB387" s="8"/>
      <c r="AC387" s="1463" t="s">
        <v>2726</v>
      </c>
      <c r="AD387" s="1463"/>
      <c r="AE387" s="1463"/>
      <c r="AF387" s="1463"/>
      <c r="AG387" s="1463"/>
      <c r="AH387" s="1463"/>
      <c r="AI387" s="1463"/>
      <c r="AJ387" s="1463"/>
    </row>
    <row r="388" spans="4:36" ht="12.95" customHeight="1">
      <c r="D388" t="s">
        <v>1285</v>
      </c>
      <c r="J388" s="1421" t="s">
        <v>2729</v>
      </c>
      <c r="K388" s="1421"/>
      <c r="L388" s="1421"/>
      <c r="M388" s="1421"/>
      <c r="N388" s="1421"/>
      <c r="O388" s="1421"/>
      <c r="P388" s="1421"/>
      <c r="Q388" s="1421"/>
      <c r="R388" s="1421"/>
      <c r="S388" s="1421"/>
      <c r="T388" s="1421"/>
      <c r="U388" s="1421"/>
      <c r="V388" s="1463"/>
      <c r="W388" s="1463"/>
      <c r="X388" s="1463"/>
      <c r="Y388" s="1463"/>
      <c r="Z388" s="1463"/>
      <c r="AA388" s="1463"/>
      <c r="AB388" s="1463"/>
      <c r="AC388" s="1463"/>
      <c r="AD388" s="1463"/>
      <c r="AE388" s="1463"/>
      <c r="AF388" s="1463"/>
      <c r="AG388" s="1463"/>
      <c r="AH388" s="1463"/>
      <c r="AI388" s="1463"/>
      <c r="AJ388" s="1463"/>
    </row>
    <row r="389" spans="4:36" ht="12.95" customHeight="1">
      <c r="D389" t="s">
        <v>4</v>
      </c>
      <c r="Q389" s="1752">
        <v>43899</v>
      </c>
      <c r="R389" s="1752"/>
      <c r="S389" s="1752"/>
      <c r="T389" s="1752"/>
      <c r="U389" s="1752"/>
      <c r="V389" t="s">
        <v>310</v>
      </c>
      <c r="AI389" s="1440" t="s">
        <v>678</v>
      </c>
      <c r="AJ389" s="1440"/>
    </row>
    <row r="390" spans="4:36" ht="12.95" customHeight="1">
      <c r="D390" t="s">
        <v>5</v>
      </c>
      <c r="Q390" s="1628"/>
      <c r="R390" s="1749"/>
      <c r="S390" s="1749"/>
      <c r="T390" s="1749"/>
      <c r="U390" s="1749"/>
      <c r="W390" s="21" t="s">
        <v>74</v>
      </c>
      <c r="AG390" s="1477"/>
      <c r="AH390" s="1477"/>
      <c r="AI390" s="1477"/>
      <c r="AJ390" s="1477"/>
    </row>
    <row r="391" spans="4:36" ht="12.95" customHeight="1">
      <c r="D391" t="s">
        <v>428</v>
      </c>
      <c r="Q391" s="1748">
        <v>4000000</v>
      </c>
      <c r="R391" s="1748"/>
      <c r="S391" s="1748"/>
      <c r="T391" s="1748"/>
      <c r="U391" s="1748"/>
      <c r="V391" s="3" t="s">
        <v>1288</v>
      </c>
      <c r="AG391" s="1498">
        <v>43908</v>
      </c>
      <c r="AH391" s="1498"/>
      <c r="AI391" s="1498"/>
      <c r="AJ391" s="1498"/>
    </row>
    <row r="392" spans="4:36" ht="12.95" customHeight="1">
      <c r="D392" t="s">
        <v>88</v>
      </c>
      <c r="I392" s="1502" t="s">
        <v>2730</v>
      </c>
      <c r="J392" s="1503"/>
      <c r="K392" s="1503"/>
      <c r="L392" s="1503"/>
      <c r="M392" s="1503"/>
      <c r="N392" s="1503"/>
      <c r="Q392" s="4" t="s">
        <v>207</v>
      </c>
      <c r="S392" s="1751"/>
      <c r="T392" s="1751"/>
      <c r="U392" s="1751"/>
      <c r="V392" t="s">
        <v>73</v>
      </c>
      <c r="AI392" s="1440" t="s">
        <v>678</v>
      </c>
      <c r="AJ392" s="1440"/>
    </row>
    <row r="393" spans="4:36" ht="12.95" customHeight="1">
      <c r="D393" t="s">
        <v>311</v>
      </c>
      <c r="Q393" s="1476">
        <v>52251</v>
      </c>
      <c r="R393" s="1476"/>
      <c r="S393" s="1476"/>
      <c r="T393" s="1476"/>
      <c r="U393" s="1476"/>
      <c r="V393" t="s">
        <v>312</v>
      </c>
      <c r="AG393" s="1477">
        <f>'Sources and Uses Budget'!C13</f>
        <v>2560288</v>
      </c>
      <c r="AH393" s="1477"/>
      <c r="AI393" s="1477"/>
      <c r="AJ393" s="1477"/>
    </row>
    <row r="394" spans="4:36" ht="12.95" customHeight="1">
      <c r="D394" t="s">
        <v>313</v>
      </c>
      <c r="Q394" s="1602"/>
      <c r="R394" s="1602"/>
      <c r="S394" s="1602"/>
      <c r="T394" s="1602"/>
      <c r="U394" s="1602"/>
      <c r="V394" t="s">
        <v>1269</v>
      </c>
      <c r="AG394" s="1477"/>
      <c r="AH394" s="1477"/>
      <c r="AI394" s="1477"/>
      <c r="AJ394" s="1477"/>
    </row>
    <row r="395" spans="4:36" ht="12.95" customHeight="1">
      <c r="D395" t="s">
        <v>1268</v>
      </c>
      <c r="AG395" s="1477"/>
      <c r="AH395" s="1477"/>
      <c r="AI395" s="1477"/>
      <c r="AJ395" s="1477"/>
    </row>
    <row r="396" spans="4:36" ht="12.95" customHeight="1">
      <c r="AG396" s="490"/>
      <c r="AH396" s="490"/>
      <c r="AI396" s="490"/>
      <c r="AJ396" s="490"/>
    </row>
    <row r="397" spans="4:36" ht="12.95" customHeight="1">
      <c r="D397" s="3" t="s">
        <v>2503</v>
      </c>
      <c r="AG397" s="490"/>
      <c r="AH397" s="490"/>
      <c r="AI397" s="1440" t="s">
        <v>678</v>
      </c>
      <c r="AJ397" s="1440"/>
    </row>
    <row r="398" spans="4:36" ht="12.95" customHeight="1">
      <c r="D398" s="3" t="s">
        <v>1782</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1781</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1775</v>
      </c>
      <c r="S401" s="1417" t="s">
        <v>678</v>
      </c>
      <c r="T401" s="1417"/>
      <c r="U401" s="1417"/>
      <c r="V401" t="s">
        <v>1776</v>
      </c>
      <c r="AG401" s="1589"/>
      <c r="AH401" s="1589"/>
      <c r="AI401" s="1589"/>
      <c r="AJ401" s="1589"/>
    </row>
    <row r="402" spans="1:36" ht="12.95" customHeight="1">
      <c r="D402" s="3" t="s">
        <v>1773</v>
      </c>
      <c r="S402" s="1417" t="s">
        <v>600</v>
      </c>
      <c r="T402" s="1417"/>
      <c r="U402" s="1417"/>
      <c r="V402" t="s">
        <v>1778</v>
      </c>
      <c r="AE402" s="1603"/>
      <c r="AF402" s="1603"/>
      <c r="AG402" s="1603"/>
      <c r="AH402" s="1603"/>
      <c r="AI402" s="1603"/>
      <c r="AJ402" s="1603"/>
    </row>
    <row r="403" spans="1:36" ht="12.95" customHeight="1">
      <c r="D403" s="3" t="s">
        <v>1774</v>
      </c>
      <c r="K403" s="1497"/>
      <c r="L403" s="1497"/>
      <c r="M403" s="1497"/>
      <c r="N403" s="1497"/>
      <c r="O403" s="1497"/>
      <c r="P403" s="1497"/>
      <c r="Q403" s="1497"/>
      <c r="R403" s="1497"/>
      <c r="S403" s="1497"/>
      <c r="T403" s="1497"/>
      <c r="U403" s="1497"/>
      <c r="V403" s="1497"/>
      <c r="W403" s="1497"/>
      <c r="X403" s="1497"/>
      <c r="Y403" s="1497"/>
      <c r="Z403" s="1497"/>
      <c r="AA403" s="1497"/>
      <c r="AB403" s="1497"/>
      <c r="AC403" s="1497"/>
      <c r="AD403" s="1497"/>
      <c r="AE403" s="1497"/>
      <c r="AF403" s="1497"/>
      <c r="AG403" s="1497"/>
      <c r="AH403" s="1497"/>
      <c r="AI403" s="1497"/>
      <c r="AJ403" s="1497"/>
    </row>
    <row r="404" spans="1:36" ht="12.95" customHeight="1">
      <c r="D404" s="3" t="s">
        <v>1777</v>
      </c>
      <c r="K404" s="1497"/>
      <c r="L404" s="1497"/>
      <c r="M404" s="1497"/>
      <c r="N404" s="1497"/>
      <c r="O404" s="1497"/>
      <c r="P404" s="1497"/>
      <c r="Q404" s="1497"/>
      <c r="R404" s="1497"/>
      <c r="S404" s="1497"/>
      <c r="T404" s="1497"/>
      <c r="U404" s="1497"/>
      <c r="V404" s="1497"/>
      <c r="W404" s="1497"/>
      <c r="X404" s="1497"/>
      <c r="Y404" s="1497"/>
      <c r="Z404" s="1497"/>
      <c r="AA404" s="1497"/>
      <c r="AB404" s="1497"/>
      <c r="AC404" s="1497"/>
      <c r="AD404" s="1497"/>
      <c r="AE404" s="1497"/>
      <c r="AF404" s="1497"/>
      <c r="AG404" s="1497"/>
      <c r="AH404" s="1497"/>
      <c r="AI404" s="1497"/>
      <c r="AJ404" s="1497"/>
    </row>
    <row r="405" spans="1:36" ht="12.95" customHeight="1">
      <c r="D405" s="3" t="s">
        <v>1780</v>
      </c>
      <c r="E405" s="511"/>
      <c r="F405" s="511"/>
      <c r="G405" s="511"/>
      <c r="H405" s="511"/>
      <c r="I405" s="511"/>
      <c r="J405" s="511"/>
      <c r="K405" s="511"/>
      <c r="L405" s="511"/>
      <c r="M405" s="511"/>
      <c r="N405" s="511"/>
      <c r="O405" s="511"/>
      <c r="P405" s="511"/>
      <c r="Q405" s="511"/>
      <c r="R405" s="511"/>
      <c r="S405" s="1747" t="s">
        <v>1291</v>
      </c>
      <c r="T405" s="1747"/>
      <c r="U405" s="1747"/>
      <c r="V405" s="1747"/>
      <c r="W405" s="1747"/>
      <c r="X405" s="1747"/>
      <c r="Y405" s="1747"/>
      <c r="Z405" s="1747"/>
      <c r="AA405" s="1747"/>
      <c r="AB405" s="1747"/>
      <c r="AC405" s="1747"/>
      <c r="AD405" s="1747"/>
      <c r="AE405" s="1747"/>
      <c r="AF405" s="1747"/>
      <c r="AG405" s="1747"/>
      <c r="AH405" s="1747"/>
      <c r="AI405" s="1747"/>
      <c r="AJ405" s="1747"/>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92" t="s">
        <v>2645</v>
      </c>
      <c r="J410" s="1492"/>
      <c r="K410" s="1492"/>
      <c r="L410" s="1492"/>
      <c r="M410" s="1492"/>
      <c r="N410" s="1492"/>
      <c r="O410" s="1492"/>
      <c r="P410" s="1492"/>
      <c r="Q410" s="1492"/>
      <c r="R410" s="1492"/>
      <c r="S410" s="1492"/>
      <c r="T410" s="1492"/>
      <c r="U410" s="1492"/>
      <c r="V410" s="1492"/>
      <c r="W410" s="1492"/>
      <c r="X410" s="1492"/>
      <c r="Y410" s="1492"/>
      <c r="Z410" s="1492"/>
      <c r="AA410" s="1492"/>
      <c r="AB410" s="1492"/>
      <c r="AC410" s="1492"/>
      <c r="AD410" s="1492"/>
      <c r="AE410" s="1492"/>
    </row>
    <row r="411" spans="1:36" ht="12.95" customHeight="1">
      <c r="E411" t="s">
        <v>106</v>
      </c>
      <c r="R411" s="1440" t="s">
        <v>554</v>
      </c>
      <c r="S411" s="1440"/>
      <c r="AC411" s="27" t="s">
        <v>579</v>
      </c>
      <c r="AD411" s="1432">
        <v>7</v>
      </c>
      <c r="AE411" s="1432"/>
    </row>
    <row r="412" spans="1:36" ht="12.95" customHeight="1">
      <c r="E412" t="s">
        <v>107</v>
      </c>
      <c r="R412" s="1440" t="s">
        <v>600</v>
      </c>
      <c r="S412" s="1440"/>
      <c r="AC412" s="27" t="s">
        <v>579</v>
      </c>
      <c r="AD412" s="1432"/>
      <c r="AE412" s="1432"/>
    </row>
    <row r="413" spans="1:36" ht="12.95" customHeight="1">
      <c r="E413" t="s">
        <v>108</v>
      </c>
      <c r="S413" s="1440" t="s">
        <v>600</v>
      </c>
      <c r="T413" s="1440"/>
    </row>
    <row r="414" spans="1:36" ht="12.95" customHeight="1">
      <c r="E414" t="s">
        <v>170</v>
      </c>
      <c r="H414" s="1448" t="s">
        <v>2646</v>
      </c>
      <c r="I414" s="1448"/>
      <c r="J414" s="1448"/>
      <c r="K414" s="1448"/>
      <c r="L414" s="1448"/>
      <c r="M414" s="1448"/>
      <c r="N414" s="1448"/>
      <c r="O414" s="1448"/>
      <c r="P414" s="1448"/>
      <c r="Q414" s="1448"/>
      <c r="R414" s="1448"/>
      <c r="S414" s="1448"/>
      <c r="T414" s="1448"/>
      <c r="U414" s="1448"/>
      <c r="V414" s="1448"/>
      <c r="W414" s="1448"/>
      <c r="X414" s="1448"/>
      <c r="Y414" s="1448"/>
      <c r="Z414" s="1448"/>
      <c r="AA414" s="1448"/>
      <c r="AB414" s="1448"/>
      <c r="AC414" s="1448"/>
      <c r="AD414" s="1448"/>
      <c r="AE414" s="1448"/>
    </row>
    <row r="415" spans="1:36" ht="12.95" customHeight="1">
      <c r="H415" s="1449"/>
      <c r="I415" s="1449"/>
      <c r="J415" s="1449"/>
      <c r="K415" s="1449"/>
      <c r="L415" s="1449"/>
      <c r="M415" s="1449"/>
      <c r="N415" s="1449"/>
      <c r="O415" s="1449"/>
      <c r="P415" s="1449"/>
      <c r="Q415" s="1449"/>
      <c r="R415" s="1449"/>
      <c r="S415" s="1449"/>
      <c r="T415" s="1449"/>
      <c r="U415" s="1449"/>
      <c r="V415" s="1449"/>
      <c r="W415" s="1449"/>
      <c r="X415" s="1449"/>
      <c r="Y415" s="1449"/>
      <c r="Z415" s="1449"/>
      <c r="AA415" s="1449"/>
      <c r="AB415" s="1449"/>
      <c r="AC415" s="1449"/>
      <c r="AD415" s="1449"/>
      <c r="AE415" s="1449"/>
    </row>
    <row r="416" spans="1:36" ht="12.95" customHeight="1"/>
    <row r="417" spans="1:39" ht="12.95" customHeight="1">
      <c r="A417" s="2" t="s">
        <v>599</v>
      </c>
      <c r="B417" s="2"/>
      <c r="C417" s="2"/>
      <c r="D417" s="2" t="s">
        <v>114</v>
      </c>
      <c r="AF417" s="2" t="s">
        <v>977</v>
      </c>
    </row>
    <row r="418" spans="1:39" ht="12.95" customHeight="1">
      <c r="E418" s="1473"/>
      <c r="F418" s="1473"/>
      <c r="G418" s="1473"/>
      <c r="H418" s="13" t="s">
        <v>115</v>
      </c>
      <c r="I418" s="1473"/>
      <c r="J418" s="1473"/>
      <c r="K418" s="1473"/>
      <c r="L418" t="s">
        <v>116</v>
      </c>
      <c r="N418" s="27" t="s">
        <v>584</v>
      </c>
      <c r="P418" s="1750">
        <v>0.36799999999999999</v>
      </c>
      <c r="Q418" s="1750"/>
      <c r="R418" s="1750"/>
      <c r="S418" t="s">
        <v>117</v>
      </c>
      <c r="W418" s="1490">
        <f>IF(E418&gt;0,(E418*I418),(P418*43560))</f>
        <v>16030.08</v>
      </c>
      <c r="X418" s="1490"/>
      <c r="Y418" s="1490"/>
      <c r="Z418" t="s">
        <v>118</v>
      </c>
      <c r="AF418" s="1831">
        <f>IFERROR(IF(P418&gt;0,(AG437/P418),(AG437/(W418/43560))),0)</f>
        <v>195.65217391304347</v>
      </c>
      <c r="AG418" s="1831"/>
      <c r="AH418" s="1831"/>
      <c r="AM418" s="3"/>
    </row>
    <row r="419" spans="1:39" ht="12.95" customHeight="1">
      <c r="E419" t="s">
        <v>51</v>
      </c>
    </row>
    <row r="420" spans="1:39" ht="12.95" customHeight="1">
      <c r="E420" s="1472"/>
      <c r="F420" s="1472"/>
      <c r="G420" s="1472"/>
      <c r="H420" s="1472"/>
      <c r="I420" s="1472"/>
      <c r="J420" s="1472"/>
      <c r="K420" s="1472"/>
      <c r="L420" s="1472"/>
      <c r="M420" s="1472"/>
      <c r="N420" s="1472"/>
      <c r="O420" s="1472"/>
      <c r="P420" s="1472"/>
      <c r="Q420" s="1472"/>
      <c r="R420" s="1472"/>
      <c r="S420" s="1472"/>
      <c r="T420" s="1472"/>
      <c r="U420" s="1472"/>
      <c r="V420" s="1472"/>
      <c r="W420" s="1472"/>
      <c r="X420" s="1472"/>
      <c r="Y420" s="1472"/>
      <c r="Z420" s="1472"/>
      <c r="AA420" s="1472"/>
      <c r="AB420" s="1472"/>
      <c r="AC420" s="1472"/>
      <c r="AD420" s="1472"/>
      <c r="AE420" s="1472"/>
      <c r="AF420" s="1472"/>
      <c r="AG420" s="1472"/>
      <c r="AH420" s="1472"/>
      <c r="AI420" s="1472"/>
      <c r="AJ420" s="1472"/>
    </row>
    <row r="421" spans="1:39" ht="12.95" customHeight="1">
      <c r="E421" s="118" t="s">
        <v>1927</v>
      </c>
      <c r="F421" s="1048"/>
      <c r="G421" s="1048"/>
      <c r="H421" s="1048"/>
      <c r="I421" s="1746">
        <f>P418</f>
        <v>0.36799999999999999</v>
      </c>
      <c r="J421" s="1746"/>
      <c r="K421" s="1746"/>
      <c r="L421" s="1048"/>
      <c r="M421" s="118"/>
      <c r="N421" s="1048"/>
      <c r="O421" s="1048"/>
      <c r="P421" s="1499">
        <f>(CS634+CS642+CS658)/I421</f>
        <v>198.36956521739131</v>
      </c>
      <c r="Q421" s="1499"/>
      <c r="R421" s="1499"/>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40">
        <v>1</v>
      </c>
      <c r="Q424" s="1440"/>
      <c r="S424" t="s">
        <v>190</v>
      </c>
      <c r="AE424" s="1440">
        <v>1</v>
      </c>
      <c r="AF424" s="1440"/>
    </row>
    <row r="425" spans="1:39" ht="12.95" customHeight="1">
      <c r="E425" t="s">
        <v>191</v>
      </c>
      <c r="P425" s="1440">
        <v>0</v>
      </c>
      <c r="Q425" s="1440"/>
      <c r="S425" t="s">
        <v>131</v>
      </c>
      <c r="AE425" s="1440" t="s">
        <v>554</v>
      </c>
      <c r="AF425" s="1440"/>
    </row>
    <row r="426" spans="1:39" ht="12.95" customHeight="1">
      <c r="F426" s="28" t="s">
        <v>132</v>
      </c>
    </row>
    <row r="427" spans="1:39" ht="12.95" customHeight="1">
      <c r="F427" s="1474" t="s">
        <v>2758</v>
      </c>
      <c r="G427" s="1474"/>
      <c r="H427" s="1474"/>
      <c r="I427" s="1474"/>
      <c r="J427" s="1474"/>
      <c r="K427" s="1474"/>
      <c r="L427" s="1474"/>
      <c r="M427" s="1474"/>
      <c r="N427" s="1474"/>
      <c r="O427" s="1474"/>
      <c r="P427" s="1474"/>
      <c r="Q427" s="1474"/>
      <c r="R427" s="1474"/>
      <c r="S427" s="1474"/>
      <c r="T427" s="1474"/>
      <c r="U427" s="1474"/>
      <c r="V427" s="1474"/>
      <c r="W427" s="1474"/>
      <c r="X427" s="1474"/>
      <c r="Y427" s="1474"/>
      <c r="Z427" s="1474"/>
      <c r="AA427" s="1474"/>
      <c r="AB427" s="1474"/>
      <c r="AC427" s="1474"/>
      <c r="AD427" s="1474"/>
      <c r="AE427" s="1474"/>
      <c r="AF427" s="1474"/>
      <c r="AG427" s="1474"/>
      <c r="AH427" s="1474"/>
    </row>
    <row r="428" spans="1:39" ht="12.95" customHeight="1">
      <c r="F428" s="1475"/>
      <c r="G428" s="1475"/>
      <c r="H428" s="1475"/>
      <c r="I428" s="1475"/>
      <c r="J428" s="1475"/>
      <c r="K428" s="1475"/>
      <c r="L428" s="1475"/>
      <c r="M428" s="1475"/>
      <c r="N428" s="1475"/>
      <c r="O428" s="1475"/>
      <c r="P428" s="1475"/>
      <c r="Q428" s="1475"/>
      <c r="R428" s="1475"/>
      <c r="S428" s="1475"/>
      <c r="T428" s="1475"/>
      <c r="U428" s="1475"/>
      <c r="V428" s="1475"/>
      <c r="W428" s="1475"/>
      <c r="X428" s="1475"/>
      <c r="Y428" s="1475"/>
      <c r="Z428" s="1475"/>
      <c r="AA428" s="1475"/>
      <c r="AB428" s="1475"/>
      <c r="AC428" s="1475"/>
      <c r="AD428" s="1475"/>
      <c r="AE428" s="1475"/>
      <c r="AF428" s="1475"/>
      <c r="AG428" s="1475"/>
      <c r="AH428" s="1475"/>
    </row>
    <row r="429" spans="1:39" ht="12.95" customHeight="1">
      <c r="E429" t="s">
        <v>617</v>
      </c>
      <c r="P429" s="1"/>
      <c r="Q429" s="1440" t="s">
        <v>554</v>
      </c>
      <c r="R429" s="1440"/>
    </row>
    <row r="430" spans="1:39" ht="12.95" customHeight="1">
      <c r="F430" t="s">
        <v>618</v>
      </c>
      <c r="P430" s="1"/>
      <c r="Q430" s="1"/>
      <c r="AF430" s="1440" t="s">
        <v>600</v>
      </c>
      <c r="AG430" s="1491"/>
    </row>
    <row r="431" spans="1:39" ht="12.95" customHeight="1"/>
    <row r="432" spans="1:39" ht="12.95" customHeight="1">
      <c r="A432" s="2"/>
      <c r="B432" s="2"/>
      <c r="C432" s="2"/>
      <c r="E432" s="4" t="s">
        <v>309</v>
      </c>
      <c r="Z432" s="1440" t="s">
        <v>678</v>
      </c>
      <c r="AA432" s="144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40" t="s">
        <v>600</v>
      </c>
      <c r="AA434" s="1440"/>
    </row>
    <row r="435" spans="1:110" ht="12.95" customHeight="1"/>
    <row r="436" spans="1:110" ht="12.95" customHeight="1">
      <c r="A436" s="2" t="s">
        <v>476</v>
      </c>
      <c r="B436" s="2"/>
      <c r="C436" s="2"/>
      <c r="D436" s="2" t="s">
        <v>774</v>
      </c>
      <c r="AF436" s="48"/>
    </row>
    <row r="437" spans="1:110" ht="12.95" customHeight="1">
      <c r="D437" s="1500" t="s">
        <v>43</v>
      </c>
      <c r="E437" s="1469"/>
      <c r="F437" s="1469"/>
      <c r="G437" s="1469"/>
      <c r="H437" s="1469"/>
      <c r="I437" s="1469"/>
      <c r="J437" s="1469"/>
      <c r="K437" s="1469"/>
      <c r="L437" s="1469"/>
      <c r="M437" s="1469"/>
      <c r="N437" s="1469"/>
      <c r="O437" s="1469"/>
      <c r="P437" s="1469"/>
      <c r="Q437" s="1469"/>
      <c r="R437" s="1469"/>
      <c r="S437" s="1469"/>
      <c r="T437" s="1469"/>
      <c r="U437" s="1469"/>
      <c r="V437" s="1469"/>
      <c r="W437" s="1469"/>
      <c r="X437" s="1469"/>
      <c r="Y437" s="1469"/>
      <c r="Z437" s="1469"/>
      <c r="AA437" s="1469"/>
      <c r="AB437" s="1469"/>
      <c r="AC437" s="1469"/>
      <c r="AD437" s="1469"/>
      <c r="AE437" s="1469"/>
      <c r="AF437" s="1470"/>
      <c r="AG437" s="1446">
        <v>72</v>
      </c>
      <c r="AH437" s="1446"/>
      <c r="AI437" s="1446"/>
      <c r="AJ437" s="1446"/>
    </row>
    <row r="438" spans="1:110" ht="12.95" customHeight="1">
      <c r="D438" s="1441" t="s">
        <v>1330</v>
      </c>
      <c r="E438" s="1442"/>
      <c r="F438" s="1442"/>
      <c r="G438" s="1442"/>
      <c r="H438" s="1442"/>
      <c r="I438" s="1442"/>
      <c r="J438" s="1442"/>
      <c r="K438" s="1442"/>
      <c r="L438" s="1442"/>
      <c r="M438" s="1442"/>
      <c r="N438" s="1442"/>
      <c r="O438" s="1442"/>
      <c r="P438" s="1442"/>
      <c r="Q438" s="1442"/>
      <c r="R438" s="1442"/>
      <c r="S438" s="1442"/>
      <c r="T438" s="1442"/>
      <c r="U438" s="1442"/>
      <c r="V438" s="1442"/>
      <c r="W438" s="1442"/>
      <c r="X438" s="1442"/>
      <c r="Y438" s="1442"/>
      <c r="Z438" s="1442"/>
      <c r="AA438" s="1442"/>
      <c r="AB438" s="1442"/>
      <c r="AC438" s="1442"/>
      <c r="AD438" s="1442"/>
      <c r="AE438" s="1442"/>
      <c r="AF438" s="1443"/>
      <c r="AG438" s="1444">
        <v>0</v>
      </c>
      <c r="AH438" s="1445"/>
      <c r="AI438" s="1445"/>
      <c r="AJ438" s="1445"/>
    </row>
    <row r="439" spans="1:110" ht="12.95" customHeight="1">
      <c r="D439" s="1441" t="s">
        <v>1056</v>
      </c>
      <c r="E439" s="1442"/>
      <c r="F439" s="1442"/>
      <c r="G439" s="1442"/>
      <c r="H439" s="1442"/>
      <c r="I439" s="1442"/>
      <c r="J439" s="1442"/>
      <c r="K439" s="1442"/>
      <c r="L439" s="1442"/>
      <c r="M439" s="1442"/>
      <c r="N439" s="1442"/>
      <c r="O439" s="1442"/>
      <c r="P439" s="1442"/>
      <c r="Q439" s="1442"/>
      <c r="R439" s="1442"/>
      <c r="S439" s="1442"/>
      <c r="T439" s="1442"/>
      <c r="U439" s="1442"/>
      <c r="V439" s="1442"/>
      <c r="W439" s="1442"/>
      <c r="X439" s="1442"/>
      <c r="Y439" s="1442"/>
      <c r="Z439" s="1442"/>
      <c r="AA439" s="1442"/>
      <c r="AB439" s="1442"/>
      <c r="AC439" s="1442"/>
      <c r="AD439" s="1442"/>
      <c r="AE439" s="1442"/>
      <c r="AF439" s="1443"/>
      <c r="AG439" s="1446">
        <v>71</v>
      </c>
      <c r="AH439" s="1446"/>
      <c r="AI439" s="1446"/>
      <c r="AJ439" s="1446"/>
    </row>
    <row r="440" spans="1:110" ht="12.95" customHeight="1">
      <c r="D440" s="1441" t="s">
        <v>1057</v>
      </c>
      <c r="E440" s="1442"/>
      <c r="F440" s="1442"/>
      <c r="G440" s="1442"/>
      <c r="H440" s="1442"/>
      <c r="I440" s="1442"/>
      <c r="J440" s="1442"/>
      <c r="K440" s="1442"/>
      <c r="L440" s="1442"/>
      <c r="M440" s="1442"/>
      <c r="N440" s="1442"/>
      <c r="O440" s="1442"/>
      <c r="P440" s="1442"/>
      <c r="Q440" s="1442"/>
      <c r="R440" s="1442"/>
      <c r="S440" s="1442"/>
      <c r="T440" s="1442"/>
      <c r="U440" s="1442"/>
      <c r="V440" s="1442"/>
      <c r="W440" s="1442"/>
      <c r="X440" s="1442"/>
      <c r="Y440" s="1442"/>
      <c r="Z440" s="1442"/>
      <c r="AA440" s="1442"/>
      <c r="AB440" s="1442"/>
      <c r="AC440" s="1442"/>
      <c r="AD440" s="1442"/>
      <c r="AE440" s="1442"/>
      <c r="AF440" s="1443"/>
      <c r="AG440" s="1446">
        <v>71</v>
      </c>
      <c r="AH440" s="1446"/>
      <c r="AI440" s="1446"/>
      <c r="AJ440" s="1446"/>
    </row>
    <row r="441" spans="1:110" ht="12.95" customHeight="1">
      <c r="D441" s="1441" t="s">
        <v>1059</v>
      </c>
      <c r="E441" s="1442"/>
      <c r="F441" s="1442"/>
      <c r="G441" s="1442"/>
      <c r="H441" s="1442"/>
      <c r="I441" s="1442"/>
      <c r="J441" s="1442"/>
      <c r="K441" s="1442"/>
      <c r="L441" s="1442"/>
      <c r="M441" s="1442"/>
      <c r="N441" s="1442"/>
      <c r="O441" s="1442"/>
      <c r="P441" s="1442"/>
      <c r="Q441" s="1442"/>
      <c r="R441" s="1442"/>
      <c r="S441" s="1442"/>
      <c r="T441" s="1442"/>
      <c r="U441" s="1442"/>
      <c r="V441" s="1442"/>
      <c r="W441" s="1442"/>
      <c r="X441" s="1442"/>
      <c r="Y441" s="1442"/>
      <c r="Z441" s="1442"/>
      <c r="AA441" s="1442"/>
      <c r="AB441" s="1442"/>
      <c r="AC441" s="1442"/>
      <c r="AD441" s="1442"/>
      <c r="AE441" s="1442"/>
      <c r="AF441" s="1443"/>
      <c r="AG441" s="1447">
        <f>IF(ISERROR(AG440/AG439),"",AG440/AG439)</f>
        <v>1</v>
      </c>
      <c r="AH441" s="1447"/>
      <c r="AI441" s="1447"/>
      <c r="AJ441" s="1447"/>
    </row>
    <row r="442" spans="1:110" ht="12.95" customHeight="1">
      <c r="D442" s="1441" t="s">
        <v>1058</v>
      </c>
      <c r="E442" s="1442"/>
      <c r="F442" s="1442"/>
      <c r="G442" s="1442"/>
      <c r="H442" s="1442"/>
      <c r="I442" s="1442"/>
      <c r="J442" s="1442"/>
      <c r="K442" s="1442"/>
      <c r="L442" s="1442"/>
      <c r="M442" s="1442"/>
      <c r="N442" s="1442"/>
      <c r="O442" s="1442"/>
      <c r="P442" s="1442"/>
      <c r="Q442" s="1442"/>
      <c r="R442" s="1442"/>
      <c r="S442" s="1442"/>
      <c r="T442" s="1442"/>
      <c r="U442" s="1442"/>
      <c r="V442" s="1442"/>
      <c r="W442" s="1442"/>
      <c r="X442" s="1442"/>
      <c r="Y442" s="1442"/>
      <c r="Z442" s="1442"/>
      <c r="AA442" s="1442"/>
      <c r="AB442" s="1442"/>
      <c r="AC442" s="1442"/>
      <c r="AD442" s="1442"/>
      <c r="AE442" s="1442"/>
      <c r="AF442" s="1443"/>
      <c r="AG442" s="1436">
        <v>36242</v>
      </c>
      <c r="AH442" s="1436"/>
      <c r="AI442" s="1436"/>
      <c r="AJ442" s="1436"/>
    </row>
    <row r="443" spans="1:110" ht="12.95" customHeight="1">
      <c r="D443" s="1441" t="s">
        <v>1060</v>
      </c>
      <c r="E443" s="1442"/>
      <c r="F443" s="1442"/>
      <c r="G443" s="1442"/>
      <c r="H443" s="1442"/>
      <c r="I443" s="1442"/>
      <c r="J443" s="1442"/>
      <c r="K443" s="1442"/>
      <c r="L443" s="1442"/>
      <c r="M443" s="1442"/>
      <c r="N443" s="1442"/>
      <c r="O443" s="1442"/>
      <c r="P443" s="1442"/>
      <c r="Q443" s="1442"/>
      <c r="R443" s="1442"/>
      <c r="S443" s="1442"/>
      <c r="T443" s="1442"/>
      <c r="U443" s="1442"/>
      <c r="V443" s="1442"/>
      <c r="W443" s="1442"/>
      <c r="X443" s="1442"/>
      <c r="Y443" s="1442"/>
      <c r="Z443" s="1442"/>
      <c r="AA443" s="1442"/>
      <c r="AB443" s="1442"/>
      <c r="AC443" s="1442"/>
      <c r="AD443" s="1442"/>
      <c r="AE443" s="1442"/>
      <c r="AF443" s="1443"/>
      <c r="AG443" s="1436">
        <f>AG442</f>
        <v>36242</v>
      </c>
      <c r="AH443" s="1436"/>
      <c r="AI443" s="1436"/>
      <c r="AJ443" s="1436"/>
    </row>
    <row r="444" spans="1:110" ht="12.95" customHeight="1">
      <c r="D444" s="1441" t="s">
        <v>1061</v>
      </c>
      <c r="E444" s="1442"/>
      <c r="F444" s="1442"/>
      <c r="G444" s="1442"/>
      <c r="H444" s="1442"/>
      <c r="I444" s="1442"/>
      <c r="J444" s="1442"/>
      <c r="K444" s="1442"/>
      <c r="L444" s="1442"/>
      <c r="M444" s="1442"/>
      <c r="N444" s="1442"/>
      <c r="O444" s="1442"/>
      <c r="P444" s="1442"/>
      <c r="Q444" s="1442"/>
      <c r="R444" s="1442"/>
      <c r="S444" s="1442"/>
      <c r="T444" s="1442"/>
      <c r="U444" s="1442"/>
      <c r="V444" s="1442"/>
      <c r="W444" s="1442"/>
      <c r="X444" s="1442"/>
      <c r="Y444" s="1442"/>
      <c r="Z444" s="1442"/>
      <c r="AA444" s="1442"/>
      <c r="AB444" s="1442"/>
      <c r="AC444" s="1442"/>
      <c r="AD444" s="1442"/>
      <c r="AE444" s="1442"/>
      <c r="AF444" s="1443"/>
      <c r="AG444" s="1447">
        <f>IF(ISERROR(AG443/AG442),"",AG443/AG442)</f>
        <v>1</v>
      </c>
      <c r="AH444" s="1447"/>
      <c r="AI444" s="1447"/>
      <c r="AJ444" s="1447"/>
    </row>
    <row r="445" spans="1:110" ht="12.95" customHeight="1">
      <c r="D445" s="1441" t="s">
        <v>1062</v>
      </c>
      <c r="E445" s="1442"/>
      <c r="F445" s="1442"/>
      <c r="G445" s="1442"/>
      <c r="H445" s="1442"/>
      <c r="I445" s="1442"/>
      <c r="J445" s="1442"/>
      <c r="K445" s="1442"/>
      <c r="L445" s="1442"/>
      <c r="M445" s="1442"/>
      <c r="N445" s="1442"/>
      <c r="O445" s="1442"/>
      <c r="P445" s="1442"/>
      <c r="Q445" s="1442"/>
      <c r="R445" s="1442"/>
      <c r="S445" s="1442"/>
      <c r="T445" s="1442"/>
      <c r="U445" s="1442"/>
      <c r="V445" s="1442"/>
      <c r="W445" s="1442"/>
      <c r="X445" s="1442"/>
      <c r="Y445" s="1442"/>
      <c r="Z445" s="1442"/>
      <c r="AA445" s="1442"/>
      <c r="AB445" s="1442"/>
      <c r="AC445" s="1442"/>
      <c r="AD445" s="1442"/>
      <c r="AE445" s="1442"/>
      <c r="AF445" s="1443"/>
      <c r="AG445" s="1447">
        <f>MIN(IF(AG441&gt;AG444,AG444,AG441),1)</f>
        <v>1</v>
      </c>
      <c r="AH445" s="1447"/>
      <c r="AI445" s="1447"/>
      <c r="AJ445" s="1447"/>
    </row>
    <row r="446" spans="1:110" ht="12.95" customHeight="1">
      <c r="D446" s="1441" t="s">
        <v>2405</v>
      </c>
      <c r="E446" s="1469"/>
      <c r="F446" s="1469"/>
      <c r="G446" s="1469"/>
      <c r="H446" s="1469"/>
      <c r="I446" s="1469"/>
      <c r="J446" s="1469"/>
      <c r="K446" s="1469"/>
      <c r="L446" s="1469"/>
      <c r="M446" s="1469"/>
      <c r="N446" s="1469"/>
      <c r="O446" s="1469"/>
      <c r="P446" s="1469"/>
      <c r="Q446" s="1469"/>
      <c r="R446" s="1469"/>
      <c r="S446" s="1469"/>
      <c r="T446" s="1469"/>
      <c r="U446" s="1469"/>
      <c r="V446" s="1469"/>
      <c r="W446" s="1469"/>
      <c r="X446" s="1469"/>
      <c r="Y446" s="1469"/>
      <c r="Z446" s="1469"/>
      <c r="AA446" s="1469"/>
      <c r="AB446" s="1469"/>
      <c r="AC446" s="1469"/>
      <c r="AD446" s="1469"/>
      <c r="AE446" s="1469"/>
      <c r="AF446" s="1470"/>
      <c r="AG446" s="1436">
        <v>3242</v>
      </c>
      <c r="AH446" s="1436"/>
      <c r="AI446" s="1436"/>
      <c r="AJ446" s="143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00" t="s">
        <v>578</v>
      </c>
      <c r="E447" s="1469"/>
      <c r="F447" s="1469"/>
      <c r="G447" s="1469"/>
      <c r="H447" s="1469"/>
      <c r="I447" s="1469"/>
      <c r="J447" s="1469"/>
      <c r="K447" s="1469"/>
      <c r="L447" s="1469"/>
      <c r="M447" s="1469"/>
      <c r="N447" s="1469"/>
      <c r="O447" s="1469"/>
      <c r="P447" s="1469"/>
      <c r="Q447" s="1469"/>
      <c r="R447" s="1469"/>
      <c r="S447" s="1469"/>
      <c r="T447" s="1469"/>
      <c r="U447" s="1469"/>
      <c r="V447" s="1469"/>
      <c r="W447" s="1469"/>
      <c r="X447" s="1469"/>
      <c r="Y447" s="1469"/>
      <c r="Z447" s="1469"/>
      <c r="AA447" s="1469"/>
      <c r="AB447" s="1469"/>
      <c r="AC447" s="1469"/>
      <c r="AD447" s="1469"/>
      <c r="AE447" s="1469"/>
      <c r="AF447" s="1470"/>
      <c r="AG447" s="1436">
        <v>1196</v>
      </c>
      <c r="AH447" s="1436"/>
      <c r="AI447" s="1436"/>
      <c r="AJ447" s="143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1" t="s">
        <v>1312</v>
      </c>
      <c r="E448" s="1469"/>
      <c r="F448" s="1469"/>
      <c r="G448" s="1469"/>
      <c r="H448" s="1469"/>
      <c r="I448" s="1469"/>
      <c r="J448" s="1469"/>
      <c r="K448" s="1469"/>
      <c r="L448" s="1469"/>
      <c r="M448" s="1469"/>
      <c r="N448" s="1469"/>
      <c r="O448" s="1469"/>
      <c r="P448" s="1469"/>
      <c r="Q448" s="1469"/>
      <c r="R448" s="1469"/>
      <c r="S448" s="1469"/>
      <c r="T448" s="1469"/>
      <c r="U448" s="1469"/>
      <c r="V448" s="1469"/>
      <c r="W448" s="1469"/>
      <c r="X448" s="1469"/>
      <c r="Y448" s="1469"/>
      <c r="Z448" s="1469"/>
      <c r="AA448" s="1469"/>
      <c r="AB448" s="1469"/>
      <c r="AC448" s="1469"/>
      <c r="AD448" s="1469"/>
      <c r="AE448" s="1469"/>
      <c r="AF448" s="1470"/>
      <c r="AG448" s="1436">
        <f>865+3430</f>
        <v>4295</v>
      </c>
      <c r="AH448" s="1436"/>
      <c r="AI448" s="1436"/>
      <c r="AJ448" s="143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1" t="s">
        <v>1063</v>
      </c>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c r="AA449" s="1469"/>
      <c r="AB449" s="1469"/>
      <c r="AC449" s="1469"/>
      <c r="AD449" s="1469"/>
      <c r="AE449" s="1469"/>
      <c r="AF449" s="1470"/>
      <c r="AG449" s="1436">
        <v>14198</v>
      </c>
      <c r="AH449" s="1436"/>
      <c r="AI449" s="1436"/>
      <c r="AJ449" s="143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3" t="s">
        <v>1064</v>
      </c>
      <c r="E450" s="1544"/>
      <c r="F450" s="1544"/>
      <c r="G450" s="1544"/>
      <c r="H450" s="1544"/>
      <c r="I450" s="1544"/>
      <c r="J450" s="1544"/>
      <c r="K450" s="1544"/>
      <c r="L450" s="1544"/>
      <c r="M450" s="1544"/>
      <c r="N450" s="1544"/>
      <c r="O450" s="1544"/>
      <c r="P450" s="1544"/>
      <c r="Q450" s="1544"/>
      <c r="R450" s="1544"/>
      <c r="S450" s="1544"/>
      <c r="T450" s="1544"/>
      <c r="U450" s="1544"/>
      <c r="V450" s="1544"/>
      <c r="W450" s="1544"/>
      <c r="X450" s="1544"/>
      <c r="Y450" s="1544"/>
      <c r="Z450" s="1544"/>
      <c r="AA450" s="1544"/>
      <c r="AB450" s="1544"/>
      <c r="AC450" s="1544"/>
      <c r="AD450" s="1544"/>
      <c r="AE450" s="1544"/>
      <c r="AF450" s="1545"/>
      <c r="AG450" s="1493">
        <f>AG442+AG446+AG448+AG449</f>
        <v>57977</v>
      </c>
      <c r="AH450" s="1493"/>
      <c r="AI450" s="1493"/>
      <c r="AJ450" s="149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6" t="s">
        <v>1313</v>
      </c>
      <c r="E451" s="1546"/>
      <c r="F451" s="1546"/>
      <c r="G451" s="1546"/>
      <c r="H451" s="1546"/>
      <c r="I451" s="1546"/>
      <c r="J451" s="1546"/>
      <c r="K451" s="1546"/>
      <c r="L451" s="1546"/>
      <c r="M451" s="1546"/>
      <c r="N451" s="1546"/>
      <c r="O451" s="1546"/>
      <c r="P451" s="1546"/>
      <c r="Q451" s="1546"/>
      <c r="R451" s="1546"/>
      <c r="S451" s="1546"/>
      <c r="T451" s="1546"/>
      <c r="U451" s="1546"/>
      <c r="V451" s="1546"/>
      <c r="W451" s="1546"/>
      <c r="X451" s="1546"/>
      <c r="Y451" s="1546"/>
      <c r="Z451" s="1546"/>
      <c r="AA451" s="1546"/>
      <c r="AB451" s="1546"/>
      <c r="AC451" s="1546"/>
      <c r="AD451" s="1546"/>
      <c r="AE451" s="1546"/>
      <c r="AF451" s="1546"/>
      <c r="AG451" s="1546"/>
      <c r="AH451" s="1546"/>
      <c r="AI451" s="1546"/>
      <c r="AJ451" s="154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47"/>
      <c r="E452" s="1547"/>
      <c r="F452" s="1547"/>
      <c r="G452" s="1547"/>
      <c r="H452" s="1547"/>
      <c r="I452" s="1547"/>
      <c r="J452" s="1547"/>
      <c r="K452" s="1547"/>
      <c r="L452" s="1547"/>
      <c r="M452" s="1547"/>
      <c r="N452" s="1547"/>
      <c r="O452" s="1547"/>
      <c r="P452" s="1547"/>
      <c r="Q452" s="1547"/>
      <c r="R452" s="1547"/>
      <c r="S452" s="1547"/>
      <c r="T452" s="1547"/>
      <c r="U452" s="1547"/>
      <c r="V452" s="1547"/>
      <c r="W452" s="1547"/>
      <c r="X452" s="1547"/>
      <c r="Y452" s="1547"/>
      <c r="Z452" s="1547"/>
      <c r="AA452" s="1547"/>
      <c r="AB452" s="1547"/>
      <c r="AC452" s="1547"/>
      <c r="AD452" s="1547"/>
      <c r="AE452" s="1547"/>
      <c r="AF452" s="1547"/>
      <c r="AG452" s="1547"/>
      <c r="AH452" s="1547"/>
      <c r="AI452" s="1547"/>
      <c r="AJ452" s="154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88">
        <f>IF(AG437=0,"",'Sources and Uses Budget'!B105/Application!AG437)</f>
        <v>1067871.0833333333</v>
      </c>
      <c r="AD454" s="1488"/>
      <c r="AE454" s="1488"/>
      <c r="AF454" s="148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88">
        <f>IF(AG437=0,"",'Sources and Uses Budget'!C105/Application!AG437)</f>
        <v>1067871.0833333333</v>
      </c>
      <c r="AD455" s="1488"/>
      <c r="AE455" s="1488"/>
      <c r="AF455" s="148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88">
        <f>IF(AG437=0,"",('Sources and Uses Budget'!$S$107+'Sources and Uses Budget'!$T$107)/Application!AG437)</f>
        <v>925250.40277777775</v>
      </c>
      <c r="AD456" s="1488"/>
      <c r="AE456" s="1488"/>
      <c r="AF456" s="148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72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20"/>
      <c r="H457" s="1720"/>
      <c r="I457" s="1720"/>
      <c r="J457" s="1720"/>
      <c r="K457" s="1720"/>
      <c r="L457" s="1720"/>
      <c r="M457" s="1720"/>
      <c r="N457" s="1720"/>
      <c r="O457" s="1720"/>
      <c r="P457" s="1720"/>
      <c r="Q457" s="1720"/>
      <c r="R457" s="1720"/>
      <c r="S457" s="1720"/>
      <c r="T457" s="1720"/>
      <c r="U457" s="1720"/>
      <c r="V457" s="1720"/>
      <c r="W457" s="1720"/>
      <c r="X457" s="1720"/>
      <c r="Y457" s="1720"/>
      <c r="Z457" s="1720"/>
      <c r="AA457" s="1720"/>
      <c r="AB457" s="172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720"/>
      <c r="G458" s="1720"/>
      <c r="H458" s="1720"/>
      <c r="I458" s="1720"/>
      <c r="J458" s="1720"/>
      <c r="K458" s="1720"/>
      <c r="L458" s="1720"/>
      <c r="M458" s="1720"/>
      <c r="N458" s="1720"/>
      <c r="O458" s="1720"/>
      <c r="P458" s="1720"/>
      <c r="Q458" s="1720"/>
      <c r="R458" s="1720"/>
      <c r="S458" s="1720"/>
      <c r="T458" s="1720"/>
      <c r="U458" s="1720"/>
      <c r="V458" s="1720"/>
      <c r="W458" s="1720"/>
      <c r="X458" s="1720"/>
      <c r="Y458" s="1720"/>
      <c r="Z458" s="1720"/>
      <c r="AA458" s="1720"/>
      <c r="AB458" s="172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2419</v>
      </c>
      <c r="E465" s="1437"/>
      <c r="F465" s="1437"/>
      <c r="G465" s="1437"/>
      <c r="H465" s="1437"/>
      <c r="I465" s="1437"/>
      <c r="J465" s="1437"/>
      <c r="K465" s="1437"/>
      <c r="L465" s="1437"/>
      <c r="M465" s="1437"/>
      <c r="N465" s="1437"/>
      <c r="O465" s="1437"/>
      <c r="P465" s="1437"/>
      <c r="Q465" s="1437"/>
      <c r="R465" s="1437"/>
      <c r="S465" s="1437"/>
      <c r="T465" s="1437"/>
      <c r="U465" s="1437"/>
      <c r="V465" s="1438"/>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89" t="s">
        <v>703</v>
      </c>
      <c r="E466" s="1437"/>
      <c r="F466" s="1437"/>
      <c r="G466" s="1437"/>
      <c r="H466" s="1437"/>
      <c r="I466" s="1437"/>
      <c r="J466" s="1437"/>
      <c r="K466" s="1437"/>
      <c r="L466" s="1437"/>
      <c r="M466" s="1437"/>
      <c r="N466" s="1437"/>
      <c r="O466" s="1437"/>
      <c r="P466" s="1437"/>
      <c r="Q466" s="1437"/>
      <c r="R466" s="1437"/>
      <c r="S466" s="1437"/>
      <c r="T466" s="1437"/>
      <c r="U466" s="1437"/>
      <c r="V466" s="1438"/>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89" t="s">
        <v>704</v>
      </c>
      <c r="E467" s="1437"/>
      <c r="F467" s="1437"/>
      <c r="G467" s="1437"/>
      <c r="H467" s="1437"/>
      <c r="I467" s="1437"/>
      <c r="J467" s="1437"/>
      <c r="K467" s="1437"/>
      <c r="L467" s="1437"/>
      <c r="M467" s="1437"/>
      <c r="N467" s="1437"/>
      <c r="O467" s="1437"/>
      <c r="P467" s="1437"/>
      <c r="Q467" s="1437"/>
      <c r="R467" s="1437"/>
      <c r="S467" s="1437"/>
      <c r="T467" s="1437"/>
      <c r="U467" s="1437"/>
      <c r="V467" s="1438"/>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89" t="s">
        <v>705</v>
      </c>
      <c r="E468" s="1437"/>
      <c r="F468" s="1437"/>
      <c r="G468" s="1437"/>
      <c r="H468" s="1437"/>
      <c r="I468" s="1437"/>
      <c r="J468" s="1437"/>
      <c r="K468" s="1437"/>
      <c r="L468" s="1437"/>
      <c r="M468" s="1437"/>
      <c r="N468" s="1437"/>
      <c r="O468" s="1437"/>
      <c r="P468" s="1437"/>
      <c r="Q468" s="1437"/>
      <c r="R468" s="1437"/>
      <c r="S468" s="1437"/>
      <c r="T468" s="1437"/>
      <c r="U468" s="1437"/>
      <c r="V468" s="1438"/>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89" t="s">
        <v>894</v>
      </c>
      <c r="E469" s="1437"/>
      <c r="F469" s="1437"/>
      <c r="G469" s="1437"/>
      <c r="H469" s="1437"/>
      <c r="I469" s="1437"/>
      <c r="J469" s="1437"/>
      <c r="K469" s="1437"/>
      <c r="L469" s="1437"/>
      <c r="M469" s="1437"/>
      <c r="N469" s="1437"/>
      <c r="O469" s="1437"/>
      <c r="P469" s="1437"/>
      <c r="Q469" s="1437"/>
      <c r="R469" s="1437"/>
      <c r="S469" s="1437"/>
      <c r="T469" s="1437"/>
      <c r="U469" s="1437"/>
      <c r="V469" s="1438"/>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89" t="s">
        <v>706</v>
      </c>
      <c r="E470" s="1437"/>
      <c r="F470" s="1437"/>
      <c r="G470" s="1437"/>
      <c r="H470" s="1437"/>
      <c r="I470" s="1437"/>
      <c r="J470" s="1437"/>
      <c r="K470" s="1437"/>
      <c r="L470" s="1437"/>
      <c r="M470" s="1437"/>
      <c r="N470" s="1437"/>
      <c r="O470" s="1437"/>
      <c r="P470" s="1437"/>
      <c r="Q470" s="1437"/>
      <c r="R470" s="1437"/>
      <c r="S470" s="1437"/>
      <c r="T470" s="1437"/>
      <c r="U470" s="1437"/>
      <c r="V470" s="1438"/>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89" t="s">
        <v>1037</v>
      </c>
      <c r="E471" s="1437"/>
      <c r="F471" s="1437"/>
      <c r="G471" s="1437"/>
      <c r="H471" s="1437"/>
      <c r="I471" s="1437"/>
      <c r="J471" s="1437"/>
      <c r="K471" s="1437"/>
      <c r="L471" s="1437"/>
      <c r="M471" s="1437"/>
      <c r="N471" s="1437"/>
      <c r="O471" s="1437"/>
      <c r="P471" s="1437"/>
      <c r="Q471" s="1437"/>
      <c r="R471" s="1437"/>
      <c r="S471" s="1437"/>
      <c r="T471" s="1437"/>
      <c r="U471" s="1437"/>
      <c r="V471" s="1438"/>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2556</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1768</v>
      </c>
      <c r="E473" s="1437"/>
      <c r="F473" s="1437"/>
      <c r="G473" s="1437"/>
      <c r="H473" s="1437"/>
      <c r="I473" s="1437"/>
      <c r="J473" s="1437"/>
      <c r="K473" s="1437"/>
      <c r="L473" s="1437"/>
      <c r="M473" s="1437"/>
      <c r="N473" s="1437"/>
      <c r="O473" s="1437"/>
      <c r="P473" s="1437"/>
      <c r="Q473" s="1437"/>
      <c r="R473" s="1437"/>
      <c r="S473" s="1437"/>
      <c r="T473" s="1437"/>
      <c r="U473" s="1437"/>
      <c r="V473" s="1438"/>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98"/>
      <c r="H474" s="1599"/>
      <c r="I474" s="1599"/>
      <c r="J474" s="1599"/>
      <c r="K474" s="1599"/>
      <c r="L474" s="1599"/>
      <c r="M474" s="1599"/>
      <c r="N474" s="1599"/>
      <c r="O474" s="1599"/>
      <c r="P474" s="1599"/>
      <c r="Q474" s="1599"/>
      <c r="R474" s="1599"/>
      <c r="S474" s="1599"/>
      <c r="T474" s="1599"/>
      <c r="U474" s="1599"/>
      <c r="V474" s="1600"/>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2795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9" t="s">
        <v>820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1" t="s">
        <v>394</v>
      </c>
      <c r="R485" s="1450"/>
      <c r="S485" s="1450"/>
      <c r="T485" s="1450"/>
      <c r="U485" s="1450"/>
      <c r="V485" s="1450"/>
      <c r="W485" s="1450"/>
      <c r="X485" s="1450"/>
      <c r="Y485" s="1450"/>
      <c r="Z485" s="1450"/>
      <c r="AA485" s="1450"/>
      <c r="AB485" s="1450"/>
      <c r="AC485" s="1450"/>
      <c r="AD485" s="1450"/>
      <c r="AE485" s="1450"/>
      <c r="AF485" s="1450"/>
      <c r="AG485" s="1450"/>
      <c r="AH485" s="1450"/>
      <c r="AI485" s="1450"/>
      <c r="AJ485" s="1450"/>
      <c r="AK485" s="145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86" t="s">
        <v>2786</v>
      </c>
      <c r="R486" s="1464"/>
      <c r="S486" s="1464"/>
      <c r="T486" s="1464"/>
      <c r="U486" s="1464"/>
      <c r="V486" s="1464"/>
      <c r="W486" s="1464"/>
      <c r="X486" s="1464"/>
      <c r="Y486" s="1464"/>
      <c r="Z486" s="1464"/>
      <c r="AA486" s="1464"/>
      <c r="AB486" s="1464"/>
      <c r="AC486" s="1464"/>
      <c r="AD486" s="1464"/>
      <c r="AE486" s="1464"/>
      <c r="AF486" s="1464"/>
      <c r="AG486" s="1464"/>
      <c r="AH486" s="1464"/>
      <c r="AI486" s="1464"/>
      <c r="AJ486" s="1464"/>
      <c r="AK486" s="1487"/>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6" t="s">
        <v>2787</v>
      </c>
      <c r="R487" s="1464"/>
      <c r="S487" s="1464"/>
      <c r="T487" s="1464"/>
      <c r="U487" s="1464"/>
      <c r="V487" s="1464"/>
      <c r="W487" s="1464"/>
      <c r="X487" s="1464"/>
      <c r="Y487" s="1464"/>
      <c r="Z487" s="1464"/>
      <c r="AA487" s="1464"/>
      <c r="AB487" s="1464"/>
      <c r="AC487" s="1464"/>
      <c r="AD487" s="1464"/>
      <c r="AE487" s="1464"/>
      <c r="AF487" s="1464"/>
      <c r="AG487" s="1464"/>
      <c r="AH487" s="1464"/>
      <c r="AI487" s="1464"/>
      <c r="AJ487" s="1464"/>
      <c r="AK487" s="148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6" t="s">
        <v>2787</v>
      </c>
      <c r="R488" s="1464"/>
      <c r="S488" s="1464"/>
      <c r="T488" s="1464"/>
      <c r="U488" s="1464"/>
      <c r="V488" s="1464"/>
      <c r="W488" s="1464"/>
      <c r="X488" s="1464"/>
      <c r="Y488" s="1464"/>
      <c r="Z488" s="1464"/>
      <c r="AA488" s="1464"/>
      <c r="AB488" s="1464"/>
      <c r="AC488" s="1464"/>
      <c r="AD488" s="1464"/>
      <c r="AE488" s="1464"/>
      <c r="AF488" s="1464"/>
      <c r="AG488" s="1464"/>
      <c r="AH488" s="1464"/>
      <c r="AI488" s="1464"/>
      <c r="AJ488" s="1464"/>
      <c r="AK488" s="148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48" t="s">
        <v>398</v>
      </c>
      <c r="C489" s="1549"/>
      <c r="D489" s="1549"/>
      <c r="E489" s="1549"/>
      <c r="F489" s="1549"/>
      <c r="G489" s="1549"/>
      <c r="H489" s="1549"/>
      <c r="I489" s="1549"/>
      <c r="J489" s="1549"/>
      <c r="K489" s="1549"/>
      <c r="L489" s="1549"/>
      <c r="M489" s="1549"/>
      <c r="N489" s="1549"/>
      <c r="O489" s="1549"/>
      <c r="P489" s="1550"/>
      <c r="Q489" s="1505" t="s">
        <v>678</v>
      </c>
      <c r="R489" s="1506"/>
      <c r="S489" s="1534" t="s">
        <v>166</v>
      </c>
      <c r="T489" s="1535"/>
      <c r="U489" s="1535"/>
      <c r="V489" s="1535"/>
      <c r="W489" s="1535"/>
      <c r="X489" s="1535"/>
      <c r="Y489" s="1535"/>
      <c r="Z489" s="1535"/>
      <c r="AA489" s="1535"/>
      <c r="AB489" s="1535"/>
      <c r="AC489" s="1535"/>
      <c r="AD489" s="1535"/>
      <c r="AE489" s="1535"/>
      <c r="AF489" s="1535"/>
      <c r="AG489" s="1535"/>
      <c r="AH489" s="1535"/>
      <c r="AI489" s="1535"/>
      <c r="AJ489" s="1535"/>
      <c r="AK489" s="15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51"/>
      <c r="C490" s="1552"/>
      <c r="D490" s="1552"/>
      <c r="E490" s="1552"/>
      <c r="F490" s="1552"/>
      <c r="G490" s="1552"/>
      <c r="H490" s="1552"/>
      <c r="I490" s="1552"/>
      <c r="J490" s="1552"/>
      <c r="K490" s="1552"/>
      <c r="L490" s="1552"/>
      <c r="M490" s="1552"/>
      <c r="N490" s="1552"/>
      <c r="O490" s="1552"/>
      <c r="P490" s="1553"/>
      <c r="Q490" s="1507"/>
      <c r="R490" s="1508"/>
      <c r="S490" s="1537"/>
      <c r="T490" s="1475"/>
      <c r="U490" s="1475"/>
      <c r="V490" s="1475"/>
      <c r="W490" s="1475"/>
      <c r="X490" s="1475"/>
      <c r="Y490" s="1475"/>
      <c r="Z490" s="1475"/>
      <c r="AA490" s="1475"/>
      <c r="AB490" s="1475"/>
      <c r="AC490" s="1475"/>
      <c r="AD490" s="1475"/>
      <c r="AE490" s="1475"/>
      <c r="AF490" s="1475"/>
      <c r="AG490" s="1475"/>
      <c r="AH490" s="1475"/>
      <c r="AI490" s="1475"/>
      <c r="AJ490" s="1475"/>
      <c r="AK490" s="15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33" t="s">
        <v>678</v>
      </c>
      <c r="R491" s="1434"/>
      <c r="S491" s="1434"/>
      <c r="T491" s="1434"/>
      <c r="U491" s="1434"/>
      <c r="V491" s="1434"/>
      <c r="W491" s="1434"/>
      <c r="X491" s="1434"/>
      <c r="Y491" s="1434"/>
      <c r="Z491" s="1434"/>
      <c r="AA491" s="1434"/>
      <c r="AB491" s="1434"/>
      <c r="AC491" s="1434"/>
      <c r="AD491" s="1434"/>
      <c r="AE491" s="1434"/>
      <c r="AF491" s="1434"/>
      <c r="AG491" s="1434"/>
      <c r="AH491" s="1434"/>
      <c r="AI491" s="1434"/>
      <c r="AJ491" s="1434"/>
      <c r="AK491" s="143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6" t="s">
        <v>2788</v>
      </c>
      <c r="R492" s="1464"/>
      <c r="S492" s="1464"/>
      <c r="T492" s="1464"/>
      <c r="U492" s="1464"/>
      <c r="V492" s="1464"/>
      <c r="W492" s="1464"/>
      <c r="X492" s="1464"/>
      <c r="Y492" s="1464"/>
      <c r="Z492" s="1464"/>
      <c r="AA492" s="1464"/>
      <c r="AB492" s="1464"/>
      <c r="AC492" s="1464"/>
      <c r="AD492" s="1464"/>
      <c r="AE492" s="1464"/>
      <c r="AF492" s="1464"/>
      <c r="AG492" s="1464"/>
      <c r="AH492" s="1464"/>
      <c r="AI492" s="1464"/>
      <c r="AJ492" s="1464"/>
      <c r="AK492" s="148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6">
        <v>0.44444444399999999</v>
      </c>
      <c r="R493" s="1464"/>
      <c r="S493" s="1464"/>
      <c r="T493" s="1464"/>
      <c r="U493" s="1464"/>
      <c r="V493" s="1464"/>
      <c r="W493" s="1464"/>
      <c r="X493" s="1464"/>
      <c r="Y493" s="1464"/>
      <c r="Z493" s="1464"/>
      <c r="AA493" s="1464"/>
      <c r="AB493" s="1464"/>
      <c r="AC493" s="1464"/>
      <c r="AD493" s="1464"/>
      <c r="AE493" s="1464"/>
      <c r="AF493" s="1464"/>
      <c r="AG493" s="1464"/>
      <c r="AH493" s="1464"/>
      <c r="AI493" s="1464"/>
      <c r="AJ493" s="1464"/>
      <c r="AK493" s="148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86">
        <v>32</v>
      </c>
      <c r="R494" s="1464"/>
      <c r="S494" s="1464"/>
      <c r="T494" s="1464"/>
      <c r="U494" s="1464"/>
      <c r="V494" s="1464"/>
      <c r="W494" s="1464"/>
      <c r="X494" s="1464"/>
      <c r="Y494" s="1464"/>
      <c r="Z494" s="1464"/>
      <c r="AA494" s="1464"/>
      <c r="AB494" s="1464"/>
      <c r="AC494" s="1464"/>
      <c r="AD494" s="1464"/>
      <c r="AE494" s="1464"/>
      <c r="AF494" s="1464"/>
      <c r="AG494" s="1464"/>
      <c r="AH494" s="1464"/>
      <c r="AI494" s="1464"/>
      <c r="AJ494" s="1464"/>
      <c r="AK494" s="148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78">
        <v>32</v>
      </c>
      <c r="N495" s="1479"/>
      <c r="O495" s="1479"/>
      <c r="P495" s="1480"/>
      <c r="Q495" s="121" t="s">
        <v>1785</v>
      </c>
      <c r="R495" s="5"/>
      <c r="S495" s="5"/>
      <c r="T495" s="5"/>
      <c r="U495" s="5"/>
      <c r="V495" s="5"/>
      <c r="W495" s="5"/>
      <c r="X495" s="5"/>
      <c r="Y495" s="5"/>
      <c r="Z495" s="5"/>
      <c r="AA495" s="5"/>
      <c r="AB495" s="5"/>
      <c r="AC495" s="5"/>
      <c r="AD495" s="5"/>
      <c r="AE495" s="5"/>
      <c r="AF495" s="5"/>
      <c r="AG495" s="5"/>
      <c r="AH495" s="1478"/>
      <c r="AI495" s="1479"/>
      <c r="AJ495" s="1479"/>
      <c r="AK495" s="148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1" t="s">
        <v>402</v>
      </c>
      <c r="AD499" s="1450"/>
      <c r="AE499" s="1450"/>
      <c r="AF499" s="1450"/>
      <c r="AG499" s="1450"/>
      <c r="AH499" s="1450"/>
      <c r="AI499" s="1450"/>
      <c r="AJ499" s="1450"/>
      <c r="AK499" s="145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1" t="s">
        <v>403</v>
      </c>
      <c r="AD500" s="1450"/>
      <c r="AE500" s="1450"/>
      <c r="AF500" s="1450"/>
      <c r="AG500" s="50" t="s">
        <v>404</v>
      </c>
      <c r="AH500" s="1450" t="s">
        <v>405</v>
      </c>
      <c r="AI500" s="1450"/>
      <c r="AJ500" s="1450"/>
      <c r="AK500" s="145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1">
        <v>11</v>
      </c>
      <c r="AD501" s="1432"/>
      <c r="AE501" s="1432"/>
      <c r="AF501" s="1432"/>
      <c r="AG501" s="13" t="s">
        <v>404</v>
      </c>
      <c r="AH501" s="1421">
        <v>2018</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1">
        <v>3</v>
      </c>
      <c r="AD502" s="1432"/>
      <c r="AE502" s="1432"/>
      <c r="AF502" s="1432"/>
      <c r="AG502" s="38" t="s">
        <v>404</v>
      </c>
      <c r="AH502" s="1421">
        <v>2020</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1">
        <v>2</v>
      </c>
      <c r="AD503" s="1432"/>
      <c r="AE503" s="1432"/>
      <c r="AF503" s="1432"/>
      <c r="AG503" s="13" t="s">
        <v>404</v>
      </c>
      <c r="AH503" s="1421">
        <v>2020</v>
      </c>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411</v>
      </c>
      <c r="AC504" s="1431" t="s">
        <v>600</v>
      </c>
      <c r="AD504" s="1432"/>
      <c r="AE504" s="1432"/>
      <c r="AF504" s="1432"/>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412</v>
      </c>
      <c r="AC505" s="1431">
        <v>2</v>
      </c>
      <c r="AD505" s="1432"/>
      <c r="AE505" s="1432"/>
      <c r="AF505" s="1432"/>
      <c r="AG505" s="13" t="s">
        <v>404</v>
      </c>
      <c r="AH505" s="1421">
        <v>2020</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413</v>
      </c>
      <c r="AC506" s="1431">
        <v>6</v>
      </c>
      <c r="AD506" s="1432"/>
      <c r="AE506" s="1432"/>
      <c r="AF506" s="1432"/>
      <c r="AG506" s="13" t="s">
        <v>404</v>
      </c>
      <c r="AH506" s="1421">
        <v>2024</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414</v>
      </c>
      <c r="AC507" s="1364">
        <v>6</v>
      </c>
      <c r="AD507" s="1365"/>
      <c r="AE507" s="1365"/>
      <c r="AF507" s="1365"/>
      <c r="AG507" s="13" t="s">
        <v>404</v>
      </c>
      <c r="AH507" s="1421">
        <v>2024</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82"/>
      <c r="AC508" s="1431" t="s">
        <v>600</v>
      </c>
      <c r="AD508" s="1432"/>
      <c r="AE508" s="1432"/>
      <c r="AF508" s="1432"/>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46" t="s">
        <v>554</v>
      </c>
      <c r="AD509" s="1446"/>
      <c r="AE509" s="1446"/>
      <c r="AF509" s="1446"/>
      <c r="AG509" s="13"/>
      <c r="AH509" s="1305"/>
      <c r="AI509" s="1305"/>
      <c r="AJ509" s="1305"/>
      <c r="AK509" s="145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64">
        <v>3</v>
      </c>
      <c r="AD510" s="1365"/>
      <c r="AE510" s="1365"/>
      <c r="AF510" s="1366"/>
      <c r="AG510" s="13"/>
      <c r="AH510" s="1305"/>
      <c r="AI510" s="1305"/>
      <c r="AJ510" s="1305"/>
      <c r="AK510" s="145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53">
        <v>0.85</v>
      </c>
      <c r="AD512" s="1454"/>
      <c r="AE512" s="1454"/>
      <c r="AF512" s="1455"/>
      <c r="AG512" s="38"/>
      <c r="AH512" s="1456"/>
      <c r="AI512" s="1456"/>
      <c r="AJ512" s="1456"/>
      <c r="AK512" s="145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3" t="s">
        <v>403</v>
      </c>
      <c r="AD513" s="1484"/>
      <c r="AE513" s="1484"/>
      <c r="AF513" s="1484"/>
      <c r="AG513" s="38" t="s">
        <v>404</v>
      </c>
      <c r="AH513" s="1484" t="s">
        <v>405</v>
      </c>
      <c r="AI513" s="1484"/>
      <c r="AJ513" s="1484"/>
      <c r="AK513" s="148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1">
        <v>4</v>
      </c>
      <c r="AD514" s="1432"/>
      <c r="AE514" s="1432"/>
      <c r="AF514" s="1432"/>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417</v>
      </c>
      <c r="AC515" s="1431">
        <v>4</v>
      </c>
      <c r="AD515" s="1432"/>
      <c r="AE515" s="1432"/>
      <c r="AF515" s="1432"/>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1">
        <v>2</v>
      </c>
      <c r="AD516" s="1432"/>
      <c r="AE516" s="1432"/>
      <c r="AF516" s="1432"/>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64">
        <v>4</v>
      </c>
      <c r="AD517" s="1365"/>
      <c r="AE517" s="1365"/>
      <c r="AF517" s="1365"/>
      <c r="AG517" s="129" t="s">
        <v>404</v>
      </c>
      <c r="AH517" s="1421">
        <v>2024</v>
      </c>
      <c r="AI517" s="1421"/>
      <c r="AJ517" s="1421"/>
      <c r="AK517" s="1422"/>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417</v>
      </c>
      <c r="AC518" s="1431">
        <v>4</v>
      </c>
      <c r="AD518" s="1432"/>
      <c r="AE518" s="1432"/>
      <c r="AF518" s="1432"/>
      <c r="AG518" s="13" t="s">
        <v>404</v>
      </c>
      <c r="AH518" s="1421">
        <v>2024</v>
      </c>
      <c r="AI518" s="1421"/>
      <c r="AJ518" s="1421"/>
      <c r="AK518" s="1422"/>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1">
        <v>1</v>
      </c>
      <c r="AD519" s="1432"/>
      <c r="AE519" s="1432"/>
      <c r="AF519" s="1432"/>
      <c r="AG519" s="38" t="s">
        <v>404</v>
      </c>
      <c r="AH519" s="1421">
        <v>2027</v>
      </c>
      <c r="AI519" s="1421"/>
      <c r="AJ519" s="1421"/>
      <c r="AK519" s="1422"/>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1" t="s">
        <v>420</v>
      </c>
      <c r="C520" s="1402"/>
      <c r="D520" s="1402"/>
      <c r="E520" s="1402"/>
      <c r="F520" s="1402"/>
      <c r="G520" s="1402"/>
      <c r="H520" s="1403"/>
      <c r="I520" s="41" t="s">
        <v>421</v>
      </c>
      <c r="J520" s="42"/>
      <c r="K520" s="42"/>
      <c r="L520" s="42"/>
      <c r="M520" s="42"/>
      <c r="N520" s="42"/>
      <c r="O520" s="1416" t="s">
        <v>2759</v>
      </c>
      <c r="P520" s="1417"/>
      <c r="Q520" s="1417"/>
      <c r="R520" s="1417"/>
      <c r="S520" s="1417"/>
      <c r="T520" s="1417"/>
      <c r="U520" s="1417"/>
      <c r="V520" s="1417"/>
      <c r="W520" s="1417"/>
      <c r="X520" s="1417"/>
      <c r="Y520" s="1417"/>
      <c r="Z520" s="1417"/>
      <c r="AA520" s="1417"/>
      <c r="AB520" s="58"/>
      <c r="AC520" s="1364" t="s">
        <v>600</v>
      </c>
      <c r="AD520" s="1365"/>
      <c r="AE520" s="1365"/>
      <c r="AF520" s="1365"/>
      <c r="AG520" s="129" t="s">
        <v>404</v>
      </c>
      <c r="AH520" s="1421"/>
      <c r="AI520" s="1421"/>
      <c r="AJ520" s="1421"/>
      <c r="AK520" s="1422"/>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422</v>
      </c>
      <c r="AB521" s="65"/>
      <c r="AC521" s="1431">
        <v>7</v>
      </c>
      <c r="AD521" s="1432"/>
      <c r="AE521" s="1432"/>
      <c r="AF521" s="1432"/>
      <c r="AG521" s="13" t="s">
        <v>404</v>
      </c>
      <c r="AH521" s="1421">
        <v>2022</v>
      </c>
      <c r="AI521" s="1421"/>
      <c r="AJ521" s="1421"/>
      <c r="AK521" s="1422"/>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1">
        <v>2</v>
      </c>
      <c r="AD522" s="1432"/>
      <c r="AE522" s="1432"/>
      <c r="AF522" s="1432"/>
      <c r="AG522" s="38" t="s">
        <v>404</v>
      </c>
      <c r="AH522" s="1421">
        <v>2023</v>
      </c>
      <c r="AI522" s="1421"/>
      <c r="AJ522" s="1421"/>
      <c r="AK522" s="1422"/>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424</v>
      </c>
      <c r="J523" s="42"/>
      <c r="K523" s="42"/>
      <c r="L523" s="42"/>
      <c r="M523" s="42"/>
      <c r="N523" s="42"/>
      <c r="O523" s="1416" t="s">
        <v>2760</v>
      </c>
      <c r="P523" s="1417"/>
      <c r="Q523" s="1417"/>
      <c r="R523" s="1417"/>
      <c r="S523" s="1417"/>
      <c r="T523" s="1417"/>
      <c r="U523" s="1417"/>
      <c r="V523" s="1417"/>
      <c r="W523" s="1417"/>
      <c r="X523" s="1417"/>
      <c r="Y523" s="1417"/>
      <c r="Z523" s="1417"/>
      <c r="AA523" s="1417"/>
      <c r="AC523" s="1431" t="s">
        <v>600</v>
      </c>
      <c r="AD523" s="1432"/>
      <c r="AE523" s="1432"/>
      <c r="AF523" s="1432"/>
      <c r="AG523" s="13" t="s">
        <v>404</v>
      </c>
      <c r="AH523" s="1421"/>
      <c r="AI523" s="1421"/>
      <c r="AJ523" s="1421"/>
      <c r="AK523" s="1422"/>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422</v>
      </c>
      <c r="AC524" s="1431">
        <v>2</v>
      </c>
      <c r="AD524" s="1432"/>
      <c r="AE524" s="1432"/>
      <c r="AF524" s="1432"/>
      <c r="AG524" s="13" t="s">
        <v>404</v>
      </c>
      <c r="AH524" s="1421">
        <v>2022</v>
      </c>
      <c r="AI524" s="1421"/>
      <c r="AJ524" s="1421"/>
      <c r="AK524" s="1422"/>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1">
        <v>6</v>
      </c>
      <c r="AD525" s="1432"/>
      <c r="AE525" s="1432"/>
      <c r="AF525" s="1432"/>
      <c r="AG525" s="38" t="s">
        <v>404</v>
      </c>
      <c r="AH525" s="1421">
        <v>2022</v>
      </c>
      <c r="AI525" s="1421"/>
      <c r="AJ525" s="1421"/>
      <c r="AK525" s="1422"/>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424</v>
      </c>
      <c r="J526" s="42"/>
      <c r="K526" s="42"/>
      <c r="L526" s="42"/>
      <c r="M526" s="42"/>
      <c r="N526" s="42"/>
      <c r="O526" s="1416" t="s">
        <v>2761</v>
      </c>
      <c r="P526" s="1417"/>
      <c r="Q526" s="1417"/>
      <c r="R526" s="1417"/>
      <c r="S526" s="1417"/>
      <c r="T526" s="1417"/>
      <c r="U526" s="1417"/>
      <c r="V526" s="1417"/>
      <c r="W526" s="1417"/>
      <c r="X526" s="1417"/>
      <c r="Y526" s="1417"/>
      <c r="Z526" s="1417"/>
      <c r="AA526" s="1417"/>
      <c r="AC526" s="1431" t="s">
        <v>600</v>
      </c>
      <c r="AD526" s="1432"/>
      <c r="AE526" s="1432"/>
      <c r="AF526" s="1432"/>
      <c r="AG526" s="13" t="s">
        <v>404</v>
      </c>
      <c r="AH526" s="1421"/>
      <c r="AI526" s="1421"/>
      <c r="AJ526" s="1421"/>
      <c r="AK526" s="1422"/>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422</v>
      </c>
      <c r="AC527" s="1431">
        <v>2</v>
      </c>
      <c r="AD527" s="1432"/>
      <c r="AE527" s="1432"/>
      <c r="AF527" s="1432"/>
      <c r="AG527" s="13" t="s">
        <v>404</v>
      </c>
      <c r="AH527" s="1421">
        <v>2024</v>
      </c>
      <c r="AI527" s="1421"/>
      <c r="AJ527" s="1421"/>
      <c r="AK527" s="1422"/>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1">
        <v>3</v>
      </c>
      <c r="AD528" s="1432"/>
      <c r="AE528" s="1432"/>
      <c r="AF528" s="1432"/>
      <c r="AG528" s="38" t="s">
        <v>404</v>
      </c>
      <c r="AH528" s="1421">
        <v>2024</v>
      </c>
      <c r="AI528" s="1421"/>
      <c r="AJ528" s="1421"/>
      <c r="AK528" s="1422"/>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424</v>
      </c>
      <c r="J529" s="42"/>
      <c r="K529" s="42"/>
      <c r="L529" s="42"/>
      <c r="M529" s="42"/>
      <c r="N529" s="42"/>
      <c r="O529" s="1416" t="s">
        <v>2762</v>
      </c>
      <c r="P529" s="1417"/>
      <c r="Q529" s="1417"/>
      <c r="R529" s="1417"/>
      <c r="S529" s="1417"/>
      <c r="T529" s="1417"/>
      <c r="U529" s="1417"/>
      <c r="V529" s="1417"/>
      <c r="W529" s="1417"/>
      <c r="X529" s="1417"/>
      <c r="Y529" s="1417"/>
      <c r="Z529" s="1417"/>
      <c r="AA529" s="1417"/>
      <c r="AC529" s="1431" t="s">
        <v>600</v>
      </c>
      <c r="AD529" s="1432"/>
      <c r="AE529" s="1432"/>
      <c r="AF529" s="1432"/>
      <c r="AG529" s="13" t="s">
        <v>404</v>
      </c>
      <c r="AH529" s="1421"/>
      <c r="AI529" s="1421"/>
      <c r="AJ529" s="1421"/>
      <c r="AK529" s="1422"/>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422</v>
      </c>
      <c r="AC530" s="1431">
        <v>4</v>
      </c>
      <c r="AD530" s="1432"/>
      <c r="AE530" s="1432"/>
      <c r="AF530" s="1432"/>
      <c r="AG530" s="13" t="s">
        <v>404</v>
      </c>
      <c r="AH530" s="1421">
        <v>2022</v>
      </c>
      <c r="AI530" s="1421"/>
      <c r="AJ530" s="1421"/>
      <c r="AK530" s="1422"/>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1">
        <v>9</v>
      </c>
      <c r="AD531" s="1432"/>
      <c r="AE531" s="1432"/>
      <c r="AF531" s="1432"/>
      <c r="AG531" s="38" t="s">
        <v>404</v>
      </c>
      <c r="AH531" s="1421">
        <v>2023</v>
      </c>
      <c r="AI531" s="1421"/>
      <c r="AJ531" s="1421"/>
      <c r="AK531" s="1422"/>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31" t="s">
        <v>600</v>
      </c>
      <c r="AD532" s="1432"/>
      <c r="AE532" s="1432"/>
      <c r="AF532" s="1432"/>
      <c r="AG532" s="13" t="s">
        <v>404</v>
      </c>
      <c r="AH532" s="1421"/>
      <c r="AI532" s="1421"/>
      <c r="AJ532" s="1421"/>
      <c r="AK532" s="1422"/>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422</v>
      </c>
      <c r="AC533" s="1431" t="s">
        <v>600</v>
      </c>
      <c r="AD533" s="1432"/>
      <c r="AE533" s="1432"/>
      <c r="AF533" s="1432"/>
      <c r="AG533" s="38" t="s">
        <v>404</v>
      </c>
      <c r="AH533" s="1421"/>
      <c r="AI533" s="1421"/>
      <c r="AJ533" s="1421"/>
      <c r="AK533" s="1422"/>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1" t="s">
        <v>600</v>
      </c>
      <c r="AD534" s="1432"/>
      <c r="AE534" s="1432"/>
      <c r="AF534" s="1432"/>
      <c r="AG534" s="13" t="s">
        <v>404</v>
      </c>
      <c r="AH534" s="1421"/>
      <c r="AI534" s="1421"/>
      <c r="AJ534" s="1421"/>
      <c r="AK534" s="1422"/>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31" t="s">
        <v>600</v>
      </c>
      <c r="AD535" s="1432"/>
      <c r="AE535" s="1432"/>
      <c r="AF535" s="1432"/>
      <c r="AG535" s="38" t="s">
        <v>404</v>
      </c>
      <c r="AH535" s="1421"/>
      <c r="AI535" s="1421"/>
      <c r="AJ535" s="1421"/>
      <c r="AK535" s="1422"/>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422</v>
      </c>
      <c r="AC536" s="1431" t="s">
        <v>600</v>
      </c>
      <c r="AD536" s="1432"/>
      <c r="AE536" s="1432"/>
      <c r="AF536" s="1432"/>
      <c r="AG536" s="13" t="s">
        <v>404</v>
      </c>
      <c r="AH536" s="1421"/>
      <c r="AI536" s="1421"/>
      <c r="AJ536" s="1421"/>
      <c r="AK536" s="1422"/>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1" t="s">
        <v>600</v>
      </c>
      <c r="AD537" s="1432"/>
      <c r="AE537" s="1432"/>
      <c r="AF537" s="1432"/>
      <c r="AG537" s="38" t="s">
        <v>404</v>
      </c>
      <c r="AH537" s="1421"/>
      <c r="AI537" s="1421"/>
      <c r="AJ537" s="1421"/>
      <c r="AK537" s="1422"/>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571</v>
      </c>
      <c r="J538" s="42"/>
      <c r="K538" s="42"/>
      <c r="L538" s="42"/>
      <c r="M538" s="42"/>
      <c r="N538" s="42"/>
      <c r="O538" s="42"/>
      <c r="P538" s="42"/>
      <c r="Q538" s="42"/>
      <c r="R538" s="42"/>
      <c r="S538" s="42"/>
      <c r="T538" s="42"/>
      <c r="U538" s="42"/>
      <c r="V538" s="42"/>
      <c r="W538" s="42"/>
      <c r="AC538" s="1431">
        <v>7</v>
      </c>
      <c r="AD538" s="1432"/>
      <c r="AE538" s="1432"/>
      <c r="AF538" s="1432"/>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572</v>
      </c>
      <c r="AC539" s="1431">
        <v>2</v>
      </c>
      <c r="AD539" s="1432"/>
      <c r="AE539" s="1432"/>
      <c r="AF539" s="1432"/>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573</v>
      </c>
      <c r="AC540" s="1431">
        <v>12</v>
      </c>
      <c r="AD540" s="1432"/>
      <c r="AE540" s="1432"/>
      <c r="AF540" s="1432"/>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574</v>
      </c>
      <c r="AC541" s="1431">
        <v>5</v>
      </c>
      <c r="AD541" s="1432"/>
      <c r="AE541" s="1432"/>
      <c r="AF541" s="1432"/>
      <c r="AG541" s="38" t="s">
        <v>404</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460</v>
      </c>
      <c r="J542" s="48"/>
      <c r="K542" s="48"/>
      <c r="L542" s="48"/>
      <c r="M542" s="48"/>
      <c r="N542" s="48"/>
      <c r="O542" s="48"/>
      <c r="P542" s="48"/>
      <c r="Q542" s="48"/>
      <c r="R542" s="48"/>
      <c r="S542" s="48"/>
      <c r="T542" s="48"/>
      <c r="U542" s="48"/>
      <c r="V542" s="48"/>
      <c r="W542" s="48"/>
      <c r="X542" s="48"/>
      <c r="Y542" s="48"/>
      <c r="Z542" s="48"/>
      <c r="AA542" s="48"/>
      <c r="AB542" s="48"/>
      <c r="AC542" s="1431">
        <v>5</v>
      </c>
      <c r="AD542" s="1432"/>
      <c r="AE542" s="1432"/>
      <c r="AF542" s="1432"/>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2423</v>
      </c>
      <c r="C551" s="1402"/>
      <c r="D551" s="1402"/>
      <c r="E551" s="1402"/>
      <c r="F551" s="1402"/>
      <c r="G551" s="1402"/>
      <c r="H551" s="1402"/>
      <c r="I551" s="1402"/>
      <c r="J551" s="1402"/>
      <c r="K551" s="1402"/>
      <c r="L551" s="1403"/>
      <c r="M551" s="1401" t="s">
        <v>2424</v>
      </c>
      <c r="N551" s="1402"/>
      <c r="O551" s="1402"/>
      <c r="P551" s="1403"/>
      <c r="Q551" s="1401" t="s">
        <v>2450</v>
      </c>
      <c r="R551" s="1402"/>
      <c r="S551" s="1403"/>
      <c r="T551" s="1401" t="s">
        <v>2451</v>
      </c>
      <c r="U551" s="1402"/>
      <c r="V551" s="1403"/>
      <c r="W551" s="1401" t="s">
        <v>462</v>
      </c>
      <c r="X551" s="1402"/>
      <c r="Y551" s="1403"/>
      <c r="Z551" s="1401" t="s">
        <v>2044</v>
      </c>
      <c r="AA551" s="1402"/>
      <c r="AB551" s="1402"/>
      <c r="AC551" s="1402"/>
      <c r="AD551" s="1403"/>
      <c r="AE551" s="1401" t="s">
        <v>1866</v>
      </c>
      <c r="AF551" s="1402"/>
      <c r="AG551" s="1402"/>
      <c r="AH551" s="1403"/>
      <c r="AI551" s="1401" t="s">
        <v>1867</v>
      </c>
      <c r="AJ551" s="1402"/>
      <c r="AK551" s="1402"/>
      <c r="AL551" s="1403"/>
      <c r="AM551" s="1401" t="s">
        <v>463</v>
      </c>
      <c r="AN551" s="1402"/>
      <c r="AO551" s="1402"/>
      <c r="AP551" s="1402"/>
      <c r="AQ551" s="1402"/>
      <c r="AR551" s="1402"/>
      <c r="AS551" s="140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26" t="s">
        <v>2789</v>
      </c>
      <c r="D554" s="1426"/>
      <c r="E554" s="1426"/>
      <c r="F554" s="1426"/>
      <c r="G554" s="1426"/>
      <c r="H554" s="1426"/>
      <c r="I554" s="1426"/>
      <c r="J554" s="1426"/>
      <c r="K554" s="1426"/>
      <c r="L554" s="1426"/>
      <c r="M554" s="1426" t="s">
        <v>2440</v>
      </c>
      <c r="N554" s="1426"/>
      <c r="O554" s="1426"/>
      <c r="P554" s="1426"/>
      <c r="Q554" s="1424">
        <v>28</v>
      </c>
      <c r="R554" s="1424"/>
      <c r="S554" s="1425"/>
      <c r="T554" s="1423"/>
      <c r="U554" s="1424"/>
      <c r="V554" s="1425"/>
      <c r="W554" s="1458">
        <v>6.7699999999999996E-2</v>
      </c>
      <c r="X554" s="1459"/>
      <c r="Y554" s="1460"/>
      <c r="Z554" s="1461" t="s">
        <v>2652</v>
      </c>
      <c r="AA554" s="1461"/>
      <c r="AB554" s="1461"/>
      <c r="AC554" s="1461"/>
      <c r="AD554" s="1461"/>
      <c r="AE554" s="1418">
        <v>1</v>
      </c>
      <c r="AF554" s="1419"/>
      <c r="AG554" s="1419"/>
      <c r="AH554" s="1420"/>
      <c r="AI554" s="1427"/>
      <c r="AJ554" s="1428"/>
      <c r="AK554" s="1428"/>
      <c r="AL554" s="1429"/>
      <c r="AM554" s="1377">
        <v>38500000</v>
      </c>
      <c r="AN554" s="1378"/>
      <c r="AO554" s="1378"/>
      <c r="AP554" s="1378"/>
      <c r="AQ554" s="1378"/>
      <c r="AR554" s="1378"/>
      <c r="AS554" s="137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376" t="s">
        <v>2769</v>
      </c>
      <c r="D555" s="1376"/>
      <c r="E555" s="1376"/>
      <c r="F555" s="1376"/>
      <c r="G555" s="1376"/>
      <c r="H555" s="1376"/>
      <c r="I555" s="1376"/>
      <c r="J555" s="1376"/>
      <c r="K555" s="1376"/>
      <c r="L555" s="1376"/>
      <c r="M555" s="1426" t="s">
        <v>2436</v>
      </c>
      <c r="N555" s="1426"/>
      <c r="O555" s="1426"/>
      <c r="P555" s="1426"/>
      <c r="Q555" s="1423">
        <f>55*12</f>
        <v>660</v>
      </c>
      <c r="R555" s="1424"/>
      <c r="S555" s="1425"/>
      <c r="T555" s="1423"/>
      <c r="U555" s="1424"/>
      <c r="V555" s="1425"/>
      <c r="W555" s="1458">
        <v>0.03</v>
      </c>
      <c r="X555" s="1459"/>
      <c r="Y555" s="1460"/>
      <c r="Z555" s="1461" t="s">
        <v>2651</v>
      </c>
      <c r="AA555" s="1461"/>
      <c r="AB555" s="1461"/>
      <c r="AC555" s="1461"/>
      <c r="AD555" s="1461"/>
      <c r="AE555" s="1418">
        <v>2</v>
      </c>
      <c r="AF555" s="1419"/>
      <c r="AG555" s="1419"/>
      <c r="AH555" s="1420"/>
      <c r="AI555" s="1427"/>
      <c r="AJ555" s="1428"/>
      <c r="AK555" s="1428"/>
      <c r="AL555" s="1429"/>
      <c r="AM555" s="1377">
        <v>3000000</v>
      </c>
      <c r="AN555" s="1378"/>
      <c r="AO555" s="1378"/>
      <c r="AP555" s="1378"/>
      <c r="AQ555" s="1378"/>
      <c r="AR555" s="1378"/>
      <c r="AS555" s="137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376" t="s">
        <v>2647</v>
      </c>
      <c r="D556" s="1376"/>
      <c r="E556" s="1376"/>
      <c r="F556" s="1376"/>
      <c r="G556" s="1376"/>
      <c r="H556" s="1376"/>
      <c r="I556" s="1376"/>
      <c r="J556" s="1376"/>
      <c r="K556" s="1376"/>
      <c r="L556" s="1376"/>
      <c r="M556" s="1426" t="s">
        <v>2436</v>
      </c>
      <c r="N556" s="1426"/>
      <c r="O556" s="1426"/>
      <c r="P556" s="1426"/>
      <c r="Q556" s="1423">
        <v>660</v>
      </c>
      <c r="R556" s="1424"/>
      <c r="S556" s="1425"/>
      <c r="T556" s="1423"/>
      <c r="U556" s="1424"/>
      <c r="V556" s="1425"/>
      <c r="W556" s="1458">
        <v>0.03</v>
      </c>
      <c r="X556" s="1459"/>
      <c r="Y556" s="1460"/>
      <c r="Z556" s="1461" t="s">
        <v>2651</v>
      </c>
      <c r="AA556" s="1461"/>
      <c r="AB556" s="1461"/>
      <c r="AC556" s="1461"/>
      <c r="AD556" s="1461"/>
      <c r="AE556" s="1418">
        <v>3</v>
      </c>
      <c r="AF556" s="1419"/>
      <c r="AG556" s="1419"/>
      <c r="AH556" s="1420"/>
      <c r="AI556" s="1427"/>
      <c r="AJ556" s="1428"/>
      <c r="AK556" s="1428"/>
      <c r="AL556" s="1429"/>
      <c r="AM556" s="1377">
        <f>12497835</f>
        <v>12497835</v>
      </c>
      <c r="AN556" s="1378"/>
      <c r="AO556" s="1378"/>
      <c r="AP556" s="1378"/>
      <c r="AQ556" s="1378"/>
      <c r="AR556" s="1378"/>
      <c r="AS556" s="137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376" t="s">
        <v>2763</v>
      </c>
      <c r="D557" s="1376"/>
      <c r="E557" s="1376"/>
      <c r="F557" s="1376"/>
      <c r="G557" s="1376"/>
      <c r="H557" s="1376"/>
      <c r="I557" s="1376"/>
      <c r="J557" s="1376"/>
      <c r="K557" s="1376"/>
      <c r="L557" s="1376"/>
      <c r="M557" s="1426" t="s">
        <v>2436</v>
      </c>
      <c r="N557" s="1426"/>
      <c r="O557" s="1426"/>
      <c r="P557" s="1426"/>
      <c r="Q557" s="1423">
        <v>660</v>
      </c>
      <c r="R557" s="1424"/>
      <c r="S557" s="1425"/>
      <c r="T557" s="1423"/>
      <c r="U557" s="1424"/>
      <c r="V557" s="1425"/>
      <c r="W557" s="1458">
        <v>0.03</v>
      </c>
      <c r="X557" s="1459"/>
      <c r="Y557" s="1460"/>
      <c r="Z557" s="1461" t="s">
        <v>2651</v>
      </c>
      <c r="AA557" s="1461"/>
      <c r="AB557" s="1461"/>
      <c r="AC557" s="1461"/>
      <c r="AD557" s="1461"/>
      <c r="AE557" s="1418">
        <v>4</v>
      </c>
      <c r="AF557" s="1419"/>
      <c r="AG557" s="1419"/>
      <c r="AH557" s="1420"/>
      <c r="AI557" s="1427"/>
      <c r="AJ557" s="1428"/>
      <c r="AK557" s="1428"/>
      <c r="AL557" s="1429"/>
      <c r="AM557" s="1377">
        <f>7716687</f>
        <v>7716687</v>
      </c>
      <c r="AN557" s="1378"/>
      <c r="AO557" s="1378"/>
      <c r="AP557" s="1378"/>
      <c r="AQ557" s="1378"/>
      <c r="AR557" s="1378"/>
      <c r="AS557" s="137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376" t="s">
        <v>2781</v>
      </c>
      <c r="D558" s="1376"/>
      <c r="E558" s="1376"/>
      <c r="F558" s="1376"/>
      <c r="G558" s="1376"/>
      <c r="H558" s="1376"/>
      <c r="I558" s="1376"/>
      <c r="J558" s="1376"/>
      <c r="K558" s="1376"/>
      <c r="L558" s="1376"/>
      <c r="M558" s="1426" t="s">
        <v>2431</v>
      </c>
      <c r="N558" s="1426"/>
      <c r="O558" s="1426"/>
      <c r="P558" s="1426"/>
      <c r="Q558" s="1423"/>
      <c r="R558" s="1424"/>
      <c r="S558" s="1425"/>
      <c r="T558" s="1423"/>
      <c r="U558" s="1424"/>
      <c r="V558" s="1425"/>
      <c r="W558" s="1458"/>
      <c r="X558" s="1459"/>
      <c r="Y558" s="1460"/>
      <c r="Z558" s="1461" t="s">
        <v>1291</v>
      </c>
      <c r="AA558" s="1461"/>
      <c r="AB558" s="1461"/>
      <c r="AC558" s="1461"/>
      <c r="AD558" s="1461"/>
      <c r="AE558" s="1418"/>
      <c r="AF558" s="1419"/>
      <c r="AG558" s="1419"/>
      <c r="AH558" s="1420"/>
      <c r="AI558" s="1427"/>
      <c r="AJ558" s="1428"/>
      <c r="AK558" s="1428"/>
      <c r="AL558" s="1429"/>
      <c r="AM558" s="1377">
        <v>9398971</v>
      </c>
      <c r="AN558" s="1378"/>
      <c r="AO558" s="1378"/>
      <c r="AP558" s="1378"/>
      <c r="AQ558" s="1378"/>
      <c r="AR558" s="1378"/>
      <c r="AS558" s="1379"/>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376" t="s">
        <v>2649</v>
      </c>
      <c r="D559" s="1376"/>
      <c r="E559" s="1376"/>
      <c r="F559" s="1376"/>
      <c r="G559" s="1376"/>
      <c r="H559" s="1376"/>
      <c r="I559" s="1376"/>
      <c r="J559" s="1376"/>
      <c r="K559" s="1376"/>
      <c r="L559" s="1376"/>
      <c r="M559" s="1426" t="s">
        <v>2426</v>
      </c>
      <c r="N559" s="1426"/>
      <c r="O559" s="1426"/>
      <c r="P559" s="1426"/>
      <c r="Q559" s="1423"/>
      <c r="R559" s="1424"/>
      <c r="S559" s="1425"/>
      <c r="T559" s="1423"/>
      <c r="U559" s="1424"/>
      <c r="V559" s="1425"/>
      <c r="W559" s="1458"/>
      <c r="X559" s="1459"/>
      <c r="Y559" s="1460"/>
      <c r="Z559" s="1461" t="s">
        <v>1291</v>
      </c>
      <c r="AA559" s="1461"/>
      <c r="AB559" s="1461"/>
      <c r="AC559" s="1461"/>
      <c r="AD559" s="1461"/>
      <c r="AE559" s="1418"/>
      <c r="AF559" s="1419"/>
      <c r="AG559" s="1419"/>
      <c r="AH559" s="1420"/>
      <c r="AI559" s="1427"/>
      <c r="AJ559" s="1428"/>
      <c r="AK559" s="1428"/>
      <c r="AL559" s="1429"/>
      <c r="AM559" s="1377">
        <f>76986718-SUM(AM554:AS558)</f>
        <v>5873225</v>
      </c>
      <c r="AN559" s="1378"/>
      <c r="AO559" s="1378"/>
      <c r="AP559" s="1378"/>
      <c r="AQ559" s="1378"/>
      <c r="AR559" s="1378"/>
      <c r="AS559" s="137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376"/>
      <c r="D560" s="1376"/>
      <c r="E560" s="1376"/>
      <c r="F560" s="1376"/>
      <c r="G560" s="1376"/>
      <c r="H560" s="1376"/>
      <c r="I560" s="1376"/>
      <c r="J560" s="1376"/>
      <c r="K560" s="1376"/>
      <c r="L560" s="1376"/>
      <c r="M560" s="1426" t="s">
        <v>1291</v>
      </c>
      <c r="N560" s="1426"/>
      <c r="O560" s="1426"/>
      <c r="P560" s="1426"/>
      <c r="Q560" s="1423"/>
      <c r="R560" s="1424"/>
      <c r="S560" s="1425"/>
      <c r="T560" s="1423"/>
      <c r="U560" s="1424"/>
      <c r="V560" s="1425"/>
      <c r="W560" s="1458"/>
      <c r="X560" s="1459"/>
      <c r="Y560" s="1460"/>
      <c r="Z560" s="1461" t="s">
        <v>1291</v>
      </c>
      <c r="AA560" s="1461"/>
      <c r="AB560" s="1461"/>
      <c r="AC560" s="1461"/>
      <c r="AD560" s="1461"/>
      <c r="AE560" s="1418"/>
      <c r="AF560" s="1419"/>
      <c r="AG560" s="1419"/>
      <c r="AH560" s="1420"/>
      <c r="AI560" s="1427"/>
      <c r="AJ560" s="1428"/>
      <c r="AK560" s="1428"/>
      <c r="AL560" s="1429"/>
      <c r="AM560" s="1377"/>
      <c r="AN560" s="1378"/>
      <c r="AO560" s="1378"/>
      <c r="AP560" s="1378"/>
      <c r="AQ560" s="1378"/>
      <c r="AR560" s="1378"/>
      <c r="AS560" s="137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376"/>
      <c r="D561" s="1376"/>
      <c r="E561" s="1376"/>
      <c r="F561" s="1376"/>
      <c r="G561" s="1376"/>
      <c r="H561" s="1376"/>
      <c r="I561" s="1376"/>
      <c r="J561" s="1376"/>
      <c r="K561" s="1376"/>
      <c r="L561" s="1376"/>
      <c r="M561" s="1426" t="s">
        <v>1291</v>
      </c>
      <c r="N561" s="1426"/>
      <c r="O561" s="1426"/>
      <c r="P561" s="1426"/>
      <c r="Q561" s="1423"/>
      <c r="R561" s="1424"/>
      <c r="S561" s="1425"/>
      <c r="T561" s="1423"/>
      <c r="U561" s="1424"/>
      <c r="V561" s="1425"/>
      <c r="W561" s="1458"/>
      <c r="X561" s="1459"/>
      <c r="Y561" s="1460"/>
      <c r="Z561" s="1461" t="s">
        <v>1291</v>
      </c>
      <c r="AA561" s="1461"/>
      <c r="AB561" s="1461"/>
      <c r="AC561" s="1461"/>
      <c r="AD561" s="1461"/>
      <c r="AE561" s="1418"/>
      <c r="AF561" s="1419"/>
      <c r="AG561" s="1419"/>
      <c r="AH561" s="1420"/>
      <c r="AI561" s="1427"/>
      <c r="AJ561" s="1428"/>
      <c r="AK561" s="1428"/>
      <c r="AL561" s="1429"/>
      <c r="AM561" s="1377"/>
      <c r="AN561" s="1378"/>
      <c r="AO561" s="1378"/>
      <c r="AP561" s="1378"/>
      <c r="AQ561" s="1378"/>
      <c r="AR561" s="1378"/>
      <c r="AS561" s="137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376"/>
      <c r="D562" s="1376"/>
      <c r="E562" s="1376"/>
      <c r="F562" s="1376"/>
      <c r="G562" s="1376"/>
      <c r="H562" s="1376"/>
      <c r="I562" s="1376"/>
      <c r="J562" s="1376"/>
      <c r="K562" s="1376"/>
      <c r="L562" s="1376"/>
      <c r="M562" s="1426" t="s">
        <v>1291</v>
      </c>
      <c r="N562" s="1426"/>
      <c r="O562" s="1426"/>
      <c r="P562" s="1426"/>
      <c r="Q562" s="1423"/>
      <c r="R562" s="1424"/>
      <c r="S562" s="1425"/>
      <c r="T562" s="1423"/>
      <c r="U562" s="1424"/>
      <c r="V562" s="1425"/>
      <c r="W562" s="1458"/>
      <c r="X562" s="1459"/>
      <c r="Y562" s="1460"/>
      <c r="Z562" s="1461" t="s">
        <v>1291</v>
      </c>
      <c r="AA562" s="1461"/>
      <c r="AB562" s="1461"/>
      <c r="AC562" s="1461"/>
      <c r="AD562" s="1461"/>
      <c r="AE562" s="1418"/>
      <c r="AF562" s="1419"/>
      <c r="AG562" s="1419"/>
      <c r="AH562" s="1420"/>
      <c r="AI562" s="1427"/>
      <c r="AJ562" s="1428"/>
      <c r="AK562" s="1428"/>
      <c r="AL562" s="1429"/>
      <c r="AM562" s="1377"/>
      <c r="AN562" s="1378"/>
      <c r="AO562" s="1378"/>
      <c r="AP562" s="1378"/>
      <c r="AQ562" s="1378"/>
      <c r="AR562" s="1378"/>
      <c r="AS562" s="137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376"/>
      <c r="D563" s="1376"/>
      <c r="E563" s="1376"/>
      <c r="F563" s="1376"/>
      <c r="G563" s="1376"/>
      <c r="H563" s="1376"/>
      <c r="I563" s="1376"/>
      <c r="J563" s="1376"/>
      <c r="K563" s="1376"/>
      <c r="L563" s="1376"/>
      <c r="M563" s="1426" t="s">
        <v>1291</v>
      </c>
      <c r="N563" s="1426"/>
      <c r="O563" s="1426"/>
      <c r="P563" s="1426"/>
      <c r="Q563" s="1423"/>
      <c r="R563" s="1424"/>
      <c r="S563" s="1425"/>
      <c r="T563" s="1423"/>
      <c r="U563" s="1424"/>
      <c r="V563" s="1425"/>
      <c r="W563" s="1458"/>
      <c r="X563" s="1459"/>
      <c r="Y563" s="1460"/>
      <c r="Z563" s="1461" t="s">
        <v>1291</v>
      </c>
      <c r="AA563" s="1461"/>
      <c r="AB563" s="1461"/>
      <c r="AC563" s="1461"/>
      <c r="AD563" s="1461"/>
      <c r="AE563" s="1418"/>
      <c r="AF563" s="1419"/>
      <c r="AG563" s="1419"/>
      <c r="AH563" s="1420"/>
      <c r="AI563" s="1427"/>
      <c r="AJ563" s="1428"/>
      <c r="AK563" s="1428"/>
      <c r="AL563" s="1429"/>
      <c r="AM563" s="1377"/>
      <c r="AN563" s="1378"/>
      <c r="AO563" s="1378"/>
      <c r="AP563" s="1378"/>
      <c r="AQ563" s="1378"/>
      <c r="AR563" s="1378"/>
      <c r="AS563" s="137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376"/>
      <c r="D564" s="1376"/>
      <c r="E564" s="1376"/>
      <c r="F564" s="1376"/>
      <c r="G564" s="1376"/>
      <c r="H564" s="1376"/>
      <c r="I564" s="1376"/>
      <c r="J564" s="1376"/>
      <c r="K564" s="1376"/>
      <c r="L564" s="1376"/>
      <c r="M564" s="1426" t="s">
        <v>1291</v>
      </c>
      <c r="N564" s="1426"/>
      <c r="O564" s="1426"/>
      <c r="P564" s="1426"/>
      <c r="Q564" s="1423"/>
      <c r="R564" s="1424"/>
      <c r="S564" s="1425"/>
      <c r="T564" s="1423"/>
      <c r="U564" s="1424"/>
      <c r="V564" s="1425"/>
      <c r="W564" s="1458"/>
      <c r="X564" s="1459"/>
      <c r="Y564" s="1460"/>
      <c r="Z564" s="1461" t="s">
        <v>1291</v>
      </c>
      <c r="AA564" s="1461"/>
      <c r="AB564" s="1461"/>
      <c r="AC564" s="1461"/>
      <c r="AD564" s="1461"/>
      <c r="AE564" s="1418"/>
      <c r="AF564" s="1419"/>
      <c r="AG564" s="1419"/>
      <c r="AH564" s="1420"/>
      <c r="AI564" s="1427"/>
      <c r="AJ564" s="1428"/>
      <c r="AK564" s="1428"/>
      <c r="AL564" s="1429"/>
      <c r="AM564" s="1377"/>
      <c r="AN564" s="1378"/>
      <c r="AO564" s="1378"/>
      <c r="AP564" s="1378"/>
      <c r="AQ564" s="1378"/>
      <c r="AR564" s="1378"/>
      <c r="AS564" s="137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376"/>
      <c r="D565" s="1376"/>
      <c r="E565" s="1376"/>
      <c r="F565" s="1376"/>
      <c r="G565" s="1376"/>
      <c r="H565" s="1376"/>
      <c r="I565" s="1376"/>
      <c r="J565" s="1376"/>
      <c r="K565" s="1376"/>
      <c r="L565" s="1376"/>
      <c r="M565" s="1426" t="s">
        <v>1291</v>
      </c>
      <c r="N565" s="1426"/>
      <c r="O565" s="1426"/>
      <c r="P565" s="1426"/>
      <c r="Q565" s="1423"/>
      <c r="R565" s="1424"/>
      <c r="S565" s="1425"/>
      <c r="T565" s="1423"/>
      <c r="U565" s="1424"/>
      <c r="V565" s="1425"/>
      <c r="W565" s="1458"/>
      <c r="X565" s="1459"/>
      <c r="Y565" s="1460"/>
      <c r="Z565" s="1461" t="s">
        <v>1291</v>
      </c>
      <c r="AA565" s="1461"/>
      <c r="AB565" s="1461"/>
      <c r="AC565" s="1461"/>
      <c r="AD565" s="1461"/>
      <c r="AE565" s="1418"/>
      <c r="AF565" s="1419"/>
      <c r="AG565" s="1419"/>
      <c r="AH565" s="1420"/>
      <c r="AI565" s="1427"/>
      <c r="AJ565" s="1428"/>
      <c r="AK565" s="1428"/>
      <c r="AL565" s="1429"/>
      <c r="AM565" s="1377"/>
      <c r="AN565" s="1378"/>
      <c r="AO565" s="1378"/>
      <c r="AP565" s="1378"/>
      <c r="AQ565" s="1378"/>
      <c r="AR565" s="1378"/>
      <c r="AS565" s="137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92" t="s">
        <v>127</v>
      </c>
      <c r="C566" s="1393"/>
      <c r="D566" s="1393"/>
      <c r="E566" s="1393"/>
      <c r="F566" s="1393"/>
      <c r="G566" s="1393"/>
      <c r="H566" s="1393"/>
      <c r="I566" s="1393"/>
      <c r="J566" s="1393"/>
      <c r="K566" s="1393"/>
      <c r="L566" s="1393"/>
      <c r="M566" s="1393"/>
      <c r="N566" s="1393"/>
      <c r="O566" s="1393"/>
      <c r="P566" s="1393"/>
      <c r="Q566" s="1393"/>
      <c r="R566" s="1393"/>
      <c r="S566" s="1393"/>
      <c r="T566" s="1393"/>
      <c r="U566" s="1733"/>
      <c r="V566" s="1393"/>
      <c r="W566" s="1393"/>
      <c r="X566" s="1393"/>
      <c r="Y566" s="1393"/>
      <c r="Z566" s="1393"/>
      <c r="AA566" s="1393"/>
      <c r="AB566" s="1393"/>
      <c r="AC566" s="1393"/>
      <c r="AD566" s="1393"/>
      <c r="AE566" s="1393"/>
      <c r="AF566" s="1393"/>
      <c r="AG566" s="1393"/>
      <c r="AH566" s="1393"/>
      <c r="AI566" s="1393"/>
      <c r="AJ566" s="1393"/>
      <c r="AK566" s="1393"/>
      <c r="AL566" s="1394"/>
      <c r="AM566" s="1613">
        <f>SUM(AM554:AS565)</f>
        <v>76986718</v>
      </c>
      <c r="AN566" s="1614"/>
      <c r="AO566" s="1614"/>
      <c r="AP566" s="1614"/>
      <c r="AQ566" s="1614"/>
      <c r="AR566" s="1614"/>
      <c r="AS566" s="161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62" t="str">
        <f>C554</f>
        <v>Chase - Tax Exempt Bonds</v>
      </c>
      <c r="H568" s="1462"/>
      <c r="I568" s="1462"/>
      <c r="J568" s="1462"/>
      <c r="K568" s="1462"/>
      <c r="L568" s="1462"/>
      <c r="M568" s="1462"/>
      <c r="N568" s="1462"/>
      <c r="O568" s="1462"/>
      <c r="P568" s="1462"/>
      <c r="Q568" s="1462"/>
      <c r="R568" s="1462"/>
      <c r="S568" s="8"/>
      <c r="T568" s="55" t="s">
        <v>113</v>
      </c>
      <c r="U568" t="s">
        <v>472</v>
      </c>
      <c r="Z568" s="1462" t="str">
        <f>C555</f>
        <v>AHCDC - HCD - IIG Loan</v>
      </c>
      <c r="AA568" s="1462"/>
      <c r="AB568" s="1462"/>
      <c r="AC568" s="1462"/>
      <c r="AD568" s="1462"/>
      <c r="AE568" s="1462"/>
      <c r="AF568" s="1462"/>
      <c r="AG568" s="1462"/>
      <c r="AH568" s="1462"/>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3" t="s">
        <v>2790</v>
      </c>
      <c r="H569" s="1463"/>
      <c r="I569" s="1463"/>
      <c r="J569" s="1463"/>
      <c r="K569" s="1463"/>
      <c r="L569" s="1463"/>
      <c r="M569" s="1463"/>
      <c r="N569" s="1463"/>
      <c r="O569" s="1463"/>
      <c r="P569" s="1463"/>
      <c r="Q569" s="1463"/>
      <c r="R569" s="1463"/>
      <c r="S569" s="8"/>
      <c r="T569" s="22"/>
      <c r="U569" t="s">
        <v>85</v>
      </c>
      <c r="Z569" s="1463" t="s">
        <v>2680</v>
      </c>
      <c r="AA569" s="1463"/>
      <c r="AB569" s="1463"/>
      <c r="AC569" s="1463"/>
      <c r="AD569" s="1463"/>
      <c r="AE569" s="1463"/>
      <c r="AF569" s="1463"/>
      <c r="AG569" s="1463"/>
      <c r="AH569" s="1463"/>
      <c r="AI569" s="1463"/>
      <c r="AJ569" s="1463"/>
      <c r="AK569" s="146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63" t="s">
        <v>2791</v>
      </c>
      <c r="H570" s="1463"/>
      <c r="I570" s="1463"/>
      <c r="J570" s="1463"/>
      <c r="K570" s="1463"/>
      <c r="L570" s="1463"/>
      <c r="M570" s="1463"/>
      <c r="N570" s="1463"/>
      <c r="O570" s="1463"/>
      <c r="P570" s="1463"/>
      <c r="Q570" s="1463"/>
      <c r="R570" s="1463"/>
      <c r="T570" s="22"/>
      <c r="U570" t="s">
        <v>589</v>
      </c>
      <c r="Z570" s="1464" t="s">
        <v>2770</v>
      </c>
      <c r="AA570" s="1464"/>
      <c r="AB570" s="1464"/>
      <c r="AC570" s="1464"/>
      <c r="AD570" s="1464"/>
      <c r="AE570" s="1464"/>
      <c r="AF570" s="1464"/>
      <c r="AG570" s="1464"/>
      <c r="AH570" s="1464"/>
      <c r="AI570" s="1464"/>
      <c r="AJ570" s="1464"/>
      <c r="AK570" s="14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3" t="s">
        <v>2792</v>
      </c>
      <c r="H571" s="1463"/>
      <c r="I571" s="1463"/>
      <c r="J571" s="1463"/>
      <c r="K571" s="1463"/>
      <c r="L571" s="1463"/>
      <c r="M571" s="1463"/>
      <c r="N571" s="1463"/>
      <c r="O571" s="1463"/>
      <c r="P571" s="1463"/>
      <c r="Q571" s="1463"/>
      <c r="R571" s="1463"/>
      <c r="S571" s="8"/>
      <c r="T571" s="22"/>
      <c r="U571" t="s">
        <v>17</v>
      </c>
      <c r="Z571" s="1464" t="s">
        <v>2682</v>
      </c>
      <c r="AA571" s="1464"/>
      <c r="AB571" s="1464"/>
      <c r="AC571" s="1464"/>
      <c r="AD571" s="1464"/>
      <c r="AE571" s="1464"/>
      <c r="AF571" s="1464"/>
      <c r="AG571" s="1464"/>
      <c r="AH571" s="1464"/>
      <c r="AI571" s="1464"/>
      <c r="AJ571" s="1464"/>
      <c r="AK571" s="14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54" t="s">
        <v>2793</v>
      </c>
      <c r="H572" s="1494"/>
      <c r="I572" s="1494"/>
      <c r="J572" s="1494"/>
      <c r="K572" s="1494"/>
      <c r="L572" s="1494"/>
      <c r="O572" s="33" t="s">
        <v>207</v>
      </c>
      <c r="P572" s="1496"/>
      <c r="Q572" s="1496"/>
      <c r="R572" s="1496"/>
      <c r="S572" s="10"/>
      <c r="T572" s="22"/>
      <c r="U572" t="s">
        <v>317</v>
      </c>
      <c r="Z572" s="1554" t="s">
        <v>2683</v>
      </c>
      <c r="AA572" s="1494"/>
      <c r="AB572" s="1494"/>
      <c r="AC572" s="1494"/>
      <c r="AD572" s="1494"/>
      <c r="AE572" s="1494"/>
      <c r="AH572" s="33" t="s">
        <v>207</v>
      </c>
      <c r="AI572" s="1496"/>
      <c r="AJ572" s="1496"/>
      <c r="AK572" s="149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3" t="s">
        <v>2727</v>
      </c>
      <c r="I573" s="1463"/>
      <c r="J573" s="1463"/>
      <c r="K573" s="1463"/>
      <c r="L573" s="1463"/>
      <c r="M573" s="1463"/>
      <c r="N573" s="1463"/>
      <c r="O573" s="1463"/>
      <c r="P573" s="1463"/>
      <c r="Q573" s="1463"/>
      <c r="R573" s="1463"/>
      <c r="S573" s="8"/>
      <c r="T573" s="22"/>
      <c r="U573" t="s">
        <v>18</v>
      </c>
      <c r="AA573" s="1463" t="s">
        <v>2771</v>
      </c>
      <c r="AB573" s="1463"/>
      <c r="AC573" s="1463"/>
      <c r="AD573" s="1463"/>
      <c r="AE573" s="1463"/>
      <c r="AF573" s="1463"/>
      <c r="AG573" s="1463"/>
      <c r="AH573" s="1463"/>
      <c r="AI573" s="1463"/>
      <c r="AJ573" s="1463"/>
      <c r="AK573" s="146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468" t="s">
        <v>2768</v>
      </c>
      <c r="N574" s="1468"/>
      <c r="O574" s="1468"/>
      <c r="P574" s="1468"/>
      <c r="Q574" s="1468"/>
      <c r="R574" s="1468"/>
      <c r="S574" s="8"/>
      <c r="T574" s="22"/>
      <c r="U574" s="348" t="s">
        <v>1292</v>
      </c>
      <c r="AA574" s="8"/>
      <c r="AB574" s="8"/>
      <c r="AC574" s="8"/>
      <c r="AD574" s="8"/>
      <c r="AE574" s="8"/>
      <c r="AF574" s="1468" t="s">
        <v>678</v>
      </c>
      <c r="AG574" s="1468"/>
      <c r="AH574" s="1468"/>
      <c r="AI574" s="1468"/>
      <c r="AJ574" s="1468"/>
      <c r="AK574" s="146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0" t="s">
        <v>554</v>
      </c>
      <c r="O575" s="1440"/>
      <c r="T575" s="22"/>
      <c r="U575" t="s">
        <v>20</v>
      </c>
      <c r="AG575" s="1440" t="s">
        <v>554</v>
      </c>
      <c r="AH575" s="144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62" t="str">
        <f>C556</f>
        <v>County of San Mateo</v>
      </c>
      <c r="H577" s="1462"/>
      <c r="I577" s="1462"/>
      <c r="J577" s="1462"/>
      <c r="K577" s="1462"/>
      <c r="L577" s="1462"/>
      <c r="M577" s="1462"/>
      <c r="N577" s="1462"/>
      <c r="O577" s="1462"/>
      <c r="P577" s="1462"/>
      <c r="Q577" s="1462"/>
      <c r="R577" s="1462"/>
      <c r="T577" s="55" t="s">
        <v>590</v>
      </c>
      <c r="U577" t="s">
        <v>472</v>
      </c>
      <c r="Z577" s="1462" t="str">
        <f>C557</f>
        <v>City of Daly City (including HEART of San Mateo)</v>
      </c>
      <c r="AA577" s="1462"/>
      <c r="AB577" s="1462"/>
      <c r="AC577" s="1462"/>
      <c r="AD577" s="1462"/>
      <c r="AE577" s="1462"/>
      <c r="AF577" s="1462"/>
      <c r="AG577" s="1462"/>
      <c r="AH577" s="1462"/>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3" t="s">
        <v>2772</v>
      </c>
      <c r="H578" s="1463"/>
      <c r="I578" s="1463"/>
      <c r="J578" s="1463"/>
      <c r="K578" s="1463"/>
      <c r="L578" s="1463"/>
      <c r="M578" s="1463"/>
      <c r="N578" s="1463"/>
      <c r="O578" s="1463"/>
      <c r="P578" s="1463"/>
      <c r="Q578" s="1463"/>
      <c r="R578" s="1463"/>
      <c r="T578" s="22"/>
      <c r="U578" t="s">
        <v>85</v>
      </c>
      <c r="Z578" s="1463" t="s">
        <v>2776</v>
      </c>
      <c r="AA578" s="1463"/>
      <c r="AB578" s="1463"/>
      <c r="AC578" s="1463"/>
      <c r="AD578" s="1463"/>
      <c r="AE578" s="1463"/>
      <c r="AF578" s="1463"/>
      <c r="AG578" s="1463"/>
      <c r="AH578" s="1463"/>
      <c r="AI578" s="1463"/>
      <c r="AJ578" s="1463"/>
      <c r="AK578" s="146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64" t="s">
        <v>2778</v>
      </c>
      <c r="H579" s="1464"/>
      <c r="I579" s="1464"/>
      <c r="J579" s="1464"/>
      <c r="K579" s="1464"/>
      <c r="L579" s="1464"/>
      <c r="M579" s="1464"/>
      <c r="N579" s="1464"/>
      <c r="O579" s="1464"/>
      <c r="P579" s="1464"/>
      <c r="Q579" s="1464"/>
      <c r="R579" s="1464"/>
      <c r="T579" s="22"/>
      <c r="U579" t="s">
        <v>589</v>
      </c>
      <c r="Z579" s="1464" t="s">
        <v>2777</v>
      </c>
      <c r="AA579" s="1464"/>
      <c r="AB579" s="1464"/>
      <c r="AC579" s="1464"/>
      <c r="AD579" s="1464"/>
      <c r="AE579" s="1464"/>
      <c r="AF579" s="1464"/>
      <c r="AG579" s="1464"/>
      <c r="AH579" s="1464"/>
      <c r="AI579" s="1464"/>
      <c r="AJ579" s="1464"/>
      <c r="AK579" s="14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4" t="s">
        <v>2773</v>
      </c>
      <c r="H580" s="1464"/>
      <c r="I580" s="1464"/>
      <c r="J580" s="1464"/>
      <c r="K580" s="1464"/>
      <c r="L580" s="1464"/>
      <c r="M580" s="1464"/>
      <c r="N580" s="1464"/>
      <c r="O580" s="1464"/>
      <c r="P580" s="1464"/>
      <c r="Q580" s="1464"/>
      <c r="R580" s="1464"/>
      <c r="T580" s="22"/>
      <c r="U580" t="s">
        <v>17</v>
      </c>
      <c r="Z580" s="1464" t="s">
        <v>2779</v>
      </c>
      <c r="AA580" s="1464"/>
      <c r="AB580" s="1464"/>
      <c r="AC580" s="1464"/>
      <c r="AD580" s="1464"/>
      <c r="AE580" s="1464"/>
      <c r="AF580" s="1464"/>
      <c r="AG580" s="1464"/>
      <c r="AH580" s="1464"/>
      <c r="AI580" s="1464"/>
      <c r="AJ580" s="1464"/>
      <c r="AK580" s="146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54" t="s">
        <v>2774</v>
      </c>
      <c r="H581" s="1494"/>
      <c r="I581" s="1494"/>
      <c r="J581" s="1494"/>
      <c r="K581" s="1494"/>
      <c r="L581" s="1494"/>
      <c r="O581" s="33" t="s">
        <v>207</v>
      </c>
      <c r="P581" s="1496"/>
      <c r="Q581" s="1496"/>
      <c r="R581" s="1496"/>
      <c r="T581" s="22"/>
      <c r="U581" t="s">
        <v>317</v>
      </c>
      <c r="Z581" s="1554" t="s">
        <v>2780</v>
      </c>
      <c r="AA581" s="1494"/>
      <c r="AB581" s="1494"/>
      <c r="AC581" s="1494"/>
      <c r="AD581" s="1494"/>
      <c r="AE581" s="1494"/>
      <c r="AH581" s="33" t="s">
        <v>207</v>
      </c>
      <c r="AI581" s="1496"/>
      <c r="AJ581" s="1496"/>
      <c r="AK581" s="149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3" t="s">
        <v>2775</v>
      </c>
      <c r="I582" s="1463"/>
      <c r="J582" s="1463"/>
      <c r="K582" s="1463"/>
      <c r="L582" s="1463"/>
      <c r="M582" s="1463"/>
      <c r="N582" s="1463"/>
      <c r="O582" s="1463"/>
      <c r="P582" s="1463"/>
      <c r="Q582" s="1463"/>
      <c r="R582" s="1463"/>
      <c r="T582" s="22"/>
      <c r="U582" t="s">
        <v>18</v>
      </c>
      <c r="AA582" s="1463" t="s">
        <v>2775</v>
      </c>
      <c r="AB582" s="1463"/>
      <c r="AC582" s="1463"/>
      <c r="AD582" s="1463"/>
      <c r="AE582" s="1463"/>
      <c r="AF582" s="1463"/>
      <c r="AG582" s="1463"/>
      <c r="AH582" s="1463"/>
      <c r="AI582" s="1463"/>
      <c r="AJ582" s="1463"/>
      <c r="AK582" s="146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0" t="s">
        <v>554</v>
      </c>
      <c r="O583" s="1440"/>
      <c r="T583" s="22"/>
      <c r="U583" t="s">
        <v>20</v>
      </c>
      <c r="AG583" s="1440" t="s">
        <v>554</v>
      </c>
      <c r="AH583" s="144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62" t="str">
        <f>C558</f>
        <v>Enterprise - Tax Credit Equity</v>
      </c>
      <c r="H585" s="1462"/>
      <c r="I585" s="1462"/>
      <c r="J585" s="1462"/>
      <c r="K585" s="1462"/>
      <c r="L585" s="1462"/>
      <c r="M585" s="1462"/>
      <c r="N585" s="1462"/>
      <c r="O585" s="1462"/>
      <c r="P585" s="1462"/>
      <c r="Q585" s="1462"/>
      <c r="R585" s="1462"/>
      <c r="T585" s="55" t="s">
        <v>593</v>
      </c>
      <c r="U585" t="s">
        <v>472</v>
      </c>
      <c r="Z585" s="1462" t="str">
        <f>C559</f>
        <v>Deferred Costs</v>
      </c>
      <c r="AA585" s="1462"/>
      <c r="AB585" s="1462"/>
      <c r="AC585" s="1462"/>
      <c r="AD585" s="1462"/>
      <c r="AE585" s="1462"/>
      <c r="AF585" s="1462"/>
      <c r="AG585" s="1462"/>
      <c r="AH585" s="1462"/>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3" t="s">
        <v>2782</v>
      </c>
      <c r="H586" s="1463"/>
      <c r="I586" s="1463"/>
      <c r="J586" s="1463"/>
      <c r="K586" s="1463"/>
      <c r="L586" s="1463"/>
      <c r="M586" s="1463"/>
      <c r="N586" s="1463"/>
      <c r="O586" s="1463"/>
      <c r="P586" s="1463"/>
      <c r="Q586" s="1463"/>
      <c r="R586" s="1463"/>
      <c r="T586" s="22"/>
      <c r="U586" t="s">
        <v>85</v>
      </c>
      <c r="Z586" s="1463" t="s">
        <v>2674</v>
      </c>
      <c r="AA586" s="1463"/>
      <c r="AB586" s="1463"/>
      <c r="AC586" s="1463"/>
      <c r="AD586" s="1463"/>
      <c r="AE586" s="1463"/>
      <c r="AF586" s="1463"/>
      <c r="AG586" s="1463"/>
      <c r="AH586" s="1463"/>
      <c r="AI586" s="1463"/>
      <c r="AJ586" s="1463"/>
      <c r="AK586" s="146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63" t="s">
        <v>2743</v>
      </c>
      <c r="H587" s="1463"/>
      <c r="I587" s="1463"/>
      <c r="J587" s="1463"/>
      <c r="K587" s="1463"/>
      <c r="L587" s="1463"/>
      <c r="M587" s="1463"/>
      <c r="N587" s="1463"/>
      <c r="O587" s="1463"/>
      <c r="P587" s="1463"/>
      <c r="Q587" s="1463"/>
      <c r="R587" s="1463"/>
      <c r="T587" s="22"/>
      <c r="U587" t="s">
        <v>589</v>
      </c>
      <c r="Z587" s="1464" t="s">
        <v>2784</v>
      </c>
      <c r="AA587" s="1464"/>
      <c r="AB587" s="1464"/>
      <c r="AC587" s="1464"/>
      <c r="AD587" s="1464"/>
      <c r="AE587" s="1464"/>
      <c r="AF587" s="1464"/>
      <c r="AG587" s="1464"/>
      <c r="AH587" s="1464"/>
      <c r="AI587" s="1464"/>
      <c r="AJ587" s="1464"/>
      <c r="AK587" s="146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3" t="s">
        <v>2744</v>
      </c>
      <c r="H588" s="1463"/>
      <c r="I588" s="1463"/>
      <c r="J588" s="1463"/>
      <c r="K588" s="1463"/>
      <c r="L588" s="1463"/>
      <c r="M588" s="1463"/>
      <c r="N588" s="1463"/>
      <c r="O588" s="1463"/>
      <c r="P588" s="1463"/>
      <c r="Q588" s="1463"/>
      <c r="R588" s="1463"/>
      <c r="T588" s="22"/>
      <c r="U588" t="s">
        <v>17</v>
      </c>
      <c r="Z588" s="1464" t="s">
        <v>2672</v>
      </c>
      <c r="AA588" s="1464"/>
      <c r="AB588" s="1464"/>
      <c r="AC588" s="1464"/>
      <c r="AD588" s="1464"/>
      <c r="AE588" s="1464"/>
      <c r="AF588" s="1464"/>
      <c r="AG588" s="1464"/>
      <c r="AH588" s="1464"/>
      <c r="AI588" s="1464"/>
      <c r="AJ588" s="1464"/>
      <c r="AK588" s="1464"/>
    </row>
    <row r="589" spans="1:110" ht="12.95" customHeight="1">
      <c r="A589" s="22"/>
      <c r="B589" t="s">
        <v>317</v>
      </c>
      <c r="G589" s="1554" t="s">
        <v>2783</v>
      </c>
      <c r="H589" s="1494"/>
      <c r="I589" s="1494"/>
      <c r="J589" s="1494"/>
      <c r="K589" s="1494"/>
      <c r="L589" s="1494"/>
      <c r="O589" s="33" t="s">
        <v>207</v>
      </c>
      <c r="P589" s="1496"/>
      <c r="Q589" s="1496"/>
      <c r="R589" s="1496"/>
      <c r="T589" s="22"/>
      <c r="U589" t="s">
        <v>317</v>
      </c>
      <c r="Z589" s="1494" t="s">
        <v>2675</v>
      </c>
      <c r="AA589" s="1494"/>
      <c r="AB589" s="1494"/>
      <c r="AC589" s="1494"/>
      <c r="AD589" s="1494"/>
      <c r="AE589" s="1494"/>
      <c r="AH589" s="33" t="s">
        <v>207</v>
      </c>
      <c r="AI589" s="1496"/>
      <c r="AJ589" s="1496"/>
      <c r="AK589" s="149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3" t="s">
        <v>2650</v>
      </c>
      <c r="I590" s="1463"/>
      <c r="J590" s="1463"/>
      <c r="K590" s="1463"/>
      <c r="L590" s="1463"/>
      <c r="M590" s="1463"/>
      <c r="N590" s="1463"/>
      <c r="O590" s="1463"/>
      <c r="P590" s="1463"/>
      <c r="Q590" s="1463"/>
      <c r="R590" s="1463"/>
      <c r="T590" s="22"/>
      <c r="U590" t="s">
        <v>18</v>
      </c>
      <c r="AA590" s="1463" t="s">
        <v>2649</v>
      </c>
      <c r="AB590" s="1463"/>
      <c r="AC590" s="1463"/>
      <c r="AD590" s="1463"/>
      <c r="AE590" s="1463"/>
      <c r="AF590" s="1463"/>
      <c r="AG590" s="1463"/>
      <c r="AH590" s="1463"/>
      <c r="AI590" s="1463"/>
      <c r="AJ590" s="1463"/>
      <c r="AK590" s="146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0" t="s">
        <v>554</v>
      </c>
      <c r="O591" s="1440"/>
      <c r="T591" s="22"/>
      <c r="U591" t="s">
        <v>20</v>
      </c>
      <c r="AG591" s="1440" t="s">
        <v>554</v>
      </c>
      <c r="AH591" s="144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62">
        <f>C560</f>
        <v>0</v>
      </c>
      <c r="H593" s="1462"/>
      <c r="I593" s="1462"/>
      <c r="J593" s="1462"/>
      <c r="K593" s="1462"/>
      <c r="L593" s="1462"/>
      <c r="M593" s="1462"/>
      <c r="N593" s="1462"/>
      <c r="O593" s="1462"/>
      <c r="P593" s="1462"/>
      <c r="Q593" s="1462"/>
      <c r="R593" s="1462"/>
      <c r="T593" s="55" t="s">
        <v>465</v>
      </c>
      <c r="U593" t="s">
        <v>472</v>
      </c>
      <c r="Z593" s="1462">
        <f>C561</f>
        <v>0</v>
      </c>
      <c r="AA593" s="1462"/>
      <c r="AB593" s="1462"/>
      <c r="AC593" s="1462"/>
      <c r="AD593" s="1462"/>
      <c r="AE593" s="1462"/>
      <c r="AF593" s="1462"/>
      <c r="AG593" s="1462"/>
      <c r="AH593" s="1462"/>
      <c r="AI593" s="1462"/>
      <c r="AJ593" s="1462"/>
      <c r="AK593" s="146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3"/>
      <c r="H594" s="1463"/>
      <c r="I594" s="1463"/>
      <c r="J594" s="1463"/>
      <c r="K594" s="1463"/>
      <c r="L594" s="1463"/>
      <c r="M594" s="1463"/>
      <c r="N594" s="1463"/>
      <c r="O594" s="1463"/>
      <c r="P594" s="1463"/>
      <c r="Q594" s="1463"/>
      <c r="R594" s="1463"/>
      <c r="S594"/>
      <c r="T594" s="22"/>
      <c r="U594" t="s">
        <v>85</v>
      </c>
      <c r="V594"/>
      <c r="W594"/>
      <c r="X594"/>
      <c r="Y594"/>
      <c r="Z594" s="1463"/>
      <c r="AA594" s="1463"/>
      <c r="AB594" s="1463"/>
      <c r="AC594" s="1463"/>
      <c r="AD594" s="1463"/>
      <c r="AE594" s="1463"/>
      <c r="AF594" s="1463"/>
      <c r="AG594" s="1463"/>
      <c r="AH594" s="1463"/>
      <c r="AI594" s="1463"/>
      <c r="AJ594" s="1463"/>
      <c r="AK594" s="146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63"/>
      <c r="H595" s="1463"/>
      <c r="I595" s="1463"/>
      <c r="J595" s="1463"/>
      <c r="K595" s="1463"/>
      <c r="L595" s="1463"/>
      <c r="M595" s="1463"/>
      <c r="N595" s="1463"/>
      <c r="O595" s="1463"/>
      <c r="P595" s="1463"/>
      <c r="Q595" s="1463"/>
      <c r="R595" s="1463"/>
      <c r="S595"/>
      <c r="T595" s="22"/>
      <c r="U595" t="s">
        <v>589</v>
      </c>
      <c r="V595"/>
      <c r="W595"/>
      <c r="X595"/>
      <c r="Y595"/>
      <c r="Z595" s="1464"/>
      <c r="AA595" s="1464"/>
      <c r="AB595" s="1464"/>
      <c r="AC595" s="1464"/>
      <c r="AD595" s="1464"/>
      <c r="AE595" s="1464"/>
      <c r="AF595" s="1464"/>
      <c r="AG595" s="1464"/>
      <c r="AH595" s="1464"/>
      <c r="AI595" s="1464"/>
      <c r="AJ595" s="1464"/>
      <c r="AK595" s="146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3"/>
      <c r="H596" s="1463"/>
      <c r="I596" s="1463"/>
      <c r="J596" s="1463"/>
      <c r="K596" s="1463"/>
      <c r="L596" s="1463"/>
      <c r="M596" s="1463"/>
      <c r="N596" s="1463"/>
      <c r="O596" s="1463"/>
      <c r="P596" s="1463"/>
      <c r="Q596" s="1463"/>
      <c r="R596" s="1463"/>
      <c r="S596"/>
      <c r="T596" s="22"/>
      <c r="U596" t="s">
        <v>17</v>
      </c>
      <c r="V596"/>
      <c r="W596"/>
      <c r="X596"/>
      <c r="Y596"/>
      <c r="Z596" s="1464"/>
      <c r="AA596" s="1464"/>
      <c r="AB596" s="1464"/>
      <c r="AC596" s="1464"/>
      <c r="AD596" s="1464"/>
      <c r="AE596" s="1464"/>
      <c r="AF596" s="1464"/>
      <c r="AG596" s="1464"/>
      <c r="AH596" s="1464"/>
      <c r="AI596" s="1464"/>
      <c r="AJ596" s="1464"/>
      <c r="AK596" s="1464"/>
      <c r="AL596"/>
      <c r="AM596"/>
      <c r="AN596"/>
      <c r="AO596"/>
      <c r="AP596"/>
      <c r="AQ596"/>
      <c r="AR596"/>
      <c r="AS596"/>
      <c r="AT596"/>
      <c r="AU596"/>
      <c r="AV596"/>
      <c r="AW596"/>
      <c r="AX596"/>
      <c r="AY596"/>
      <c r="BA596" s="4" t="s">
        <v>325</v>
      </c>
      <c r="BB596" s="3"/>
      <c r="BC596" s="3"/>
      <c r="BD596" s="3"/>
      <c r="BE596" s="121" t="s">
        <v>483</v>
      </c>
      <c r="BF596" s="122"/>
      <c r="BG596" s="1523"/>
      <c r="BH596" s="1524"/>
      <c r="BI596" s="121" t="s">
        <v>484</v>
      </c>
      <c r="BJ596" s="122"/>
      <c r="BK596" s="1523"/>
      <c r="BL596" s="1524"/>
      <c r="BM596" s="3"/>
      <c r="BN596" s="1529" t="s">
        <v>642</v>
      </c>
      <c r="BO596" s="1530"/>
      <c r="BP596" s="1530"/>
      <c r="BQ596" s="1530"/>
      <c r="BR596" s="1531"/>
      <c r="BS596" s="1528" t="s">
        <v>326</v>
      </c>
      <c r="BT596" s="1528"/>
      <c r="BU596" s="1528"/>
      <c r="BV596" s="1528"/>
      <c r="BW596" s="1528"/>
      <c r="BX596" s="1528" t="s">
        <v>163</v>
      </c>
      <c r="BY596" s="1528"/>
      <c r="BZ596" s="1528"/>
      <c r="CA596" s="1528"/>
      <c r="CB596" s="1528"/>
      <c r="CC596" s="1528" t="s">
        <v>164</v>
      </c>
      <c r="CD596" s="1528"/>
      <c r="CE596" s="1528"/>
      <c r="CF596" s="1528"/>
      <c r="CG596" s="1528"/>
      <c r="CH596" s="1528" t="s">
        <v>469</v>
      </c>
      <c r="CI596" s="1528"/>
      <c r="CJ596" s="1528"/>
      <c r="CK596" s="1528"/>
      <c r="CL596" s="1528"/>
      <c r="CM596" s="1528" t="s">
        <v>30</v>
      </c>
      <c r="CN596" s="1528"/>
      <c r="CO596" s="1528"/>
      <c r="CP596" s="1528"/>
      <c r="CQ596" s="1528"/>
      <c r="CR596" s="89"/>
      <c r="CS596" s="1528" t="s">
        <v>642</v>
      </c>
      <c r="CT596" s="1528"/>
      <c r="CU596" s="1528"/>
      <c r="CV596" s="1528"/>
      <c r="CW596" s="1528"/>
      <c r="CX596" s="1528" t="s">
        <v>326</v>
      </c>
      <c r="CY596" s="1528"/>
      <c r="CZ596" s="1528"/>
      <c r="DA596" s="1528"/>
      <c r="DB596" s="1528"/>
      <c r="DC596" s="1528" t="s">
        <v>163</v>
      </c>
      <c r="DD596" s="1528"/>
      <c r="DE596" s="1528"/>
      <c r="DF596" s="1528"/>
      <c r="DG596" s="1528"/>
      <c r="DH596" s="1528" t="s">
        <v>164</v>
      </c>
      <c r="DI596" s="1528"/>
      <c r="DJ596" s="1528"/>
      <c r="DK596" s="1528"/>
      <c r="DL596" s="1528"/>
      <c r="DM596" s="1528" t="s">
        <v>469</v>
      </c>
      <c r="DN596" s="1528"/>
      <c r="DO596" s="1528"/>
      <c r="DP596" s="1528"/>
      <c r="DQ596" s="1528"/>
      <c r="DR596" s="1528" t="s">
        <v>30</v>
      </c>
      <c r="DS596" s="1528"/>
      <c r="DT596" s="1528"/>
      <c r="DU596" s="1528"/>
      <c r="DV596" s="1528"/>
      <c r="DX596" s="1528" t="s">
        <v>642</v>
      </c>
      <c r="DY596" s="1528"/>
      <c r="DZ596" s="1528"/>
      <c r="EA596" s="1528"/>
      <c r="EB596" s="1528"/>
      <c r="EC596" s="1528" t="s">
        <v>326</v>
      </c>
      <c r="ED596" s="1528"/>
      <c r="EE596" s="1528"/>
      <c r="EF596" s="1528"/>
      <c r="EG596" s="1528"/>
      <c r="EH596" s="1528" t="s">
        <v>163</v>
      </c>
      <c r="EI596" s="1528"/>
      <c r="EJ596" s="1528"/>
      <c r="EK596" s="1528"/>
      <c r="EL596" s="1528"/>
      <c r="EM596" s="1528" t="s">
        <v>164</v>
      </c>
      <c r="EN596" s="1528"/>
      <c r="EO596" s="1528"/>
      <c r="EP596" s="1528"/>
      <c r="EQ596" s="1528"/>
      <c r="ER596" s="1528" t="s">
        <v>469</v>
      </c>
      <c r="ES596" s="1528"/>
      <c r="ET596" s="1528"/>
      <c r="EU596" s="1528"/>
      <c r="EV596" s="1528"/>
      <c r="EW596" s="1528" t="s">
        <v>30</v>
      </c>
      <c r="EX596" s="1528"/>
      <c r="EY596" s="1528"/>
      <c r="EZ596" s="1528"/>
      <c r="FA596" s="1528"/>
    </row>
    <row r="597" spans="1:157" s="4" customFormat="1" ht="12.95" customHeight="1">
      <c r="A597" s="22"/>
      <c r="B597" t="s">
        <v>317</v>
      </c>
      <c r="C597"/>
      <c r="D597"/>
      <c r="E597"/>
      <c r="F597"/>
      <c r="G597" s="1494"/>
      <c r="H597" s="1494"/>
      <c r="I597" s="1494"/>
      <c r="J597" s="1494"/>
      <c r="K597" s="1494"/>
      <c r="L597" s="1494"/>
      <c r="M597"/>
      <c r="N597"/>
      <c r="O597" s="33" t="s">
        <v>207</v>
      </c>
      <c r="P597" s="1496"/>
      <c r="Q597" s="1496"/>
      <c r="R597" s="1496"/>
      <c r="S597"/>
      <c r="T597" s="22"/>
      <c r="U597" t="s">
        <v>317</v>
      </c>
      <c r="V597"/>
      <c r="W597"/>
      <c r="X597"/>
      <c r="Y597"/>
      <c r="Z597" s="1494"/>
      <c r="AA597" s="1494"/>
      <c r="AB597" s="1494"/>
      <c r="AC597" s="1494"/>
      <c r="AD597" s="1494"/>
      <c r="AE597" s="1494"/>
      <c r="AF597"/>
      <c r="AG597"/>
      <c r="AH597" s="33" t="s">
        <v>207</v>
      </c>
      <c r="AI597" s="1496"/>
      <c r="AJ597" s="1496"/>
      <c r="AK597" s="1496"/>
      <c r="AL597"/>
      <c r="AM597"/>
      <c r="AN597"/>
      <c r="AO597"/>
      <c r="AP597"/>
      <c r="AQ597"/>
      <c r="AR597"/>
      <c r="AS597"/>
      <c r="AT597"/>
      <c r="AU597"/>
      <c r="AV597"/>
      <c r="AW597"/>
      <c r="AX597"/>
      <c r="AY597"/>
      <c r="BA597" s="4" t="s">
        <v>326</v>
      </c>
      <c r="BB597" s="3"/>
      <c r="BC597" s="3"/>
      <c r="BD597" s="3"/>
      <c r="BE597" s="1360">
        <f t="shared" ref="BE597:BE631" si="1">IF(AND(AC718&lt;=0.5,AC718&gt;=0.36),1,0)</f>
        <v>0</v>
      </c>
      <c r="BF597" s="1362"/>
      <c r="BG597" s="1523">
        <f t="shared" ref="BG597:BG631" si="2">IF(BE597=1,G718,0)</f>
        <v>0</v>
      </c>
      <c r="BH597" s="1524"/>
      <c r="BI597" s="1360">
        <f t="shared" ref="BI597:BI631" si="3">IF(AND(AC718&lt;=0.35,AC718&gt;0),1,0)</f>
        <v>1</v>
      </c>
      <c r="BJ597" s="1362"/>
      <c r="BK597" s="1523">
        <f t="shared" ref="BK597:BK631" si="4">IF(BI597=1,G718,0)</f>
        <v>15</v>
      </c>
      <c r="BL597" s="1524"/>
      <c r="BM597" s="3"/>
      <c r="BN597" s="1525">
        <f t="shared" ref="BN597:BN631" si="5">IF(B718="SRO/Studio",G718,0)</f>
        <v>15</v>
      </c>
      <c r="BO597" s="1526"/>
      <c r="BP597" s="1526"/>
      <c r="BQ597" s="1526"/>
      <c r="BR597" s="1527"/>
      <c r="BS597" s="1363">
        <f t="shared" ref="BS597:BS631" si="6">IF(B718="1 Bedroom",G718,0)</f>
        <v>0</v>
      </c>
      <c r="BT597" s="1363"/>
      <c r="BU597" s="1363"/>
      <c r="BV597" s="1363"/>
      <c r="BW597" s="1363"/>
      <c r="BX597" s="1363">
        <f t="shared" ref="BX597:BX631" si="7">IF(B718="2 Bedrooms",G718,0)</f>
        <v>0</v>
      </c>
      <c r="BY597" s="1363"/>
      <c r="BZ597" s="1363"/>
      <c r="CA597" s="1363"/>
      <c r="CB597" s="1363"/>
      <c r="CC597" s="1363">
        <f t="shared" ref="CC597:CC631" si="8">IF(B718="3 Bedrooms",G718,0)</f>
        <v>0</v>
      </c>
      <c r="CD597" s="1363"/>
      <c r="CE597" s="1363"/>
      <c r="CF597" s="1363"/>
      <c r="CG597" s="1363"/>
      <c r="CH597" s="1363">
        <f t="shared" ref="CH597:CH631" si="9">IF(B718="4 Bedrooms",G718,0)</f>
        <v>0</v>
      </c>
      <c r="CI597" s="1363"/>
      <c r="CJ597" s="1363"/>
      <c r="CK597" s="1363"/>
      <c r="CL597" s="1363"/>
      <c r="CM597" s="1363">
        <f t="shared" ref="CM597:CM631" si="10">IF(B718="5 Bedrooms",G718,0)</f>
        <v>0</v>
      </c>
      <c r="CN597" s="1363"/>
      <c r="CO597" s="1363"/>
      <c r="CP597" s="1363"/>
      <c r="CQ597" s="1363"/>
      <c r="CR597" s="6"/>
      <c r="CS597" s="1355">
        <f t="shared" ref="CS597:CS631" si="11">IF(AND(B718="SRO/Studio",AC718&lt;=0.3),G718,0)</f>
        <v>15</v>
      </c>
      <c r="CT597" s="1355"/>
      <c r="CU597" s="1355"/>
      <c r="CV597" s="1355"/>
      <c r="CW597" s="1355"/>
      <c r="CX597" s="1355">
        <f t="shared" ref="CX597:CX631" si="12">IF(AND(B718="1 Bedroom",AC718&lt;=0.3),G718,0)</f>
        <v>0</v>
      </c>
      <c r="CY597" s="1355"/>
      <c r="CZ597" s="1355"/>
      <c r="DA597" s="1355"/>
      <c r="DB597" s="1355"/>
      <c r="DC597" s="1355">
        <f t="shared" ref="DC597:DC631" si="13">IF(AND(B718="2 Bedrooms",AC718&lt;=0.3),G718,0)</f>
        <v>0</v>
      </c>
      <c r="DD597" s="1355"/>
      <c r="DE597" s="1355"/>
      <c r="DF597" s="1355"/>
      <c r="DG597" s="1355"/>
      <c r="DH597" s="1355">
        <f t="shared" ref="DH597:DH631" si="14">IF(AND(B718="3 Bedrooms",AC718&lt;=0.3),G718,0)</f>
        <v>0</v>
      </c>
      <c r="DI597" s="1355"/>
      <c r="DJ597" s="1355"/>
      <c r="DK597" s="1355"/>
      <c r="DL597" s="1355"/>
      <c r="DM597" s="1355">
        <f t="shared" ref="DM597:DM631" si="15">IF(AND(B718="4 Bedrooms",AC718&lt;=0.3),G718,0)</f>
        <v>0</v>
      </c>
      <c r="DN597" s="1355"/>
      <c r="DO597" s="1355"/>
      <c r="DP597" s="1355"/>
      <c r="DQ597" s="1355"/>
      <c r="DR597" s="1355">
        <f t="shared" ref="DR597:DR631" si="16">IF(AND(B718="5 Bedrooms",AC718&lt;=0.3),G718,0)</f>
        <v>0</v>
      </c>
      <c r="DS597" s="1355"/>
      <c r="DT597" s="1355"/>
      <c r="DU597" s="1355"/>
      <c r="DV597" s="1355"/>
      <c r="DX597" s="1360">
        <f t="shared" ref="DX597:DX631" si="17">IF(BN597&gt;0,O718,"")</f>
        <v>913</v>
      </c>
      <c r="DY597" s="1361"/>
      <c r="DZ597" s="1361"/>
      <c r="EA597" s="1361"/>
      <c r="EB597" s="1362"/>
      <c r="EC597" s="1360" t="str">
        <f t="shared" ref="EC597:EC631" si="18">IF(BS597&gt;0,O718,"")</f>
        <v/>
      </c>
      <c r="ED597" s="1361"/>
      <c r="EE597" s="1361"/>
      <c r="EF597" s="1361"/>
      <c r="EG597" s="1362"/>
      <c r="EH597" s="1360" t="str">
        <f t="shared" ref="EH597:EH631" si="19">IF(BX597&gt;0,O718,"")</f>
        <v/>
      </c>
      <c r="EI597" s="1361"/>
      <c r="EJ597" s="1361"/>
      <c r="EK597" s="1361"/>
      <c r="EL597" s="1362"/>
      <c r="EM597" s="1360" t="str">
        <f t="shared" ref="EM597:EM631" si="20">IF(CC597&gt;0,O718,"")</f>
        <v/>
      </c>
      <c r="EN597" s="1361"/>
      <c r="EO597" s="1361"/>
      <c r="EP597" s="1361"/>
      <c r="EQ597" s="1362"/>
      <c r="ER597" s="1360" t="str">
        <f t="shared" ref="ER597:ER631" si="21">IF(CH597&gt;0,O718,"")</f>
        <v/>
      </c>
      <c r="ES597" s="1361"/>
      <c r="ET597" s="1361"/>
      <c r="EU597" s="1361"/>
      <c r="EV597" s="1362"/>
      <c r="EW597" s="1360" t="str">
        <f t="shared" ref="EW597:EW631" si="22">IF(CM597&gt;0,O718,"")</f>
        <v/>
      </c>
      <c r="EX597" s="1361"/>
      <c r="EY597" s="1361"/>
      <c r="EZ597" s="1361"/>
      <c r="FA597" s="1362"/>
    </row>
    <row r="598" spans="1:157" s="4" customFormat="1" ht="12.95" customHeight="1">
      <c r="A598" s="22"/>
      <c r="B598" t="s">
        <v>18</v>
      </c>
      <c r="C598"/>
      <c r="D598"/>
      <c r="E598"/>
      <c r="F598"/>
      <c r="G598"/>
      <c r="H598" s="1463"/>
      <c r="I598" s="1463"/>
      <c r="J598" s="1463"/>
      <c r="K598" s="1463"/>
      <c r="L598" s="1463"/>
      <c r="M598" s="1463"/>
      <c r="N598" s="1463"/>
      <c r="O598" s="1463"/>
      <c r="P598" s="1463"/>
      <c r="Q598" s="1463"/>
      <c r="R598" s="1463"/>
      <c r="S598"/>
      <c r="T598" s="22"/>
      <c r="U598" t="s">
        <v>18</v>
      </c>
      <c r="V598"/>
      <c r="W598"/>
      <c r="X598"/>
      <c r="Y598"/>
      <c r="Z598"/>
      <c r="AA598" s="1463"/>
      <c r="AB598" s="1463"/>
      <c r="AC598" s="1463"/>
      <c r="AD598" s="1463"/>
      <c r="AE598" s="1463"/>
      <c r="AF598" s="1463"/>
      <c r="AG598" s="1463"/>
      <c r="AH598" s="1463"/>
      <c r="AI598" s="1463"/>
      <c r="AJ598" s="1463"/>
      <c r="AK598" s="1463"/>
      <c r="AL598"/>
      <c r="AM598"/>
      <c r="AN598"/>
      <c r="AO598"/>
      <c r="AP598"/>
      <c r="AQ598"/>
      <c r="AR598"/>
      <c r="AS598"/>
      <c r="AT598"/>
      <c r="AU598"/>
      <c r="AV598"/>
      <c r="AW598"/>
      <c r="AX598"/>
      <c r="AY598"/>
      <c r="BA598" s="4" t="s">
        <v>163</v>
      </c>
      <c r="BB598" s="3"/>
      <c r="BC598" s="3"/>
      <c r="BD598" s="3"/>
      <c r="BE598" s="1360">
        <f t="shared" si="1"/>
        <v>0</v>
      </c>
      <c r="BF598" s="1362"/>
      <c r="BG598" s="1523">
        <f t="shared" si="2"/>
        <v>0</v>
      </c>
      <c r="BH598" s="1524"/>
      <c r="BI598" s="1360">
        <f t="shared" si="3"/>
        <v>1</v>
      </c>
      <c r="BJ598" s="1362"/>
      <c r="BK598" s="1523">
        <f t="shared" si="4"/>
        <v>18</v>
      </c>
      <c r="BL598" s="1524"/>
      <c r="BM598" s="3"/>
      <c r="BN598" s="1525">
        <f t="shared" si="5"/>
        <v>18</v>
      </c>
      <c r="BO598" s="1526"/>
      <c r="BP598" s="1526"/>
      <c r="BQ598" s="1526"/>
      <c r="BR598" s="1527"/>
      <c r="BS598" s="1363">
        <f t="shared" si="6"/>
        <v>0</v>
      </c>
      <c r="BT598" s="1363"/>
      <c r="BU598" s="1363"/>
      <c r="BV598" s="1363"/>
      <c r="BW598" s="1363"/>
      <c r="BX598" s="1363">
        <f t="shared" si="7"/>
        <v>0</v>
      </c>
      <c r="BY598" s="1363"/>
      <c r="BZ598" s="1363"/>
      <c r="CA598" s="1363"/>
      <c r="CB598" s="1363"/>
      <c r="CC598" s="1363">
        <f t="shared" si="8"/>
        <v>0</v>
      </c>
      <c r="CD598" s="1363"/>
      <c r="CE598" s="1363"/>
      <c r="CF598" s="1363"/>
      <c r="CG598" s="1363"/>
      <c r="CH598" s="1363">
        <f t="shared" si="9"/>
        <v>0</v>
      </c>
      <c r="CI598" s="1363"/>
      <c r="CJ598" s="1363"/>
      <c r="CK598" s="1363"/>
      <c r="CL598" s="1363"/>
      <c r="CM598" s="1363">
        <f t="shared" si="10"/>
        <v>0</v>
      </c>
      <c r="CN598" s="1363"/>
      <c r="CO598" s="1363"/>
      <c r="CP598" s="1363"/>
      <c r="CQ598" s="1363"/>
      <c r="CR598" s="6"/>
      <c r="CS598" s="1355">
        <f t="shared" si="11"/>
        <v>18</v>
      </c>
      <c r="CT598" s="1355"/>
      <c r="CU598" s="1355"/>
      <c r="CV598" s="1355"/>
      <c r="CW598" s="1355"/>
      <c r="CX598" s="1355">
        <f t="shared" si="12"/>
        <v>0</v>
      </c>
      <c r="CY598" s="1355"/>
      <c r="CZ598" s="1355"/>
      <c r="DA598" s="1355"/>
      <c r="DB598" s="1355"/>
      <c r="DC598" s="1355">
        <f t="shared" si="13"/>
        <v>0</v>
      </c>
      <c r="DD598" s="1355"/>
      <c r="DE598" s="1355"/>
      <c r="DF598" s="1355"/>
      <c r="DG598" s="1355"/>
      <c r="DH598" s="1355">
        <f t="shared" si="14"/>
        <v>0</v>
      </c>
      <c r="DI598" s="1355"/>
      <c r="DJ598" s="1355"/>
      <c r="DK598" s="1355"/>
      <c r="DL598" s="1355"/>
      <c r="DM598" s="1355">
        <f t="shared" si="15"/>
        <v>0</v>
      </c>
      <c r="DN598" s="1355"/>
      <c r="DO598" s="1355"/>
      <c r="DP598" s="1355"/>
      <c r="DQ598" s="1355"/>
      <c r="DR598" s="1355">
        <f t="shared" si="16"/>
        <v>0</v>
      </c>
      <c r="DS598" s="1355"/>
      <c r="DT598" s="1355"/>
      <c r="DU598" s="1355"/>
      <c r="DV598" s="1355"/>
      <c r="DX598" s="1360">
        <f t="shared" si="17"/>
        <v>913</v>
      </c>
      <c r="DY598" s="1361"/>
      <c r="DZ598" s="1361"/>
      <c r="EA598" s="1361"/>
      <c r="EB598" s="1362"/>
      <c r="EC598" s="1360" t="str">
        <f t="shared" si="18"/>
        <v/>
      </c>
      <c r="ED598" s="1361"/>
      <c r="EE598" s="1361"/>
      <c r="EF598" s="1361"/>
      <c r="EG598" s="1362"/>
      <c r="EH598" s="1360" t="str">
        <f t="shared" si="19"/>
        <v/>
      </c>
      <c r="EI598" s="1361"/>
      <c r="EJ598" s="1361"/>
      <c r="EK598" s="1361"/>
      <c r="EL598" s="1362"/>
      <c r="EM598" s="1360" t="str">
        <f t="shared" si="20"/>
        <v/>
      </c>
      <c r="EN598" s="1361"/>
      <c r="EO598" s="1361"/>
      <c r="EP598" s="1361"/>
      <c r="EQ598" s="1362"/>
      <c r="ER598" s="1360" t="str">
        <f t="shared" si="21"/>
        <v/>
      </c>
      <c r="ES598" s="1361"/>
      <c r="ET598" s="1361"/>
      <c r="EU598" s="1361"/>
      <c r="EV598" s="1362"/>
      <c r="EW598" s="1360" t="str">
        <f t="shared" si="22"/>
        <v/>
      </c>
      <c r="EX598" s="1361"/>
      <c r="EY598" s="1361"/>
      <c r="EZ598" s="1361"/>
      <c r="FA598" s="1362"/>
    </row>
    <row r="599" spans="1:157" ht="12.95" customHeight="1">
      <c r="A599" s="22"/>
      <c r="B599" t="s">
        <v>20</v>
      </c>
      <c r="N599" s="1440" t="s">
        <v>678</v>
      </c>
      <c r="O599" s="1440"/>
      <c r="T599" s="22"/>
      <c r="U599" t="s">
        <v>20</v>
      </c>
      <c r="AG599" s="1440" t="s">
        <v>678</v>
      </c>
      <c r="AH599" s="1440"/>
      <c r="BA599" s="4" t="s">
        <v>164</v>
      </c>
      <c r="BB599" s="3"/>
      <c r="BC599" s="3"/>
      <c r="BD599" s="3"/>
      <c r="BE599" s="1360">
        <f t="shared" si="1"/>
        <v>0</v>
      </c>
      <c r="BF599" s="1362"/>
      <c r="BG599" s="1523">
        <f t="shared" si="2"/>
        <v>0</v>
      </c>
      <c r="BH599" s="1524"/>
      <c r="BI599" s="1360">
        <f t="shared" si="3"/>
        <v>1</v>
      </c>
      <c r="BJ599" s="1362"/>
      <c r="BK599" s="1523">
        <f t="shared" si="4"/>
        <v>1</v>
      </c>
      <c r="BL599" s="1524"/>
      <c r="BM599" s="3"/>
      <c r="BN599" s="1525">
        <f t="shared" si="5"/>
        <v>1</v>
      </c>
      <c r="BO599" s="1526"/>
      <c r="BP599" s="1526"/>
      <c r="BQ599" s="1526"/>
      <c r="BR599" s="1527"/>
      <c r="BS599" s="1363">
        <f t="shared" si="6"/>
        <v>0</v>
      </c>
      <c r="BT599" s="1363"/>
      <c r="BU599" s="1363"/>
      <c r="BV599" s="1363"/>
      <c r="BW599" s="1363"/>
      <c r="BX599" s="1363">
        <f t="shared" si="7"/>
        <v>0</v>
      </c>
      <c r="BY599" s="1363"/>
      <c r="BZ599" s="1363"/>
      <c r="CA599" s="1363"/>
      <c r="CB599" s="1363"/>
      <c r="CC599" s="1363">
        <f t="shared" si="8"/>
        <v>0</v>
      </c>
      <c r="CD599" s="1363"/>
      <c r="CE599" s="1363"/>
      <c r="CF599" s="1363"/>
      <c r="CG599" s="1363"/>
      <c r="CH599" s="1363">
        <f t="shared" si="9"/>
        <v>0</v>
      </c>
      <c r="CI599" s="1363"/>
      <c r="CJ599" s="1363"/>
      <c r="CK599" s="1363"/>
      <c r="CL599" s="1363"/>
      <c r="CM599" s="1363">
        <f t="shared" si="10"/>
        <v>0</v>
      </c>
      <c r="CN599" s="1363"/>
      <c r="CO599" s="1363"/>
      <c r="CP599" s="1363"/>
      <c r="CQ599" s="1363"/>
      <c r="CR599" s="6"/>
      <c r="CS599" s="1355">
        <f t="shared" si="11"/>
        <v>1</v>
      </c>
      <c r="CT599" s="1355"/>
      <c r="CU599" s="1355"/>
      <c r="CV599" s="1355"/>
      <c r="CW599" s="1355"/>
      <c r="CX599" s="1355">
        <f t="shared" si="12"/>
        <v>0</v>
      </c>
      <c r="CY599" s="1355"/>
      <c r="CZ599" s="1355"/>
      <c r="DA599" s="1355"/>
      <c r="DB599" s="1355"/>
      <c r="DC599" s="1355">
        <f t="shared" si="13"/>
        <v>0</v>
      </c>
      <c r="DD599" s="1355"/>
      <c r="DE599" s="1355"/>
      <c r="DF599" s="1355"/>
      <c r="DG599" s="1355"/>
      <c r="DH599" s="1355">
        <f t="shared" si="14"/>
        <v>0</v>
      </c>
      <c r="DI599" s="1355"/>
      <c r="DJ599" s="1355"/>
      <c r="DK599" s="1355"/>
      <c r="DL599" s="1355"/>
      <c r="DM599" s="1355">
        <f t="shared" si="15"/>
        <v>0</v>
      </c>
      <c r="DN599" s="1355"/>
      <c r="DO599" s="1355"/>
      <c r="DP599" s="1355"/>
      <c r="DQ599" s="1355"/>
      <c r="DR599" s="1355">
        <f t="shared" si="16"/>
        <v>0</v>
      </c>
      <c r="DS599" s="1355"/>
      <c r="DT599" s="1355"/>
      <c r="DU599" s="1355"/>
      <c r="DV599" s="1355"/>
      <c r="DX599" s="1360">
        <f t="shared" si="17"/>
        <v>588</v>
      </c>
      <c r="DY599" s="1361"/>
      <c r="DZ599" s="1361"/>
      <c r="EA599" s="1361"/>
      <c r="EB599" s="1362"/>
      <c r="EC599" s="1360" t="str">
        <f t="shared" si="18"/>
        <v/>
      </c>
      <c r="ED599" s="1361"/>
      <c r="EE599" s="1361"/>
      <c r="EF599" s="1361"/>
      <c r="EG599" s="1362"/>
      <c r="EH599" s="1360" t="str">
        <f t="shared" si="19"/>
        <v/>
      </c>
      <c r="EI599" s="1361"/>
      <c r="EJ599" s="1361"/>
      <c r="EK599" s="1361"/>
      <c r="EL599" s="1362"/>
      <c r="EM599" s="1360" t="str">
        <f t="shared" si="20"/>
        <v/>
      </c>
      <c r="EN599" s="1361"/>
      <c r="EO599" s="1361"/>
      <c r="EP599" s="1361"/>
      <c r="EQ599" s="1362"/>
      <c r="ER599" s="1360" t="str">
        <f t="shared" si="21"/>
        <v/>
      </c>
      <c r="ES599" s="1361"/>
      <c r="ET599" s="1361"/>
      <c r="EU599" s="1361"/>
      <c r="EV599" s="1362"/>
      <c r="EW599" s="1360" t="str">
        <f t="shared" si="22"/>
        <v/>
      </c>
      <c r="EX599" s="1361"/>
      <c r="EY599" s="1361"/>
      <c r="EZ599" s="1361"/>
      <c r="FA599" s="1362"/>
    </row>
    <row r="600" spans="1:157" ht="12.95" customHeight="1">
      <c r="A600" s="22"/>
      <c r="T600" s="22"/>
      <c r="BA600" s="4" t="s">
        <v>165</v>
      </c>
      <c r="BB600" s="3"/>
      <c r="BC600" s="3"/>
      <c r="BD600" s="3"/>
      <c r="BE600" s="1360">
        <f t="shared" si="1"/>
        <v>1</v>
      </c>
      <c r="BF600" s="1362"/>
      <c r="BG600" s="1523">
        <f t="shared" si="2"/>
        <v>1</v>
      </c>
      <c r="BH600" s="1524"/>
      <c r="BI600" s="1360">
        <f t="shared" si="3"/>
        <v>0</v>
      </c>
      <c r="BJ600" s="1362"/>
      <c r="BK600" s="1523">
        <f t="shared" si="4"/>
        <v>0</v>
      </c>
      <c r="BL600" s="1524"/>
      <c r="BM600" s="3"/>
      <c r="BN600" s="1525">
        <f t="shared" si="5"/>
        <v>1</v>
      </c>
      <c r="BO600" s="1526"/>
      <c r="BP600" s="1526"/>
      <c r="BQ600" s="1526"/>
      <c r="BR600" s="1527"/>
      <c r="BS600" s="1363">
        <f t="shared" si="6"/>
        <v>0</v>
      </c>
      <c r="BT600" s="1363"/>
      <c r="BU600" s="1363"/>
      <c r="BV600" s="1363"/>
      <c r="BW600" s="1363"/>
      <c r="BX600" s="1363">
        <f t="shared" si="7"/>
        <v>0</v>
      </c>
      <c r="BY600" s="1363"/>
      <c r="BZ600" s="1363"/>
      <c r="CA600" s="1363"/>
      <c r="CB600" s="1363"/>
      <c r="CC600" s="1363">
        <f t="shared" si="8"/>
        <v>0</v>
      </c>
      <c r="CD600" s="1363"/>
      <c r="CE600" s="1363"/>
      <c r="CF600" s="1363"/>
      <c r="CG600" s="1363"/>
      <c r="CH600" s="1363">
        <f t="shared" si="9"/>
        <v>0</v>
      </c>
      <c r="CI600" s="1363"/>
      <c r="CJ600" s="1363"/>
      <c r="CK600" s="1363"/>
      <c r="CL600" s="1363"/>
      <c r="CM600" s="1363">
        <f t="shared" si="10"/>
        <v>0</v>
      </c>
      <c r="CN600" s="1363"/>
      <c r="CO600" s="1363"/>
      <c r="CP600" s="1363"/>
      <c r="CQ600" s="1363"/>
      <c r="CR600" s="6"/>
      <c r="CS600" s="1355">
        <f t="shared" si="11"/>
        <v>0</v>
      </c>
      <c r="CT600" s="1355"/>
      <c r="CU600" s="1355"/>
      <c r="CV600" s="1355"/>
      <c r="CW600" s="1355"/>
      <c r="CX600" s="1355">
        <f t="shared" si="12"/>
        <v>0</v>
      </c>
      <c r="CY600" s="1355"/>
      <c r="CZ600" s="1355"/>
      <c r="DA600" s="1355"/>
      <c r="DB600" s="1355"/>
      <c r="DC600" s="1355">
        <f t="shared" si="13"/>
        <v>0</v>
      </c>
      <c r="DD600" s="1355"/>
      <c r="DE600" s="1355"/>
      <c r="DF600" s="1355"/>
      <c r="DG600" s="1355"/>
      <c r="DH600" s="1355">
        <f t="shared" si="14"/>
        <v>0</v>
      </c>
      <c r="DI600" s="1355"/>
      <c r="DJ600" s="1355"/>
      <c r="DK600" s="1355"/>
      <c r="DL600" s="1355"/>
      <c r="DM600" s="1355">
        <f t="shared" si="15"/>
        <v>0</v>
      </c>
      <c r="DN600" s="1355"/>
      <c r="DO600" s="1355"/>
      <c r="DP600" s="1355"/>
      <c r="DQ600" s="1355"/>
      <c r="DR600" s="1355">
        <f t="shared" si="16"/>
        <v>0</v>
      </c>
      <c r="DS600" s="1355"/>
      <c r="DT600" s="1355"/>
      <c r="DU600" s="1355"/>
      <c r="DV600" s="1355"/>
      <c r="DX600" s="1360">
        <f t="shared" si="17"/>
        <v>1564</v>
      </c>
      <c r="DY600" s="1361"/>
      <c r="DZ600" s="1361"/>
      <c r="EA600" s="1361"/>
      <c r="EB600" s="1362"/>
      <c r="EC600" s="1360" t="str">
        <f t="shared" si="18"/>
        <v/>
      </c>
      <c r="ED600" s="1361"/>
      <c r="EE600" s="1361"/>
      <c r="EF600" s="1361"/>
      <c r="EG600" s="1362"/>
      <c r="EH600" s="1360" t="str">
        <f t="shared" si="19"/>
        <v/>
      </c>
      <c r="EI600" s="1361"/>
      <c r="EJ600" s="1361"/>
      <c r="EK600" s="1361"/>
      <c r="EL600" s="1362"/>
      <c r="EM600" s="1360" t="str">
        <f t="shared" si="20"/>
        <v/>
      </c>
      <c r="EN600" s="1361"/>
      <c r="EO600" s="1361"/>
      <c r="EP600" s="1361"/>
      <c r="EQ600" s="1362"/>
      <c r="ER600" s="1360" t="str">
        <f t="shared" si="21"/>
        <v/>
      </c>
      <c r="ES600" s="1361"/>
      <c r="ET600" s="1361"/>
      <c r="EU600" s="1361"/>
      <c r="EV600" s="1362"/>
      <c r="EW600" s="1360" t="str">
        <f t="shared" si="22"/>
        <v/>
      </c>
      <c r="EX600" s="1361"/>
      <c r="EY600" s="1361"/>
      <c r="EZ600" s="1361"/>
      <c r="FA600" s="1362"/>
    </row>
    <row r="601" spans="1:157" ht="12.95" customHeight="1">
      <c r="A601" s="55" t="s">
        <v>470</v>
      </c>
      <c r="B601" t="s">
        <v>472</v>
      </c>
      <c r="G601" s="1462">
        <f>C562</f>
        <v>0</v>
      </c>
      <c r="H601" s="1462"/>
      <c r="I601" s="1462"/>
      <c r="J601" s="1462"/>
      <c r="K601" s="1462"/>
      <c r="L601" s="1462"/>
      <c r="M601" s="1462"/>
      <c r="N601" s="1462"/>
      <c r="O601" s="1462"/>
      <c r="P601" s="1462"/>
      <c r="Q601" s="1462"/>
      <c r="R601" s="1462"/>
      <c r="T601" s="55" t="s">
        <v>655</v>
      </c>
      <c r="U601" t="s">
        <v>472</v>
      </c>
      <c r="Z601" s="1462">
        <f>C563</f>
        <v>0</v>
      </c>
      <c r="AA601" s="1462"/>
      <c r="AB601" s="1462"/>
      <c r="AC601" s="1462"/>
      <c r="AD601" s="1462"/>
      <c r="AE601" s="1462"/>
      <c r="AF601" s="1462"/>
      <c r="AG601" s="1462"/>
      <c r="AH601" s="1462"/>
      <c r="AI601" s="1462"/>
      <c r="AJ601" s="1462"/>
      <c r="AK601" s="1462"/>
      <c r="BA601" s="4" t="s">
        <v>30</v>
      </c>
      <c r="BB601" s="3"/>
      <c r="BC601" s="3"/>
      <c r="BD601" s="3"/>
      <c r="BE601" s="1360">
        <f t="shared" si="1"/>
        <v>0</v>
      </c>
      <c r="BF601" s="1362"/>
      <c r="BG601" s="1523">
        <f t="shared" si="2"/>
        <v>0</v>
      </c>
      <c r="BH601" s="1524"/>
      <c r="BI601" s="1360">
        <f t="shared" si="3"/>
        <v>0</v>
      </c>
      <c r="BJ601" s="1362"/>
      <c r="BK601" s="1523">
        <f t="shared" si="4"/>
        <v>0</v>
      </c>
      <c r="BL601" s="1524"/>
      <c r="BM601" s="3"/>
      <c r="BN601" s="1525">
        <f t="shared" si="5"/>
        <v>0</v>
      </c>
      <c r="BO601" s="1526"/>
      <c r="BP601" s="1526"/>
      <c r="BQ601" s="1526"/>
      <c r="BR601" s="1527"/>
      <c r="BS601" s="1363">
        <f t="shared" si="6"/>
        <v>0</v>
      </c>
      <c r="BT601" s="1363"/>
      <c r="BU601" s="1363"/>
      <c r="BV601" s="1363"/>
      <c r="BW601" s="1363"/>
      <c r="BX601" s="1363">
        <f t="shared" si="7"/>
        <v>0</v>
      </c>
      <c r="BY601" s="1363"/>
      <c r="BZ601" s="1363"/>
      <c r="CA601" s="1363"/>
      <c r="CB601" s="1363"/>
      <c r="CC601" s="1363">
        <f t="shared" si="8"/>
        <v>0</v>
      </c>
      <c r="CD601" s="1363"/>
      <c r="CE601" s="1363"/>
      <c r="CF601" s="1363"/>
      <c r="CG601" s="1363"/>
      <c r="CH601" s="1363">
        <f t="shared" si="9"/>
        <v>0</v>
      </c>
      <c r="CI601" s="1363"/>
      <c r="CJ601" s="1363"/>
      <c r="CK601" s="1363"/>
      <c r="CL601" s="1363"/>
      <c r="CM601" s="1363">
        <f t="shared" si="10"/>
        <v>0</v>
      </c>
      <c r="CN601" s="1363"/>
      <c r="CO601" s="1363"/>
      <c r="CP601" s="1363"/>
      <c r="CQ601" s="1363"/>
      <c r="CR601" s="6"/>
      <c r="CS601" s="1355">
        <f t="shared" si="11"/>
        <v>0</v>
      </c>
      <c r="CT601" s="1355"/>
      <c r="CU601" s="1355"/>
      <c r="CV601" s="1355"/>
      <c r="CW601" s="1355"/>
      <c r="CX601" s="1355">
        <f t="shared" si="12"/>
        <v>0</v>
      </c>
      <c r="CY601" s="1355"/>
      <c r="CZ601" s="1355"/>
      <c r="DA601" s="1355"/>
      <c r="DB601" s="1355"/>
      <c r="DC601" s="1355">
        <f t="shared" si="13"/>
        <v>0</v>
      </c>
      <c r="DD601" s="1355"/>
      <c r="DE601" s="1355"/>
      <c r="DF601" s="1355"/>
      <c r="DG601" s="1355"/>
      <c r="DH601" s="1355">
        <f t="shared" si="14"/>
        <v>0</v>
      </c>
      <c r="DI601" s="1355"/>
      <c r="DJ601" s="1355"/>
      <c r="DK601" s="1355"/>
      <c r="DL601" s="1355"/>
      <c r="DM601" s="1355">
        <f t="shared" si="15"/>
        <v>0</v>
      </c>
      <c r="DN601" s="1355"/>
      <c r="DO601" s="1355"/>
      <c r="DP601" s="1355"/>
      <c r="DQ601" s="1355"/>
      <c r="DR601" s="1355">
        <f t="shared" si="16"/>
        <v>0</v>
      </c>
      <c r="DS601" s="1355"/>
      <c r="DT601" s="1355"/>
      <c r="DU601" s="1355"/>
      <c r="DV601" s="1355"/>
      <c r="DX601" s="1360" t="str">
        <f t="shared" si="17"/>
        <v/>
      </c>
      <c r="DY601" s="1361"/>
      <c r="DZ601" s="1361"/>
      <c r="EA601" s="1361"/>
      <c r="EB601" s="1362"/>
      <c r="EC601" s="1360" t="str">
        <f t="shared" si="18"/>
        <v/>
      </c>
      <c r="ED601" s="1361"/>
      <c r="EE601" s="1361"/>
      <c r="EF601" s="1361"/>
      <c r="EG601" s="1362"/>
      <c r="EH601" s="1360" t="str">
        <f t="shared" si="19"/>
        <v/>
      </c>
      <c r="EI601" s="1361"/>
      <c r="EJ601" s="1361"/>
      <c r="EK601" s="1361"/>
      <c r="EL601" s="1362"/>
      <c r="EM601" s="1360" t="str">
        <f t="shared" si="20"/>
        <v/>
      </c>
      <c r="EN601" s="1361"/>
      <c r="EO601" s="1361"/>
      <c r="EP601" s="1361"/>
      <c r="EQ601" s="1362"/>
      <c r="ER601" s="1360" t="str">
        <f t="shared" si="21"/>
        <v/>
      </c>
      <c r="ES601" s="1361"/>
      <c r="ET601" s="1361"/>
      <c r="EU601" s="1361"/>
      <c r="EV601" s="1362"/>
      <c r="EW601" s="1360" t="str">
        <f t="shared" si="22"/>
        <v/>
      </c>
      <c r="EX601" s="1361"/>
      <c r="EY601" s="1361"/>
      <c r="EZ601" s="1361"/>
      <c r="FA601" s="1362"/>
    </row>
    <row r="602" spans="1:157" ht="12.95" customHeight="1">
      <c r="A602" s="22"/>
      <c r="B602" t="s">
        <v>85</v>
      </c>
      <c r="G602" s="1463"/>
      <c r="H602" s="1463"/>
      <c r="I602" s="1463"/>
      <c r="J602" s="1463"/>
      <c r="K602" s="1463"/>
      <c r="L602" s="1463"/>
      <c r="M602" s="1463"/>
      <c r="N602" s="1463"/>
      <c r="O602" s="1463"/>
      <c r="P602" s="1463"/>
      <c r="Q602" s="1463"/>
      <c r="R602" s="1463"/>
      <c r="T602" s="22"/>
      <c r="U602" t="s">
        <v>85</v>
      </c>
      <c r="Z602" s="1463"/>
      <c r="AA602" s="1463"/>
      <c r="AB602" s="1463"/>
      <c r="AC602" s="1463"/>
      <c r="AD602" s="1463"/>
      <c r="AE602" s="1463"/>
      <c r="AF602" s="1463"/>
      <c r="AG602" s="1463"/>
      <c r="AH602" s="1463"/>
      <c r="AI602" s="1463"/>
      <c r="AJ602" s="1463"/>
      <c r="AK602" s="1463"/>
      <c r="AZ602" s="3"/>
      <c r="BA602" s="3"/>
      <c r="BB602" s="3"/>
      <c r="BC602" s="3"/>
      <c r="BD602" s="3"/>
      <c r="BE602" s="1360">
        <f t="shared" si="1"/>
        <v>0</v>
      </c>
      <c r="BF602" s="1362"/>
      <c r="BG602" s="1523">
        <f t="shared" si="2"/>
        <v>0</v>
      </c>
      <c r="BH602" s="1524"/>
      <c r="BI602" s="1360">
        <f t="shared" si="3"/>
        <v>1</v>
      </c>
      <c r="BJ602" s="1362"/>
      <c r="BK602" s="1523">
        <f t="shared" si="4"/>
        <v>9</v>
      </c>
      <c r="BL602" s="1524"/>
      <c r="BM602" s="3"/>
      <c r="BN602" s="1525">
        <f t="shared" si="5"/>
        <v>0</v>
      </c>
      <c r="BO602" s="1526"/>
      <c r="BP602" s="1526"/>
      <c r="BQ602" s="1526"/>
      <c r="BR602" s="1527"/>
      <c r="BS602" s="1363">
        <f t="shared" si="6"/>
        <v>9</v>
      </c>
      <c r="BT602" s="1363"/>
      <c r="BU602" s="1363"/>
      <c r="BV602" s="1363"/>
      <c r="BW602" s="1363"/>
      <c r="BX602" s="1363">
        <f t="shared" si="7"/>
        <v>0</v>
      </c>
      <c r="BY602" s="1363"/>
      <c r="BZ602" s="1363"/>
      <c r="CA602" s="1363"/>
      <c r="CB602" s="1363"/>
      <c r="CC602" s="1363">
        <f t="shared" si="8"/>
        <v>0</v>
      </c>
      <c r="CD602" s="1363"/>
      <c r="CE602" s="1363"/>
      <c r="CF602" s="1363"/>
      <c r="CG602" s="1363"/>
      <c r="CH602" s="1363">
        <f t="shared" si="9"/>
        <v>0</v>
      </c>
      <c r="CI602" s="1363"/>
      <c r="CJ602" s="1363"/>
      <c r="CK602" s="1363"/>
      <c r="CL602" s="1363"/>
      <c r="CM602" s="1363">
        <f t="shared" si="10"/>
        <v>0</v>
      </c>
      <c r="CN602" s="1363"/>
      <c r="CO602" s="1363"/>
      <c r="CP602" s="1363"/>
      <c r="CQ602" s="1363"/>
      <c r="CR602" s="6"/>
      <c r="CS602" s="1355">
        <f t="shared" si="11"/>
        <v>0</v>
      </c>
      <c r="CT602" s="1355"/>
      <c r="CU602" s="1355"/>
      <c r="CV602" s="1355"/>
      <c r="CW602" s="1355"/>
      <c r="CX602" s="1355">
        <f t="shared" si="12"/>
        <v>9</v>
      </c>
      <c r="CY602" s="1355"/>
      <c r="CZ602" s="1355"/>
      <c r="DA602" s="1355"/>
      <c r="DB602" s="1355"/>
      <c r="DC602" s="1355">
        <f t="shared" si="13"/>
        <v>0</v>
      </c>
      <c r="DD602" s="1355"/>
      <c r="DE602" s="1355"/>
      <c r="DF602" s="1355"/>
      <c r="DG602" s="1355"/>
      <c r="DH602" s="1355">
        <f t="shared" si="14"/>
        <v>0</v>
      </c>
      <c r="DI602" s="1355"/>
      <c r="DJ602" s="1355"/>
      <c r="DK602" s="1355"/>
      <c r="DL602" s="1355"/>
      <c r="DM602" s="1355">
        <f t="shared" si="15"/>
        <v>0</v>
      </c>
      <c r="DN602" s="1355"/>
      <c r="DO602" s="1355"/>
      <c r="DP602" s="1355"/>
      <c r="DQ602" s="1355"/>
      <c r="DR602" s="1355">
        <f t="shared" si="16"/>
        <v>0</v>
      </c>
      <c r="DS602" s="1355"/>
      <c r="DT602" s="1355"/>
      <c r="DU602" s="1355"/>
      <c r="DV602" s="1355"/>
      <c r="DX602" s="1360" t="str">
        <f t="shared" si="17"/>
        <v/>
      </c>
      <c r="DY602" s="1361"/>
      <c r="DZ602" s="1361"/>
      <c r="EA602" s="1361"/>
      <c r="EB602" s="1362"/>
      <c r="EC602" s="1360">
        <f t="shared" si="18"/>
        <v>971</v>
      </c>
      <c r="ED602" s="1361"/>
      <c r="EE602" s="1361"/>
      <c r="EF602" s="1361"/>
      <c r="EG602" s="1362"/>
      <c r="EH602" s="1360" t="str">
        <f t="shared" si="19"/>
        <v/>
      </c>
      <c r="EI602" s="1361"/>
      <c r="EJ602" s="1361"/>
      <c r="EK602" s="1361"/>
      <c r="EL602" s="1362"/>
      <c r="EM602" s="1360" t="str">
        <f t="shared" si="20"/>
        <v/>
      </c>
      <c r="EN602" s="1361"/>
      <c r="EO602" s="1361"/>
      <c r="EP602" s="1361"/>
      <c r="EQ602" s="1362"/>
      <c r="ER602" s="1360" t="str">
        <f t="shared" si="21"/>
        <v/>
      </c>
      <c r="ES602" s="1361"/>
      <c r="ET602" s="1361"/>
      <c r="EU602" s="1361"/>
      <c r="EV602" s="1362"/>
      <c r="EW602" s="1360" t="str">
        <f t="shared" si="22"/>
        <v/>
      </c>
      <c r="EX602" s="1361"/>
      <c r="EY602" s="1361"/>
      <c r="EZ602" s="1361"/>
      <c r="FA602" s="1362"/>
    </row>
    <row r="603" spans="1:157" ht="12.95" customHeight="1">
      <c r="A603" s="22"/>
      <c r="B603" t="s">
        <v>589</v>
      </c>
      <c r="G603" s="1463"/>
      <c r="H603" s="1463"/>
      <c r="I603" s="1463"/>
      <c r="J603" s="1463"/>
      <c r="K603" s="1463"/>
      <c r="L603" s="1463"/>
      <c r="M603" s="1463"/>
      <c r="N603" s="1463"/>
      <c r="O603" s="1463"/>
      <c r="P603" s="1463"/>
      <c r="Q603" s="1463"/>
      <c r="R603" s="1463"/>
      <c r="T603" s="22"/>
      <c r="U603" t="s">
        <v>589</v>
      </c>
      <c r="Z603" s="1464"/>
      <c r="AA603" s="1464"/>
      <c r="AB603" s="1464"/>
      <c r="AC603" s="1464"/>
      <c r="AD603" s="1464"/>
      <c r="AE603" s="1464"/>
      <c r="AF603" s="1464"/>
      <c r="AG603" s="1464"/>
      <c r="AH603" s="1464"/>
      <c r="AI603" s="1464"/>
      <c r="AJ603" s="1464"/>
      <c r="AK603" s="1464"/>
      <c r="AZ603" s="3"/>
      <c r="BA603" s="3"/>
      <c r="BB603" s="3"/>
      <c r="BC603" s="3"/>
      <c r="BD603" s="3"/>
      <c r="BE603" s="1360">
        <f t="shared" si="1"/>
        <v>0</v>
      </c>
      <c r="BF603" s="1362"/>
      <c r="BG603" s="1523">
        <f t="shared" si="2"/>
        <v>0</v>
      </c>
      <c r="BH603" s="1524"/>
      <c r="BI603" s="1360">
        <f t="shared" si="3"/>
        <v>0</v>
      </c>
      <c r="BJ603" s="1362"/>
      <c r="BK603" s="1523">
        <f t="shared" si="4"/>
        <v>0</v>
      </c>
      <c r="BL603" s="1524"/>
      <c r="BM603" s="3"/>
      <c r="BN603" s="1525">
        <f t="shared" si="5"/>
        <v>0</v>
      </c>
      <c r="BO603" s="1526"/>
      <c r="BP603" s="1526"/>
      <c r="BQ603" s="1526"/>
      <c r="BR603" s="1527"/>
      <c r="BS603" s="1363">
        <f t="shared" si="6"/>
        <v>0</v>
      </c>
      <c r="BT603" s="1363"/>
      <c r="BU603" s="1363"/>
      <c r="BV603" s="1363"/>
      <c r="BW603" s="1363"/>
      <c r="BX603" s="1363">
        <f t="shared" si="7"/>
        <v>0</v>
      </c>
      <c r="BY603" s="1363"/>
      <c r="BZ603" s="1363"/>
      <c r="CA603" s="1363"/>
      <c r="CB603" s="1363"/>
      <c r="CC603" s="1363">
        <f t="shared" si="8"/>
        <v>0</v>
      </c>
      <c r="CD603" s="1363"/>
      <c r="CE603" s="1363"/>
      <c r="CF603" s="1363"/>
      <c r="CG603" s="1363"/>
      <c r="CH603" s="1363">
        <f t="shared" si="9"/>
        <v>0</v>
      </c>
      <c r="CI603" s="1363"/>
      <c r="CJ603" s="1363"/>
      <c r="CK603" s="1363"/>
      <c r="CL603" s="1363"/>
      <c r="CM603" s="1363">
        <f t="shared" si="10"/>
        <v>0</v>
      </c>
      <c r="CN603" s="1363"/>
      <c r="CO603" s="1363"/>
      <c r="CP603" s="1363"/>
      <c r="CQ603" s="1363"/>
      <c r="CR603" s="6"/>
      <c r="CS603" s="1355">
        <f t="shared" si="11"/>
        <v>0</v>
      </c>
      <c r="CT603" s="1355"/>
      <c r="CU603" s="1355"/>
      <c r="CV603" s="1355"/>
      <c r="CW603" s="1355"/>
      <c r="CX603" s="1355">
        <f t="shared" si="12"/>
        <v>0</v>
      </c>
      <c r="CY603" s="1355"/>
      <c r="CZ603" s="1355"/>
      <c r="DA603" s="1355"/>
      <c r="DB603" s="1355"/>
      <c r="DC603" s="1355">
        <f t="shared" si="13"/>
        <v>0</v>
      </c>
      <c r="DD603" s="1355"/>
      <c r="DE603" s="1355"/>
      <c r="DF603" s="1355"/>
      <c r="DG603" s="1355"/>
      <c r="DH603" s="1355">
        <f t="shared" si="14"/>
        <v>0</v>
      </c>
      <c r="DI603" s="1355"/>
      <c r="DJ603" s="1355"/>
      <c r="DK603" s="1355"/>
      <c r="DL603" s="1355"/>
      <c r="DM603" s="1355">
        <f t="shared" si="15"/>
        <v>0</v>
      </c>
      <c r="DN603" s="1355"/>
      <c r="DO603" s="1355"/>
      <c r="DP603" s="1355"/>
      <c r="DQ603" s="1355"/>
      <c r="DR603" s="1355">
        <f t="shared" si="16"/>
        <v>0</v>
      </c>
      <c r="DS603" s="1355"/>
      <c r="DT603" s="1355"/>
      <c r="DU603" s="1355"/>
      <c r="DV603" s="1355"/>
      <c r="DX603" s="1360" t="str">
        <f t="shared" si="17"/>
        <v/>
      </c>
      <c r="DY603" s="1361"/>
      <c r="DZ603" s="1361"/>
      <c r="EA603" s="1361"/>
      <c r="EB603" s="1362"/>
      <c r="EC603" s="1360" t="str">
        <f t="shared" si="18"/>
        <v/>
      </c>
      <c r="ED603" s="1361"/>
      <c r="EE603" s="1361"/>
      <c r="EF603" s="1361"/>
      <c r="EG603" s="1362"/>
      <c r="EH603" s="1360" t="str">
        <f t="shared" si="19"/>
        <v/>
      </c>
      <c r="EI603" s="1361"/>
      <c r="EJ603" s="1361"/>
      <c r="EK603" s="1361"/>
      <c r="EL603" s="1362"/>
      <c r="EM603" s="1360" t="str">
        <f t="shared" si="20"/>
        <v/>
      </c>
      <c r="EN603" s="1361"/>
      <c r="EO603" s="1361"/>
      <c r="EP603" s="1361"/>
      <c r="EQ603" s="1362"/>
      <c r="ER603" s="1360" t="str">
        <f t="shared" si="21"/>
        <v/>
      </c>
      <c r="ES603" s="1361"/>
      <c r="ET603" s="1361"/>
      <c r="EU603" s="1361"/>
      <c r="EV603" s="1362"/>
      <c r="EW603" s="1360" t="str">
        <f t="shared" si="22"/>
        <v/>
      </c>
      <c r="EX603" s="1361"/>
      <c r="EY603" s="1361"/>
      <c r="EZ603" s="1361"/>
      <c r="FA603" s="1362"/>
    </row>
    <row r="604" spans="1:157" ht="12.95" customHeight="1">
      <c r="A604" s="22"/>
      <c r="B604" t="s">
        <v>17</v>
      </c>
      <c r="G604" s="1463"/>
      <c r="H604" s="1463"/>
      <c r="I604" s="1463"/>
      <c r="J604" s="1463"/>
      <c r="K604" s="1463"/>
      <c r="L604" s="1463"/>
      <c r="M604" s="1463"/>
      <c r="N604" s="1463"/>
      <c r="O604" s="1463"/>
      <c r="P604" s="1463"/>
      <c r="Q604" s="1463"/>
      <c r="R604" s="1463"/>
      <c r="T604" s="22"/>
      <c r="U604" t="s">
        <v>17</v>
      </c>
      <c r="Z604" s="1464"/>
      <c r="AA604" s="1464"/>
      <c r="AB604" s="1464"/>
      <c r="AC604" s="1464"/>
      <c r="AD604" s="1464"/>
      <c r="AE604" s="1464"/>
      <c r="AF604" s="1464"/>
      <c r="AG604" s="1464"/>
      <c r="AH604" s="1464"/>
      <c r="AI604" s="1464"/>
      <c r="AJ604" s="1464"/>
      <c r="AK604" s="1464"/>
      <c r="AZ604" s="3"/>
      <c r="BA604" s="3"/>
      <c r="BB604" s="3"/>
      <c r="BC604" s="3"/>
      <c r="BD604" s="3"/>
      <c r="BE604" s="1360">
        <f t="shared" si="1"/>
        <v>0</v>
      </c>
      <c r="BF604" s="1362"/>
      <c r="BG604" s="1523">
        <f t="shared" si="2"/>
        <v>0</v>
      </c>
      <c r="BH604" s="1524"/>
      <c r="BI604" s="1360">
        <f t="shared" si="3"/>
        <v>1</v>
      </c>
      <c r="BJ604" s="1362"/>
      <c r="BK604" s="1523">
        <f t="shared" si="4"/>
        <v>11</v>
      </c>
      <c r="BL604" s="1524"/>
      <c r="BM604" s="3"/>
      <c r="BN604" s="1525">
        <f t="shared" si="5"/>
        <v>0</v>
      </c>
      <c r="BO604" s="1526"/>
      <c r="BP604" s="1526"/>
      <c r="BQ604" s="1526"/>
      <c r="BR604" s="1527"/>
      <c r="BS604" s="1363">
        <f t="shared" si="6"/>
        <v>11</v>
      </c>
      <c r="BT604" s="1363"/>
      <c r="BU604" s="1363"/>
      <c r="BV604" s="1363"/>
      <c r="BW604" s="1363"/>
      <c r="BX604" s="1363">
        <f t="shared" si="7"/>
        <v>0</v>
      </c>
      <c r="BY604" s="1363"/>
      <c r="BZ604" s="1363"/>
      <c r="CA604" s="1363"/>
      <c r="CB604" s="1363"/>
      <c r="CC604" s="1363">
        <f t="shared" si="8"/>
        <v>0</v>
      </c>
      <c r="CD604" s="1363"/>
      <c r="CE604" s="1363"/>
      <c r="CF604" s="1363"/>
      <c r="CG604" s="1363"/>
      <c r="CH604" s="1363">
        <f t="shared" si="9"/>
        <v>0</v>
      </c>
      <c r="CI604" s="1363"/>
      <c r="CJ604" s="1363"/>
      <c r="CK604" s="1363"/>
      <c r="CL604" s="1363"/>
      <c r="CM604" s="1363">
        <f t="shared" si="10"/>
        <v>0</v>
      </c>
      <c r="CN604" s="1363"/>
      <c r="CO604" s="1363"/>
      <c r="CP604" s="1363"/>
      <c r="CQ604" s="1363"/>
      <c r="CR604" s="6"/>
      <c r="CS604" s="1355">
        <f t="shared" si="11"/>
        <v>0</v>
      </c>
      <c r="CT604" s="1355"/>
      <c r="CU604" s="1355"/>
      <c r="CV604" s="1355"/>
      <c r="CW604" s="1355"/>
      <c r="CX604" s="1355">
        <f t="shared" si="12"/>
        <v>11</v>
      </c>
      <c r="CY604" s="1355"/>
      <c r="CZ604" s="1355"/>
      <c r="DA604" s="1355"/>
      <c r="DB604" s="1355"/>
      <c r="DC604" s="1355">
        <f t="shared" si="13"/>
        <v>0</v>
      </c>
      <c r="DD604" s="1355"/>
      <c r="DE604" s="1355"/>
      <c r="DF604" s="1355"/>
      <c r="DG604" s="1355"/>
      <c r="DH604" s="1355">
        <f t="shared" si="14"/>
        <v>0</v>
      </c>
      <c r="DI604" s="1355"/>
      <c r="DJ604" s="1355"/>
      <c r="DK604" s="1355"/>
      <c r="DL604" s="1355"/>
      <c r="DM604" s="1355">
        <f t="shared" si="15"/>
        <v>0</v>
      </c>
      <c r="DN604" s="1355"/>
      <c r="DO604" s="1355"/>
      <c r="DP604" s="1355"/>
      <c r="DQ604" s="1355"/>
      <c r="DR604" s="1355">
        <f t="shared" si="16"/>
        <v>0</v>
      </c>
      <c r="DS604" s="1355"/>
      <c r="DT604" s="1355"/>
      <c r="DU604" s="1355"/>
      <c r="DV604" s="1355"/>
      <c r="DX604" s="1360" t="str">
        <f t="shared" si="17"/>
        <v/>
      </c>
      <c r="DY604" s="1361"/>
      <c r="DZ604" s="1361"/>
      <c r="EA604" s="1361"/>
      <c r="EB604" s="1362"/>
      <c r="EC604" s="1360">
        <f t="shared" si="18"/>
        <v>623</v>
      </c>
      <c r="ED604" s="1361"/>
      <c r="EE604" s="1361"/>
      <c r="EF604" s="1361"/>
      <c r="EG604" s="1362"/>
      <c r="EH604" s="1360" t="str">
        <f t="shared" si="19"/>
        <v/>
      </c>
      <c r="EI604" s="1361"/>
      <c r="EJ604" s="1361"/>
      <c r="EK604" s="1361"/>
      <c r="EL604" s="1362"/>
      <c r="EM604" s="1360" t="str">
        <f t="shared" si="20"/>
        <v/>
      </c>
      <c r="EN604" s="1361"/>
      <c r="EO604" s="1361"/>
      <c r="EP604" s="1361"/>
      <c r="EQ604" s="1362"/>
      <c r="ER604" s="1360" t="str">
        <f t="shared" si="21"/>
        <v/>
      </c>
      <c r="ES604" s="1361"/>
      <c r="ET604" s="1361"/>
      <c r="EU604" s="1361"/>
      <c r="EV604" s="1362"/>
      <c r="EW604" s="1360" t="str">
        <f t="shared" si="22"/>
        <v/>
      </c>
      <c r="EX604" s="1361"/>
      <c r="EY604" s="1361"/>
      <c r="EZ604" s="1361"/>
      <c r="FA604" s="1362"/>
    </row>
    <row r="605" spans="1:157" s="4" customFormat="1" ht="12.95" customHeight="1">
      <c r="A605" s="22"/>
      <c r="B605" t="s">
        <v>317</v>
      </c>
      <c r="C605"/>
      <c r="D605"/>
      <c r="E605"/>
      <c r="F605"/>
      <c r="G605" s="1494"/>
      <c r="H605" s="1494"/>
      <c r="I605" s="1494"/>
      <c r="J605" s="1494"/>
      <c r="K605" s="1494"/>
      <c r="L605" s="1494"/>
      <c r="M605"/>
      <c r="N605"/>
      <c r="O605" s="33" t="s">
        <v>207</v>
      </c>
      <c r="P605" s="1496"/>
      <c r="Q605" s="1496"/>
      <c r="R605" s="1496"/>
      <c r="S605"/>
      <c r="T605" s="22"/>
      <c r="U605" t="s">
        <v>317</v>
      </c>
      <c r="V605"/>
      <c r="W605"/>
      <c r="X605"/>
      <c r="Y605"/>
      <c r="Z605" s="1494"/>
      <c r="AA605" s="1494"/>
      <c r="AB605" s="1494"/>
      <c r="AC605" s="1494"/>
      <c r="AD605" s="1494"/>
      <c r="AE605" s="1494"/>
      <c r="AF605"/>
      <c r="AG605"/>
      <c r="AH605" s="33" t="s">
        <v>207</v>
      </c>
      <c r="AI605" s="1496"/>
      <c r="AJ605" s="1496"/>
      <c r="AK605" s="1496"/>
      <c r="AL605"/>
      <c r="AM605"/>
      <c r="AN605"/>
      <c r="AO605"/>
      <c r="AP605"/>
      <c r="AQ605"/>
      <c r="AR605"/>
      <c r="AS605"/>
      <c r="AT605"/>
      <c r="AU605"/>
      <c r="AV605"/>
      <c r="AW605"/>
      <c r="AX605"/>
      <c r="AY605"/>
      <c r="AZ605" s="3"/>
      <c r="BA605" s="3"/>
      <c r="BB605" s="3"/>
      <c r="BC605" s="3"/>
      <c r="BD605" s="3"/>
      <c r="BE605" s="1360">
        <f t="shared" si="1"/>
        <v>1</v>
      </c>
      <c r="BF605" s="1362"/>
      <c r="BG605" s="1523">
        <f t="shared" si="2"/>
        <v>16</v>
      </c>
      <c r="BH605" s="1524"/>
      <c r="BI605" s="1360">
        <f t="shared" si="3"/>
        <v>0</v>
      </c>
      <c r="BJ605" s="1362"/>
      <c r="BK605" s="1523">
        <f t="shared" si="4"/>
        <v>0</v>
      </c>
      <c r="BL605" s="1524"/>
      <c r="BM605" s="3"/>
      <c r="BN605" s="1525">
        <f t="shared" si="5"/>
        <v>0</v>
      </c>
      <c r="BO605" s="1526"/>
      <c r="BP605" s="1526"/>
      <c r="BQ605" s="1526"/>
      <c r="BR605" s="1527"/>
      <c r="BS605" s="1363">
        <f t="shared" si="6"/>
        <v>16</v>
      </c>
      <c r="BT605" s="1363"/>
      <c r="BU605" s="1363"/>
      <c r="BV605" s="1363"/>
      <c r="BW605" s="1363"/>
      <c r="BX605" s="1363">
        <f t="shared" si="7"/>
        <v>0</v>
      </c>
      <c r="BY605" s="1363"/>
      <c r="BZ605" s="1363"/>
      <c r="CA605" s="1363"/>
      <c r="CB605" s="1363"/>
      <c r="CC605" s="1363">
        <f t="shared" si="8"/>
        <v>0</v>
      </c>
      <c r="CD605" s="1363"/>
      <c r="CE605" s="1363"/>
      <c r="CF605" s="1363"/>
      <c r="CG605" s="1363"/>
      <c r="CH605" s="1363">
        <f t="shared" si="9"/>
        <v>0</v>
      </c>
      <c r="CI605" s="1363"/>
      <c r="CJ605" s="1363"/>
      <c r="CK605" s="1363"/>
      <c r="CL605" s="1363"/>
      <c r="CM605" s="1363">
        <f t="shared" si="10"/>
        <v>0</v>
      </c>
      <c r="CN605" s="1363"/>
      <c r="CO605" s="1363"/>
      <c r="CP605" s="1363"/>
      <c r="CQ605" s="1363"/>
      <c r="CR605" s="6"/>
      <c r="CS605" s="1355">
        <f t="shared" si="11"/>
        <v>0</v>
      </c>
      <c r="CT605" s="1355"/>
      <c r="CU605" s="1355"/>
      <c r="CV605" s="1355"/>
      <c r="CW605" s="1355"/>
      <c r="CX605" s="1355">
        <f t="shared" si="12"/>
        <v>0</v>
      </c>
      <c r="CY605" s="1355"/>
      <c r="CZ605" s="1355"/>
      <c r="DA605" s="1355"/>
      <c r="DB605" s="1355"/>
      <c r="DC605" s="1355">
        <f t="shared" si="13"/>
        <v>0</v>
      </c>
      <c r="DD605" s="1355"/>
      <c r="DE605" s="1355"/>
      <c r="DF605" s="1355"/>
      <c r="DG605" s="1355"/>
      <c r="DH605" s="1355">
        <f t="shared" si="14"/>
        <v>0</v>
      </c>
      <c r="DI605" s="1355"/>
      <c r="DJ605" s="1355"/>
      <c r="DK605" s="1355"/>
      <c r="DL605" s="1355"/>
      <c r="DM605" s="1355">
        <f t="shared" si="15"/>
        <v>0</v>
      </c>
      <c r="DN605" s="1355"/>
      <c r="DO605" s="1355"/>
      <c r="DP605" s="1355"/>
      <c r="DQ605" s="1355"/>
      <c r="DR605" s="1355">
        <f t="shared" si="16"/>
        <v>0</v>
      </c>
      <c r="DS605" s="1355"/>
      <c r="DT605" s="1355"/>
      <c r="DU605" s="1355"/>
      <c r="DV605" s="1355"/>
      <c r="DX605" s="1360" t="str">
        <f t="shared" si="17"/>
        <v/>
      </c>
      <c r="DY605" s="1361"/>
      <c r="DZ605" s="1361"/>
      <c r="EA605" s="1361"/>
      <c r="EB605" s="1362"/>
      <c r="EC605" s="1360">
        <f t="shared" si="18"/>
        <v>1668</v>
      </c>
      <c r="ED605" s="1361"/>
      <c r="EE605" s="1361"/>
      <c r="EF605" s="1361"/>
      <c r="EG605" s="1362"/>
      <c r="EH605" s="1360" t="str">
        <f t="shared" si="19"/>
        <v/>
      </c>
      <c r="EI605" s="1361"/>
      <c r="EJ605" s="1361"/>
      <c r="EK605" s="1361"/>
      <c r="EL605" s="1362"/>
      <c r="EM605" s="1360" t="str">
        <f t="shared" si="20"/>
        <v/>
      </c>
      <c r="EN605" s="1361"/>
      <c r="EO605" s="1361"/>
      <c r="EP605" s="1361"/>
      <c r="EQ605" s="1362"/>
      <c r="ER605" s="1360" t="str">
        <f t="shared" si="21"/>
        <v/>
      </c>
      <c r="ES605" s="1361"/>
      <c r="ET605" s="1361"/>
      <c r="EU605" s="1361"/>
      <c r="EV605" s="1362"/>
      <c r="EW605" s="1360" t="str">
        <f t="shared" si="22"/>
        <v/>
      </c>
      <c r="EX605" s="1361"/>
      <c r="EY605" s="1361"/>
      <c r="EZ605" s="1361"/>
      <c r="FA605" s="1362"/>
    </row>
    <row r="606" spans="1:157" s="4" customFormat="1" ht="12.95" customHeight="1">
      <c r="A606" s="22"/>
      <c r="B606" t="s">
        <v>18</v>
      </c>
      <c r="C606"/>
      <c r="D606"/>
      <c r="E606"/>
      <c r="F606"/>
      <c r="G606"/>
      <c r="H606" s="1463"/>
      <c r="I606" s="1463"/>
      <c r="J606" s="1463"/>
      <c r="K606" s="1463"/>
      <c r="L606" s="1463"/>
      <c r="M606" s="1463"/>
      <c r="N606" s="1463"/>
      <c r="O606" s="1463"/>
      <c r="P606" s="1463"/>
      <c r="Q606" s="1463"/>
      <c r="R606" s="1463"/>
      <c r="S606"/>
      <c r="T606" s="22"/>
      <c r="U606" t="s">
        <v>18</v>
      </c>
      <c r="V606"/>
      <c r="W606"/>
      <c r="X606"/>
      <c r="Y606"/>
      <c r="Z606"/>
      <c r="AA606" s="1463"/>
      <c r="AB606" s="1463"/>
      <c r="AC606" s="1463"/>
      <c r="AD606" s="1463"/>
      <c r="AE606" s="1463"/>
      <c r="AF606" s="1463"/>
      <c r="AG606" s="1463"/>
      <c r="AH606" s="1463"/>
      <c r="AI606" s="1463"/>
      <c r="AJ606" s="1463"/>
      <c r="AK606" s="1463"/>
      <c r="AL606"/>
      <c r="AM606"/>
      <c r="AN606"/>
      <c r="AO606"/>
      <c r="AP606"/>
      <c r="AQ606"/>
      <c r="AR606"/>
      <c r="AS606"/>
      <c r="AT606"/>
      <c r="AU606"/>
      <c r="AV606"/>
      <c r="AW606"/>
      <c r="AX606"/>
      <c r="AY606"/>
      <c r="AZ606" s="3"/>
      <c r="BA606" s="3"/>
      <c r="BB606" s="3"/>
      <c r="BC606" s="3"/>
      <c r="BD606" s="3"/>
      <c r="BE606" s="1360">
        <f t="shared" si="1"/>
        <v>0</v>
      </c>
      <c r="BF606" s="1362"/>
      <c r="BG606" s="1523">
        <f t="shared" si="2"/>
        <v>0</v>
      </c>
      <c r="BH606" s="1524"/>
      <c r="BI606" s="1360">
        <f t="shared" si="3"/>
        <v>0</v>
      </c>
      <c r="BJ606" s="1362"/>
      <c r="BK606" s="1523">
        <f t="shared" si="4"/>
        <v>0</v>
      </c>
      <c r="BL606" s="1524"/>
      <c r="BM606" s="3"/>
      <c r="BN606" s="1525">
        <f t="shared" si="5"/>
        <v>0</v>
      </c>
      <c r="BO606" s="1526"/>
      <c r="BP606" s="1526"/>
      <c r="BQ606" s="1526"/>
      <c r="BR606" s="1527"/>
      <c r="BS606" s="1363">
        <f t="shared" si="6"/>
        <v>0</v>
      </c>
      <c r="BT606" s="1363"/>
      <c r="BU606" s="1363"/>
      <c r="BV606" s="1363"/>
      <c r="BW606" s="1363"/>
      <c r="BX606" s="1363">
        <f t="shared" si="7"/>
        <v>0</v>
      </c>
      <c r="BY606" s="1363"/>
      <c r="BZ606" s="1363"/>
      <c r="CA606" s="1363"/>
      <c r="CB606" s="1363"/>
      <c r="CC606" s="1363">
        <f t="shared" si="8"/>
        <v>0</v>
      </c>
      <c r="CD606" s="1363"/>
      <c r="CE606" s="1363"/>
      <c r="CF606" s="1363"/>
      <c r="CG606" s="1363"/>
      <c r="CH606" s="1363">
        <f t="shared" si="9"/>
        <v>0</v>
      </c>
      <c r="CI606" s="1363"/>
      <c r="CJ606" s="1363"/>
      <c r="CK606" s="1363"/>
      <c r="CL606" s="1363"/>
      <c r="CM606" s="1363">
        <f t="shared" si="10"/>
        <v>0</v>
      </c>
      <c r="CN606" s="1363"/>
      <c r="CO606" s="1363"/>
      <c r="CP606" s="1363"/>
      <c r="CQ606" s="1363"/>
      <c r="CR606" s="6"/>
      <c r="CS606" s="1355">
        <f t="shared" si="11"/>
        <v>0</v>
      </c>
      <c r="CT606" s="1355"/>
      <c r="CU606" s="1355"/>
      <c r="CV606" s="1355"/>
      <c r="CW606" s="1355"/>
      <c r="CX606" s="1355">
        <f t="shared" si="12"/>
        <v>0</v>
      </c>
      <c r="CY606" s="1355"/>
      <c r="CZ606" s="1355"/>
      <c r="DA606" s="1355"/>
      <c r="DB606" s="1355"/>
      <c r="DC606" s="1355">
        <f t="shared" si="13"/>
        <v>0</v>
      </c>
      <c r="DD606" s="1355"/>
      <c r="DE606" s="1355"/>
      <c r="DF606" s="1355"/>
      <c r="DG606" s="1355"/>
      <c r="DH606" s="1355">
        <f t="shared" si="14"/>
        <v>0</v>
      </c>
      <c r="DI606" s="1355"/>
      <c r="DJ606" s="1355"/>
      <c r="DK606" s="1355"/>
      <c r="DL606" s="1355"/>
      <c r="DM606" s="1355">
        <f t="shared" si="15"/>
        <v>0</v>
      </c>
      <c r="DN606" s="1355"/>
      <c r="DO606" s="1355"/>
      <c r="DP606" s="1355"/>
      <c r="DQ606" s="1355"/>
      <c r="DR606" s="1355">
        <f t="shared" si="16"/>
        <v>0</v>
      </c>
      <c r="DS606" s="1355"/>
      <c r="DT606" s="1355"/>
      <c r="DU606" s="1355"/>
      <c r="DV606" s="1355"/>
      <c r="DX606" s="1360" t="str">
        <f t="shared" si="17"/>
        <v/>
      </c>
      <c r="DY606" s="1361"/>
      <c r="DZ606" s="1361"/>
      <c r="EA606" s="1361"/>
      <c r="EB606" s="1362"/>
      <c r="EC606" s="1360" t="str">
        <f t="shared" si="18"/>
        <v/>
      </c>
      <c r="ED606" s="1361"/>
      <c r="EE606" s="1361"/>
      <c r="EF606" s="1361"/>
      <c r="EG606" s="1362"/>
      <c r="EH606" s="1360" t="str">
        <f t="shared" si="19"/>
        <v/>
      </c>
      <c r="EI606" s="1361"/>
      <c r="EJ606" s="1361"/>
      <c r="EK606" s="1361"/>
      <c r="EL606" s="1362"/>
      <c r="EM606" s="1360" t="str">
        <f t="shared" si="20"/>
        <v/>
      </c>
      <c r="EN606" s="1361"/>
      <c r="EO606" s="1361"/>
      <c r="EP606" s="1361"/>
      <c r="EQ606" s="1362"/>
      <c r="ER606" s="1360" t="str">
        <f t="shared" si="21"/>
        <v/>
      </c>
      <c r="ES606" s="1361"/>
      <c r="ET606" s="1361"/>
      <c r="EU606" s="1361"/>
      <c r="EV606" s="1362"/>
      <c r="EW606" s="1360" t="str">
        <f t="shared" si="22"/>
        <v/>
      </c>
      <c r="EX606" s="1361"/>
      <c r="EY606" s="1361"/>
      <c r="EZ606" s="1361"/>
      <c r="FA606" s="1362"/>
    </row>
    <row r="607" spans="1:157" s="4" customFormat="1" ht="12.95" customHeight="1">
      <c r="A607" s="22"/>
      <c r="B607" t="s">
        <v>20</v>
      </c>
      <c r="C607"/>
      <c r="D607"/>
      <c r="E607"/>
      <c r="F607"/>
      <c r="G607"/>
      <c r="H607"/>
      <c r="I607"/>
      <c r="J607"/>
      <c r="K607"/>
      <c r="L607"/>
      <c r="M607"/>
      <c r="N607" s="1440" t="s">
        <v>678</v>
      </c>
      <c r="O607" s="1440"/>
      <c r="P607"/>
      <c r="Q607"/>
      <c r="R607"/>
      <c r="S607"/>
      <c r="T607" s="22"/>
      <c r="U607" t="s">
        <v>20</v>
      </c>
      <c r="V607"/>
      <c r="W607"/>
      <c r="X607"/>
      <c r="Y607"/>
      <c r="Z607"/>
      <c r="AA607"/>
      <c r="AB607"/>
      <c r="AC607"/>
      <c r="AD607"/>
      <c r="AE607"/>
      <c r="AF607"/>
      <c r="AG607" s="1440" t="s">
        <v>678</v>
      </c>
      <c r="AH607" s="1440"/>
      <c r="AI607"/>
      <c r="AJ607"/>
      <c r="AK607"/>
      <c r="AL607"/>
      <c r="AM607"/>
      <c r="AN607"/>
      <c r="AO607"/>
      <c r="AP607"/>
      <c r="AQ607"/>
      <c r="AR607"/>
      <c r="AS607"/>
      <c r="AT607"/>
      <c r="AU607"/>
      <c r="AV607"/>
      <c r="AW607"/>
      <c r="AX607"/>
      <c r="AY607"/>
      <c r="AZ607" s="3"/>
      <c r="BA607" s="3"/>
      <c r="BB607" s="3"/>
      <c r="BC607" s="3"/>
      <c r="BD607" s="3"/>
      <c r="BE607" s="1360">
        <f t="shared" si="1"/>
        <v>0</v>
      </c>
      <c r="BF607" s="1362"/>
      <c r="BG607" s="1523">
        <f t="shared" si="2"/>
        <v>0</v>
      </c>
      <c r="BH607" s="1524"/>
      <c r="BI607" s="1360">
        <f t="shared" si="3"/>
        <v>0</v>
      </c>
      <c r="BJ607" s="1362"/>
      <c r="BK607" s="1523">
        <f t="shared" si="4"/>
        <v>0</v>
      </c>
      <c r="BL607" s="1524"/>
      <c r="BM607" s="3"/>
      <c r="BN607" s="1525">
        <f t="shared" si="5"/>
        <v>0</v>
      </c>
      <c r="BO607" s="1526"/>
      <c r="BP607" s="1526"/>
      <c r="BQ607" s="1526"/>
      <c r="BR607" s="1527"/>
      <c r="BS607" s="1363">
        <f t="shared" si="6"/>
        <v>0</v>
      </c>
      <c r="BT607" s="1363"/>
      <c r="BU607" s="1363"/>
      <c r="BV607" s="1363"/>
      <c r="BW607" s="1363"/>
      <c r="BX607" s="1363">
        <f t="shared" si="7"/>
        <v>0</v>
      </c>
      <c r="BY607" s="1363"/>
      <c r="BZ607" s="1363"/>
      <c r="CA607" s="1363"/>
      <c r="CB607" s="1363"/>
      <c r="CC607" s="1363">
        <f t="shared" si="8"/>
        <v>0</v>
      </c>
      <c r="CD607" s="1363"/>
      <c r="CE607" s="1363"/>
      <c r="CF607" s="1363"/>
      <c r="CG607" s="1363"/>
      <c r="CH607" s="1363">
        <f t="shared" si="9"/>
        <v>0</v>
      </c>
      <c r="CI607" s="1363"/>
      <c r="CJ607" s="1363"/>
      <c r="CK607" s="1363"/>
      <c r="CL607" s="1363"/>
      <c r="CM607" s="1363">
        <f t="shared" si="10"/>
        <v>0</v>
      </c>
      <c r="CN607" s="1363"/>
      <c r="CO607" s="1363"/>
      <c r="CP607" s="1363"/>
      <c r="CQ607" s="1363"/>
      <c r="CR607" s="6"/>
      <c r="CS607" s="1355">
        <f t="shared" si="11"/>
        <v>0</v>
      </c>
      <c r="CT607" s="1355"/>
      <c r="CU607" s="1355"/>
      <c r="CV607" s="1355"/>
      <c r="CW607" s="1355"/>
      <c r="CX607" s="1355">
        <f t="shared" si="12"/>
        <v>0</v>
      </c>
      <c r="CY607" s="1355"/>
      <c r="CZ607" s="1355"/>
      <c r="DA607" s="1355"/>
      <c r="DB607" s="1355"/>
      <c r="DC607" s="1355">
        <f t="shared" si="13"/>
        <v>0</v>
      </c>
      <c r="DD607" s="1355"/>
      <c r="DE607" s="1355"/>
      <c r="DF607" s="1355"/>
      <c r="DG607" s="1355"/>
      <c r="DH607" s="1355">
        <f t="shared" si="14"/>
        <v>0</v>
      </c>
      <c r="DI607" s="1355"/>
      <c r="DJ607" s="1355"/>
      <c r="DK607" s="1355"/>
      <c r="DL607" s="1355"/>
      <c r="DM607" s="1355">
        <f t="shared" si="15"/>
        <v>0</v>
      </c>
      <c r="DN607" s="1355"/>
      <c r="DO607" s="1355"/>
      <c r="DP607" s="1355"/>
      <c r="DQ607" s="1355"/>
      <c r="DR607" s="1355">
        <f t="shared" si="16"/>
        <v>0</v>
      </c>
      <c r="DS607" s="1355"/>
      <c r="DT607" s="1355"/>
      <c r="DU607" s="1355"/>
      <c r="DV607" s="1355"/>
      <c r="DX607" s="1360" t="str">
        <f t="shared" si="17"/>
        <v/>
      </c>
      <c r="DY607" s="1361"/>
      <c r="DZ607" s="1361"/>
      <c r="EA607" s="1361"/>
      <c r="EB607" s="1362"/>
      <c r="EC607" s="1360" t="str">
        <f t="shared" si="18"/>
        <v/>
      </c>
      <c r="ED607" s="1361"/>
      <c r="EE607" s="1361"/>
      <c r="EF607" s="1361"/>
      <c r="EG607" s="1362"/>
      <c r="EH607" s="1360" t="str">
        <f t="shared" si="19"/>
        <v/>
      </c>
      <c r="EI607" s="1361"/>
      <c r="EJ607" s="1361"/>
      <c r="EK607" s="1361"/>
      <c r="EL607" s="1362"/>
      <c r="EM607" s="1360" t="str">
        <f t="shared" si="20"/>
        <v/>
      </c>
      <c r="EN607" s="1361"/>
      <c r="EO607" s="1361"/>
      <c r="EP607" s="1361"/>
      <c r="EQ607" s="1362"/>
      <c r="ER607" s="1360" t="str">
        <f t="shared" si="21"/>
        <v/>
      </c>
      <c r="ES607" s="1361"/>
      <c r="ET607" s="1361"/>
      <c r="EU607" s="1361"/>
      <c r="EV607" s="1362"/>
      <c r="EW607" s="1360" t="str">
        <f t="shared" si="22"/>
        <v/>
      </c>
      <c r="EX607" s="1361"/>
      <c r="EY607" s="1361"/>
      <c r="EZ607" s="1361"/>
      <c r="FA607" s="1362"/>
    </row>
    <row r="608" spans="1:157" ht="12.95" customHeight="1">
      <c r="A608" s="22"/>
      <c r="T608" s="22"/>
      <c r="AZ608" s="3"/>
      <c r="BA608" s="3"/>
      <c r="BB608" s="3"/>
      <c r="BC608" s="3"/>
      <c r="BD608" s="3"/>
      <c r="BE608" s="1360">
        <f t="shared" si="1"/>
        <v>0</v>
      </c>
      <c r="BF608" s="1362"/>
      <c r="BG608" s="1523">
        <f t="shared" si="2"/>
        <v>0</v>
      </c>
      <c r="BH608" s="1524"/>
      <c r="BI608" s="1360">
        <f t="shared" si="3"/>
        <v>0</v>
      </c>
      <c r="BJ608" s="1362"/>
      <c r="BK608" s="1523">
        <f t="shared" si="4"/>
        <v>0</v>
      </c>
      <c r="BL608" s="1524"/>
      <c r="BM608" s="3"/>
      <c r="BN608" s="1525">
        <f t="shared" si="5"/>
        <v>0</v>
      </c>
      <c r="BO608" s="1526"/>
      <c r="BP608" s="1526"/>
      <c r="BQ608" s="1526"/>
      <c r="BR608" s="1527"/>
      <c r="BS608" s="1363">
        <f t="shared" si="6"/>
        <v>0</v>
      </c>
      <c r="BT608" s="1363"/>
      <c r="BU608" s="1363"/>
      <c r="BV608" s="1363"/>
      <c r="BW608" s="1363"/>
      <c r="BX608" s="1363">
        <f t="shared" si="7"/>
        <v>0</v>
      </c>
      <c r="BY608" s="1363"/>
      <c r="BZ608" s="1363"/>
      <c r="CA608" s="1363"/>
      <c r="CB608" s="1363"/>
      <c r="CC608" s="1363">
        <f t="shared" si="8"/>
        <v>0</v>
      </c>
      <c r="CD608" s="1363"/>
      <c r="CE608" s="1363"/>
      <c r="CF608" s="1363"/>
      <c r="CG608" s="1363"/>
      <c r="CH608" s="1363">
        <f t="shared" si="9"/>
        <v>0</v>
      </c>
      <c r="CI608" s="1363"/>
      <c r="CJ608" s="1363"/>
      <c r="CK608" s="1363"/>
      <c r="CL608" s="1363"/>
      <c r="CM608" s="1363">
        <f t="shared" si="10"/>
        <v>0</v>
      </c>
      <c r="CN608" s="1363"/>
      <c r="CO608" s="1363"/>
      <c r="CP608" s="1363"/>
      <c r="CQ608" s="1363"/>
      <c r="CR608" s="6"/>
      <c r="CS608" s="1355">
        <f t="shared" si="11"/>
        <v>0</v>
      </c>
      <c r="CT608" s="1355"/>
      <c r="CU608" s="1355"/>
      <c r="CV608" s="1355"/>
      <c r="CW608" s="1355"/>
      <c r="CX608" s="1355">
        <f t="shared" si="12"/>
        <v>0</v>
      </c>
      <c r="CY608" s="1355"/>
      <c r="CZ608" s="1355"/>
      <c r="DA608" s="1355"/>
      <c r="DB608" s="1355"/>
      <c r="DC608" s="1355">
        <f t="shared" si="13"/>
        <v>0</v>
      </c>
      <c r="DD608" s="1355"/>
      <c r="DE608" s="1355"/>
      <c r="DF608" s="1355"/>
      <c r="DG608" s="1355"/>
      <c r="DH608" s="1355">
        <f t="shared" si="14"/>
        <v>0</v>
      </c>
      <c r="DI608" s="1355"/>
      <c r="DJ608" s="1355"/>
      <c r="DK608" s="1355"/>
      <c r="DL608" s="1355"/>
      <c r="DM608" s="1355">
        <f t="shared" si="15"/>
        <v>0</v>
      </c>
      <c r="DN608" s="1355"/>
      <c r="DO608" s="1355"/>
      <c r="DP608" s="1355"/>
      <c r="DQ608" s="1355"/>
      <c r="DR608" s="1355">
        <f t="shared" si="16"/>
        <v>0</v>
      </c>
      <c r="DS608" s="1355"/>
      <c r="DT608" s="1355"/>
      <c r="DU608" s="1355"/>
      <c r="DV608" s="1355"/>
      <c r="DX608" s="1360" t="str">
        <f t="shared" si="17"/>
        <v/>
      </c>
      <c r="DY608" s="1361"/>
      <c r="DZ608" s="1361"/>
      <c r="EA608" s="1361"/>
      <c r="EB608" s="1362"/>
      <c r="EC608" s="1360" t="str">
        <f t="shared" si="18"/>
        <v/>
      </c>
      <c r="ED608" s="1361"/>
      <c r="EE608" s="1361"/>
      <c r="EF608" s="1361"/>
      <c r="EG608" s="1362"/>
      <c r="EH608" s="1360" t="str">
        <f t="shared" si="19"/>
        <v/>
      </c>
      <c r="EI608" s="1361"/>
      <c r="EJ608" s="1361"/>
      <c r="EK608" s="1361"/>
      <c r="EL608" s="1362"/>
      <c r="EM608" s="1360" t="str">
        <f t="shared" si="20"/>
        <v/>
      </c>
      <c r="EN608" s="1361"/>
      <c r="EO608" s="1361"/>
      <c r="EP608" s="1361"/>
      <c r="EQ608" s="1362"/>
      <c r="ER608" s="1360" t="str">
        <f t="shared" si="21"/>
        <v/>
      </c>
      <c r="ES608" s="1361"/>
      <c r="ET608" s="1361"/>
      <c r="EU608" s="1361"/>
      <c r="EV608" s="1362"/>
      <c r="EW608" s="1360" t="str">
        <f t="shared" si="22"/>
        <v/>
      </c>
      <c r="EX608" s="1361"/>
      <c r="EY608" s="1361"/>
      <c r="EZ608" s="1361"/>
      <c r="FA608" s="1362"/>
    </row>
    <row r="609" spans="1:157" ht="12.95" customHeight="1">
      <c r="A609" s="55" t="s">
        <v>363</v>
      </c>
      <c r="B609" t="s">
        <v>472</v>
      </c>
      <c r="G609" s="1462">
        <f>C564</f>
        <v>0</v>
      </c>
      <c r="H609" s="1462"/>
      <c r="I609" s="1462"/>
      <c r="J609" s="1462"/>
      <c r="K609" s="1462"/>
      <c r="L609" s="1462"/>
      <c r="M609" s="1462"/>
      <c r="N609" s="1462"/>
      <c r="O609" s="1462"/>
      <c r="P609" s="1462"/>
      <c r="Q609" s="1462"/>
      <c r="R609" s="1462"/>
      <c r="T609" s="55" t="s">
        <v>364</v>
      </c>
      <c r="U609" t="s">
        <v>472</v>
      </c>
      <c r="Z609" s="1462">
        <f>C565</f>
        <v>0</v>
      </c>
      <c r="AA609" s="1462"/>
      <c r="AB609" s="1462"/>
      <c r="AC609" s="1462"/>
      <c r="AD609" s="1462"/>
      <c r="AE609" s="1462"/>
      <c r="AF609" s="1462"/>
      <c r="AG609" s="1462"/>
      <c r="AH609" s="1462"/>
      <c r="AI609" s="1462"/>
      <c r="AJ609" s="1462"/>
      <c r="AK609" s="1462"/>
      <c r="AZ609" s="3"/>
      <c r="BA609" s="3"/>
      <c r="BB609" s="3"/>
      <c r="BC609" s="3"/>
      <c r="BD609" s="3"/>
      <c r="BE609" s="1360">
        <f t="shared" si="1"/>
        <v>0</v>
      </c>
      <c r="BF609" s="1362"/>
      <c r="BG609" s="1523">
        <f t="shared" si="2"/>
        <v>0</v>
      </c>
      <c r="BH609" s="1524"/>
      <c r="BI609" s="1360">
        <f t="shared" si="3"/>
        <v>0</v>
      </c>
      <c r="BJ609" s="1362"/>
      <c r="BK609" s="1523">
        <f t="shared" si="4"/>
        <v>0</v>
      </c>
      <c r="BL609" s="1524"/>
      <c r="BM609" s="3"/>
      <c r="BN609" s="1525">
        <f t="shared" si="5"/>
        <v>0</v>
      </c>
      <c r="BO609" s="1526"/>
      <c r="BP609" s="1526"/>
      <c r="BQ609" s="1526"/>
      <c r="BR609" s="1527"/>
      <c r="BS609" s="1363">
        <f t="shared" si="6"/>
        <v>0</v>
      </c>
      <c r="BT609" s="1363"/>
      <c r="BU609" s="1363"/>
      <c r="BV609" s="1363"/>
      <c r="BW609" s="1363"/>
      <c r="BX609" s="1363">
        <f t="shared" si="7"/>
        <v>0</v>
      </c>
      <c r="BY609" s="1363"/>
      <c r="BZ609" s="1363"/>
      <c r="CA609" s="1363"/>
      <c r="CB609" s="1363"/>
      <c r="CC609" s="1363">
        <f t="shared" si="8"/>
        <v>0</v>
      </c>
      <c r="CD609" s="1363"/>
      <c r="CE609" s="1363"/>
      <c r="CF609" s="1363"/>
      <c r="CG609" s="1363"/>
      <c r="CH609" s="1363">
        <f t="shared" si="9"/>
        <v>0</v>
      </c>
      <c r="CI609" s="1363"/>
      <c r="CJ609" s="1363"/>
      <c r="CK609" s="1363"/>
      <c r="CL609" s="1363"/>
      <c r="CM609" s="1363">
        <f t="shared" si="10"/>
        <v>0</v>
      </c>
      <c r="CN609" s="1363"/>
      <c r="CO609" s="1363"/>
      <c r="CP609" s="1363"/>
      <c r="CQ609" s="1363"/>
      <c r="CR609" s="6"/>
      <c r="CS609" s="1355">
        <f t="shared" si="11"/>
        <v>0</v>
      </c>
      <c r="CT609" s="1355"/>
      <c r="CU609" s="1355"/>
      <c r="CV609" s="1355"/>
      <c r="CW609" s="1355"/>
      <c r="CX609" s="1355">
        <f t="shared" si="12"/>
        <v>0</v>
      </c>
      <c r="CY609" s="1355"/>
      <c r="CZ609" s="1355"/>
      <c r="DA609" s="1355"/>
      <c r="DB609" s="1355"/>
      <c r="DC609" s="1355">
        <f t="shared" si="13"/>
        <v>0</v>
      </c>
      <c r="DD609" s="1355"/>
      <c r="DE609" s="1355"/>
      <c r="DF609" s="1355"/>
      <c r="DG609" s="1355"/>
      <c r="DH609" s="1355">
        <f t="shared" si="14"/>
        <v>0</v>
      </c>
      <c r="DI609" s="1355"/>
      <c r="DJ609" s="1355"/>
      <c r="DK609" s="1355"/>
      <c r="DL609" s="1355"/>
      <c r="DM609" s="1355">
        <f t="shared" si="15"/>
        <v>0</v>
      </c>
      <c r="DN609" s="1355"/>
      <c r="DO609" s="1355"/>
      <c r="DP609" s="1355"/>
      <c r="DQ609" s="1355"/>
      <c r="DR609" s="1355">
        <f t="shared" si="16"/>
        <v>0</v>
      </c>
      <c r="DS609" s="1355"/>
      <c r="DT609" s="1355"/>
      <c r="DU609" s="1355"/>
      <c r="DV609" s="1355"/>
      <c r="DX609" s="1360" t="str">
        <f t="shared" si="17"/>
        <v/>
      </c>
      <c r="DY609" s="1361"/>
      <c r="DZ609" s="1361"/>
      <c r="EA609" s="1361"/>
      <c r="EB609" s="1362"/>
      <c r="EC609" s="1360" t="str">
        <f t="shared" si="18"/>
        <v/>
      </c>
      <c r="ED609" s="1361"/>
      <c r="EE609" s="1361"/>
      <c r="EF609" s="1361"/>
      <c r="EG609" s="1362"/>
      <c r="EH609" s="1360" t="str">
        <f t="shared" si="19"/>
        <v/>
      </c>
      <c r="EI609" s="1361"/>
      <c r="EJ609" s="1361"/>
      <c r="EK609" s="1361"/>
      <c r="EL609" s="1362"/>
      <c r="EM609" s="1360" t="str">
        <f t="shared" si="20"/>
        <v/>
      </c>
      <c r="EN609" s="1361"/>
      <c r="EO609" s="1361"/>
      <c r="EP609" s="1361"/>
      <c r="EQ609" s="1362"/>
      <c r="ER609" s="1360" t="str">
        <f t="shared" si="21"/>
        <v/>
      </c>
      <c r="ES609" s="1361"/>
      <c r="ET609" s="1361"/>
      <c r="EU609" s="1361"/>
      <c r="EV609" s="1362"/>
      <c r="EW609" s="1360" t="str">
        <f t="shared" si="22"/>
        <v/>
      </c>
      <c r="EX609" s="1361"/>
      <c r="EY609" s="1361"/>
      <c r="EZ609" s="1361"/>
      <c r="FA609" s="1362"/>
    </row>
    <row r="610" spans="1:157" ht="12.95" customHeight="1">
      <c r="B610" t="s">
        <v>85</v>
      </c>
      <c r="G610" s="1463"/>
      <c r="H610" s="1463"/>
      <c r="I610" s="1463"/>
      <c r="J610" s="1463"/>
      <c r="K610" s="1463"/>
      <c r="L610" s="1463"/>
      <c r="M610" s="1463"/>
      <c r="N610" s="1463"/>
      <c r="O610" s="1463"/>
      <c r="P610" s="1463"/>
      <c r="Q610" s="1463"/>
      <c r="R610" s="1463"/>
      <c r="U610" t="s">
        <v>85</v>
      </c>
      <c r="Z610" s="1463"/>
      <c r="AA610" s="1463"/>
      <c r="AB610" s="1463"/>
      <c r="AC610" s="1463"/>
      <c r="AD610" s="1463"/>
      <c r="AE610" s="1463"/>
      <c r="AF610" s="1463"/>
      <c r="AG610" s="1463"/>
      <c r="AH610" s="1463"/>
      <c r="AI610" s="1463"/>
      <c r="AJ610" s="1463"/>
      <c r="AK610" s="1463"/>
      <c r="AZ610" s="3"/>
      <c r="BA610" s="3"/>
      <c r="BB610" s="3"/>
      <c r="BC610" s="3"/>
      <c r="BD610" s="3"/>
      <c r="BE610" s="1360">
        <f t="shared" si="1"/>
        <v>0</v>
      </c>
      <c r="BF610" s="1362"/>
      <c r="BG610" s="1523">
        <f t="shared" si="2"/>
        <v>0</v>
      </c>
      <c r="BH610" s="1524"/>
      <c r="BI610" s="1360">
        <f t="shared" si="3"/>
        <v>0</v>
      </c>
      <c r="BJ610" s="1362"/>
      <c r="BK610" s="1523">
        <f t="shared" si="4"/>
        <v>0</v>
      </c>
      <c r="BL610" s="1524"/>
      <c r="BM610" s="3"/>
      <c r="BN610" s="1525">
        <f t="shared" si="5"/>
        <v>0</v>
      </c>
      <c r="BO610" s="1526"/>
      <c r="BP610" s="1526"/>
      <c r="BQ610" s="1526"/>
      <c r="BR610" s="1527"/>
      <c r="BS610" s="1363">
        <f t="shared" si="6"/>
        <v>0</v>
      </c>
      <c r="BT610" s="1363"/>
      <c r="BU610" s="1363"/>
      <c r="BV610" s="1363"/>
      <c r="BW610" s="1363"/>
      <c r="BX610" s="1363">
        <f t="shared" si="7"/>
        <v>0</v>
      </c>
      <c r="BY610" s="1363"/>
      <c r="BZ610" s="1363"/>
      <c r="CA610" s="1363"/>
      <c r="CB610" s="1363"/>
      <c r="CC610" s="1363">
        <f t="shared" si="8"/>
        <v>0</v>
      </c>
      <c r="CD610" s="1363"/>
      <c r="CE610" s="1363"/>
      <c r="CF610" s="1363"/>
      <c r="CG610" s="1363"/>
      <c r="CH610" s="1363">
        <f t="shared" si="9"/>
        <v>0</v>
      </c>
      <c r="CI610" s="1363"/>
      <c r="CJ610" s="1363"/>
      <c r="CK610" s="1363"/>
      <c r="CL610" s="1363"/>
      <c r="CM610" s="1363">
        <f t="shared" si="10"/>
        <v>0</v>
      </c>
      <c r="CN610" s="1363"/>
      <c r="CO610" s="1363"/>
      <c r="CP610" s="1363"/>
      <c r="CQ610" s="1363"/>
      <c r="CR610" s="6"/>
      <c r="CS610" s="1355">
        <f t="shared" si="11"/>
        <v>0</v>
      </c>
      <c r="CT610" s="1355"/>
      <c r="CU610" s="1355"/>
      <c r="CV610" s="1355"/>
      <c r="CW610" s="1355"/>
      <c r="CX610" s="1355">
        <f t="shared" si="12"/>
        <v>0</v>
      </c>
      <c r="CY610" s="1355"/>
      <c r="CZ610" s="1355"/>
      <c r="DA610" s="1355"/>
      <c r="DB610" s="1355"/>
      <c r="DC610" s="1355">
        <f t="shared" si="13"/>
        <v>0</v>
      </c>
      <c r="DD610" s="1355"/>
      <c r="DE610" s="1355"/>
      <c r="DF610" s="1355"/>
      <c r="DG610" s="1355"/>
      <c r="DH610" s="1355">
        <f t="shared" si="14"/>
        <v>0</v>
      </c>
      <c r="DI610" s="1355"/>
      <c r="DJ610" s="1355"/>
      <c r="DK610" s="1355"/>
      <c r="DL610" s="1355"/>
      <c r="DM610" s="1355">
        <f t="shared" si="15"/>
        <v>0</v>
      </c>
      <c r="DN610" s="1355"/>
      <c r="DO610" s="1355"/>
      <c r="DP610" s="1355"/>
      <c r="DQ610" s="1355"/>
      <c r="DR610" s="1355">
        <f t="shared" si="16"/>
        <v>0</v>
      </c>
      <c r="DS610" s="1355"/>
      <c r="DT610" s="1355"/>
      <c r="DU610" s="1355"/>
      <c r="DV610" s="1355"/>
      <c r="DX610" s="1360" t="str">
        <f t="shared" si="17"/>
        <v/>
      </c>
      <c r="DY610" s="1361"/>
      <c r="DZ610" s="1361"/>
      <c r="EA610" s="1361"/>
      <c r="EB610" s="1362"/>
      <c r="EC610" s="1360" t="str">
        <f t="shared" si="18"/>
        <v/>
      </c>
      <c r="ED610" s="1361"/>
      <c r="EE610" s="1361"/>
      <c r="EF610" s="1361"/>
      <c r="EG610" s="1362"/>
      <c r="EH610" s="1360" t="str">
        <f t="shared" si="19"/>
        <v/>
      </c>
      <c r="EI610" s="1361"/>
      <c r="EJ610" s="1361"/>
      <c r="EK610" s="1361"/>
      <c r="EL610" s="1362"/>
      <c r="EM610" s="1360" t="str">
        <f t="shared" si="20"/>
        <v/>
      </c>
      <c r="EN610" s="1361"/>
      <c r="EO610" s="1361"/>
      <c r="EP610" s="1361"/>
      <c r="EQ610" s="1362"/>
      <c r="ER610" s="1360" t="str">
        <f t="shared" si="21"/>
        <v/>
      </c>
      <c r="ES610" s="1361"/>
      <c r="ET610" s="1361"/>
      <c r="EU610" s="1361"/>
      <c r="EV610" s="1362"/>
      <c r="EW610" s="1360" t="str">
        <f t="shared" si="22"/>
        <v/>
      </c>
      <c r="EX610" s="1361"/>
      <c r="EY610" s="1361"/>
      <c r="EZ610" s="1361"/>
      <c r="FA610" s="1362"/>
    </row>
    <row r="611" spans="1:157" ht="12.95" customHeight="1">
      <c r="B611" t="s">
        <v>589</v>
      </c>
      <c r="G611" s="1463"/>
      <c r="H611" s="1463"/>
      <c r="I611" s="1463"/>
      <c r="J611" s="1463"/>
      <c r="K611" s="1463"/>
      <c r="L611" s="1463"/>
      <c r="M611" s="1463"/>
      <c r="N611" s="1463"/>
      <c r="O611" s="1463"/>
      <c r="P611" s="1463"/>
      <c r="Q611" s="1463"/>
      <c r="R611" s="1463"/>
      <c r="U611" t="s">
        <v>589</v>
      </c>
      <c r="Z611" s="1464"/>
      <c r="AA611" s="1464"/>
      <c r="AB611" s="1464"/>
      <c r="AC611" s="1464"/>
      <c r="AD611" s="1464"/>
      <c r="AE611" s="1464"/>
      <c r="AF611" s="1464"/>
      <c r="AG611" s="1464"/>
      <c r="AH611" s="1464"/>
      <c r="AI611" s="1464"/>
      <c r="AJ611" s="1464"/>
      <c r="AK611" s="1464"/>
      <c r="AZ611" s="3"/>
      <c r="BA611" s="3"/>
      <c r="BB611" s="3"/>
      <c r="BC611" s="3"/>
      <c r="BD611" s="3"/>
      <c r="BE611" s="1360">
        <f t="shared" si="1"/>
        <v>0</v>
      </c>
      <c r="BF611" s="1362"/>
      <c r="BG611" s="1523">
        <f t="shared" si="2"/>
        <v>0</v>
      </c>
      <c r="BH611" s="1524"/>
      <c r="BI611" s="1360">
        <f t="shared" si="3"/>
        <v>0</v>
      </c>
      <c r="BJ611" s="1362"/>
      <c r="BK611" s="1523">
        <f t="shared" si="4"/>
        <v>0</v>
      </c>
      <c r="BL611" s="1524"/>
      <c r="BM611" s="3"/>
      <c r="BN611" s="1525">
        <f t="shared" si="5"/>
        <v>0</v>
      </c>
      <c r="BO611" s="1526"/>
      <c r="BP611" s="1526"/>
      <c r="BQ611" s="1526"/>
      <c r="BR611" s="1527"/>
      <c r="BS611" s="1363">
        <f t="shared" si="6"/>
        <v>0</v>
      </c>
      <c r="BT611" s="1363"/>
      <c r="BU611" s="1363"/>
      <c r="BV611" s="1363"/>
      <c r="BW611" s="1363"/>
      <c r="BX611" s="1363">
        <f t="shared" si="7"/>
        <v>0</v>
      </c>
      <c r="BY611" s="1363"/>
      <c r="BZ611" s="1363"/>
      <c r="CA611" s="1363"/>
      <c r="CB611" s="1363"/>
      <c r="CC611" s="1363">
        <f t="shared" si="8"/>
        <v>0</v>
      </c>
      <c r="CD611" s="1363"/>
      <c r="CE611" s="1363"/>
      <c r="CF611" s="1363"/>
      <c r="CG611" s="1363"/>
      <c r="CH611" s="1363">
        <f t="shared" si="9"/>
        <v>0</v>
      </c>
      <c r="CI611" s="1363"/>
      <c r="CJ611" s="1363"/>
      <c r="CK611" s="1363"/>
      <c r="CL611" s="1363"/>
      <c r="CM611" s="1363">
        <f t="shared" si="10"/>
        <v>0</v>
      </c>
      <c r="CN611" s="1363"/>
      <c r="CO611" s="1363"/>
      <c r="CP611" s="1363"/>
      <c r="CQ611" s="1363"/>
      <c r="CR611" s="6"/>
      <c r="CS611" s="1355">
        <f t="shared" si="11"/>
        <v>0</v>
      </c>
      <c r="CT611" s="1355"/>
      <c r="CU611" s="1355"/>
      <c r="CV611" s="1355"/>
      <c r="CW611" s="1355"/>
      <c r="CX611" s="1355">
        <f t="shared" si="12"/>
        <v>0</v>
      </c>
      <c r="CY611" s="1355"/>
      <c r="CZ611" s="1355"/>
      <c r="DA611" s="1355"/>
      <c r="DB611" s="1355"/>
      <c r="DC611" s="1355">
        <f t="shared" si="13"/>
        <v>0</v>
      </c>
      <c r="DD611" s="1355"/>
      <c r="DE611" s="1355"/>
      <c r="DF611" s="1355"/>
      <c r="DG611" s="1355"/>
      <c r="DH611" s="1355">
        <f t="shared" si="14"/>
        <v>0</v>
      </c>
      <c r="DI611" s="1355"/>
      <c r="DJ611" s="1355"/>
      <c r="DK611" s="1355"/>
      <c r="DL611" s="1355"/>
      <c r="DM611" s="1355">
        <f t="shared" si="15"/>
        <v>0</v>
      </c>
      <c r="DN611" s="1355"/>
      <c r="DO611" s="1355"/>
      <c r="DP611" s="1355"/>
      <c r="DQ611" s="1355"/>
      <c r="DR611" s="1355">
        <f t="shared" si="16"/>
        <v>0</v>
      </c>
      <c r="DS611" s="1355"/>
      <c r="DT611" s="1355"/>
      <c r="DU611" s="1355"/>
      <c r="DV611" s="1355"/>
      <c r="DX611" s="1360" t="str">
        <f t="shared" si="17"/>
        <v/>
      </c>
      <c r="DY611" s="1361"/>
      <c r="DZ611" s="1361"/>
      <c r="EA611" s="1361"/>
      <c r="EB611" s="1362"/>
      <c r="EC611" s="1360" t="str">
        <f t="shared" si="18"/>
        <v/>
      </c>
      <c r="ED611" s="1361"/>
      <c r="EE611" s="1361"/>
      <c r="EF611" s="1361"/>
      <c r="EG611" s="1362"/>
      <c r="EH611" s="1360" t="str">
        <f t="shared" si="19"/>
        <v/>
      </c>
      <c r="EI611" s="1361"/>
      <c r="EJ611" s="1361"/>
      <c r="EK611" s="1361"/>
      <c r="EL611" s="1362"/>
      <c r="EM611" s="1360" t="str">
        <f t="shared" si="20"/>
        <v/>
      </c>
      <c r="EN611" s="1361"/>
      <c r="EO611" s="1361"/>
      <c r="EP611" s="1361"/>
      <c r="EQ611" s="1362"/>
      <c r="ER611" s="1360" t="str">
        <f t="shared" si="21"/>
        <v/>
      </c>
      <c r="ES611" s="1361"/>
      <c r="ET611" s="1361"/>
      <c r="EU611" s="1361"/>
      <c r="EV611" s="1362"/>
      <c r="EW611" s="1360" t="str">
        <f t="shared" si="22"/>
        <v/>
      </c>
      <c r="EX611" s="1361"/>
      <c r="EY611" s="1361"/>
      <c r="EZ611" s="1361"/>
      <c r="FA611" s="1362"/>
    </row>
    <row r="612" spans="1:157" ht="12.95" customHeight="1">
      <c r="B612" t="s">
        <v>17</v>
      </c>
      <c r="G612" s="1463"/>
      <c r="H612" s="1463"/>
      <c r="I612" s="1463"/>
      <c r="J612" s="1463"/>
      <c r="K612" s="1463"/>
      <c r="L612" s="1463"/>
      <c r="M612" s="1463"/>
      <c r="N612" s="1463"/>
      <c r="O612" s="1463"/>
      <c r="P612" s="1463"/>
      <c r="Q612" s="1463"/>
      <c r="R612" s="1463"/>
      <c r="U612" t="s">
        <v>17</v>
      </c>
      <c r="Z612" s="1464"/>
      <c r="AA612" s="1464"/>
      <c r="AB612" s="1464"/>
      <c r="AC612" s="1464"/>
      <c r="AD612" s="1464"/>
      <c r="AE612" s="1464"/>
      <c r="AF612" s="1464"/>
      <c r="AG612" s="1464"/>
      <c r="AH612" s="1464"/>
      <c r="AI612" s="1464"/>
      <c r="AJ612" s="1464"/>
      <c r="AK612" s="1464"/>
      <c r="AZ612" s="3"/>
      <c r="BA612" s="3"/>
      <c r="BB612" s="3"/>
      <c r="BC612" s="3"/>
      <c r="BD612" s="3"/>
      <c r="BE612" s="1360">
        <f t="shared" si="1"/>
        <v>0</v>
      </c>
      <c r="BF612" s="1362"/>
      <c r="BG612" s="1523">
        <f t="shared" si="2"/>
        <v>0</v>
      </c>
      <c r="BH612" s="1524"/>
      <c r="BI612" s="1360">
        <f t="shared" si="3"/>
        <v>0</v>
      </c>
      <c r="BJ612" s="1362"/>
      <c r="BK612" s="1523">
        <f t="shared" si="4"/>
        <v>0</v>
      </c>
      <c r="BL612" s="1524"/>
      <c r="BM612" s="3"/>
      <c r="BN612" s="1525">
        <f t="shared" si="5"/>
        <v>0</v>
      </c>
      <c r="BO612" s="1526"/>
      <c r="BP612" s="1526"/>
      <c r="BQ612" s="1526"/>
      <c r="BR612" s="1527"/>
      <c r="BS612" s="1363">
        <f t="shared" si="6"/>
        <v>0</v>
      </c>
      <c r="BT612" s="1363"/>
      <c r="BU612" s="1363"/>
      <c r="BV612" s="1363"/>
      <c r="BW612" s="1363"/>
      <c r="BX612" s="1363">
        <f t="shared" si="7"/>
        <v>0</v>
      </c>
      <c r="BY612" s="1363"/>
      <c r="BZ612" s="1363"/>
      <c r="CA612" s="1363"/>
      <c r="CB612" s="1363"/>
      <c r="CC612" s="1363">
        <f t="shared" si="8"/>
        <v>0</v>
      </c>
      <c r="CD612" s="1363"/>
      <c r="CE612" s="1363"/>
      <c r="CF612" s="1363"/>
      <c r="CG612" s="1363"/>
      <c r="CH612" s="1363">
        <f t="shared" si="9"/>
        <v>0</v>
      </c>
      <c r="CI612" s="1363"/>
      <c r="CJ612" s="1363"/>
      <c r="CK612" s="1363"/>
      <c r="CL612" s="1363"/>
      <c r="CM612" s="1363">
        <f t="shared" si="10"/>
        <v>0</v>
      </c>
      <c r="CN612" s="1363"/>
      <c r="CO612" s="1363"/>
      <c r="CP612" s="1363"/>
      <c r="CQ612" s="1363"/>
      <c r="CR612" s="6"/>
      <c r="CS612" s="1355">
        <f t="shared" si="11"/>
        <v>0</v>
      </c>
      <c r="CT612" s="1355"/>
      <c r="CU612" s="1355"/>
      <c r="CV612" s="1355"/>
      <c r="CW612" s="1355"/>
      <c r="CX612" s="1355">
        <f t="shared" si="12"/>
        <v>0</v>
      </c>
      <c r="CY612" s="1355"/>
      <c r="CZ612" s="1355"/>
      <c r="DA612" s="1355"/>
      <c r="DB612" s="1355"/>
      <c r="DC612" s="1355">
        <f t="shared" si="13"/>
        <v>0</v>
      </c>
      <c r="DD612" s="1355"/>
      <c r="DE612" s="1355"/>
      <c r="DF612" s="1355"/>
      <c r="DG612" s="1355"/>
      <c r="DH612" s="1355">
        <f t="shared" si="14"/>
        <v>0</v>
      </c>
      <c r="DI612" s="1355"/>
      <c r="DJ612" s="1355"/>
      <c r="DK612" s="1355"/>
      <c r="DL612" s="1355"/>
      <c r="DM612" s="1355">
        <f t="shared" si="15"/>
        <v>0</v>
      </c>
      <c r="DN612" s="1355"/>
      <c r="DO612" s="1355"/>
      <c r="DP612" s="1355"/>
      <c r="DQ612" s="1355"/>
      <c r="DR612" s="1355">
        <f t="shared" si="16"/>
        <v>0</v>
      </c>
      <c r="DS612" s="1355"/>
      <c r="DT612" s="1355"/>
      <c r="DU612" s="1355"/>
      <c r="DV612" s="1355"/>
      <c r="DX612" s="1360" t="str">
        <f t="shared" si="17"/>
        <v/>
      </c>
      <c r="DY612" s="1361"/>
      <c r="DZ612" s="1361"/>
      <c r="EA612" s="1361"/>
      <c r="EB612" s="1362"/>
      <c r="EC612" s="1360" t="str">
        <f t="shared" si="18"/>
        <v/>
      </c>
      <c r="ED612" s="1361"/>
      <c r="EE612" s="1361"/>
      <c r="EF612" s="1361"/>
      <c r="EG612" s="1362"/>
      <c r="EH612" s="1360" t="str">
        <f t="shared" si="19"/>
        <v/>
      </c>
      <c r="EI612" s="1361"/>
      <c r="EJ612" s="1361"/>
      <c r="EK612" s="1361"/>
      <c r="EL612" s="1362"/>
      <c r="EM612" s="1360" t="str">
        <f t="shared" si="20"/>
        <v/>
      </c>
      <c r="EN612" s="1361"/>
      <c r="EO612" s="1361"/>
      <c r="EP612" s="1361"/>
      <c r="EQ612" s="1362"/>
      <c r="ER612" s="1360" t="str">
        <f t="shared" si="21"/>
        <v/>
      </c>
      <c r="ES612" s="1361"/>
      <c r="ET612" s="1361"/>
      <c r="EU612" s="1361"/>
      <c r="EV612" s="1362"/>
      <c r="EW612" s="1360" t="str">
        <f t="shared" si="22"/>
        <v/>
      </c>
      <c r="EX612" s="1361"/>
      <c r="EY612" s="1361"/>
      <c r="EZ612" s="1361"/>
      <c r="FA612" s="1362"/>
    </row>
    <row r="613" spans="1:157" ht="12.95" customHeight="1">
      <c r="B613" t="s">
        <v>317</v>
      </c>
      <c r="G613" s="1494"/>
      <c r="H613" s="1494"/>
      <c r="I613" s="1494"/>
      <c r="J613" s="1494"/>
      <c r="K613" s="1494"/>
      <c r="L613" s="1494"/>
      <c r="O613" s="33" t="s">
        <v>207</v>
      </c>
      <c r="P613" s="1496"/>
      <c r="Q613" s="1496"/>
      <c r="R613" s="1496"/>
      <c r="U613" t="s">
        <v>317</v>
      </c>
      <c r="Z613" s="1494"/>
      <c r="AA613" s="1494"/>
      <c r="AB613" s="1494"/>
      <c r="AC613" s="1494"/>
      <c r="AD613" s="1494"/>
      <c r="AE613" s="1494"/>
      <c r="AH613" s="33" t="s">
        <v>207</v>
      </c>
      <c r="AI613" s="1496"/>
      <c r="AJ613" s="1496"/>
      <c r="AK613" s="1496"/>
      <c r="AZ613" s="3"/>
      <c r="BA613" s="3"/>
      <c r="BB613" s="3"/>
      <c r="BC613" s="3"/>
      <c r="BD613" s="3"/>
      <c r="BE613" s="1360">
        <f t="shared" si="1"/>
        <v>0</v>
      </c>
      <c r="BF613" s="1362"/>
      <c r="BG613" s="1523">
        <f t="shared" si="2"/>
        <v>0</v>
      </c>
      <c r="BH613" s="1524"/>
      <c r="BI613" s="1360">
        <f t="shared" si="3"/>
        <v>0</v>
      </c>
      <c r="BJ613" s="1362"/>
      <c r="BK613" s="1523">
        <f t="shared" si="4"/>
        <v>0</v>
      </c>
      <c r="BL613" s="1524"/>
      <c r="BM613" s="3"/>
      <c r="BN613" s="1525">
        <f t="shared" si="5"/>
        <v>0</v>
      </c>
      <c r="BO613" s="1526"/>
      <c r="BP613" s="1526"/>
      <c r="BQ613" s="1526"/>
      <c r="BR613" s="1527"/>
      <c r="BS613" s="1363">
        <f t="shared" si="6"/>
        <v>0</v>
      </c>
      <c r="BT613" s="1363"/>
      <c r="BU613" s="1363"/>
      <c r="BV613" s="1363"/>
      <c r="BW613" s="1363"/>
      <c r="BX613" s="1363">
        <f t="shared" si="7"/>
        <v>0</v>
      </c>
      <c r="BY613" s="1363"/>
      <c r="BZ613" s="1363"/>
      <c r="CA613" s="1363"/>
      <c r="CB613" s="1363"/>
      <c r="CC613" s="1363">
        <f t="shared" si="8"/>
        <v>0</v>
      </c>
      <c r="CD613" s="1363"/>
      <c r="CE613" s="1363"/>
      <c r="CF613" s="1363"/>
      <c r="CG613" s="1363"/>
      <c r="CH613" s="1363">
        <f t="shared" si="9"/>
        <v>0</v>
      </c>
      <c r="CI613" s="1363"/>
      <c r="CJ613" s="1363"/>
      <c r="CK613" s="1363"/>
      <c r="CL613" s="1363"/>
      <c r="CM613" s="1363">
        <f t="shared" si="10"/>
        <v>0</v>
      </c>
      <c r="CN613" s="1363"/>
      <c r="CO613" s="1363"/>
      <c r="CP613" s="1363"/>
      <c r="CQ613" s="1363"/>
      <c r="CR613" s="6"/>
      <c r="CS613" s="1355">
        <f t="shared" si="11"/>
        <v>0</v>
      </c>
      <c r="CT613" s="1355"/>
      <c r="CU613" s="1355"/>
      <c r="CV613" s="1355"/>
      <c r="CW613" s="1355"/>
      <c r="CX613" s="1355">
        <f t="shared" si="12"/>
        <v>0</v>
      </c>
      <c r="CY613" s="1355"/>
      <c r="CZ613" s="1355"/>
      <c r="DA613" s="1355"/>
      <c r="DB613" s="1355"/>
      <c r="DC613" s="1355">
        <f t="shared" si="13"/>
        <v>0</v>
      </c>
      <c r="DD613" s="1355"/>
      <c r="DE613" s="1355"/>
      <c r="DF613" s="1355"/>
      <c r="DG613" s="1355"/>
      <c r="DH613" s="1355">
        <f t="shared" si="14"/>
        <v>0</v>
      </c>
      <c r="DI613" s="1355"/>
      <c r="DJ613" s="1355"/>
      <c r="DK613" s="1355"/>
      <c r="DL613" s="1355"/>
      <c r="DM613" s="1355">
        <f t="shared" si="15"/>
        <v>0</v>
      </c>
      <c r="DN613" s="1355"/>
      <c r="DO613" s="1355"/>
      <c r="DP613" s="1355"/>
      <c r="DQ613" s="1355"/>
      <c r="DR613" s="1355">
        <f t="shared" si="16"/>
        <v>0</v>
      </c>
      <c r="DS613" s="1355"/>
      <c r="DT613" s="1355"/>
      <c r="DU613" s="1355"/>
      <c r="DV613" s="1355"/>
      <c r="DX613" s="1360" t="str">
        <f t="shared" si="17"/>
        <v/>
      </c>
      <c r="DY613" s="1361"/>
      <c r="DZ613" s="1361"/>
      <c r="EA613" s="1361"/>
      <c r="EB613" s="1362"/>
      <c r="EC613" s="1360" t="str">
        <f t="shared" si="18"/>
        <v/>
      </c>
      <c r="ED613" s="1361"/>
      <c r="EE613" s="1361"/>
      <c r="EF613" s="1361"/>
      <c r="EG613" s="1362"/>
      <c r="EH613" s="1360" t="str">
        <f t="shared" si="19"/>
        <v/>
      </c>
      <c r="EI613" s="1361"/>
      <c r="EJ613" s="1361"/>
      <c r="EK613" s="1361"/>
      <c r="EL613" s="1362"/>
      <c r="EM613" s="1360" t="str">
        <f t="shared" si="20"/>
        <v/>
      </c>
      <c r="EN613" s="1361"/>
      <c r="EO613" s="1361"/>
      <c r="EP613" s="1361"/>
      <c r="EQ613" s="1362"/>
      <c r="ER613" s="1360" t="str">
        <f t="shared" si="21"/>
        <v/>
      </c>
      <c r="ES613" s="1361"/>
      <c r="ET613" s="1361"/>
      <c r="EU613" s="1361"/>
      <c r="EV613" s="1362"/>
      <c r="EW613" s="1360" t="str">
        <f t="shared" si="22"/>
        <v/>
      </c>
      <c r="EX613" s="1361"/>
      <c r="EY613" s="1361"/>
      <c r="EZ613" s="1361"/>
      <c r="FA613" s="1362"/>
    </row>
    <row r="614" spans="1:157" ht="12.95" customHeight="1">
      <c r="B614" t="s">
        <v>18</v>
      </c>
      <c r="H614" s="1463"/>
      <c r="I614" s="1463"/>
      <c r="J614" s="1463"/>
      <c r="K614" s="1463"/>
      <c r="L614" s="1463"/>
      <c r="M614" s="1463"/>
      <c r="N614" s="1463"/>
      <c r="O614" s="1463"/>
      <c r="P614" s="1463"/>
      <c r="Q614" s="1463"/>
      <c r="R614" s="1463"/>
      <c r="U614" t="s">
        <v>18</v>
      </c>
      <c r="AA614" s="1463"/>
      <c r="AB614" s="1463"/>
      <c r="AC614" s="1463"/>
      <c r="AD614" s="1463"/>
      <c r="AE614" s="1463"/>
      <c r="AF614" s="1463"/>
      <c r="AG614" s="1463"/>
      <c r="AH614" s="1463"/>
      <c r="AI614" s="1463"/>
      <c r="AJ614" s="1463"/>
      <c r="AK614" s="1463"/>
      <c r="AU614" s="934"/>
      <c r="AV614" s="934"/>
      <c r="AW614" s="934"/>
      <c r="AX614" s="934"/>
      <c r="AY614" s="934"/>
      <c r="AZ614" s="3"/>
      <c r="BA614" s="3"/>
      <c r="BB614" s="3"/>
      <c r="BC614" s="3"/>
      <c r="BD614" s="3"/>
      <c r="BE614" s="1360">
        <f t="shared" si="1"/>
        <v>0</v>
      </c>
      <c r="BF614" s="1362"/>
      <c r="BG614" s="1523">
        <f t="shared" si="2"/>
        <v>0</v>
      </c>
      <c r="BH614" s="1524"/>
      <c r="BI614" s="1360">
        <f t="shared" si="3"/>
        <v>0</v>
      </c>
      <c r="BJ614" s="1362"/>
      <c r="BK614" s="1523">
        <f t="shared" si="4"/>
        <v>0</v>
      </c>
      <c r="BL614" s="1524"/>
      <c r="BM614" s="3"/>
      <c r="BN614" s="1525">
        <f t="shared" si="5"/>
        <v>0</v>
      </c>
      <c r="BO614" s="1526"/>
      <c r="BP614" s="1526"/>
      <c r="BQ614" s="1526"/>
      <c r="BR614" s="1527"/>
      <c r="BS614" s="1363">
        <f t="shared" si="6"/>
        <v>0</v>
      </c>
      <c r="BT614" s="1363"/>
      <c r="BU614" s="1363"/>
      <c r="BV614" s="1363"/>
      <c r="BW614" s="1363"/>
      <c r="BX614" s="1363">
        <f t="shared" si="7"/>
        <v>0</v>
      </c>
      <c r="BY614" s="1363"/>
      <c r="BZ614" s="1363"/>
      <c r="CA614" s="1363"/>
      <c r="CB614" s="1363"/>
      <c r="CC614" s="1363">
        <f t="shared" si="8"/>
        <v>0</v>
      </c>
      <c r="CD614" s="1363"/>
      <c r="CE614" s="1363"/>
      <c r="CF614" s="1363"/>
      <c r="CG614" s="1363"/>
      <c r="CH614" s="1363">
        <f t="shared" si="9"/>
        <v>0</v>
      </c>
      <c r="CI614" s="1363"/>
      <c r="CJ614" s="1363"/>
      <c r="CK614" s="1363"/>
      <c r="CL614" s="1363"/>
      <c r="CM614" s="1363">
        <f t="shared" si="10"/>
        <v>0</v>
      </c>
      <c r="CN614" s="1363"/>
      <c r="CO614" s="1363"/>
      <c r="CP614" s="1363"/>
      <c r="CQ614" s="1363"/>
      <c r="CR614" s="6"/>
      <c r="CS614" s="1355">
        <f t="shared" si="11"/>
        <v>0</v>
      </c>
      <c r="CT614" s="1355"/>
      <c r="CU614" s="1355"/>
      <c r="CV614" s="1355"/>
      <c r="CW614" s="1355"/>
      <c r="CX614" s="1355">
        <f t="shared" si="12"/>
        <v>0</v>
      </c>
      <c r="CY614" s="1355"/>
      <c r="CZ614" s="1355"/>
      <c r="DA614" s="1355"/>
      <c r="DB614" s="1355"/>
      <c r="DC614" s="1355">
        <f t="shared" si="13"/>
        <v>0</v>
      </c>
      <c r="DD614" s="1355"/>
      <c r="DE614" s="1355"/>
      <c r="DF614" s="1355"/>
      <c r="DG614" s="1355"/>
      <c r="DH614" s="1355">
        <f t="shared" si="14"/>
        <v>0</v>
      </c>
      <c r="DI614" s="1355"/>
      <c r="DJ614" s="1355"/>
      <c r="DK614" s="1355"/>
      <c r="DL614" s="1355"/>
      <c r="DM614" s="1355">
        <f t="shared" si="15"/>
        <v>0</v>
      </c>
      <c r="DN614" s="1355"/>
      <c r="DO614" s="1355"/>
      <c r="DP614" s="1355"/>
      <c r="DQ614" s="1355"/>
      <c r="DR614" s="1355">
        <f t="shared" si="16"/>
        <v>0</v>
      </c>
      <c r="DS614" s="1355"/>
      <c r="DT614" s="1355"/>
      <c r="DU614" s="1355"/>
      <c r="DV614" s="1355"/>
      <c r="DX614" s="1360" t="str">
        <f t="shared" si="17"/>
        <v/>
      </c>
      <c r="DY614" s="1361"/>
      <c r="DZ614" s="1361"/>
      <c r="EA614" s="1361"/>
      <c r="EB614" s="1362"/>
      <c r="EC614" s="1360" t="str">
        <f t="shared" si="18"/>
        <v/>
      </c>
      <c r="ED614" s="1361"/>
      <c r="EE614" s="1361"/>
      <c r="EF614" s="1361"/>
      <c r="EG614" s="1362"/>
      <c r="EH614" s="1360" t="str">
        <f t="shared" si="19"/>
        <v/>
      </c>
      <c r="EI614" s="1361"/>
      <c r="EJ614" s="1361"/>
      <c r="EK614" s="1361"/>
      <c r="EL614" s="1362"/>
      <c r="EM614" s="1360" t="str">
        <f t="shared" si="20"/>
        <v/>
      </c>
      <c r="EN614" s="1361"/>
      <c r="EO614" s="1361"/>
      <c r="EP614" s="1361"/>
      <c r="EQ614" s="1362"/>
      <c r="ER614" s="1360" t="str">
        <f t="shared" si="21"/>
        <v/>
      </c>
      <c r="ES614" s="1361"/>
      <c r="ET614" s="1361"/>
      <c r="EU614" s="1361"/>
      <c r="EV614" s="1362"/>
      <c r="EW614" s="1360" t="str">
        <f t="shared" si="22"/>
        <v/>
      </c>
      <c r="EX614" s="1361"/>
      <c r="EY614" s="1361"/>
      <c r="EZ614" s="1361"/>
      <c r="FA614" s="1362"/>
    </row>
    <row r="615" spans="1:157" ht="12.95" customHeight="1">
      <c r="B615" t="s">
        <v>20</v>
      </c>
      <c r="N615" s="1440" t="s">
        <v>678</v>
      </c>
      <c r="O615" s="1440"/>
      <c r="U615" t="s">
        <v>20</v>
      </c>
      <c r="AG615" s="1440" t="s">
        <v>678</v>
      </c>
      <c r="AH615" s="1440"/>
      <c r="AU615" s="934"/>
      <c r="AV615" s="934"/>
      <c r="AW615" s="934"/>
      <c r="AX615" s="934"/>
      <c r="AY615" s="934"/>
      <c r="AZ615" s="3"/>
      <c r="BA615" s="3"/>
      <c r="BB615" s="3"/>
      <c r="BC615" s="3"/>
      <c r="BD615" s="3"/>
      <c r="BE615" s="1360">
        <f t="shared" si="1"/>
        <v>0</v>
      </c>
      <c r="BF615" s="1362"/>
      <c r="BG615" s="1523">
        <f t="shared" si="2"/>
        <v>0</v>
      </c>
      <c r="BH615" s="1524"/>
      <c r="BI615" s="1360">
        <f t="shared" si="3"/>
        <v>0</v>
      </c>
      <c r="BJ615" s="1362"/>
      <c r="BK615" s="1523">
        <f t="shared" si="4"/>
        <v>0</v>
      </c>
      <c r="BL615" s="1524"/>
      <c r="BM615" s="3"/>
      <c r="BN615" s="1525">
        <f t="shared" si="5"/>
        <v>0</v>
      </c>
      <c r="BO615" s="1526"/>
      <c r="BP615" s="1526"/>
      <c r="BQ615" s="1526"/>
      <c r="BR615" s="1527"/>
      <c r="BS615" s="1363">
        <f t="shared" si="6"/>
        <v>0</v>
      </c>
      <c r="BT615" s="1363"/>
      <c r="BU615" s="1363"/>
      <c r="BV615" s="1363"/>
      <c r="BW615" s="1363"/>
      <c r="BX615" s="1363">
        <f t="shared" si="7"/>
        <v>0</v>
      </c>
      <c r="BY615" s="1363"/>
      <c r="BZ615" s="1363"/>
      <c r="CA615" s="1363"/>
      <c r="CB615" s="1363"/>
      <c r="CC615" s="1363">
        <f t="shared" si="8"/>
        <v>0</v>
      </c>
      <c r="CD615" s="1363"/>
      <c r="CE615" s="1363"/>
      <c r="CF615" s="1363"/>
      <c r="CG615" s="1363"/>
      <c r="CH615" s="1363">
        <f t="shared" si="9"/>
        <v>0</v>
      </c>
      <c r="CI615" s="1363"/>
      <c r="CJ615" s="1363"/>
      <c r="CK615" s="1363"/>
      <c r="CL615" s="1363"/>
      <c r="CM615" s="1363">
        <f t="shared" si="10"/>
        <v>0</v>
      </c>
      <c r="CN615" s="1363"/>
      <c r="CO615" s="1363"/>
      <c r="CP615" s="1363"/>
      <c r="CQ615" s="1363"/>
      <c r="CR615" s="6"/>
      <c r="CS615" s="1355">
        <f t="shared" si="11"/>
        <v>0</v>
      </c>
      <c r="CT615" s="1355"/>
      <c r="CU615" s="1355"/>
      <c r="CV615" s="1355"/>
      <c r="CW615" s="1355"/>
      <c r="CX615" s="1355">
        <f t="shared" si="12"/>
        <v>0</v>
      </c>
      <c r="CY615" s="1355"/>
      <c r="CZ615" s="1355"/>
      <c r="DA615" s="1355"/>
      <c r="DB615" s="1355"/>
      <c r="DC615" s="1355">
        <f t="shared" si="13"/>
        <v>0</v>
      </c>
      <c r="DD615" s="1355"/>
      <c r="DE615" s="1355"/>
      <c r="DF615" s="1355"/>
      <c r="DG615" s="1355"/>
      <c r="DH615" s="1355">
        <f t="shared" si="14"/>
        <v>0</v>
      </c>
      <c r="DI615" s="1355"/>
      <c r="DJ615" s="1355"/>
      <c r="DK615" s="1355"/>
      <c r="DL615" s="1355"/>
      <c r="DM615" s="1355">
        <f t="shared" si="15"/>
        <v>0</v>
      </c>
      <c r="DN615" s="1355"/>
      <c r="DO615" s="1355"/>
      <c r="DP615" s="1355"/>
      <c r="DQ615" s="1355"/>
      <c r="DR615" s="1355">
        <f t="shared" si="16"/>
        <v>0</v>
      </c>
      <c r="DS615" s="1355"/>
      <c r="DT615" s="1355"/>
      <c r="DU615" s="1355"/>
      <c r="DV615" s="1355"/>
      <c r="DX615" s="1360" t="str">
        <f t="shared" si="17"/>
        <v/>
      </c>
      <c r="DY615" s="1361"/>
      <c r="DZ615" s="1361"/>
      <c r="EA615" s="1361"/>
      <c r="EB615" s="1362"/>
      <c r="EC615" s="1360" t="str">
        <f t="shared" si="18"/>
        <v/>
      </c>
      <c r="ED615" s="1361"/>
      <c r="EE615" s="1361"/>
      <c r="EF615" s="1361"/>
      <c r="EG615" s="1362"/>
      <c r="EH615" s="1360" t="str">
        <f t="shared" si="19"/>
        <v/>
      </c>
      <c r="EI615" s="1361"/>
      <c r="EJ615" s="1361"/>
      <c r="EK615" s="1361"/>
      <c r="EL615" s="1362"/>
      <c r="EM615" s="1360" t="str">
        <f t="shared" si="20"/>
        <v/>
      </c>
      <c r="EN615" s="1361"/>
      <c r="EO615" s="1361"/>
      <c r="EP615" s="1361"/>
      <c r="EQ615" s="1362"/>
      <c r="ER615" s="1360" t="str">
        <f t="shared" si="21"/>
        <v/>
      </c>
      <c r="ES615" s="1361"/>
      <c r="ET615" s="1361"/>
      <c r="EU615" s="1361"/>
      <c r="EV615" s="1362"/>
      <c r="EW615" s="1360" t="str">
        <f t="shared" si="22"/>
        <v/>
      </c>
      <c r="EX615" s="1361"/>
      <c r="EY615" s="1361"/>
      <c r="EZ615" s="1361"/>
      <c r="FA615" s="1362"/>
    </row>
    <row r="616" spans="1:157" ht="12.95" customHeight="1">
      <c r="AZ616" s="3"/>
      <c r="BA616" s="3"/>
      <c r="BB616" s="3"/>
      <c r="BC616" s="3"/>
      <c r="BD616" s="3"/>
      <c r="BE616" s="1360">
        <f t="shared" si="1"/>
        <v>0</v>
      </c>
      <c r="BF616" s="1362"/>
      <c r="BG616" s="1523">
        <f t="shared" si="2"/>
        <v>0</v>
      </c>
      <c r="BH616" s="1524"/>
      <c r="BI616" s="1360">
        <f t="shared" si="3"/>
        <v>0</v>
      </c>
      <c r="BJ616" s="1362"/>
      <c r="BK616" s="1523">
        <f t="shared" si="4"/>
        <v>0</v>
      </c>
      <c r="BL616" s="1524"/>
      <c r="BM616" s="3"/>
      <c r="BN616" s="1525">
        <f t="shared" si="5"/>
        <v>0</v>
      </c>
      <c r="BO616" s="1526"/>
      <c r="BP616" s="1526"/>
      <c r="BQ616" s="1526"/>
      <c r="BR616" s="1527"/>
      <c r="BS616" s="1363">
        <f t="shared" si="6"/>
        <v>0</v>
      </c>
      <c r="BT616" s="1363"/>
      <c r="BU616" s="1363"/>
      <c r="BV616" s="1363"/>
      <c r="BW616" s="1363"/>
      <c r="BX616" s="1363">
        <f t="shared" si="7"/>
        <v>0</v>
      </c>
      <c r="BY616" s="1363"/>
      <c r="BZ616" s="1363"/>
      <c r="CA616" s="1363"/>
      <c r="CB616" s="1363"/>
      <c r="CC616" s="1363">
        <f t="shared" si="8"/>
        <v>0</v>
      </c>
      <c r="CD616" s="1363"/>
      <c r="CE616" s="1363"/>
      <c r="CF616" s="1363"/>
      <c r="CG616" s="1363"/>
      <c r="CH616" s="1363">
        <f t="shared" si="9"/>
        <v>0</v>
      </c>
      <c r="CI616" s="1363"/>
      <c r="CJ616" s="1363"/>
      <c r="CK616" s="1363"/>
      <c r="CL616" s="1363"/>
      <c r="CM616" s="1363">
        <f t="shared" si="10"/>
        <v>0</v>
      </c>
      <c r="CN616" s="1363"/>
      <c r="CO616" s="1363"/>
      <c r="CP616" s="1363"/>
      <c r="CQ616" s="1363"/>
      <c r="CR616" s="6"/>
      <c r="CS616" s="1355">
        <f t="shared" si="11"/>
        <v>0</v>
      </c>
      <c r="CT616" s="1355"/>
      <c r="CU616" s="1355"/>
      <c r="CV616" s="1355"/>
      <c r="CW616" s="1355"/>
      <c r="CX616" s="1355">
        <f t="shared" si="12"/>
        <v>0</v>
      </c>
      <c r="CY616" s="1355"/>
      <c r="CZ616" s="1355"/>
      <c r="DA616" s="1355"/>
      <c r="DB616" s="1355"/>
      <c r="DC616" s="1355">
        <f t="shared" si="13"/>
        <v>0</v>
      </c>
      <c r="DD616" s="1355"/>
      <c r="DE616" s="1355"/>
      <c r="DF616" s="1355"/>
      <c r="DG616" s="1355"/>
      <c r="DH616" s="1355">
        <f t="shared" si="14"/>
        <v>0</v>
      </c>
      <c r="DI616" s="1355"/>
      <c r="DJ616" s="1355"/>
      <c r="DK616" s="1355"/>
      <c r="DL616" s="1355"/>
      <c r="DM616" s="1355">
        <f t="shared" si="15"/>
        <v>0</v>
      </c>
      <c r="DN616" s="1355"/>
      <c r="DO616" s="1355"/>
      <c r="DP616" s="1355"/>
      <c r="DQ616" s="1355"/>
      <c r="DR616" s="1355">
        <f t="shared" si="16"/>
        <v>0</v>
      </c>
      <c r="DS616" s="1355"/>
      <c r="DT616" s="1355"/>
      <c r="DU616" s="1355"/>
      <c r="DV616" s="1355"/>
      <c r="DX616" s="1360" t="str">
        <f t="shared" si="17"/>
        <v/>
      </c>
      <c r="DY616" s="1361"/>
      <c r="DZ616" s="1361"/>
      <c r="EA616" s="1361"/>
      <c r="EB616" s="1362"/>
      <c r="EC616" s="1360" t="str">
        <f t="shared" si="18"/>
        <v/>
      </c>
      <c r="ED616" s="1361"/>
      <c r="EE616" s="1361"/>
      <c r="EF616" s="1361"/>
      <c r="EG616" s="1362"/>
      <c r="EH616" s="1360" t="str">
        <f t="shared" si="19"/>
        <v/>
      </c>
      <c r="EI616" s="1361"/>
      <c r="EJ616" s="1361"/>
      <c r="EK616" s="1361"/>
      <c r="EL616" s="1362"/>
      <c r="EM616" s="1360" t="str">
        <f t="shared" si="20"/>
        <v/>
      </c>
      <c r="EN616" s="1361"/>
      <c r="EO616" s="1361"/>
      <c r="EP616" s="1361"/>
      <c r="EQ616" s="1362"/>
      <c r="ER616" s="1360" t="str">
        <f t="shared" si="21"/>
        <v/>
      </c>
      <c r="ES616" s="1361"/>
      <c r="ET616" s="1361"/>
      <c r="EU616" s="1361"/>
      <c r="EV616" s="1362"/>
      <c r="EW616" s="1360" t="str">
        <f t="shared" si="22"/>
        <v/>
      </c>
      <c r="EX616" s="1361"/>
      <c r="EY616" s="1361"/>
      <c r="EZ616" s="1361"/>
      <c r="FA616" s="136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60">
        <f t="shared" si="1"/>
        <v>0</v>
      </c>
      <c r="BF617" s="1362"/>
      <c r="BG617" s="1523">
        <f t="shared" si="2"/>
        <v>0</v>
      </c>
      <c r="BH617" s="1524"/>
      <c r="BI617" s="1360">
        <f t="shared" si="3"/>
        <v>0</v>
      </c>
      <c r="BJ617" s="1362"/>
      <c r="BK617" s="1523">
        <f t="shared" si="4"/>
        <v>0</v>
      </c>
      <c r="BL617" s="1524"/>
      <c r="BM617" s="3"/>
      <c r="BN617" s="1525">
        <f t="shared" si="5"/>
        <v>0</v>
      </c>
      <c r="BO617" s="1526"/>
      <c r="BP617" s="1526"/>
      <c r="BQ617" s="1526"/>
      <c r="BR617" s="1527"/>
      <c r="BS617" s="1363">
        <f t="shared" si="6"/>
        <v>0</v>
      </c>
      <c r="BT617" s="1363"/>
      <c r="BU617" s="1363"/>
      <c r="BV617" s="1363"/>
      <c r="BW617" s="1363"/>
      <c r="BX617" s="1363">
        <f t="shared" si="7"/>
        <v>0</v>
      </c>
      <c r="BY617" s="1363"/>
      <c r="BZ617" s="1363"/>
      <c r="CA617" s="1363"/>
      <c r="CB617" s="1363"/>
      <c r="CC617" s="1363">
        <f t="shared" si="8"/>
        <v>0</v>
      </c>
      <c r="CD617" s="1363"/>
      <c r="CE617" s="1363"/>
      <c r="CF617" s="1363"/>
      <c r="CG617" s="1363"/>
      <c r="CH617" s="1363">
        <f t="shared" si="9"/>
        <v>0</v>
      </c>
      <c r="CI617" s="1363"/>
      <c r="CJ617" s="1363"/>
      <c r="CK617" s="1363"/>
      <c r="CL617" s="1363"/>
      <c r="CM617" s="1363">
        <f t="shared" si="10"/>
        <v>0</v>
      </c>
      <c r="CN617" s="1363"/>
      <c r="CO617" s="1363"/>
      <c r="CP617" s="1363"/>
      <c r="CQ617" s="1363"/>
      <c r="CR617" s="6"/>
      <c r="CS617" s="1355">
        <f t="shared" si="11"/>
        <v>0</v>
      </c>
      <c r="CT617" s="1355"/>
      <c r="CU617" s="1355"/>
      <c r="CV617" s="1355"/>
      <c r="CW617" s="1355"/>
      <c r="CX617" s="1355">
        <f t="shared" si="12"/>
        <v>0</v>
      </c>
      <c r="CY617" s="1355"/>
      <c r="CZ617" s="1355"/>
      <c r="DA617" s="1355"/>
      <c r="DB617" s="1355"/>
      <c r="DC617" s="1355">
        <f t="shared" si="13"/>
        <v>0</v>
      </c>
      <c r="DD617" s="1355"/>
      <c r="DE617" s="1355"/>
      <c r="DF617" s="1355"/>
      <c r="DG617" s="1355"/>
      <c r="DH617" s="1355">
        <f t="shared" si="14"/>
        <v>0</v>
      </c>
      <c r="DI617" s="1355"/>
      <c r="DJ617" s="1355"/>
      <c r="DK617" s="1355"/>
      <c r="DL617" s="1355"/>
      <c r="DM617" s="1355">
        <f t="shared" si="15"/>
        <v>0</v>
      </c>
      <c r="DN617" s="1355"/>
      <c r="DO617" s="1355"/>
      <c r="DP617" s="1355"/>
      <c r="DQ617" s="1355"/>
      <c r="DR617" s="1355">
        <f t="shared" si="16"/>
        <v>0</v>
      </c>
      <c r="DS617" s="1355"/>
      <c r="DT617" s="1355"/>
      <c r="DU617" s="1355"/>
      <c r="DV617" s="1355"/>
      <c r="DX617" s="1360" t="str">
        <f t="shared" si="17"/>
        <v/>
      </c>
      <c r="DY617" s="1361"/>
      <c r="DZ617" s="1361"/>
      <c r="EA617" s="1361"/>
      <c r="EB617" s="1362"/>
      <c r="EC617" s="1360" t="str">
        <f t="shared" si="18"/>
        <v/>
      </c>
      <c r="ED617" s="1361"/>
      <c r="EE617" s="1361"/>
      <c r="EF617" s="1361"/>
      <c r="EG617" s="1362"/>
      <c r="EH617" s="1360" t="str">
        <f t="shared" si="19"/>
        <v/>
      </c>
      <c r="EI617" s="1361"/>
      <c r="EJ617" s="1361"/>
      <c r="EK617" s="1361"/>
      <c r="EL617" s="1362"/>
      <c r="EM617" s="1360" t="str">
        <f t="shared" si="20"/>
        <v/>
      </c>
      <c r="EN617" s="1361"/>
      <c r="EO617" s="1361"/>
      <c r="EP617" s="1361"/>
      <c r="EQ617" s="1362"/>
      <c r="ER617" s="1360" t="str">
        <f t="shared" si="21"/>
        <v/>
      </c>
      <c r="ES617" s="1361"/>
      <c r="ET617" s="1361"/>
      <c r="EU617" s="1361"/>
      <c r="EV617" s="1362"/>
      <c r="EW617" s="1360" t="str">
        <f t="shared" si="22"/>
        <v/>
      </c>
      <c r="EX617" s="1361"/>
      <c r="EY617" s="1361"/>
      <c r="EZ617" s="1361"/>
      <c r="FA617" s="136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60">
        <f t="shared" si="1"/>
        <v>0</v>
      </c>
      <c r="BF618" s="1362"/>
      <c r="BG618" s="1523">
        <f t="shared" si="2"/>
        <v>0</v>
      </c>
      <c r="BH618" s="1524"/>
      <c r="BI618" s="1360">
        <f t="shared" si="3"/>
        <v>0</v>
      </c>
      <c r="BJ618" s="1362"/>
      <c r="BK618" s="1523">
        <f t="shared" si="4"/>
        <v>0</v>
      </c>
      <c r="BL618" s="1524"/>
      <c r="BM618" s="3"/>
      <c r="BN618" s="1525">
        <f t="shared" si="5"/>
        <v>0</v>
      </c>
      <c r="BO618" s="1526"/>
      <c r="BP618" s="1526"/>
      <c r="BQ618" s="1526"/>
      <c r="BR618" s="1527"/>
      <c r="BS618" s="1363">
        <f t="shared" si="6"/>
        <v>0</v>
      </c>
      <c r="BT618" s="1363"/>
      <c r="BU618" s="1363"/>
      <c r="BV618" s="1363"/>
      <c r="BW618" s="1363"/>
      <c r="BX618" s="1363">
        <f t="shared" si="7"/>
        <v>0</v>
      </c>
      <c r="BY618" s="1363"/>
      <c r="BZ618" s="1363"/>
      <c r="CA618" s="1363"/>
      <c r="CB618" s="1363"/>
      <c r="CC618" s="1363">
        <f t="shared" si="8"/>
        <v>0</v>
      </c>
      <c r="CD618" s="1363"/>
      <c r="CE618" s="1363"/>
      <c r="CF618" s="1363"/>
      <c r="CG618" s="1363"/>
      <c r="CH618" s="1363">
        <f t="shared" si="9"/>
        <v>0</v>
      </c>
      <c r="CI618" s="1363"/>
      <c r="CJ618" s="1363"/>
      <c r="CK618" s="1363"/>
      <c r="CL618" s="1363"/>
      <c r="CM618" s="1363">
        <f t="shared" si="10"/>
        <v>0</v>
      </c>
      <c r="CN618" s="1363"/>
      <c r="CO618" s="1363"/>
      <c r="CP618" s="1363"/>
      <c r="CQ618" s="1363"/>
      <c r="CR618" s="6"/>
      <c r="CS618" s="1355">
        <f t="shared" si="11"/>
        <v>0</v>
      </c>
      <c r="CT618" s="1355"/>
      <c r="CU618" s="1355"/>
      <c r="CV618" s="1355"/>
      <c r="CW618" s="1355"/>
      <c r="CX618" s="1355">
        <f t="shared" si="12"/>
        <v>0</v>
      </c>
      <c r="CY618" s="1355"/>
      <c r="CZ618" s="1355"/>
      <c r="DA618" s="1355"/>
      <c r="DB618" s="1355"/>
      <c r="DC618" s="1355">
        <f t="shared" si="13"/>
        <v>0</v>
      </c>
      <c r="DD618" s="1355"/>
      <c r="DE618" s="1355"/>
      <c r="DF618" s="1355"/>
      <c r="DG618" s="1355"/>
      <c r="DH618" s="1355">
        <f t="shared" si="14"/>
        <v>0</v>
      </c>
      <c r="DI618" s="1355"/>
      <c r="DJ618" s="1355"/>
      <c r="DK618" s="1355"/>
      <c r="DL618" s="1355"/>
      <c r="DM618" s="1355">
        <f t="shared" si="15"/>
        <v>0</v>
      </c>
      <c r="DN618" s="1355"/>
      <c r="DO618" s="1355"/>
      <c r="DP618" s="1355"/>
      <c r="DQ618" s="1355"/>
      <c r="DR618" s="1355">
        <f t="shared" si="16"/>
        <v>0</v>
      </c>
      <c r="DS618" s="1355"/>
      <c r="DT618" s="1355"/>
      <c r="DU618" s="1355"/>
      <c r="DV618" s="1355"/>
      <c r="DX618" s="1360" t="str">
        <f t="shared" si="17"/>
        <v/>
      </c>
      <c r="DY618" s="1361"/>
      <c r="DZ618" s="1361"/>
      <c r="EA618" s="1361"/>
      <c r="EB618" s="1362"/>
      <c r="EC618" s="1360" t="str">
        <f t="shared" si="18"/>
        <v/>
      </c>
      <c r="ED618" s="1361"/>
      <c r="EE618" s="1361"/>
      <c r="EF618" s="1361"/>
      <c r="EG618" s="1362"/>
      <c r="EH618" s="1360" t="str">
        <f t="shared" si="19"/>
        <v/>
      </c>
      <c r="EI618" s="1361"/>
      <c r="EJ618" s="1361"/>
      <c r="EK618" s="1361"/>
      <c r="EL618" s="1362"/>
      <c r="EM618" s="1360" t="str">
        <f t="shared" si="20"/>
        <v/>
      </c>
      <c r="EN618" s="1361"/>
      <c r="EO618" s="1361"/>
      <c r="EP618" s="1361"/>
      <c r="EQ618" s="1362"/>
      <c r="ER618" s="1360" t="str">
        <f t="shared" si="21"/>
        <v/>
      </c>
      <c r="ES618" s="1361"/>
      <c r="ET618" s="1361"/>
      <c r="EU618" s="1361"/>
      <c r="EV618" s="1362"/>
      <c r="EW618" s="1360" t="str">
        <f t="shared" si="22"/>
        <v/>
      </c>
      <c r="EX618" s="1361"/>
      <c r="EY618" s="1361"/>
      <c r="EZ618" s="1361"/>
      <c r="FA618" s="1362"/>
    </row>
    <row r="619" spans="1:157" ht="12.95" customHeight="1">
      <c r="AZ619" s="3"/>
      <c r="BA619" s="3"/>
      <c r="BB619" s="3"/>
      <c r="BC619" s="3"/>
      <c r="BD619" s="3"/>
      <c r="BE619" s="1360">
        <f t="shared" si="1"/>
        <v>0</v>
      </c>
      <c r="BF619" s="1362"/>
      <c r="BG619" s="1523">
        <f t="shared" si="2"/>
        <v>0</v>
      </c>
      <c r="BH619" s="1524"/>
      <c r="BI619" s="1360">
        <f t="shared" si="3"/>
        <v>0</v>
      </c>
      <c r="BJ619" s="1362"/>
      <c r="BK619" s="1523">
        <f t="shared" si="4"/>
        <v>0</v>
      </c>
      <c r="BL619" s="1524"/>
      <c r="BM619" s="3"/>
      <c r="BN619" s="1525">
        <f t="shared" si="5"/>
        <v>0</v>
      </c>
      <c r="BO619" s="1526"/>
      <c r="BP619" s="1526"/>
      <c r="BQ619" s="1526"/>
      <c r="BR619" s="1527"/>
      <c r="BS619" s="1363">
        <f t="shared" si="6"/>
        <v>0</v>
      </c>
      <c r="BT619" s="1363"/>
      <c r="BU619" s="1363"/>
      <c r="BV619" s="1363"/>
      <c r="BW619" s="1363"/>
      <c r="BX619" s="1363">
        <f t="shared" si="7"/>
        <v>0</v>
      </c>
      <c r="BY619" s="1363"/>
      <c r="BZ619" s="1363"/>
      <c r="CA619" s="1363"/>
      <c r="CB619" s="1363"/>
      <c r="CC619" s="1363">
        <f t="shared" si="8"/>
        <v>0</v>
      </c>
      <c r="CD619" s="1363"/>
      <c r="CE619" s="1363"/>
      <c r="CF619" s="1363"/>
      <c r="CG619" s="1363"/>
      <c r="CH619" s="1363">
        <f t="shared" si="9"/>
        <v>0</v>
      </c>
      <c r="CI619" s="1363"/>
      <c r="CJ619" s="1363"/>
      <c r="CK619" s="1363"/>
      <c r="CL619" s="1363"/>
      <c r="CM619" s="1363">
        <f t="shared" si="10"/>
        <v>0</v>
      </c>
      <c r="CN619" s="1363"/>
      <c r="CO619" s="1363"/>
      <c r="CP619" s="1363"/>
      <c r="CQ619" s="1363"/>
      <c r="CR619" s="6"/>
      <c r="CS619" s="1355">
        <f t="shared" si="11"/>
        <v>0</v>
      </c>
      <c r="CT619" s="1355"/>
      <c r="CU619" s="1355"/>
      <c r="CV619" s="1355"/>
      <c r="CW619" s="1355"/>
      <c r="CX619" s="1355">
        <f t="shared" si="12"/>
        <v>0</v>
      </c>
      <c r="CY619" s="1355"/>
      <c r="CZ619" s="1355"/>
      <c r="DA619" s="1355"/>
      <c r="DB619" s="1355"/>
      <c r="DC619" s="1355">
        <f t="shared" si="13"/>
        <v>0</v>
      </c>
      <c r="DD619" s="1355"/>
      <c r="DE619" s="1355"/>
      <c r="DF619" s="1355"/>
      <c r="DG619" s="1355"/>
      <c r="DH619" s="1355">
        <f t="shared" si="14"/>
        <v>0</v>
      </c>
      <c r="DI619" s="1355"/>
      <c r="DJ619" s="1355"/>
      <c r="DK619" s="1355"/>
      <c r="DL619" s="1355"/>
      <c r="DM619" s="1355">
        <f t="shared" si="15"/>
        <v>0</v>
      </c>
      <c r="DN619" s="1355"/>
      <c r="DO619" s="1355"/>
      <c r="DP619" s="1355"/>
      <c r="DQ619" s="1355"/>
      <c r="DR619" s="1355">
        <f t="shared" si="16"/>
        <v>0</v>
      </c>
      <c r="DS619" s="1355"/>
      <c r="DT619" s="1355"/>
      <c r="DU619" s="1355"/>
      <c r="DV619" s="1355"/>
      <c r="DX619" s="1360" t="str">
        <f t="shared" si="17"/>
        <v/>
      </c>
      <c r="DY619" s="1361"/>
      <c r="DZ619" s="1361"/>
      <c r="EA619" s="1361"/>
      <c r="EB619" s="1362"/>
      <c r="EC619" s="1360" t="str">
        <f t="shared" si="18"/>
        <v/>
      </c>
      <c r="ED619" s="1361"/>
      <c r="EE619" s="1361"/>
      <c r="EF619" s="1361"/>
      <c r="EG619" s="1362"/>
      <c r="EH619" s="1360" t="str">
        <f t="shared" si="19"/>
        <v/>
      </c>
      <c r="EI619" s="1361"/>
      <c r="EJ619" s="1361"/>
      <c r="EK619" s="1361"/>
      <c r="EL619" s="1362"/>
      <c r="EM619" s="1360" t="str">
        <f t="shared" si="20"/>
        <v/>
      </c>
      <c r="EN619" s="1361"/>
      <c r="EO619" s="1361"/>
      <c r="EP619" s="1361"/>
      <c r="EQ619" s="1362"/>
      <c r="ER619" s="1360" t="str">
        <f t="shared" si="21"/>
        <v/>
      </c>
      <c r="ES619" s="1361"/>
      <c r="ET619" s="1361"/>
      <c r="EU619" s="1361"/>
      <c r="EV619" s="1362"/>
      <c r="EW619" s="1360" t="str">
        <f t="shared" si="22"/>
        <v/>
      </c>
      <c r="EX619" s="1361"/>
      <c r="EY619" s="1361"/>
      <c r="EZ619" s="1361"/>
      <c r="FA619" s="1362"/>
    </row>
    <row r="620" spans="1:157" ht="12.95" customHeight="1">
      <c r="A620" s="2" t="s">
        <v>320</v>
      </c>
      <c r="B620" s="2"/>
      <c r="C620" s="2" t="s">
        <v>21</v>
      </c>
      <c r="AZ620" s="3"/>
      <c r="BA620" s="3"/>
      <c r="BB620" s="3"/>
      <c r="BC620" s="3"/>
      <c r="BD620" s="3"/>
      <c r="BE620" s="1360">
        <f t="shared" si="1"/>
        <v>0</v>
      </c>
      <c r="BF620" s="1362"/>
      <c r="BG620" s="1523">
        <f t="shared" si="2"/>
        <v>0</v>
      </c>
      <c r="BH620" s="1524"/>
      <c r="BI620" s="1360">
        <f t="shared" si="3"/>
        <v>0</v>
      </c>
      <c r="BJ620" s="1362"/>
      <c r="BK620" s="1523">
        <f t="shared" si="4"/>
        <v>0</v>
      </c>
      <c r="BL620" s="1524"/>
      <c r="BM620" s="3"/>
      <c r="BN620" s="1525">
        <f t="shared" si="5"/>
        <v>0</v>
      </c>
      <c r="BO620" s="1526"/>
      <c r="BP620" s="1526"/>
      <c r="BQ620" s="1526"/>
      <c r="BR620" s="1527"/>
      <c r="BS620" s="1363">
        <f t="shared" si="6"/>
        <v>0</v>
      </c>
      <c r="BT620" s="1363"/>
      <c r="BU620" s="1363"/>
      <c r="BV620" s="1363"/>
      <c r="BW620" s="1363"/>
      <c r="BX620" s="1363">
        <f t="shared" si="7"/>
        <v>0</v>
      </c>
      <c r="BY620" s="1363"/>
      <c r="BZ620" s="1363"/>
      <c r="CA620" s="1363"/>
      <c r="CB620" s="1363"/>
      <c r="CC620" s="1363">
        <f t="shared" si="8"/>
        <v>0</v>
      </c>
      <c r="CD620" s="1363"/>
      <c r="CE620" s="1363"/>
      <c r="CF620" s="1363"/>
      <c r="CG620" s="1363"/>
      <c r="CH620" s="1363">
        <f t="shared" si="9"/>
        <v>0</v>
      </c>
      <c r="CI620" s="1363"/>
      <c r="CJ620" s="1363"/>
      <c r="CK620" s="1363"/>
      <c r="CL620" s="1363"/>
      <c r="CM620" s="1363">
        <f t="shared" si="10"/>
        <v>0</v>
      </c>
      <c r="CN620" s="1363"/>
      <c r="CO620" s="1363"/>
      <c r="CP620" s="1363"/>
      <c r="CQ620" s="1363"/>
      <c r="CR620" s="6"/>
      <c r="CS620" s="1355">
        <f t="shared" si="11"/>
        <v>0</v>
      </c>
      <c r="CT620" s="1355"/>
      <c r="CU620" s="1355"/>
      <c r="CV620" s="1355"/>
      <c r="CW620" s="1355"/>
      <c r="CX620" s="1355">
        <f t="shared" si="12"/>
        <v>0</v>
      </c>
      <c r="CY620" s="1355"/>
      <c r="CZ620" s="1355"/>
      <c r="DA620" s="1355"/>
      <c r="DB620" s="1355"/>
      <c r="DC620" s="1355">
        <f t="shared" si="13"/>
        <v>0</v>
      </c>
      <c r="DD620" s="1355"/>
      <c r="DE620" s="1355"/>
      <c r="DF620" s="1355"/>
      <c r="DG620" s="1355"/>
      <c r="DH620" s="1355">
        <f t="shared" si="14"/>
        <v>0</v>
      </c>
      <c r="DI620" s="1355"/>
      <c r="DJ620" s="1355"/>
      <c r="DK620" s="1355"/>
      <c r="DL620" s="1355"/>
      <c r="DM620" s="1355">
        <f t="shared" si="15"/>
        <v>0</v>
      </c>
      <c r="DN620" s="1355"/>
      <c r="DO620" s="1355"/>
      <c r="DP620" s="1355"/>
      <c r="DQ620" s="1355"/>
      <c r="DR620" s="1355">
        <f t="shared" si="16"/>
        <v>0</v>
      </c>
      <c r="DS620" s="1355"/>
      <c r="DT620" s="1355"/>
      <c r="DU620" s="1355"/>
      <c r="DV620" s="1355"/>
      <c r="DX620" s="1360" t="str">
        <f t="shared" si="17"/>
        <v/>
      </c>
      <c r="DY620" s="1361"/>
      <c r="DZ620" s="1361"/>
      <c r="EA620" s="1361"/>
      <c r="EB620" s="1362"/>
      <c r="EC620" s="1360" t="str">
        <f t="shared" si="18"/>
        <v/>
      </c>
      <c r="ED620" s="1361"/>
      <c r="EE620" s="1361"/>
      <c r="EF620" s="1361"/>
      <c r="EG620" s="1362"/>
      <c r="EH620" s="1360" t="str">
        <f t="shared" si="19"/>
        <v/>
      </c>
      <c r="EI620" s="1361"/>
      <c r="EJ620" s="1361"/>
      <c r="EK620" s="1361"/>
      <c r="EL620" s="1362"/>
      <c r="EM620" s="1360" t="str">
        <f t="shared" si="20"/>
        <v/>
      </c>
      <c r="EN620" s="1361"/>
      <c r="EO620" s="1361"/>
      <c r="EP620" s="1361"/>
      <c r="EQ620" s="1362"/>
      <c r="ER620" s="1360" t="str">
        <f t="shared" si="21"/>
        <v/>
      </c>
      <c r="ES620" s="1361"/>
      <c r="ET620" s="1361"/>
      <c r="EU620" s="1361"/>
      <c r="EV620" s="1362"/>
      <c r="EW620" s="1360" t="str">
        <f t="shared" si="22"/>
        <v/>
      </c>
      <c r="EX620" s="1361"/>
      <c r="EY620" s="1361"/>
      <c r="EZ620" s="1361"/>
      <c r="FA620" s="1362"/>
    </row>
    <row r="621" spans="1:157" ht="12.95" customHeight="1">
      <c r="A621" s="2"/>
      <c r="B621" s="2"/>
      <c r="C621" s="2"/>
      <c r="AZ621" s="3"/>
      <c r="BA621" s="3"/>
      <c r="BB621" s="3"/>
      <c r="BC621" s="3"/>
      <c r="BD621" s="3"/>
      <c r="BE621" s="1360">
        <f t="shared" si="1"/>
        <v>0</v>
      </c>
      <c r="BF621" s="1362"/>
      <c r="BG621" s="1523">
        <f t="shared" si="2"/>
        <v>0</v>
      </c>
      <c r="BH621" s="1524"/>
      <c r="BI621" s="1360">
        <f t="shared" si="3"/>
        <v>0</v>
      </c>
      <c r="BJ621" s="1362"/>
      <c r="BK621" s="1523">
        <f t="shared" si="4"/>
        <v>0</v>
      </c>
      <c r="BL621" s="1524"/>
      <c r="BM621" s="3"/>
      <c r="BN621" s="1525">
        <f t="shared" si="5"/>
        <v>0</v>
      </c>
      <c r="BO621" s="1526"/>
      <c r="BP621" s="1526"/>
      <c r="BQ621" s="1526"/>
      <c r="BR621" s="1527"/>
      <c r="BS621" s="1363">
        <f t="shared" si="6"/>
        <v>0</v>
      </c>
      <c r="BT621" s="1363"/>
      <c r="BU621" s="1363"/>
      <c r="BV621" s="1363"/>
      <c r="BW621" s="1363"/>
      <c r="BX621" s="1363">
        <f t="shared" si="7"/>
        <v>0</v>
      </c>
      <c r="BY621" s="1363"/>
      <c r="BZ621" s="1363"/>
      <c r="CA621" s="1363"/>
      <c r="CB621" s="1363"/>
      <c r="CC621" s="1363">
        <f t="shared" si="8"/>
        <v>0</v>
      </c>
      <c r="CD621" s="1363"/>
      <c r="CE621" s="1363"/>
      <c r="CF621" s="1363"/>
      <c r="CG621" s="1363"/>
      <c r="CH621" s="1363">
        <f t="shared" si="9"/>
        <v>0</v>
      </c>
      <c r="CI621" s="1363"/>
      <c r="CJ621" s="1363"/>
      <c r="CK621" s="1363"/>
      <c r="CL621" s="1363"/>
      <c r="CM621" s="1363">
        <f t="shared" si="10"/>
        <v>0</v>
      </c>
      <c r="CN621" s="1363"/>
      <c r="CO621" s="1363"/>
      <c r="CP621" s="1363"/>
      <c r="CQ621" s="1363"/>
      <c r="CR621" s="6"/>
      <c r="CS621" s="1355">
        <f t="shared" si="11"/>
        <v>0</v>
      </c>
      <c r="CT621" s="1355"/>
      <c r="CU621" s="1355"/>
      <c r="CV621" s="1355"/>
      <c r="CW621" s="1355"/>
      <c r="CX621" s="1355">
        <f t="shared" si="12"/>
        <v>0</v>
      </c>
      <c r="CY621" s="1355"/>
      <c r="CZ621" s="1355"/>
      <c r="DA621" s="1355"/>
      <c r="DB621" s="1355"/>
      <c r="DC621" s="1355">
        <f t="shared" si="13"/>
        <v>0</v>
      </c>
      <c r="DD621" s="1355"/>
      <c r="DE621" s="1355"/>
      <c r="DF621" s="1355"/>
      <c r="DG621" s="1355"/>
      <c r="DH621" s="1355">
        <f t="shared" si="14"/>
        <v>0</v>
      </c>
      <c r="DI621" s="1355"/>
      <c r="DJ621" s="1355"/>
      <c r="DK621" s="1355"/>
      <c r="DL621" s="1355"/>
      <c r="DM621" s="1355">
        <f t="shared" si="15"/>
        <v>0</v>
      </c>
      <c r="DN621" s="1355"/>
      <c r="DO621" s="1355"/>
      <c r="DP621" s="1355"/>
      <c r="DQ621" s="1355"/>
      <c r="DR621" s="1355">
        <f t="shared" si="16"/>
        <v>0</v>
      </c>
      <c r="DS621" s="1355"/>
      <c r="DT621" s="1355"/>
      <c r="DU621" s="1355"/>
      <c r="DV621" s="1355"/>
      <c r="DX621" s="1360" t="str">
        <f t="shared" si="17"/>
        <v/>
      </c>
      <c r="DY621" s="1361"/>
      <c r="DZ621" s="1361"/>
      <c r="EA621" s="1361"/>
      <c r="EB621" s="1362"/>
      <c r="EC621" s="1360" t="str">
        <f t="shared" si="18"/>
        <v/>
      </c>
      <c r="ED621" s="1361"/>
      <c r="EE621" s="1361"/>
      <c r="EF621" s="1361"/>
      <c r="EG621" s="1362"/>
      <c r="EH621" s="1360" t="str">
        <f t="shared" si="19"/>
        <v/>
      </c>
      <c r="EI621" s="1361"/>
      <c r="EJ621" s="1361"/>
      <c r="EK621" s="1361"/>
      <c r="EL621" s="1362"/>
      <c r="EM621" s="1360" t="str">
        <f t="shared" si="20"/>
        <v/>
      </c>
      <c r="EN621" s="1361"/>
      <c r="EO621" s="1361"/>
      <c r="EP621" s="1361"/>
      <c r="EQ621" s="1362"/>
      <c r="ER621" s="1360" t="str">
        <f t="shared" si="21"/>
        <v/>
      </c>
      <c r="ES621" s="1361"/>
      <c r="ET621" s="1361"/>
      <c r="EU621" s="1361"/>
      <c r="EV621" s="1362"/>
      <c r="EW621" s="1360" t="str">
        <f t="shared" si="22"/>
        <v/>
      </c>
      <c r="EX621" s="1361"/>
      <c r="EY621" s="1361"/>
      <c r="EZ621" s="1361"/>
      <c r="FA621" s="1362"/>
    </row>
    <row r="622" spans="1:157" ht="12.95" customHeight="1">
      <c r="C622" s="2" t="s">
        <v>2421</v>
      </c>
      <c r="AZ622" s="3"/>
      <c r="BA622" s="3"/>
      <c r="BB622" s="3"/>
      <c r="BC622" s="3"/>
      <c r="BD622" s="3"/>
      <c r="BE622" s="1360">
        <f t="shared" si="1"/>
        <v>0</v>
      </c>
      <c r="BF622" s="1362"/>
      <c r="BG622" s="1523">
        <f t="shared" si="2"/>
        <v>0</v>
      </c>
      <c r="BH622" s="1524"/>
      <c r="BI622" s="1360">
        <f t="shared" si="3"/>
        <v>0</v>
      </c>
      <c r="BJ622" s="1362"/>
      <c r="BK622" s="1523">
        <f t="shared" si="4"/>
        <v>0</v>
      </c>
      <c r="BL622" s="1524"/>
      <c r="BM622" s="3"/>
      <c r="BN622" s="1525">
        <f t="shared" si="5"/>
        <v>0</v>
      </c>
      <c r="BO622" s="1526"/>
      <c r="BP622" s="1526"/>
      <c r="BQ622" s="1526"/>
      <c r="BR622" s="1527"/>
      <c r="BS622" s="1363">
        <f t="shared" si="6"/>
        <v>0</v>
      </c>
      <c r="BT622" s="1363"/>
      <c r="BU622" s="1363"/>
      <c r="BV622" s="1363"/>
      <c r="BW622" s="1363"/>
      <c r="BX622" s="1363">
        <f t="shared" si="7"/>
        <v>0</v>
      </c>
      <c r="BY622" s="1363"/>
      <c r="BZ622" s="1363"/>
      <c r="CA622" s="1363"/>
      <c r="CB622" s="1363"/>
      <c r="CC622" s="1363">
        <f t="shared" si="8"/>
        <v>0</v>
      </c>
      <c r="CD622" s="1363"/>
      <c r="CE622" s="1363"/>
      <c r="CF622" s="1363"/>
      <c r="CG622" s="1363"/>
      <c r="CH622" s="1363">
        <f t="shared" si="9"/>
        <v>0</v>
      </c>
      <c r="CI622" s="1363"/>
      <c r="CJ622" s="1363"/>
      <c r="CK622" s="1363"/>
      <c r="CL622" s="1363"/>
      <c r="CM622" s="1363">
        <f t="shared" si="10"/>
        <v>0</v>
      </c>
      <c r="CN622" s="1363"/>
      <c r="CO622" s="1363"/>
      <c r="CP622" s="1363"/>
      <c r="CQ622" s="1363"/>
      <c r="CR622" s="6"/>
      <c r="CS622" s="1355">
        <f t="shared" si="11"/>
        <v>0</v>
      </c>
      <c r="CT622" s="1355"/>
      <c r="CU622" s="1355"/>
      <c r="CV622" s="1355"/>
      <c r="CW622" s="1355"/>
      <c r="CX622" s="1355">
        <f t="shared" si="12"/>
        <v>0</v>
      </c>
      <c r="CY622" s="1355"/>
      <c r="CZ622" s="1355"/>
      <c r="DA622" s="1355"/>
      <c r="DB622" s="1355"/>
      <c r="DC622" s="1355">
        <f t="shared" si="13"/>
        <v>0</v>
      </c>
      <c r="DD622" s="1355"/>
      <c r="DE622" s="1355"/>
      <c r="DF622" s="1355"/>
      <c r="DG622" s="1355"/>
      <c r="DH622" s="1355">
        <f t="shared" si="14"/>
        <v>0</v>
      </c>
      <c r="DI622" s="1355"/>
      <c r="DJ622" s="1355"/>
      <c r="DK622" s="1355"/>
      <c r="DL622" s="1355"/>
      <c r="DM622" s="1355">
        <f t="shared" si="15"/>
        <v>0</v>
      </c>
      <c r="DN622" s="1355"/>
      <c r="DO622" s="1355"/>
      <c r="DP622" s="1355"/>
      <c r="DQ622" s="1355"/>
      <c r="DR622" s="1355">
        <f t="shared" si="16"/>
        <v>0</v>
      </c>
      <c r="DS622" s="1355"/>
      <c r="DT622" s="1355"/>
      <c r="DU622" s="1355"/>
      <c r="DV622" s="1355"/>
      <c r="DX622" s="1360" t="str">
        <f t="shared" si="17"/>
        <v/>
      </c>
      <c r="DY622" s="1361"/>
      <c r="DZ622" s="1361"/>
      <c r="EA622" s="1361"/>
      <c r="EB622" s="1362"/>
      <c r="EC622" s="1360" t="str">
        <f t="shared" si="18"/>
        <v/>
      </c>
      <c r="ED622" s="1361"/>
      <c r="EE622" s="1361"/>
      <c r="EF622" s="1361"/>
      <c r="EG622" s="1362"/>
      <c r="EH622" s="1360" t="str">
        <f t="shared" si="19"/>
        <v/>
      </c>
      <c r="EI622" s="1361"/>
      <c r="EJ622" s="1361"/>
      <c r="EK622" s="1361"/>
      <c r="EL622" s="1362"/>
      <c r="EM622" s="1360" t="str">
        <f t="shared" si="20"/>
        <v/>
      </c>
      <c r="EN622" s="1361"/>
      <c r="EO622" s="1361"/>
      <c r="EP622" s="1361"/>
      <c r="EQ622" s="1362"/>
      <c r="ER622" s="1360" t="str">
        <f t="shared" si="21"/>
        <v/>
      </c>
      <c r="ES622" s="1361"/>
      <c r="ET622" s="1361"/>
      <c r="EU622" s="1361"/>
      <c r="EV622" s="1362"/>
      <c r="EW622" s="1360" t="str">
        <f t="shared" si="22"/>
        <v/>
      </c>
      <c r="EX622" s="1361"/>
      <c r="EY622" s="1361"/>
      <c r="EZ622" s="1361"/>
      <c r="FA622" s="1362"/>
    </row>
    <row r="623" spans="1:157" ht="12.95" customHeight="1">
      <c r="B623" s="546"/>
      <c r="C623" s="2"/>
      <c r="AU623" s="3"/>
      <c r="AZ623" s="3"/>
      <c r="BA623" s="3"/>
      <c r="BB623" s="3"/>
      <c r="BC623" s="3"/>
      <c r="BD623" s="3"/>
      <c r="BE623" s="1360">
        <f t="shared" si="1"/>
        <v>0</v>
      </c>
      <c r="BF623" s="1362"/>
      <c r="BG623" s="1523">
        <f t="shared" si="2"/>
        <v>0</v>
      </c>
      <c r="BH623" s="1524"/>
      <c r="BI623" s="1360">
        <f t="shared" si="3"/>
        <v>0</v>
      </c>
      <c r="BJ623" s="1362"/>
      <c r="BK623" s="1523">
        <f t="shared" si="4"/>
        <v>0</v>
      </c>
      <c r="BL623" s="1524"/>
      <c r="BM623" s="3"/>
      <c r="BN623" s="1525">
        <f t="shared" si="5"/>
        <v>0</v>
      </c>
      <c r="BO623" s="1526"/>
      <c r="BP623" s="1526"/>
      <c r="BQ623" s="1526"/>
      <c r="BR623" s="1527"/>
      <c r="BS623" s="1363">
        <f t="shared" si="6"/>
        <v>0</v>
      </c>
      <c r="BT623" s="1363"/>
      <c r="BU623" s="1363"/>
      <c r="BV623" s="1363"/>
      <c r="BW623" s="1363"/>
      <c r="BX623" s="1363">
        <f t="shared" si="7"/>
        <v>0</v>
      </c>
      <c r="BY623" s="1363"/>
      <c r="BZ623" s="1363"/>
      <c r="CA623" s="1363"/>
      <c r="CB623" s="1363"/>
      <c r="CC623" s="1363">
        <f t="shared" si="8"/>
        <v>0</v>
      </c>
      <c r="CD623" s="1363"/>
      <c r="CE623" s="1363"/>
      <c r="CF623" s="1363"/>
      <c r="CG623" s="1363"/>
      <c r="CH623" s="1363">
        <f t="shared" si="9"/>
        <v>0</v>
      </c>
      <c r="CI623" s="1363"/>
      <c r="CJ623" s="1363"/>
      <c r="CK623" s="1363"/>
      <c r="CL623" s="1363"/>
      <c r="CM623" s="1363">
        <f t="shared" si="10"/>
        <v>0</v>
      </c>
      <c r="CN623" s="1363"/>
      <c r="CO623" s="1363"/>
      <c r="CP623" s="1363"/>
      <c r="CQ623" s="1363"/>
      <c r="CR623" s="6"/>
      <c r="CS623" s="1355">
        <f t="shared" si="11"/>
        <v>0</v>
      </c>
      <c r="CT623" s="1355"/>
      <c r="CU623" s="1355"/>
      <c r="CV623" s="1355"/>
      <c r="CW623" s="1355"/>
      <c r="CX623" s="1355">
        <f t="shared" si="12"/>
        <v>0</v>
      </c>
      <c r="CY623" s="1355"/>
      <c r="CZ623" s="1355"/>
      <c r="DA623" s="1355"/>
      <c r="DB623" s="1355"/>
      <c r="DC623" s="1355">
        <f t="shared" si="13"/>
        <v>0</v>
      </c>
      <c r="DD623" s="1355"/>
      <c r="DE623" s="1355"/>
      <c r="DF623" s="1355"/>
      <c r="DG623" s="1355"/>
      <c r="DH623" s="1355">
        <f t="shared" si="14"/>
        <v>0</v>
      </c>
      <c r="DI623" s="1355"/>
      <c r="DJ623" s="1355"/>
      <c r="DK623" s="1355"/>
      <c r="DL623" s="1355"/>
      <c r="DM623" s="1355">
        <f t="shared" si="15"/>
        <v>0</v>
      </c>
      <c r="DN623" s="1355"/>
      <c r="DO623" s="1355"/>
      <c r="DP623" s="1355"/>
      <c r="DQ623" s="1355"/>
      <c r="DR623" s="1355">
        <f t="shared" si="16"/>
        <v>0</v>
      </c>
      <c r="DS623" s="1355"/>
      <c r="DT623" s="1355"/>
      <c r="DU623" s="1355"/>
      <c r="DV623" s="1355"/>
      <c r="DX623" s="1360" t="str">
        <f t="shared" si="17"/>
        <v/>
      </c>
      <c r="DY623" s="1361"/>
      <c r="DZ623" s="1361"/>
      <c r="EA623" s="1361"/>
      <c r="EB623" s="1362"/>
      <c r="EC623" s="1360" t="str">
        <f t="shared" si="18"/>
        <v/>
      </c>
      <c r="ED623" s="1361"/>
      <c r="EE623" s="1361"/>
      <c r="EF623" s="1361"/>
      <c r="EG623" s="1362"/>
      <c r="EH623" s="1360" t="str">
        <f t="shared" si="19"/>
        <v/>
      </c>
      <c r="EI623" s="1361"/>
      <c r="EJ623" s="1361"/>
      <c r="EK623" s="1361"/>
      <c r="EL623" s="1362"/>
      <c r="EM623" s="1360" t="str">
        <f t="shared" si="20"/>
        <v/>
      </c>
      <c r="EN623" s="1361"/>
      <c r="EO623" s="1361"/>
      <c r="EP623" s="1361"/>
      <c r="EQ623" s="1362"/>
      <c r="ER623" s="1360" t="str">
        <f t="shared" si="21"/>
        <v/>
      </c>
      <c r="ES623" s="1361"/>
      <c r="ET623" s="1361"/>
      <c r="EU623" s="1361"/>
      <c r="EV623" s="1362"/>
      <c r="EW623" s="1360" t="str">
        <f t="shared" si="22"/>
        <v/>
      </c>
      <c r="EX623" s="1361"/>
      <c r="EY623" s="1361"/>
      <c r="EZ623" s="1361"/>
      <c r="FA623" s="1362"/>
    </row>
    <row r="624" spans="1:157" ht="12.95" customHeight="1">
      <c r="B624" s="1845" t="s">
        <v>2423</v>
      </c>
      <c r="C624" s="1845"/>
      <c r="D624" s="1845"/>
      <c r="E624" s="1845"/>
      <c r="F624" s="1845"/>
      <c r="G624" s="1845"/>
      <c r="H624" s="1845"/>
      <c r="I624" s="1845"/>
      <c r="J624" s="1845"/>
      <c r="K624" s="1845"/>
      <c r="L624" s="1845"/>
      <c r="M624" s="1430" t="s">
        <v>2424</v>
      </c>
      <c r="N624" s="1430"/>
      <c r="O624" s="1430"/>
      <c r="P624" s="1430"/>
      <c r="Q624" s="1430" t="s">
        <v>2045</v>
      </c>
      <c r="R624" s="1430"/>
      <c r="S624" s="1430"/>
      <c r="T624" s="1430" t="s">
        <v>2043</v>
      </c>
      <c r="U624" s="1430"/>
      <c r="V624" s="1430"/>
      <c r="W624" s="1512" t="s">
        <v>462</v>
      </c>
      <c r="X624" s="1512"/>
      <c r="Y624" s="1512"/>
      <c r="Z624" s="1402" t="s">
        <v>2453</v>
      </c>
      <c r="AA624" s="1402"/>
      <c r="AB624" s="1403"/>
      <c r="AC624" s="1836" t="s">
        <v>1866</v>
      </c>
      <c r="AD624" s="1837"/>
      <c r="AE624" s="1838"/>
      <c r="AF624" s="1401" t="s">
        <v>2232</v>
      </c>
      <c r="AG624" s="1402"/>
      <c r="AH624" s="1402"/>
      <c r="AI624" s="1402"/>
      <c r="AJ624" s="1403"/>
      <c r="AK624" s="1737" t="s">
        <v>2233</v>
      </c>
      <c r="AL624" s="1738"/>
      <c r="AM624" s="1738"/>
      <c r="AN624" s="1739"/>
      <c r="AO624" s="1430" t="s">
        <v>463</v>
      </c>
      <c r="AP624" s="1430"/>
      <c r="AQ624" s="1430"/>
      <c r="AR624" s="1430"/>
      <c r="AS624" s="1430"/>
      <c r="AU624" s="3"/>
      <c r="AZ624" s="3"/>
      <c r="BA624" s="3"/>
      <c r="BB624" s="3"/>
      <c r="BC624" s="3"/>
      <c r="BD624" s="3"/>
      <c r="BE624" s="1360">
        <f t="shared" si="1"/>
        <v>0</v>
      </c>
      <c r="BF624" s="1362"/>
      <c r="BG624" s="1523">
        <f t="shared" si="2"/>
        <v>0</v>
      </c>
      <c r="BH624" s="1524"/>
      <c r="BI624" s="1360">
        <f t="shared" si="3"/>
        <v>0</v>
      </c>
      <c r="BJ624" s="1362"/>
      <c r="BK624" s="1523">
        <f t="shared" si="4"/>
        <v>0</v>
      </c>
      <c r="BL624" s="1524"/>
      <c r="BM624" s="3"/>
      <c r="BN624" s="1525">
        <f t="shared" si="5"/>
        <v>0</v>
      </c>
      <c r="BO624" s="1526"/>
      <c r="BP624" s="1526"/>
      <c r="BQ624" s="1526"/>
      <c r="BR624" s="1527"/>
      <c r="BS624" s="1363">
        <f t="shared" si="6"/>
        <v>0</v>
      </c>
      <c r="BT624" s="1363"/>
      <c r="BU624" s="1363"/>
      <c r="BV624" s="1363"/>
      <c r="BW624" s="1363"/>
      <c r="BX624" s="1363">
        <f t="shared" si="7"/>
        <v>0</v>
      </c>
      <c r="BY624" s="1363"/>
      <c r="BZ624" s="1363"/>
      <c r="CA624" s="1363"/>
      <c r="CB624" s="1363"/>
      <c r="CC624" s="1363">
        <f t="shared" si="8"/>
        <v>0</v>
      </c>
      <c r="CD624" s="1363"/>
      <c r="CE624" s="1363"/>
      <c r="CF624" s="1363"/>
      <c r="CG624" s="1363"/>
      <c r="CH624" s="1363">
        <f t="shared" si="9"/>
        <v>0</v>
      </c>
      <c r="CI624" s="1363"/>
      <c r="CJ624" s="1363"/>
      <c r="CK624" s="1363"/>
      <c r="CL624" s="1363"/>
      <c r="CM624" s="1363">
        <f t="shared" si="10"/>
        <v>0</v>
      </c>
      <c r="CN624" s="1363"/>
      <c r="CO624" s="1363"/>
      <c r="CP624" s="1363"/>
      <c r="CQ624" s="1363"/>
      <c r="CR624" s="6"/>
      <c r="CS624" s="1355">
        <f t="shared" si="11"/>
        <v>0</v>
      </c>
      <c r="CT624" s="1355"/>
      <c r="CU624" s="1355"/>
      <c r="CV624" s="1355"/>
      <c r="CW624" s="1355"/>
      <c r="CX624" s="1355">
        <f t="shared" si="12"/>
        <v>0</v>
      </c>
      <c r="CY624" s="1355"/>
      <c r="CZ624" s="1355"/>
      <c r="DA624" s="1355"/>
      <c r="DB624" s="1355"/>
      <c r="DC624" s="1355">
        <f t="shared" si="13"/>
        <v>0</v>
      </c>
      <c r="DD624" s="1355"/>
      <c r="DE624" s="1355"/>
      <c r="DF624" s="1355"/>
      <c r="DG624" s="1355"/>
      <c r="DH624" s="1355">
        <f t="shared" si="14"/>
        <v>0</v>
      </c>
      <c r="DI624" s="1355"/>
      <c r="DJ624" s="1355"/>
      <c r="DK624" s="1355"/>
      <c r="DL624" s="1355"/>
      <c r="DM624" s="1355">
        <f t="shared" si="15"/>
        <v>0</v>
      </c>
      <c r="DN624" s="1355"/>
      <c r="DO624" s="1355"/>
      <c r="DP624" s="1355"/>
      <c r="DQ624" s="1355"/>
      <c r="DR624" s="1355">
        <f t="shared" si="16"/>
        <v>0</v>
      </c>
      <c r="DS624" s="1355"/>
      <c r="DT624" s="1355"/>
      <c r="DU624" s="1355"/>
      <c r="DV624" s="1355"/>
      <c r="DX624" s="1360" t="str">
        <f t="shared" si="17"/>
        <v/>
      </c>
      <c r="DY624" s="1361"/>
      <c r="DZ624" s="1361"/>
      <c r="EA624" s="1361"/>
      <c r="EB624" s="1362"/>
      <c r="EC624" s="1360" t="str">
        <f t="shared" si="18"/>
        <v/>
      </c>
      <c r="ED624" s="1361"/>
      <c r="EE624" s="1361"/>
      <c r="EF624" s="1361"/>
      <c r="EG624" s="1362"/>
      <c r="EH624" s="1360" t="str">
        <f t="shared" si="19"/>
        <v/>
      </c>
      <c r="EI624" s="1361"/>
      <c r="EJ624" s="1361"/>
      <c r="EK624" s="1361"/>
      <c r="EL624" s="1362"/>
      <c r="EM624" s="1360" t="str">
        <f t="shared" si="20"/>
        <v/>
      </c>
      <c r="EN624" s="1361"/>
      <c r="EO624" s="1361"/>
      <c r="EP624" s="1361"/>
      <c r="EQ624" s="1362"/>
      <c r="ER624" s="1360" t="str">
        <f t="shared" si="21"/>
        <v/>
      </c>
      <c r="ES624" s="1361"/>
      <c r="ET624" s="1361"/>
      <c r="EU624" s="1361"/>
      <c r="EV624" s="1362"/>
      <c r="EW624" s="1360" t="str">
        <f t="shared" si="22"/>
        <v/>
      </c>
      <c r="EX624" s="1361"/>
      <c r="EY624" s="1361"/>
      <c r="EZ624" s="1361"/>
      <c r="FA624" s="1362"/>
    </row>
    <row r="625" spans="2:157" ht="12.95" customHeight="1">
      <c r="B625" s="1845"/>
      <c r="C625" s="1845"/>
      <c r="D625" s="1845"/>
      <c r="E625" s="1845"/>
      <c r="F625" s="1845"/>
      <c r="G625" s="1845"/>
      <c r="H625" s="1845"/>
      <c r="I625" s="1845"/>
      <c r="J625" s="1845"/>
      <c r="K625" s="1845"/>
      <c r="L625" s="1845"/>
      <c r="M625" s="1430"/>
      <c r="N625" s="1430"/>
      <c r="O625" s="1430"/>
      <c r="P625" s="1430"/>
      <c r="Q625" s="1430"/>
      <c r="R625" s="1430"/>
      <c r="S625" s="1430"/>
      <c r="T625" s="1430"/>
      <c r="U625" s="1430"/>
      <c r="V625" s="1430"/>
      <c r="W625" s="1512"/>
      <c r="X625" s="1512"/>
      <c r="Y625" s="1512"/>
      <c r="Z625" s="1405"/>
      <c r="AA625" s="1405"/>
      <c r="AB625" s="1406"/>
      <c r="AC625" s="1839"/>
      <c r="AD625" s="1840"/>
      <c r="AE625" s="1841"/>
      <c r="AF625" s="1404"/>
      <c r="AG625" s="1405"/>
      <c r="AH625" s="1405"/>
      <c r="AI625" s="1405"/>
      <c r="AJ625" s="1406"/>
      <c r="AK625" s="1740"/>
      <c r="AL625" s="1741"/>
      <c r="AM625" s="1741"/>
      <c r="AN625" s="1742"/>
      <c r="AO625" s="1430"/>
      <c r="AP625" s="1430"/>
      <c r="AQ625" s="1430"/>
      <c r="AR625" s="1430"/>
      <c r="AS625" s="1430"/>
      <c r="AU625" s="3"/>
      <c r="AZ625" s="3"/>
      <c r="BA625" s="3"/>
      <c r="BB625" s="3"/>
      <c r="BC625" s="3"/>
      <c r="BD625" s="3"/>
      <c r="BE625" s="1360">
        <f t="shared" si="1"/>
        <v>0</v>
      </c>
      <c r="BF625" s="1362"/>
      <c r="BG625" s="1523">
        <f t="shared" si="2"/>
        <v>0</v>
      </c>
      <c r="BH625" s="1524"/>
      <c r="BI625" s="1360">
        <f t="shared" si="3"/>
        <v>0</v>
      </c>
      <c r="BJ625" s="1362"/>
      <c r="BK625" s="1523">
        <f t="shared" si="4"/>
        <v>0</v>
      </c>
      <c r="BL625" s="1524"/>
      <c r="BM625" s="3"/>
      <c r="BN625" s="1525">
        <f t="shared" si="5"/>
        <v>0</v>
      </c>
      <c r="BO625" s="1526"/>
      <c r="BP625" s="1526"/>
      <c r="BQ625" s="1526"/>
      <c r="BR625" s="1527"/>
      <c r="BS625" s="1363">
        <f t="shared" si="6"/>
        <v>0</v>
      </c>
      <c r="BT625" s="1363"/>
      <c r="BU625" s="1363"/>
      <c r="BV625" s="1363"/>
      <c r="BW625" s="1363"/>
      <c r="BX625" s="1363">
        <f t="shared" si="7"/>
        <v>0</v>
      </c>
      <c r="BY625" s="1363"/>
      <c r="BZ625" s="1363"/>
      <c r="CA625" s="1363"/>
      <c r="CB625" s="1363"/>
      <c r="CC625" s="1363">
        <f t="shared" si="8"/>
        <v>0</v>
      </c>
      <c r="CD625" s="1363"/>
      <c r="CE625" s="1363"/>
      <c r="CF625" s="1363"/>
      <c r="CG625" s="1363"/>
      <c r="CH625" s="1363">
        <f t="shared" si="9"/>
        <v>0</v>
      </c>
      <c r="CI625" s="1363"/>
      <c r="CJ625" s="1363"/>
      <c r="CK625" s="1363"/>
      <c r="CL625" s="1363"/>
      <c r="CM625" s="1363">
        <f t="shared" si="10"/>
        <v>0</v>
      </c>
      <c r="CN625" s="1363"/>
      <c r="CO625" s="1363"/>
      <c r="CP625" s="1363"/>
      <c r="CQ625" s="1363"/>
      <c r="CR625" s="6"/>
      <c r="CS625" s="1355">
        <f t="shared" si="11"/>
        <v>0</v>
      </c>
      <c r="CT625" s="1355"/>
      <c r="CU625" s="1355"/>
      <c r="CV625" s="1355"/>
      <c r="CW625" s="1355"/>
      <c r="CX625" s="1355">
        <f t="shared" si="12"/>
        <v>0</v>
      </c>
      <c r="CY625" s="1355"/>
      <c r="CZ625" s="1355"/>
      <c r="DA625" s="1355"/>
      <c r="DB625" s="1355"/>
      <c r="DC625" s="1355">
        <f t="shared" si="13"/>
        <v>0</v>
      </c>
      <c r="DD625" s="1355"/>
      <c r="DE625" s="1355"/>
      <c r="DF625" s="1355"/>
      <c r="DG625" s="1355"/>
      <c r="DH625" s="1355">
        <f t="shared" si="14"/>
        <v>0</v>
      </c>
      <c r="DI625" s="1355"/>
      <c r="DJ625" s="1355"/>
      <c r="DK625" s="1355"/>
      <c r="DL625" s="1355"/>
      <c r="DM625" s="1355">
        <f t="shared" si="15"/>
        <v>0</v>
      </c>
      <c r="DN625" s="1355"/>
      <c r="DO625" s="1355"/>
      <c r="DP625" s="1355"/>
      <c r="DQ625" s="1355"/>
      <c r="DR625" s="1355">
        <f t="shared" si="16"/>
        <v>0</v>
      </c>
      <c r="DS625" s="1355"/>
      <c r="DT625" s="1355"/>
      <c r="DU625" s="1355"/>
      <c r="DV625" s="1355"/>
      <c r="DX625" s="1360" t="str">
        <f t="shared" si="17"/>
        <v/>
      </c>
      <c r="DY625" s="1361"/>
      <c r="DZ625" s="1361"/>
      <c r="EA625" s="1361"/>
      <c r="EB625" s="1362"/>
      <c r="EC625" s="1360" t="str">
        <f t="shared" si="18"/>
        <v/>
      </c>
      <c r="ED625" s="1361"/>
      <c r="EE625" s="1361"/>
      <c r="EF625" s="1361"/>
      <c r="EG625" s="1362"/>
      <c r="EH625" s="1360" t="str">
        <f t="shared" si="19"/>
        <v/>
      </c>
      <c r="EI625" s="1361"/>
      <c r="EJ625" s="1361"/>
      <c r="EK625" s="1361"/>
      <c r="EL625" s="1362"/>
      <c r="EM625" s="1360" t="str">
        <f t="shared" si="20"/>
        <v/>
      </c>
      <c r="EN625" s="1361"/>
      <c r="EO625" s="1361"/>
      <c r="EP625" s="1361"/>
      <c r="EQ625" s="1362"/>
      <c r="ER625" s="1360" t="str">
        <f t="shared" si="21"/>
        <v/>
      </c>
      <c r="ES625" s="1361"/>
      <c r="ET625" s="1361"/>
      <c r="EU625" s="1361"/>
      <c r="EV625" s="1362"/>
      <c r="EW625" s="1360" t="str">
        <f t="shared" si="22"/>
        <v/>
      </c>
      <c r="EX625" s="1361"/>
      <c r="EY625" s="1361"/>
      <c r="EZ625" s="1361"/>
      <c r="FA625" s="1362"/>
    </row>
    <row r="626" spans="2:157" ht="12.95" customHeight="1">
      <c r="B626" s="1845"/>
      <c r="C626" s="1845"/>
      <c r="D626" s="1845"/>
      <c r="E626" s="1845"/>
      <c r="F626" s="1845"/>
      <c r="G626" s="1845"/>
      <c r="H626" s="1845"/>
      <c r="I626" s="1845"/>
      <c r="J626" s="1845"/>
      <c r="K626" s="1845"/>
      <c r="L626" s="1845"/>
      <c r="M626" s="1430"/>
      <c r="N626" s="1430"/>
      <c r="O626" s="1430"/>
      <c r="P626" s="1430"/>
      <c r="Q626" s="1430"/>
      <c r="R626" s="1430"/>
      <c r="S626" s="1430"/>
      <c r="T626" s="1430"/>
      <c r="U626" s="1430"/>
      <c r="V626" s="1430"/>
      <c r="W626" s="1512"/>
      <c r="X626" s="1512"/>
      <c r="Y626" s="1512"/>
      <c r="Z626" s="1408"/>
      <c r="AA626" s="1408"/>
      <c r="AB626" s="1409"/>
      <c r="AC626" s="1842"/>
      <c r="AD626" s="1843"/>
      <c r="AE626" s="1844"/>
      <c r="AF626" s="1407"/>
      <c r="AG626" s="1408"/>
      <c r="AH626" s="1408"/>
      <c r="AI626" s="1408"/>
      <c r="AJ626" s="1409"/>
      <c r="AK626" s="1743"/>
      <c r="AL626" s="1744"/>
      <c r="AM626" s="1744"/>
      <c r="AN626" s="1745"/>
      <c r="AO626" s="1430"/>
      <c r="AP626" s="1430"/>
      <c r="AQ626" s="1430"/>
      <c r="AR626" s="1430"/>
      <c r="AS626" s="1430"/>
      <c r="AT626" s="3"/>
      <c r="AU626" s="3"/>
      <c r="AZ626" s="3"/>
      <c r="BA626" s="3"/>
      <c r="BB626" s="3"/>
      <c r="BC626" s="3"/>
      <c r="BD626" s="3"/>
      <c r="BE626" s="1360">
        <f t="shared" si="1"/>
        <v>0</v>
      </c>
      <c r="BF626" s="1362"/>
      <c r="BG626" s="1523">
        <f t="shared" si="2"/>
        <v>0</v>
      </c>
      <c r="BH626" s="1524"/>
      <c r="BI626" s="1360">
        <f t="shared" si="3"/>
        <v>0</v>
      </c>
      <c r="BJ626" s="1362"/>
      <c r="BK626" s="1523">
        <f t="shared" si="4"/>
        <v>0</v>
      </c>
      <c r="BL626" s="1524"/>
      <c r="BM626" s="3"/>
      <c r="BN626" s="1525">
        <f t="shared" si="5"/>
        <v>0</v>
      </c>
      <c r="BO626" s="1526"/>
      <c r="BP626" s="1526"/>
      <c r="BQ626" s="1526"/>
      <c r="BR626" s="1527"/>
      <c r="BS626" s="1363">
        <f t="shared" si="6"/>
        <v>0</v>
      </c>
      <c r="BT626" s="1363"/>
      <c r="BU626" s="1363"/>
      <c r="BV626" s="1363"/>
      <c r="BW626" s="1363"/>
      <c r="BX626" s="1363">
        <f t="shared" si="7"/>
        <v>0</v>
      </c>
      <c r="BY626" s="1363"/>
      <c r="BZ626" s="1363"/>
      <c r="CA626" s="1363"/>
      <c r="CB626" s="1363"/>
      <c r="CC626" s="1363">
        <f t="shared" si="8"/>
        <v>0</v>
      </c>
      <c r="CD626" s="1363"/>
      <c r="CE626" s="1363"/>
      <c r="CF626" s="1363"/>
      <c r="CG626" s="1363"/>
      <c r="CH626" s="1363">
        <f t="shared" si="9"/>
        <v>0</v>
      </c>
      <c r="CI626" s="1363"/>
      <c r="CJ626" s="1363"/>
      <c r="CK626" s="1363"/>
      <c r="CL626" s="1363"/>
      <c r="CM626" s="1363">
        <f t="shared" si="10"/>
        <v>0</v>
      </c>
      <c r="CN626" s="1363"/>
      <c r="CO626" s="1363"/>
      <c r="CP626" s="1363"/>
      <c r="CQ626" s="1363"/>
      <c r="CR626" s="6"/>
      <c r="CS626" s="1355">
        <f t="shared" si="11"/>
        <v>0</v>
      </c>
      <c r="CT626" s="1355"/>
      <c r="CU626" s="1355"/>
      <c r="CV626" s="1355"/>
      <c r="CW626" s="1355"/>
      <c r="CX626" s="1355">
        <f t="shared" si="12"/>
        <v>0</v>
      </c>
      <c r="CY626" s="1355"/>
      <c r="CZ626" s="1355"/>
      <c r="DA626" s="1355"/>
      <c r="DB626" s="1355"/>
      <c r="DC626" s="1355">
        <f t="shared" si="13"/>
        <v>0</v>
      </c>
      <c r="DD626" s="1355"/>
      <c r="DE626" s="1355"/>
      <c r="DF626" s="1355"/>
      <c r="DG626" s="1355"/>
      <c r="DH626" s="1355">
        <f t="shared" si="14"/>
        <v>0</v>
      </c>
      <c r="DI626" s="1355"/>
      <c r="DJ626" s="1355"/>
      <c r="DK626" s="1355"/>
      <c r="DL626" s="1355"/>
      <c r="DM626" s="1355">
        <f t="shared" si="15"/>
        <v>0</v>
      </c>
      <c r="DN626" s="1355"/>
      <c r="DO626" s="1355"/>
      <c r="DP626" s="1355"/>
      <c r="DQ626" s="1355"/>
      <c r="DR626" s="1355">
        <f t="shared" si="16"/>
        <v>0</v>
      </c>
      <c r="DS626" s="1355"/>
      <c r="DT626" s="1355"/>
      <c r="DU626" s="1355"/>
      <c r="DV626" s="1355"/>
      <c r="DX626" s="1360" t="str">
        <f t="shared" si="17"/>
        <v/>
      </c>
      <c r="DY626" s="1361"/>
      <c r="DZ626" s="1361"/>
      <c r="EA626" s="1361"/>
      <c r="EB626" s="1362"/>
      <c r="EC626" s="1360" t="str">
        <f t="shared" si="18"/>
        <v/>
      </c>
      <c r="ED626" s="1361"/>
      <c r="EE626" s="1361"/>
      <c r="EF626" s="1361"/>
      <c r="EG626" s="1362"/>
      <c r="EH626" s="1360" t="str">
        <f t="shared" si="19"/>
        <v/>
      </c>
      <c r="EI626" s="1361"/>
      <c r="EJ626" s="1361"/>
      <c r="EK626" s="1361"/>
      <c r="EL626" s="1362"/>
      <c r="EM626" s="1360" t="str">
        <f t="shared" si="20"/>
        <v/>
      </c>
      <c r="EN626" s="1361"/>
      <c r="EO626" s="1361"/>
      <c r="EP626" s="1361"/>
      <c r="EQ626" s="1362"/>
      <c r="ER626" s="1360" t="str">
        <f t="shared" si="21"/>
        <v/>
      </c>
      <c r="ES626" s="1361"/>
      <c r="ET626" s="1361"/>
      <c r="EU626" s="1361"/>
      <c r="EV626" s="1362"/>
      <c r="EW626" s="1360" t="str">
        <f t="shared" si="22"/>
        <v/>
      </c>
      <c r="EX626" s="1361"/>
      <c r="EY626" s="1361"/>
      <c r="EZ626" s="1361"/>
      <c r="FA626" s="1362"/>
    </row>
    <row r="627" spans="2:157" ht="12.95" customHeight="1">
      <c r="B627" s="51" t="s">
        <v>112</v>
      </c>
      <c r="C627" s="1593" t="s">
        <v>2794</v>
      </c>
      <c r="D627" s="1593"/>
      <c r="E627" s="1593"/>
      <c r="F627" s="1593"/>
      <c r="G627" s="1593"/>
      <c r="H627" s="1593"/>
      <c r="I627" s="1593"/>
      <c r="J627" s="1593"/>
      <c r="K627" s="1593"/>
      <c r="L627" s="1593"/>
      <c r="M627" s="1731" t="s">
        <v>2440</v>
      </c>
      <c r="N627" s="1731"/>
      <c r="O627" s="1731"/>
      <c r="P627" s="1731"/>
      <c r="Q627" s="1587">
        <v>180</v>
      </c>
      <c r="R627" s="1587"/>
      <c r="S627" s="1736"/>
      <c r="T627" s="1735">
        <v>480</v>
      </c>
      <c r="U627" s="1587"/>
      <c r="V627" s="1736"/>
      <c r="W627" s="1595">
        <v>5.7700000000000001E-2</v>
      </c>
      <c r="X627" s="1596"/>
      <c r="Y627" s="1597"/>
      <c r="Z627" s="1465" t="s">
        <v>2452</v>
      </c>
      <c r="AA627" s="1466"/>
      <c r="AB627" s="1467"/>
      <c r="AC627" s="1478">
        <v>1</v>
      </c>
      <c r="AD627" s="1479"/>
      <c r="AE627" s="1480"/>
      <c r="AF627" s="1381">
        <v>451989</v>
      </c>
      <c r="AG627" s="1382"/>
      <c r="AH627" s="1382"/>
      <c r="AI627" s="1382"/>
      <c r="AJ627" s="1383"/>
      <c r="AK627" s="1590"/>
      <c r="AL627" s="1591"/>
      <c r="AM627" s="1591"/>
      <c r="AN627" s="1592"/>
      <c r="AO627" s="1387">
        <v>7050000</v>
      </c>
      <c r="AP627" s="1387"/>
      <c r="AQ627" s="1387"/>
      <c r="AR627" s="1387"/>
      <c r="AS627" s="1387"/>
      <c r="AT627" s="3"/>
      <c r="AU627" s="3"/>
      <c r="AZ627" s="3"/>
      <c r="BA627" s="3"/>
      <c r="BB627" s="3"/>
      <c r="BC627" s="3"/>
      <c r="BD627" s="3"/>
      <c r="BE627" s="1360">
        <f t="shared" si="1"/>
        <v>0</v>
      </c>
      <c r="BF627" s="1362"/>
      <c r="BG627" s="1523">
        <f t="shared" si="2"/>
        <v>0</v>
      </c>
      <c r="BH627" s="1524"/>
      <c r="BI627" s="1360">
        <f t="shared" si="3"/>
        <v>0</v>
      </c>
      <c r="BJ627" s="1362"/>
      <c r="BK627" s="1523">
        <f t="shared" si="4"/>
        <v>0</v>
      </c>
      <c r="BL627" s="1524"/>
      <c r="BM627" s="3"/>
      <c r="BN627" s="1525">
        <f t="shared" si="5"/>
        <v>0</v>
      </c>
      <c r="BO627" s="1526"/>
      <c r="BP627" s="1526"/>
      <c r="BQ627" s="1526"/>
      <c r="BR627" s="1527"/>
      <c r="BS627" s="1363">
        <f t="shared" si="6"/>
        <v>0</v>
      </c>
      <c r="BT627" s="1363"/>
      <c r="BU627" s="1363"/>
      <c r="BV627" s="1363"/>
      <c r="BW627" s="1363"/>
      <c r="BX627" s="1363">
        <f t="shared" si="7"/>
        <v>0</v>
      </c>
      <c r="BY627" s="1363"/>
      <c r="BZ627" s="1363"/>
      <c r="CA627" s="1363"/>
      <c r="CB627" s="1363"/>
      <c r="CC627" s="1363">
        <f t="shared" si="8"/>
        <v>0</v>
      </c>
      <c r="CD627" s="1363"/>
      <c r="CE627" s="1363"/>
      <c r="CF627" s="1363"/>
      <c r="CG627" s="1363"/>
      <c r="CH627" s="1363">
        <f t="shared" si="9"/>
        <v>0</v>
      </c>
      <c r="CI627" s="1363"/>
      <c r="CJ627" s="1363"/>
      <c r="CK627" s="1363"/>
      <c r="CL627" s="1363"/>
      <c r="CM627" s="1363">
        <f t="shared" si="10"/>
        <v>0</v>
      </c>
      <c r="CN627" s="1363"/>
      <c r="CO627" s="1363"/>
      <c r="CP627" s="1363"/>
      <c r="CQ627" s="1363"/>
      <c r="CR627" s="6"/>
      <c r="CS627" s="1355">
        <f t="shared" si="11"/>
        <v>0</v>
      </c>
      <c r="CT627" s="1355"/>
      <c r="CU627" s="1355"/>
      <c r="CV627" s="1355"/>
      <c r="CW627" s="1355"/>
      <c r="CX627" s="1355">
        <f t="shared" si="12"/>
        <v>0</v>
      </c>
      <c r="CY627" s="1355"/>
      <c r="CZ627" s="1355"/>
      <c r="DA627" s="1355"/>
      <c r="DB627" s="1355"/>
      <c r="DC627" s="1355">
        <f t="shared" si="13"/>
        <v>0</v>
      </c>
      <c r="DD627" s="1355"/>
      <c r="DE627" s="1355"/>
      <c r="DF627" s="1355"/>
      <c r="DG627" s="1355"/>
      <c r="DH627" s="1355">
        <f t="shared" si="14"/>
        <v>0</v>
      </c>
      <c r="DI627" s="1355"/>
      <c r="DJ627" s="1355"/>
      <c r="DK627" s="1355"/>
      <c r="DL627" s="1355"/>
      <c r="DM627" s="1355">
        <f t="shared" si="15"/>
        <v>0</v>
      </c>
      <c r="DN627" s="1355"/>
      <c r="DO627" s="1355"/>
      <c r="DP627" s="1355"/>
      <c r="DQ627" s="1355"/>
      <c r="DR627" s="1355">
        <f t="shared" si="16"/>
        <v>0</v>
      </c>
      <c r="DS627" s="1355"/>
      <c r="DT627" s="1355"/>
      <c r="DU627" s="1355"/>
      <c r="DV627" s="1355"/>
      <c r="DX627" s="1360" t="str">
        <f t="shared" si="17"/>
        <v/>
      </c>
      <c r="DY627" s="1361"/>
      <c r="DZ627" s="1361"/>
      <c r="EA627" s="1361"/>
      <c r="EB627" s="1362"/>
      <c r="EC627" s="1360" t="str">
        <f t="shared" si="18"/>
        <v/>
      </c>
      <c r="ED627" s="1361"/>
      <c r="EE627" s="1361"/>
      <c r="EF627" s="1361"/>
      <c r="EG627" s="1362"/>
      <c r="EH627" s="1360" t="str">
        <f t="shared" si="19"/>
        <v/>
      </c>
      <c r="EI627" s="1361"/>
      <c r="EJ627" s="1361"/>
      <c r="EK627" s="1361"/>
      <c r="EL627" s="1362"/>
      <c r="EM627" s="1360" t="str">
        <f t="shared" si="20"/>
        <v/>
      </c>
      <c r="EN627" s="1361"/>
      <c r="EO627" s="1361"/>
      <c r="EP627" s="1361"/>
      <c r="EQ627" s="1362"/>
      <c r="ER627" s="1360" t="str">
        <f t="shared" si="21"/>
        <v/>
      </c>
      <c r="ES627" s="1361"/>
      <c r="ET627" s="1361"/>
      <c r="EU627" s="1361"/>
      <c r="EV627" s="1362"/>
      <c r="EW627" s="1360" t="str">
        <f t="shared" si="22"/>
        <v/>
      </c>
      <c r="EX627" s="1361"/>
      <c r="EY627" s="1361"/>
      <c r="EZ627" s="1361"/>
      <c r="FA627" s="1362"/>
    </row>
    <row r="628" spans="2:157" ht="12.95" customHeight="1">
      <c r="B628" s="52" t="s">
        <v>113</v>
      </c>
      <c r="C628" s="1593" t="str">
        <f>C555</f>
        <v>AHCDC - HCD - IIG Loan</v>
      </c>
      <c r="D628" s="1593"/>
      <c r="E628" s="1593"/>
      <c r="F628" s="1593"/>
      <c r="G628" s="1593"/>
      <c r="H628" s="1593"/>
      <c r="I628" s="1593"/>
      <c r="J628" s="1593"/>
      <c r="K628" s="1593"/>
      <c r="L628" s="1593"/>
      <c r="M628" s="1731" t="s">
        <v>2436</v>
      </c>
      <c r="N628" s="1731"/>
      <c r="O628" s="1731"/>
      <c r="P628" s="1731"/>
      <c r="Q628" s="1735">
        <v>660</v>
      </c>
      <c r="R628" s="1587"/>
      <c r="S628" s="1736"/>
      <c r="T628" s="1735"/>
      <c r="U628" s="1587"/>
      <c r="V628" s="1736"/>
      <c r="W628" s="1595">
        <v>0.03</v>
      </c>
      <c r="X628" s="1596"/>
      <c r="Y628" s="1597"/>
      <c r="Z628" s="1465" t="s">
        <v>466</v>
      </c>
      <c r="AA628" s="1466"/>
      <c r="AB628" s="1467"/>
      <c r="AC628" s="1478">
        <v>2</v>
      </c>
      <c r="AD628" s="1479"/>
      <c r="AE628" s="1480"/>
      <c r="AF628" s="1381"/>
      <c r="AG628" s="1382"/>
      <c r="AH628" s="1382"/>
      <c r="AI628" s="1382"/>
      <c r="AJ628" s="1383"/>
      <c r="AK628" s="1590"/>
      <c r="AL628" s="1591"/>
      <c r="AM628" s="1591"/>
      <c r="AN628" s="1592"/>
      <c r="AO628" s="1384">
        <v>3000000</v>
      </c>
      <c r="AP628" s="1385"/>
      <c r="AQ628" s="1385"/>
      <c r="AR628" s="1385"/>
      <c r="AS628" s="1386"/>
      <c r="AT628" s="1192" t="str">
        <f>IF(AND(NOT(C627=""),C628="",NOT(C629="")),"!","")</f>
        <v/>
      </c>
      <c r="AU628" s="3"/>
      <c r="AZ628" s="3"/>
      <c r="BA628" s="3"/>
      <c r="BB628" s="3"/>
      <c r="BC628" s="3"/>
      <c r="BD628" s="3"/>
      <c r="BE628" s="1360">
        <f t="shared" si="1"/>
        <v>0</v>
      </c>
      <c r="BF628" s="1362"/>
      <c r="BG628" s="1523">
        <f t="shared" si="2"/>
        <v>0</v>
      </c>
      <c r="BH628" s="1524"/>
      <c r="BI628" s="1360">
        <f t="shared" si="3"/>
        <v>0</v>
      </c>
      <c r="BJ628" s="1362"/>
      <c r="BK628" s="1523">
        <f t="shared" si="4"/>
        <v>0</v>
      </c>
      <c r="BL628" s="1524"/>
      <c r="BM628" s="3"/>
      <c r="BN628" s="1525">
        <f t="shared" si="5"/>
        <v>0</v>
      </c>
      <c r="BO628" s="1526"/>
      <c r="BP628" s="1526"/>
      <c r="BQ628" s="1526"/>
      <c r="BR628" s="1527"/>
      <c r="BS628" s="1363">
        <f t="shared" si="6"/>
        <v>0</v>
      </c>
      <c r="BT628" s="1363"/>
      <c r="BU628" s="1363"/>
      <c r="BV628" s="1363"/>
      <c r="BW628" s="1363"/>
      <c r="BX628" s="1363">
        <f t="shared" si="7"/>
        <v>0</v>
      </c>
      <c r="BY628" s="1363"/>
      <c r="BZ628" s="1363"/>
      <c r="CA628" s="1363"/>
      <c r="CB628" s="1363"/>
      <c r="CC628" s="1363">
        <f t="shared" si="8"/>
        <v>0</v>
      </c>
      <c r="CD628" s="1363"/>
      <c r="CE628" s="1363"/>
      <c r="CF628" s="1363"/>
      <c r="CG628" s="1363"/>
      <c r="CH628" s="1363">
        <f t="shared" si="9"/>
        <v>0</v>
      </c>
      <c r="CI628" s="1363"/>
      <c r="CJ628" s="1363"/>
      <c r="CK628" s="1363"/>
      <c r="CL628" s="1363"/>
      <c r="CM628" s="1363">
        <f t="shared" si="10"/>
        <v>0</v>
      </c>
      <c r="CN628" s="1363"/>
      <c r="CO628" s="1363"/>
      <c r="CP628" s="1363"/>
      <c r="CQ628" s="1363"/>
      <c r="CR628" s="6"/>
      <c r="CS628" s="1355">
        <f t="shared" si="11"/>
        <v>0</v>
      </c>
      <c r="CT628" s="1355"/>
      <c r="CU628" s="1355"/>
      <c r="CV628" s="1355"/>
      <c r="CW628" s="1355"/>
      <c r="CX628" s="1355">
        <f t="shared" si="12"/>
        <v>0</v>
      </c>
      <c r="CY628" s="1355"/>
      <c r="CZ628" s="1355"/>
      <c r="DA628" s="1355"/>
      <c r="DB628" s="1355"/>
      <c r="DC628" s="1355">
        <f t="shared" si="13"/>
        <v>0</v>
      </c>
      <c r="DD628" s="1355"/>
      <c r="DE628" s="1355"/>
      <c r="DF628" s="1355"/>
      <c r="DG628" s="1355"/>
      <c r="DH628" s="1355">
        <f t="shared" si="14"/>
        <v>0</v>
      </c>
      <c r="DI628" s="1355"/>
      <c r="DJ628" s="1355"/>
      <c r="DK628" s="1355"/>
      <c r="DL628" s="1355"/>
      <c r="DM628" s="1355">
        <f t="shared" si="15"/>
        <v>0</v>
      </c>
      <c r="DN628" s="1355"/>
      <c r="DO628" s="1355"/>
      <c r="DP628" s="1355"/>
      <c r="DQ628" s="1355"/>
      <c r="DR628" s="1355">
        <f t="shared" si="16"/>
        <v>0</v>
      </c>
      <c r="DS628" s="1355"/>
      <c r="DT628" s="1355"/>
      <c r="DU628" s="1355"/>
      <c r="DV628" s="1355"/>
      <c r="DX628" s="1360" t="str">
        <f t="shared" si="17"/>
        <v/>
      </c>
      <c r="DY628" s="1361"/>
      <c r="DZ628" s="1361"/>
      <c r="EA628" s="1361"/>
      <c r="EB628" s="1362"/>
      <c r="EC628" s="1360" t="str">
        <f t="shared" si="18"/>
        <v/>
      </c>
      <c r="ED628" s="1361"/>
      <c r="EE628" s="1361"/>
      <c r="EF628" s="1361"/>
      <c r="EG628" s="1362"/>
      <c r="EH628" s="1360" t="str">
        <f t="shared" si="19"/>
        <v/>
      </c>
      <c r="EI628" s="1361"/>
      <c r="EJ628" s="1361"/>
      <c r="EK628" s="1361"/>
      <c r="EL628" s="1362"/>
      <c r="EM628" s="1360" t="str">
        <f t="shared" si="20"/>
        <v/>
      </c>
      <c r="EN628" s="1361"/>
      <c r="EO628" s="1361"/>
      <c r="EP628" s="1361"/>
      <c r="EQ628" s="1362"/>
      <c r="ER628" s="1360" t="str">
        <f t="shared" si="21"/>
        <v/>
      </c>
      <c r="ES628" s="1361"/>
      <c r="ET628" s="1361"/>
      <c r="EU628" s="1361"/>
      <c r="EV628" s="1362"/>
      <c r="EW628" s="1360" t="str">
        <f t="shared" si="22"/>
        <v/>
      </c>
      <c r="EX628" s="1361"/>
      <c r="EY628" s="1361"/>
      <c r="EZ628" s="1361"/>
      <c r="FA628" s="1362"/>
    </row>
    <row r="629" spans="2:157" ht="12.95" customHeight="1">
      <c r="B629" s="52" t="s">
        <v>119</v>
      </c>
      <c r="C629" s="1593" t="str">
        <f t="shared" ref="C629:C630" si="23">C556</f>
        <v>County of San Mateo</v>
      </c>
      <c r="D629" s="1593"/>
      <c r="E629" s="1593"/>
      <c r="F629" s="1593"/>
      <c r="G629" s="1593"/>
      <c r="H629" s="1593"/>
      <c r="I629" s="1593"/>
      <c r="J629" s="1593"/>
      <c r="K629" s="1593"/>
      <c r="L629" s="1593"/>
      <c r="M629" s="1731" t="s">
        <v>2436</v>
      </c>
      <c r="N629" s="1731"/>
      <c r="O629" s="1731"/>
      <c r="P629" s="1731"/>
      <c r="Q629" s="1735">
        <v>660</v>
      </c>
      <c r="R629" s="1587"/>
      <c r="S629" s="1736"/>
      <c r="T629" s="1735"/>
      <c r="U629" s="1587"/>
      <c r="V629" s="1736"/>
      <c r="W629" s="1595">
        <v>0.03</v>
      </c>
      <c r="X629" s="1596"/>
      <c r="Y629" s="1597"/>
      <c r="Z629" s="1465" t="s">
        <v>466</v>
      </c>
      <c r="AA629" s="1466"/>
      <c r="AB629" s="1467"/>
      <c r="AC629" s="1478">
        <v>3</v>
      </c>
      <c r="AD629" s="1479"/>
      <c r="AE629" s="1480"/>
      <c r="AF629" s="1381"/>
      <c r="AG629" s="1382"/>
      <c r="AH629" s="1382"/>
      <c r="AI629" s="1382"/>
      <c r="AJ629" s="1383"/>
      <c r="AK629" s="1590"/>
      <c r="AL629" s="1591"/>
      <c r="AM629" s="1591"/>
      <c r="AN629" s="1592"/>
      <c r="AO629" s="1384">
        <f>12497835</f>
        <v>12497835</v>
      </c>
      <c r="AP629" s="1385"/>
      <c r="AQ629" s="1385"/>
      <c r="AR629" s="1385"/>
      <c r="AS629" s="1386"/>
      <c r="AT629" s="1192" t="str">
        <f t="shared" ref="AT629:AT638" si="24">IF(AND(NOT(C628=""),C629="",NOT(C630="")),"!","")</f>
        <v/>
      </c>
      <c r="AU629" s="3"/>
      <c r="AZ629" s="3"/>
      <c r="BA629" s="3"/>
      <c r="BB629" s="3"/>
      <c r="BC629" s="3"/>
      <c r="BD629" s="3"/>
      <c r="BE629" s="1360">
        <f t="shared" si="1"/>
        <v>0</v>
      </c>
      <c r="BF629" s="1362"/>
      <c r="BG629" s="1523">
        <f t="shared" si="2"/>
        <v>0</v>
      </c>
      <c r="BH629" s="1524"/>
      <c r="BI629" s="1360">
        <f t="shared" si="3"/>
        <v>0</v>
      </c>
      <c r="BJ629" s="1362"/>
      <c r="BK629" s="1523">
        <f t="shared" si="4"/>
        <v>0</v>
      </c>
      <c r="BL629" s="1524"/>
      <c r="BM629" s="3"/>
      <c r="BN629" s="1525">
        <f t="shared" si="5"/>
        <v>0</v>
      </c>
      <c r="BO629" s="1526"/>
      <c r="BP629" s="1526"/>
      <c r="BQ629" s="1526"/>
      <c r="BR629" s="1527"/>
      <c r="BS629" s="1363">
        <f t="shared" si="6"/>
        <v>0</v>
      </c>
      <c r="BT629" s="1363"/>
      <c r="BU629" s="1363"/>
      <c r="BV629" s="1363"/>
      <c r="BW629" s="1363"/>
      <c r="BX629" s="1363">
        <f t="shared" si="7"/>
        <v>0</v>
      </c>
      <c r="BY629" s="1363"/>
      <c r="BZ629" s="1363"/>
      <c r="CA629" s="1363"/>
      <c r="CB629" s="1363"/>
      <c r="CC629" s="1363">
        <f t="shared" si="8"/>
        <v>0</v>
      </c>
      <c r="CD629" s="1363"/>
      <c r="CE629" s="1363"/>
      <c r="CF629" s="1363"/>
      <c r="CG629" s="1363"/>
      <c r="CH629" s="1363">
        <f t="shared" si="9"/>
        <v>0</v>
      </c>
      <c r="CI629" s="1363"/>
      <c r="CJ629" s="1363"/>
      <c r="CK629" s="1363"/>
      <c r="CL629" s="1363"/>
      <c r="CM629" s="1363">
        <f t="shared" si="10"/>
        <v>0</v>
      </c>
      <c r="CN629" s="1363"/>
      <c r="CO629" s="1363"/>
      <c r="CP629" s="1363"/>
      <c r="CQ629" s="1363"/>
      <c r="CR629" s="6"/>
      <c r="CS629" s="1355">
        <f t="shared" si="11"/>
        <v>0</v>
      </c>
      <c r="CT629" s="1355"/>
      <c r="CU629" s="1355"/>
      <c r="CV629" s="1355"/>
      <c r="CW629" s="1355"/>
      <c r="CX629" s="1355">
        <f t="shared" si="12"/>
        <v>0</v>
      </c>
      <c r="CY629" s="1355"/>
      <c r="CZ629" s="1355"/>
      <c r="DA629" s="1355"/>
      <c r="DB629" s="1355"/>
      <c r="DC629" s="1355">
        <f t="shared" si="13"/>
        <v>0</v>
      </c>
      <c r="DD629" s="1355"/>
      <c r="DE629" s="1355"/>
      <c r="DF629" s="1355"/>
      <c r="DG629" s="1355"/>
      <c r="DH629" s="1355">
        <f t="shared" si="14"/>
        <v>0</v>
      </c>
      <c r="DI629" s="1355"/>
      <c r="DJ629" s="1355"/>
      <c r="DK629" s="1355"/>
      <c r="DL629" s="1355"/>
      <c r="DM629" s="1355">
        <f t="shared" si="15"/>
        <v>0</v>
      </c>
      <c r="DN629" s="1355"/>
      <c r="DO629" s="1355"/>
      <c r="DP629" s="1355"/>
      <c r="DQ629" s="1355"/>
      <c r="DR629" s="1355">
        <f t="shared" si="16"/>
        <v>0</v>
      </c>
      <c r="DS629" s="1355"/>
      <c r="DT629" s="1355"/>
      <c r="DU629" s="1355"/>
      <c r="DV629" s="1355"/>
      <c r="DX629" s="1360" t="str">
        <f t="shared" si="17"/>
        <v/>
      </c>
      <c r="DY629" s="1361"/>
      <c r="DZ629" s="1361"/>
      <c r="EA629" s="1361"/>
      <c r="EB629" s="1362"/>
      <c r="EC629" s="1360" t="str">
        <f t="shared" si="18"/>
        <v/>
      </c>
      <c r="ED629" s="1361"/>
      <c r="EE629" s="1361"/>
      <c r="EF629" s="1361"/>
      <c r="EG629" s="1362"/>
      <c r="EH629" s="1360" t="str">
        <f t="shared" si="19"/>
        <v/>
      </c>
      <c r="EI629" s="1361"/>
      <c r="EJ629" s="1361"/>
      <c r="EK629" s="1361"/>
      <c r="EL629" s="1362"/>
      <c r="EM629" s="1360" t="str">
        <f t="shared" si="20"/>
        <v/>
      </c>
      <c r="EN629" s="1361"/>
      <c r="EO629" s="1361"/>
      <c r="EP629" s="1361"/>
      <c r="EQ629" s="1362"/>
      <c r="ER629" s="1360" t="str">
        <f t="shared" si="21"/>
        <v/>
      </c>
      <c r="ES629" s="1361"/>
      <c r="ET629" s="1361"/>
      <c r="EU629" s="1361"/>
      <c r="EV629" s="1362"/>
      <c r="EW629" s="1360" t="str">
        <f t="shared" si="22"/>
        <v/>
      </c>
      <c r="EX629" s="1361"/>
      <c r="EY629" s="1361"/>
      <c r="EZ629" s="1361"/>
      <c r="FA629" s="1362"/>
    </row>
    <row r="630" spans="2:157" ht="12.95" customHeight="1">
      <c r="B630" s="52" t="s">
        <v>590</v>
      </c>
      <c r="C630" s="1594" t="str">
        <f t="shared" si="23"/>
        <v>City of Daly City (including HEART of San Mateo)</v>
      </c>
      <c r="D630" s="1594"/>
      <c r="E630" s="1594"/>
      <c r="F630" s="1594"/>
      <c r="G630" s="1594"/>
      <c r="H630" s="1594"/>
      <c r="I630" s="1594"/>
      <c r="J630" s="1594"/>
      <c r="K630" s="1594"/>
      <c r="L630" s="1594"/>
      <c r="M630" s="1731" t="s">
        <v>2436</v>
      </c>
      <c r="N630" s="1731"/>
      <c r="O630" s="1731"/>
      <c r="P630" s="1731"/>
      <c r="Q630" s="1735">
        <v>660</v>
      </c>
      <c r="R630" s="1587"/>
      <c r="S630" s="1736"/>
      <c r="T630" s="1735"/>
      <c r="U630" s="1587"/>
      <c r="V630" s="1736"/>
      <c r="W630" s="1595">
        <v>0.03</v>
      </c>
      <c r="X630" s="1596"/>
      <c r="Y630" s="1597"/>
      <c r="Z630" s="1465" t="s">
        <v>466</v>
      </c>
      <c r="AA630" s="1466"/>
      <c r="AB630" s="1467"/>
      <c r="AC630" s="1478">
        <v>4</v>
      </c>
      <c r="AD630" s="1479"/>
      <c r="AE630" s="1480"/>
      <c r="AF630" s="1381"/>
      <c r="AG630" s="1382"/>
      <c r="AH630" s="1382"/>
      <c r="AI630" s="1382"/>
      <c r="AJ630" s="1383"/>
      <c r="AK630" s="1590"/>
      <c r="AL630" s="1591"/>
      <c r="AM630" s="1591"/>
      <c r="AN630" s="1592"/>
      <c r="AO630" s="1384">
        <f>7716687</f>
        <v>7716687</v>
      </c>
      <c r="AP630" s="1385"/>
      <c r="AQ630" s="1385"/>
      <c r="AR630" s="1385"/>
      <c r="AS630" s="1386"/>
      <c r="AT630" s="1192" t="str">
        <f t="shared" si="24"/>
        <v/>
      </c>
      <c r="AU630" s="3"/>
      <c r="AZ630" s="3"/>
      <c r="BA630" s="3"/>
      <c r="BB630" s="3"/>
      <c r="BC630" s="3"/>
      <c r="BD630" s="3"/>
      <c r="BE630" s="1360">
        <f t="shared" si="1"/>
        <v>0</v>
      </c>
      <c r="BF630" s="1362"/>
      <c r="BG630" s="1523">
        <f t="shared" si="2"/>
        <v>0</v>
      </c>
      <c r="BH630" s="1524"/>
      <c r="BI630" s="1360">
        <f t="shared" si="3"/>
        <v>0</v>
      </c>
      <c r="BJ630" s="1362"/>
      <c r="BK630" s="1523">
        <f t="shared" si="4"/>
        <v>0</v>
      </c>
      <c r="BL630" s="1524"/>
      <c r="BM630" s="3"/>
      <c r="BN630" s="1525">
        <f t="shared" si="5"/>
        <v>0</v>
      </c>
      <c r="BO630" s="1526"/>
      <c r="BP630" s="1526"/>
      <c r="BQ630" s="1526"/>
      <c r="BR630" s="1527"/>
      <c r="BS630" s="1363">
        <f t="shared" si="6"/>
        <v>0</v>
      </c>
      <c r="BT630" s="1363"/>
      <c r="BU630" s="1363"/>
      <c r="BV630" s="1363"/>
      <c r="BW630" s="1363"/>
      <c r="BX630" s="1363">
        <f t="shared" si="7"/>
        <v>0</v>
      </c>
      <c r="BY630" s="1363"/>
      <c r="BZ630" s="1363"/>
      <c r="CA630" s="1363"/>
      <c r="CB630" s="1363"/>
      <c r="CC630" s="1363">
        <f t="shared" si="8"/>
        <v>0</v>
      </c>
      <c r="CD630" s="1363"/>
      <c r="CE630" s="1363"/>
      <c r="CF630" s="1363"/>
      <c r="CG630" s="1363"/>
      <c r="CH630" s="1363">
        <f t="shared" si="9"/>
        <v>0</v>
      </c>
      <c r="CI630" s="1363"/>
      <c r="CJ630" s="1363"/>
      <c r="CK630" s="1363"/>
      <c r="CL630" s="1363"/>
      <c r="CM630" s="1363">
        <f t="shared" si="10"/>
        <v>0</v>
      </c>
      <c r="CN630" s="1363"/>
      <c r="CO630" s="1363"/>
      <c r="CP630" s="1363"/>
      <c r="CQ630" s="1363"/>
      <c r="CR630" s="6"/>
      <c r="CS630" s="1355">
        <f t="shared" si="11"/>
        <v>0</v>
      </c>
      <c r="CT630" s="1355"/>
      <c r="CU630" s="1355"/>
      <c r="CV630" s="1355"/>
      <c r="CW630" s="1355"/>
      <c r="CX630" s="1355">
        <f t="shared" si="12"/>
        <v>0</v>
      </c>
      <c r="CY630" s="1355"/>
      <c r="CZ630" s="1355"/>
      <c r="DA630" s="1355"/>
      <c r="DB630" s="1355"/>
      <c r="DC630" s="1355">
        <f t="shared" si="13"/>
        <v>0</v>
      </c>
      <c r="DD630" s="1355"/>
      <c r="DE630" s="1355"/>
      <c r="DF630" s="1355"/>
      <c r="DG630" s="1355"/>
      <c r="DH630" s="1355">
        <f t="shared" si="14"/>
        <v>0</v>
      </c>
      <c r="DI630" s="1355"/>
      <c r="DJ630" s="1355"/>
      <c r="DK630" s="1355"/>
      <c r="DL630" s="1355"/>
      <c r="DM630" s="1355">
        <f t="shared" si="15"/>
        <v>0</v>
      </c>
      <c r="DN630" s="1355"/>
      <c r="DO630" s="1355"/>
      <c r="DP630" s="1355"/>
      <c r="DQ630" s="1355"/>
      <c r="DR630" s="1355">
        <f t="shared" si="16"/>
        <v>0</v>
      </c>
      <c r="DS630" s="1355"/>
      <c r="DT630" s="1355"/>
      <c r="DU630" s="1355"/>
      <c r="DV630" s="1355"/>
      <c r="DX630" s="1360" t="str">
        <f t="shared" si="17"/>
        <v/>
      </c>
      <c r="DY630" s="1361"/>
      <c r="DZ630" s="1361"/>
      <c r="EA630" s="1361"/>
      <c r="EB630" s="1362"/>
      <c r="EC630" s="1360" t="str">
        <f t="shared" si="18"/>
        <v/>
      </c>
      <c r="ED630" s="1361"/>
      <c r="EE630" s="1361"/>
      <c r="EF630" s="1361"/>
      <c r="EG630" s="1362"/>
      <c r="EH630" s="1360" t="str">
        <f t="shared" si="19"/>
        <v/>
      </c>
      <c r="EI630" s="1361"/>
      <c r="EJ630" s="1361"/>
      <c r="EK630" s="1361"/>
      <c r="EL630" s="1362"/>
      <c r="EM630" s="1360" t="str">
        <f t="shared" si="20"/>
        <v/>
      </c>
      <c r="EN630" s="1361"/>
      <c r="EO630" s="1361"/>
      <c r="EP630" s="1361"/>
      <c r="EQ630" s="1362"/>
      <c r="ER630" s="1360" t="str">
        <f t="shared" si="21"/>
        <v/>
      </c>
      <c r="ES630" s="1361"/>
      <c r="ET630" s="1361"/>
      <c r="EU630" s="1361"/>
      <c r="EV630" s="1362"/>
      <c r="EW630" s="1360" t="str">
        <f t="shared" si="22"/>
        <v/>
      </c>
      <c r="EX630" s="1361"/>
      <c r="EY630" s="1361"/>
      <c r="EZ630" s="1361"/>
      <c r="FA630" s="1362"/>
    </row>
    <row r="631" spans="2:157" ht="12.95" customHeight="1">
      <c r="B631" s="52" t="s">
        <v>773</v>
      </c>
      <c r="C631" s="1593" t="s">
        <v>1852</v>
      </c>
      <c r="D631" s="1594"/>
      <c r="E631" s="1594"/>
      <c r="F631" s="1594"/>
      <c r="G631" s="1594"/>
      <c r="H631" s="1594"/>
      <c r="I631" s="1594"/>
      <c r="J631" s="1594"/>
      <c r="K631" s="1594"/>
      <c r="L631" s="1594"/>
      <c r="M631" s="1731" t="s">
        <v>2427</v>
      </c>
      <c r="N631" s="1731"/>
      <c r="O631" s="1731"/>
      <c r="P631" s="1731"/>
      <c r="Q631" s="1735">
        <v>180</v>
      </c>
      <c r="R631" s="1587"/>
      <c r="S631" s="1736"/>
      <c r="T631" s="1735"/>
      <c r="U631" s="1587"/>
      <c r="V631" s="1736"/>
      <c r="W631" s="1595"/>
      <c r="X631" s="1596"/>
      <c r="Y631" s="1597"/>
      <c r="Z631" s="1465" t="s">
        <v>466</v>
      </c>
      <c r="AA631" s="1466"/>
      <c r="AB631" s="1467"/>
      <c r="AC631" s="1478"/>
      <c r="AD631" s="1479"/>
      <c r="AE631" s="1480"/>
      <c r="AF631" s="1381"/>
      <c r="AG631" s="1382"/>
      <c r="AH631" s="1382"/>
      <c r="AI631" s="1382"/>
      <c r="AJ631" s="1383"/>
      <c r="AK631" s="1590"/>
      <c r="AL631" s="1591"/>
      <c r="AM631" s="1591"/>
      <c r="AN631" s="1592"/>
      <c r="AO631" s="1384">
        <f>1277344-4390</f>
        <v>1272954</v>
      </c>
      <c r="AP631" s="1385"/>
      <c r="AQ631" s="1385"/>
      <c r="AR631" s="1385"/>
      <c r="AS631" s="1386"/>
      <c r="AT631" s="1192" t="str">
        <f t="shared" si="24"/>
        <v/>
      </c>
      <c r="AU631" s="3"/>
      <c r="AZ631" s="3"/>
      <c r="BA631" s="3"/>
      <c r="BB631" s="3"/>
      <c r="BC631" s="3"/>
      <c r="BD631" s="3"/>
      <c r="BE631" s="1360">
        <f t="shared" si="1"/>
        <v>0</v>
      </c>
      <c r="BF631" s="1362"/>
      <c r="BG631" s="1523">
        <f t="shared" si="2"/>
        <v>0</v>
      </c>
      <c r="BH631" s="1524"/>
      <c r="BI631" s="1360">
        <f t="shared" si="3"/>
        <v>0</v>
      </c>
      <c r="BJ631" s="1362"/>
      <c r="BK631" s="1523">
        <f t="shared" si="4"/>
        <v>0</v>
      </c>
      <c r="BL631" s="1524"/>
      <c r="BM631" s="3"/>
      <c r="BN631" s="1525">
        <f t="shared" si="5"/>
        <v>0</v>
      </c>
      <c r="BO631" s="1526"/>
      <c r="BP631" s="1526"/>
      <c r="BQ631" s="1526"/>
      <c r="BR631" s="1527"/>
      <c r="BS631" s="1363">
        <f t="shared" si="6"/>
        <v>0</v>
      </c>
      <c r="BT631" s="1363"/>
      <c r="BU631" s="1363"/>
      <c r="BV631" s="1363"/>
      <c r="BW631" s="1363"/>
      <c r="BX631" s="1363">
        <f t="shared" si="7"/>
        <v>0</v>
      </c>
      <c r="BY631" s="1363"/>
      <c r="BZ631" s="1363"/>
      <c r="CA631" s="1363"/>
      <c r="CB631" s="1363"/>
      <c r="CC631" s="1363">
        <f t="shared" si="8"/>
        <v>0</v>
      </c>
      <c r="CD631" s="1363"/>
      <c r="CE631" s="1363"/>
      <c r="CF631" s="1363"/>
      <c r="CG631" s="1363"/>
      <c r="CH631" s="1363">
        <f t="shared" si="9"/>
        <v>0</v>
      </c>
      <c r="CI631" s="1363"/>
      <c r="CJ631" s="1363"/>
      <c r="CK631" s="1363"/>
      <c r="CL631" s="1363"/>
      <c r="CM631" s="1363">
        <f t="shared" si="10"/>
        <v>0</v>
      </c>
      <c r="CN631" s="1363"/>
      <c r="CO631" s="1363"/>
      <c r="CP631" s="1363"/>
      <c r="CQ631" s="1363"/>
      <c r="CR631" s="6"/>
      <c r="CS631" s="1355">
        <f t="shared" si="11"/>
        <v>0</v>
      </c>
      <c r="CT631" s="1355"/>
      <c r="CU631" s="1355"/>
      <c r="CV631" s="1355"/>
      <c r="CW631" s="1355"/>
      <c r="CX631" s="1355">
        <f t="shared" si="12"/>
        <v>0</v>
      </c>
      <c r="CY631" s="1355"/>
      <c r="CZ631" s="1355"/>
      <c r="DA631" s="1355"/>
      <c r="DB631" s="1355"/>
      <c r="DC631" s="1355">
        <f t="shared" si="13"/>
        <v>0</v>
      </c>
      <c r="DD631" s="1355"/>
      <c r="DE631" s="1355"/>
      <c r="DF631" s="1355"/>
      <c r="DG631" s="1355"/>
      <c r="DH631" s="1355">
        <f t="shared" si="14"/>
        <v>0</v>
      </c>
      <c r="DI631" s="1355"/>
      <c r="DJ631" s="1355"/>
      <c r="DK631" s="1355"/>
      <c r="DL631" s="1355"/>
      <c r="DM631" s="1355">
        <f t="shared" si="15"/>
        <v>0</v>
      </c>
      <c r="DN631" s="1355"/>
      <c r="DO631" s="1355"/>
      <c r="DP631" s="1355"/>
      <c r="DQ631" s="1355"/>
      <c r="DR631" s="1355">
        <f t="shared" si="16"/>
        <v>0</v>
      </c>
      <c r="DS631" s="1355"/>
      <c r="DT631" s="1355"/>
      <c r="DU631" s="1355"/>
      <c r="DV631" s="1355"/>
      <c r="DX631" s="1360" t="str">
        <f t="shared" si="17"/>
        <v/>
      </c>
      <c r="DY631" s="1361"/>
      <c r="DZ631" s="1361"/>
      <c r="EA631" s="1361"/>
      <c r="EB631" s="1362"/>
      <c r="EC631" s="1360" t="str">
        <f t="shared" si="18"/>
        <v/>
      </c>
      <c r="ED631" s="1361"/>
      <c r="EE631" s="1361"/>
      <c r="EF631" s="1361"/>
      <c r="EG631" s="1362"/>
      <c r="EH631" s="1360" t="str">
        <f t="shared" si="19"/>
        <v/>
      </c>
      <c r="EI631" s="1361"/>
      <c r="EJ631" s="1361"/>
      <c r="EK631" s="1361"/>
      <c r="EL631" s="1362"/>
      <c r="EM631" s="1360" t="str">
        <f t="shared" si="20"/>
        <v/>
      </c>
      <c r="EN631" s="1361"/>
      <c r="EO631" s="1361"/>
      <c r="EP631" s="1361"/>
      <c r="EQ631" s="1362"/>
      <c r="ER631" s="1360" t="str">
        <f t="shared" si="21"/>
        <v/>
      </c>
      <c r="ES631" s="1361"/>
      <c r="ET631" s="1361"/>
      <c r="EU631" s="1361"/>
      <c r="EV631" s="1362"/>
      <c r="EW631" s="1360" t="str">
        <f t="shared" si="22"/>
        <v/>
      </c>
      <c r="EX631" s="1361"/>
      <c r="EY631" s="1361"/>
      <c r="EZ631" s="1361"/>
      <c r="FA631" s="1362"/>
    </row>
    <row r="632" spans="2:157" ht="12.95" customHeight="1">
      <c r="B632" s="52" t="s">
        <v>593</v>
      </c>
      <c r="C632" s="1593" t="s">
        <v>2732</v>
      </c>
      <c r="D632" s="1594"/>
      <c r="E632" s="1594"/>
      <c r="F632" s="1594"/>
      <c r="G632" s="1594"/>
      <c r="H632" s="1594"/>
      <c r="I632" s="1594"/>
      <c r="J632" s="1594"/>
      <c r="K632" s="1594"/>
      <c r="L632" s="1594"/>
      <c r="M632" s="1731" t="s">
        <v>2428</v>
      </c>
      <c r="N632" s="1731"/>
      <c r="O632" s="1731"/>
      <c r="P632" s="1731"/>
      <c r="Q632" s="1735"/>
      <c r="R632" s="1587"/>
      <c r="S632" s="1736"/>
      <c r="T632" s="1735"/>
      <c r="U632" s="1587"/>
      <c r="V632" s="1736"/>
      <c r="W632" s="1595"/>
      <c r="X632" s="1596"/>
      <c r="Y632" s="1597"/>
      <c r="Z632" s="1465" t="s">
        <v>1291</v>
      </c>
      <c r="AA632" s="1466"/>
      <c r="AB632" s="1467"/>
      <c r="AC632" s="1478"/>
      <c r="AD632" s="1479"/>
      <c r="AE632" s="1480"/>
      <c r="AF632" s="1381"/>
      <c r="AG632" s="1382"/>
      <c r="AH632" s="1382"/>
      <c r="AI632" s="1382"/>
      <c r="AJ632" s="1383"/>
      <c r="AK632" s="1590"/>
      <c r="AL632" s="1591"/>
      <c r="AM632" s="1591"/>
      <c r="AN632" s="1592"/>
      <c r="AO632" s="1384">
        <v>1500000</v>
      </c>
      <c r="AP632" s="1385"/>
      <c r="AQ632" s="1385"/>
      <c r="AR632" s="1385"/>
      <c r="AS632" s="1386"/>
      <c r="AT632" s="1192" t="str">
        <f t="shared" si="24"/>
        <v/>
      </c>
      <c r="AU632" s="3"/>
      <c r="AZ632" s="3"/>
      <c r="BA632" s="3"/>
      <c r="BB632" s="3"/>
      <c r="BC632" s="3"/>
      <c r="BD632" s="3"/>
      <c r="BE632" s="3"/>
      <c r="BF632" s="3"/>
      <c r="BG632" s="1360">
        <f>SUM(BG597:BH631)</f>
        <v>17</v>
      </c>
      <c r="BH632" s="1362"/>
      <c r="BI632" s="3"/>
      <c r="BJ632" s="3"/>
      <c r="BK632" s="1360">
        <f>SUM(BK597:BL631)</f>
        <v>54</v>
      </c>
      <c r="BL632" s="1362"/>
      <c r="BM632" s="3"/>
      <c r="BN632" s="1360">
        <f>SUM(BN597:BR631)</f>
        <v>35</v>
      </c>
      <c r="BO632" s="1361"/>
      <c r="BP632" s="1361"/>
      <c r="BQ632" s="1361"/>
      <c r="BR632" s="1362"/>
      <c r="BS632" s="1380">
        <f>SUM(BS597:BW631)</f>
        <v>36</v>
      </c>
      <c r="BT632" s="1380"/>
      <c r="BU632" s="1380"/>
      <c r="BV632" s="1380"/>
      <c r="BW632" s="1380"/>
      <c r="BX632" s="1380">
        <f>SUM(BX597:CB631)</f>
        <v>0</v>
      </c>
      <c r="BY632" s="1380"/>
      <c r="BZ632" s="1380"/>
      <c r="CA632" s="1380"/>
      <c r="CB632" s="1380"/>
      <c r="CC632" s="1380">
        <f>SUM(CC597:CG631)</f>
        <v>0</v>
      </c>
      <c r="CD632" s="1380"/>
      <c r="CE632" s="1380"/>
      <c r="CF632" s="1380"/>
      <c r="CG632" s="1380"/>
      <c r="CH632" s="1380">
        <f>SUM(CH597:CL631)</f>
        <v>0</v>
      </c>
      <c r="CI632" s="1380"/>
      <c r="CJ632" s="1380"/>
      <c r="CK632" s="1380"/>
      <c r="CL632" s="1380"/>
      <c r="CM632" s="1380">
        <f>SUM(CM597:CQ631)</f>
        <v>0</v>
      </c>
      <c r="CN632" s="1380"/>
      <c r="CO632" s="1380"/>
      <c r="CP632" s="1380"/>
      <c r="CQ632" s="1380"/>
      <c r="CR632" s="385"/>
      <c r="CS632" s="1380">
        <f>SUM(CS597:CW631)</f>
        <v>34</v>
      </c>
      <c r="CT632" s="1380"/>
      <c r="CU632" s="1380"/>
      <c r="CV632" s="1380"/>
      <c r="CW632" s="1380"/>
      <c r="CX632" s="1380">
        <f>SUM(CX597:DB631)</f>
        <v>20</v>
      </c>
      <c r="CY632" s="1380"/>
      <c r="CZ632" s="1380"/>
      <c r="DA632" s="1380"/>
      <c r="DB632" s="1380"/>
      <c r="DC632" s="1380">
        <f>SUM(DC597:DG631)</f>
        <v>0</v>
      </c>
      <c r="DD632" s="1380"/>
      <c r="DE632" s="1380"/>
      <c r="DF632" s="1380"/>
      <c r="DG632" s="1380"/>
      <c r="DH632" s="1380">
        <f>SUM(DH597:DL631)</f>
        <v>0</v>
      </c>
      <c r="DI632" s="1380"/>
      <c r="DJ632" s="1380"/>
      <c r="DK632" s="1380"/>
      <c r="DL632" s="1380"/>
      <c r="DM632" s="1380">
        <f>SUM(DM597:DQ631)</f>
        <v>0</v>
      </c>
      <c r="DN632" s="1380"/>
      <c r="DO632" s="1380"/>
      <c r="DP632" s="1380"/>
      <c r="DQ632" s="1380"/>
      <c r="DR632" s="1380">
        <f>SUM(DR597:DV631)</f>
        <v>0</v>
      </c>
      <c r="DS632" s="1380"/>
      <c r="DT632" s="1380"/>
      <c r="DU632" s="1380"/>
      <c r="DV632" s="1380"/>
      <c r="DX632" s="1380">
        <f>SUM(DX597:EB631)</f>
        <v>3978</v>
      </c>
      <c r="DY632" s="1380"/>
      <c r="DZ632" s="1380"/>
      <c r="EA632" s="1380"/>
      <c r="EB632" s="1380"/>
      <c r="EC632" s="1380">
        <f>SUM(EC597:EG631)</f>
        <v>3262</v>
      </c>
      <c r="ED632" s="1380"/>
      <c r="EE632" s="1380"/>
      <c r="EF632" s="1380"/>
      <c r="EG632" s="1380"/>
      <c r="EH632" s="1380">
        <f>SUM(EH597:EL631)</f>
        <v>0</v>
      </c>
      <c r="EI632" s="1380"/>
      <c r="EJ632" s="1380"/>
      <c r="EK632" s="1380"/>
      <c r="EL632" s="1380"/>
      <c r="EM632" s="1380">
        <f>SUM(EM597:EQ631)</f>
        <v>0</v>
      </c>
      <c r="EN632" s="1380"/>
      <c r="EO632" s="1380"/>
      <c r="EP632" s="1380"/>
      <c r="EQ632" s="1380"/>
      <c r="ER632" s="1380">
        <f>SUM(ER597:EV631)</f>
        <v>0</v>
      </c>
      <c r="ES632" s="1380"/>
      <c r="ET632" s="1380"/>
      <c r="EU632" s="1380"/>
      <c r="EV632" s="1380"/>
      <c r="EW632" s="1380">
        <f>SUM(EW597:FA631)</f>
        <v>0</v>
      </c>
      <c r="EX632" s="1380"/>
      <c r="EY632" s="1380"/>
      <c r="EZ632" s="1380"/>
      <c r="FA632" s="1380"/>
    </row>
    <row r="633" spans="2:157" ht="12.95" customHeight="1">
      <c r="B633" s="52" t="s">
        <v>464</v>
      </c>
      <c r="C633" s="1594"/>
      <c r="D633" s="1594"/>
      <c r="E633" s="1594"/>
      <c r="F633" s="1594"/>
      <c r="G633" s="1594"/>
      <c r="H633" s="1594"/>
      <c r="I633" s="1594"/>
      <c r="J633" s="1594"/>
      <c r="K633" s="1594"/>
      <c r="L633" s="1594"/>
      <c r="M633" s="1731" t="s">
        <v>1291</v>
      </c>
      <c r="N633" s="1731"/>
      <c r="O633" s="1731"/>
      <c r="P633" s="1731"/>
      <c r="Q633" s="1735"/>
      <c r="R633" s="1587"/>
      <c r="S633" s="1736"/>
      <c r="T633" s="1735"/>
      <c r="U633" s="1587"/>
      <c r="V633" s="1736"/>
      <c r="W633" s="1595"/>
      <c r="X633" s="1596"/>
      <c r="Y633" s="1597"/>
      <c r="Z633" s="1465" t="s">
        <v>1291</v>
      </c>
      <c r="AA633" s="1466"/>
      <c r="AB633" s="1467"/>
      <c r="AC633" s="1478"/>
      <c r="AD633" s="1479"/>
      <c r="AE633" s="1480"/>
      <c r="AF633" s="1381"/>
      <c r="AG633" s="1382"/>
      <c r="AH633" s="1382"/>
      <c r="AI633" s="1382"/>
      <c r="AJ633" s="1383"/>
      <c r="AK633" s="1590"/>
      <c r="AL633" s="1591"/>
      <c r="AM633" s="1591"/>
      <c r="AN633" s="1592"/>
      <c r="AO633" s="1384"/>
      <c r="AP633" s="1385"/>
      <c r="AQ633" s="1385"/>
      <c r="AR633" s="1385"/>
      <c r="AS633" s="138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60">
        <f>BN632+BS632+BX632+CC632+CH632+CM632</f>
        <v>71</v>
      </c>
      <c r="CN633" s="1361"/>
      <c r="CO633" s="1361"/>
      <c r="CP633" s="1361"/>
      <c r="CQ633" s="1362"/>
      <c r="CR633" s="385"/>
      <c r="CS633" s="3"/>
      <c r="CT633" s="3"/>
      <c r="CU633" s="3"/>
      <c r="CV633" s="3"/>
      <c r="CW633" s="3"/>
      <c r="CX633" s="3"/>
      <c r="CY633" s="3"/>
      <c r="CZ633" s="3"/>
      <c r="DA633" s="3"/>
      <c r="DB633" s="3"/>
      <c r="DC633" s="3"/>
      <c r="DD633" s="3"/>
      <c r="DE633" s="3"/>
      <c r="DF633" s="3"/>
    </row>
    <row r="634" spans="2:157" ht="12.95" customHeight="1">
      <c r="B634" s="52" t="s">
        <v>465</v>
      </c>
      <c r="C634" s="1594"/>
      <c r="D634" s="1594"/>
      <c r="E634" s="1594"/>
      <c r="F634" s="1594"/>
      <c r="G634" s="1594"/>
      <c r="H634" s="1594"/>
      <c r="I634" s="1594"/>
      <c r="J634" s="1594"/>
      <c r="K634" s="1594"/>
      <c r="L634" s="1594"/>
      <c r="M634" s="1731" t="s">
        <v>1291</v>
      </c>
      <c r="N634" s="1731"/>
      <c r="O634" s="1731"/>
      <c r="P634" s="1731"/>
      <c r="Q634" s="1735"/>
      <c r="R634" s="1587"/>
      <c r="S634" s="1736"/>
      <c r="T634" s="1735"/>
      <c r="U634" s="1587"/>
      <c r="V634" s="1736"/>
      <c r="W634" s="1595"/>
      <c r="X634" s="1596"/>
      <c r="Y634" s="1597"/>
      <c r="Z634" s="1465" t="s">
        <v>1291</v>
      </c>
      <c r="AA634" s="1466"/>
      <c r="AB634" s="1467"/>
      <c r="AC634" s="1478"/>
      <c r="AD634" s="1479"/>
      <c r="AE634" s="1480"/>
      <c r="AF634" s="1381"/>
      <c r="AG634" s="1382"/>
      <c r="AH634" s="1382"/>
      <c r="AI634" s="1382"/>
      <c r="AJ634" s="1383"/>
      <c r="AK634" s="1590"/>
      <c r="AL634" s="1591"/>
      <c r="AM634" s="1591"/>
      <c r="AN634" s="1592"/>
      <c r="AO634" s="1384"/>
      <c r="AP634" s="1385"/>
      <c r="AQ634" s="1385"/>
      <c r="AR634" s="1385"/>
      <c r="AS634" s="1386"/>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35</v>
      </c>
      <c r="BS634" s="3"/>
      <c r="BT634" s="3"/>
      <c r="BU634" s="3"/>
      <c r="BV634" s="3"/>
      <c r="BW634" s="895">
        <f>BS632*1</f>
        <v>36</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71</v>
      </c>
      <c r="CT634" s="57" t="s">
        <v>2055</v>
      </c>
      <c r="CU634" s="3"/>
      <c r="CV634" s="3"/>
      <c r="CW634" s="3"/>
      <c r="CX634" s="3"/>
      <c r="CY634" s="3"/>
      <c r="CZ634" s="3"/>
      <c r="DA634" s="3"/>
      <c r="DB634" s="3"/>
      <c r="DC634" s="3"/>
      <c r="DD634" s="3"/>
      <c r="DE634" s="3"/>
      <c r="DF634" s="3"/>
    </row>
    <row r="635" spans="2:157" ht="12.95" customHeight="1">
      <c r="B635" s="52" t="s">
        <v>470</v>
      </c>
      <c r="C635" s="1594"/>
      <c r="D635" s="1594"/>
      <c r="E635" s="1594"/>
      <c r="F635" s="1594"/>
      <c r="G635" s="1594"/>
      <c r="H635" s="1594"/>
      <c r="I635" s="1594"/>
      <c r="J635" s="1594"/>
      <c r="K635" s="1594"/>
      <c r="L635" s="1594"/>
      <c r="M635" s="1731" t="s">
        <v>1291</v>
      </c>
      <c r="N635" s="1731"/>
      <c r="O635" s="1731"/>
      <c r="P635" s="1731"/>
      <c r="Q635" s="1735"/>
      <c r="R635" s="1587"/>
      <c r="S635" s="1736"/>
      <c r="T635" s="1735"/>
      <c r="U635" s="1587"/>
      <c r="V635" s="1736"/>
      <c r="W635" s="1595"/>
      <c r="X635" s="1596"/>
      <c r="Y635" s="1597"/>
      <c r="Z635" s="1465" t="s">
        <v>1291</v>
      </c>
      <c r="AA635" s="1466"/>
      <c r="AB635" s="1467"/>
      <c r="AC635" s="1478"/>
      <c r="AD635" s="1479"/>
      <c r="AE635" s="1480"/>
      <c r="AF635" s="1381"/>
      <c r="AG635" s="1382"/>
      <c r="AH635" s="1382"/>
      <c r="AI635" s="1382"/>
      <c r="AJ635" s="1383"/>
      <c r="AK635" s="1590"/>
      <c r="AL635" s="1591"/>
      <c r="AM635" s="1591"/>
      <c r="AN635" s="1592"/>
      <c r="AO635" s="1384"/>
      <c r="AP635" s="1385"/>
      <c r="AQ635" s="1385"/>
      <c r="AR635" s="1385"/>
      <c r="AS635" s="1386"/>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9">
        <f>DX597*(BN597/$BN$632)</f>
        <v>391.28571428571428</v>
      </c>
      <c r="DY635" s="1359"/>
      <c r="DZ635" s="1359"/>
      <c r="EA635" s="1359"/>
      <c r="EB635" s="1359"/>
      <c r="EC635" s="1359" t="e">
        <f t="shared" ref="EC635:EC657" si="25">EC597*(BS597/$BS$632)</f>
        <v>#VALUE!</v>
      </c>
      <c r="ED635" s="1359"/>
      <c r="EE635" s="1359"/>
      <c r="EF635" s="1359"/>
      <c r="EG635" s="1359"/>
      <c r="EH635" s="1359" t="e">
        <f t="shared" ref="EH635:EH657" si="26">EH597*(BX597/$BX$632)</f>
        <v>#VALUE!</v>
      </c>
      <c r="EI635" s="1359"/>
      <c r="EJ635" s="1359"/>
      <c r="EK635" s="1359"/>
      <c r="EL635" s="1359"/>
      <c r="EM635" s="1359" t="e">
        <f t="shared" ref="EM635:EM657" si="27">EM597*(CC597/$CC$632)</f>
        <v>#VALUE!</v>
      </c>
      <c r="EN635" s="1359"/>
      <c r="EO635" s="1359"/>
      <c r="EP635" s="1359"/>
      <c r="EQ635" s="1359"/>
      <c r="ER635" s="1359" t="e">
        <f t="shared" ref="ER635:ER657" si="28">ER597*(CH597/$CH$632)</f>
        <v>#VALUE!</v>
      </c>
      <c r="ES635" s="1359"/>
      <c r="ET635" s="1359"/>
      <c r="EU635" s="1359"/>
      <c r="EV635" s="1359"/>
      <c r="EW635" s="1359" t="e">
        <f t="shared" ref="EW635:EW657" si="29">EW597*(CM597/$CM$632)</f>
        <v>#VALUE!</v>
      </c>
      <c r="EX635" s="1359"/>
      <c r="EY635" s="1359"/>
      <c r="EZ635" s="1359"/>
      <c r="FA635" s="1359"/>
    </row>
    <row r="636" spans="2:157" ht="12.95" customHeight="1">
      <c r="B636" s="52" t="s">
        <v>655</v>
      </c>
      <c r="C636" s="1594"/>
      <c r="D636" s="1594"/>
      <c r="E636" s="1594"/>
      <c r="F636" s="1594"/>
      <c r="G636" s="1594"/>
      <c r="H636" s="1594"/>
      <c r="I636" s="1594"/>
      <c r="J636" s="1594"/>
      <c r="K636" s="1594"/>
      <c r="L636" s="1594"/>
      <c r="M636" s="1731" t="s">
        <v>1291</v>
      </c>
      <c r="N636" s="1731"/>
      <c r="O636" s="1731"/>
      <c r="P636" s="1731"/>
      <c r="Q636" s="1735"/>
      <c r="R636" s="1587"/>
      <c r="S636" s="1736"/>
      <c r="T636" s="1735"/>
      <c r="U636" s="1587"/>
      <c r="V636" s="1736"/>
      <c r="W636" s="1595"/>
      <c r="X636" s="1596"/>
      <c r="Y636" s="1597"/>
      <c r="Z636" s="1465" t="s">
        <v>1291</v>
      </c>
      <c r="AA636" s="1466"/>
      <c r="AB636" s="1467"/>
      <c r="AC636" s="1478"/>
      <c r="AD636" s="1479"/>
      <c r="AE636" s="1480"/>
      <c r="AF636" s="1381"/>
      <c r="AG636" s="1382"/>
      <c r="AH636" s="1382"/>
      <c r="AI636" s="1382"/>
      <c r="AJ636" s="1383"/>
      <c r="AK636" s="1590"/>
      <c r="AL636" s="1591"/>
      <c r="AM636" s="1591"/>
      <c r="AN636" s="1592"/>
      <c r="AO636" s="1384"/>
      <c r="AP636" s="1385"/>
      <c r="AQ636" s="1385"/>
      <c r="AR636" s="1385"/>
      <c r="AS636" s="1386"/>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9">
        <f t="shared" ref="DX636:DX657" si="30">DX598*(BN598/$BN$632)</f>
        <v>469.54285714285709</v>
      </c>
      <c r="DY636" s="1359"/>
      <c r="DZ636" s="1359"/>
      <c r="EA636" s="1359"/>
      <c r="EB636" s="1359"/>
      <c r="EC636" s="1359" t="e">
        <f t="shared" si="25"/>
        <v>#VALUE!</v>
      </c>
      <c r="ED636" s="1359"/>
      <c r="EE636" s="1359"/>
      <c r="EF636" s="1359"/>
      <c r="EG636" s="1359"/>
      <c r="EH636" s="1359" t="e">
        <f t="shared" si="26"/>
        <v>#VALUE!</v>
      </c>
      <c r="EI636" s="1359"/>
      <c r="EJ636" s="1359"/>
      <c r="EK636" s="1359"/>
      <c r="EL636" s="1359"/>
      <c r="EM636" s="1359" t="e">
        <f t="shared" si="27"/>
        <v>#VALUE!</v>
      </c>
      <c r="EN636" s="1359"/>
      <c r="EO636" s="1359"/>
      <c r="EP636" s="1359"/>
      <c r="EQ636" s="1359"/>
      <c r="ER636" s="1359" t="e">
        <f t="shared" si="28"/>
        <v>#VALUE!</v>
      </c>
      <c r="ES636" s="1359"/>
      <c r="ET636" s="1359"/>
      <c r="EU636" s="1359"/>
      <c r="EV636" s="1359"/>
      <c r="EW636" s="1359" t="e">
        <f t="shared" si="29"/>
        <v>#VALUE!</v>
      </c>
      <c r="EX636" s="1359"/>
      <c r="EY636" s="1359"/>
      <c r="EZ636" s="1359"/>
      <c r="FA636" s="1359"/>
    </row>
    <row r="637" spans="2:157" ht="12.95" customHeight="1">
      <c r="B637" s="52" t="s">
        <v>363</v>
      </c>
      <c r="C637" s="1594"/>
      <c r="D637" s="1594"/>
      <c r="E637" s="1594"/>
      <c r="F637" s="1594"/>
      <c r="G637" s="1594"/>
      <c r="H637" s="1594"/>
      <c r="I637" s="1594"/>
      <c r="J637" s="1594"/>
      <c r="K637" s="1594"/>
      <c r="L637" s="1594"/>
      <c r="M637" s="1731" t="s">
        <v>1291</v>
      </c>
      <c r="N637" s="1731"/>
      <c r="O637" s="1731"/>
      <c r="P637" s="1731"/>
      <c r="Q637" s="1735"/>
      <c r="R637" s="1587"/>
      <c r="S637" s="1736"/>
      <c r="T637" s="1735"/>
      <c r="U637" s="1587"/>
      <c r="V637" s="1736"/>
      <c r="W637" s="1595"/>
      <c r="X637" s="1596"/>
      <c r="Y637" s="1597"/>
      <c r="Z637" s="1465" t="s">
        <v>1291</v>
      </c>
      <c r="AA637" s="1466"/>
      <c r="AB637" s="1467"/>
      <c r="AC637" s="1478"/>
      <c r="AD637" s="1479"/>
      <c r="AE637" s="1480"/>
      <c r="AF637" s="1381"/>
      <c r="AG637" s="1382"/>
      <c r="AH637" s="1382"/>
      <c r="AI637" s="1382"/>
      <c r="AJ637" s="1383"/>
      <c r="AK637" s="1590"/>
      <c r="AL637" s="1591"/>
      <c r="AM637" s="1591"/>
      <c r="AN637" s="1592"/>
      <c r="AO637" s="1384"/>
      <c r="AP637" s="1385"/>
      <c r="AQ637" s="1385"/>
      <c r="AR637" s="1385"/>
      <c r="AS637" s="1386"/>
      <c r="AT637" s="1192" t="str">
        <f t="shared" si="24"/>
        <v/>
      </c>
      <c r="AV637" s="3"/>
      <c r="AW637" s="3"/>
      <c r="AX637" s="3"/>
      <c r="AY637" s="3"/>
      <c r="AZ637" s="34"/>
      <c r="BA637" s="3" t="s">
        <v>2452</v>
      </c>
      <c r="BB637" s="34"/>
      <c r="BC637" s="34"/>
      <c r="BD637" s="34"/>
      <c r="BE637" s="34"/>
      <c r="BF637" s="34"/>
      <c r="BG637" s="34"/>
      <c r="BH637" s="34"/>
      <c r="BI637" s="34"/>
      <c r="BJ637" s="34"/>
      <c r="BK637" s="34"/>
      <c r="BL637" s="34"/>
      <c r="BM637" s="34"/>
      <c r="BN637" s="1525">
        <f>IF(J773="SRO/Studio",O773,0)</f>
        <v>0</v>
      </c>
      <c r="BO637" s="1526"/>
      <c r="BP637" s="1526"/>
      <c r="BQ637" s="1526"/>
      <c r="BR637" s="1527"/>
      <c r="BS637" s="1363">
        <f>IF(J773="1 Bedroom",O773,0)</f>
        <v>0</v>
      </c>
      <c r="BT637" s="1363"/>
      <c r="BU637" s="1363"/>
      <c r="BV637" s="1363"/>
      <c r="BW637" s="1363"/>
      <c r="BX637" s="1363">
        <f>IF(J773="2 Bedrooms",O773,0)</f>
        <v>1</v>
      </c>
      <c r="BY637" s="1363"/>
      <c r="BZ637" s="1363"/>
      <c r="CA637" s="1363"/>
      <c r="CB637" s="1363"/>
      <c r="CC637" s="1363">
        <f>IF(J773="3 Bedrooms",O773,0)</f>
        <v>0</v>
      </c>
      <c r="CD637" s="1363"/>
      <c r="CE637" s="1363"/>
      <c r="CF637" s="1363"/>
      <c r="CG637" s="1363"/>
      <c r="CH637" s="1363">
        <f>IF(J773="4 Bedrooms",O773,0)</f>
        <v>0</v>
      </c>
      <c r="CI637" s="1363"/>
      <c r="CJ637" s="1363"/>
      <c r="CK637" s="1363"/>
      <c r="CL637" s="1363"/>
      <c r="CM637" s="1363">
        <f>IF(J773="5 Bedrooms",O773,0)</f>
        <v>0</v>
      </c>
      <c r="CN637" s="1363"/>
      <c r="CO637" s="1363"/>
      <c r="CP637" s="1363"/>
      <c r="CQ637" s="1363"/>
      <c r="CR637" s="6"/>
      <c r="CS637" s="3"/>
      <c r="CT637" s="3"/>
      <c r="CU637" s="3"/>
      <c r="CV637" s="3"/>
      <c r="CW637" s="3"/>
      <c r="CX637" s="3"/>
      <c r="CY637" s="3"/>
      <c r="CZ637" s="3"/>
      <c r="DA637" s="3"/>
      <c r="DB637" s="3"/>
      <c r="DC637" s="3"/>
      <c r="DD637" s="3"/>
      <c r="DE637" s="3"/>
      <c r="DF637" s="3"/>
      <c r="DX637" s="1359">
        <f t="shared" si="30"/>
        <v>16.8</v>
      </c>
      <c r="DY637" s="1359"/>
      <c r="DZ637" s="1359"/>
      <c r="EA637" s="1359"/>
      <c r="EB637" s="1359"/>
      <c r="EC637" s="1359" t="e">
        <f t="shared" si="25"/>
        <v>#VALUE!</v>
      </c>
      <c r="ED637" s="1359"/>
      <c r="EE637" s="1359"/>
      <c r="EF637" s="1359"/>
      <c r="EG637" s="1359"/>
      <c r="EH637" s="1359" t="e">
        <f t="shared" si="26"/>
        <v>#VALUE!</v>
      </c>
      <c r="EI637" s="1359"/>
      <c r="EJ637" s="1359"/>
      <c r="EK637" s="1359"/>
      <c r="EL637" s="1359"/>
      <c r="EM637" s="1359" t="e">
        <f t="shared" si="27"/>
        <v>#VALUE!</v>
      </c>
      <c r="EN637" s="1359"/>
      <c r="EO637" s="1359"/>
      <c r="EP637" s="1359"/>
      <c r="EQ637" s="1359"/>
      <c r="ER637" s="1359" t="e">
        <f t="shared" si="28"/>
        <v>#VALUE!</v>
      </c>
      <c r="ES637" s="1359"/>
      <c r="ET637" s="1359"/>
      <c r="EU637" s="1359"/>
      <c r="EV637" s="1359"/>
      <c r="EW637" s="1359" t="e">
        <f t="shared" si="29"/>
        <v>#VALUE!</v>
      </c>
      <c r="EX637" s="1359"/>
      <c r="EY637" s="1359"/>
      <c r="EZ637" s="1359"/>
      <c r="FA637" s="1359"/>
    </row>
    <row r="638" spans="2:157" ht="12.95" customHeight="1">
      <c r="B638" s="52" t="s">
        <v>364</v>
      </c>
      <c r="C638" s="1594"/>
      <c r="D638" s="1594"/>
      <c r="E638" s="1594"/>
      <c r="F638" s="1594"/>
      <c r="G638" s="1594"/>
      <c r="H638" s="1594"/>
      <c r="I638" s="1594"/>
      <c r="J638" s="1594"/>
      <c r="K638" s="1594"/>
      <c r="L638" s="1594"/>
      <c r="M638" s="1731" t="s">
        <v>1291</v>
      </c>
      <c r="N638" s="1731"/>
      <c r="O638" s="1731"/>
      <c r="P638" s="1731"/>
      <c r="Q638" s="1735"/>
      <c r="R638" s="1587"/>
      <c r="S638" s="1736"/>
      <c r="T638" s="1735"/>
      <c r="U638" s="1587"/>
      <c r="V638" s="1736"/>
      <c r="W638" s="1595"/>
      <c r="X638" s="1596"/>
      <c r="Y638" s="1597"/>
      <c r="Z638" s="1465" t="s">
        <v>1291</v>
      </c>
      <c r="AA638" s="1466"/>
      <c r="AB638" s="1467"/>
      <c r="AC638" s="1478"/>
      <c r="AD638" s="1479"/>
      <c r="AE638" s="1480"/>
      <c r="AF638" s="1381"/>
      <c r="AG638" s="1382"/>
      <c r="AH638" s="1382"/>
      <c r="AI638" s="1382"/>
      <c r="AJ638" s="1383"/>
      <c r="AK638" s="1590"/>
      <c r="AL638" s="1591"/>
      <c r="AM638" s="1591"/>
      <c r="AN638" s="1592"/>
      <c r="AO638" s="1384"/>
      <c r="AP638" s="1385"/>
      <c r="AQ638" s="1385"/>
      <c r="AR638" s="1385"/>
      <c r="AS638" s="138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525">
        <f>IF(J774="SRO/Studio",O774,0)</f>
        <v>0</v>
      </c>
      <c r="BO638" s="1526"/>
      <c r="BP638" s="1526"/>
      <c r="BQ638" s="1526"/>
      <c r="BR638" s="1527"/>
      <c r="BS638" s="1363">
        <f>IF(J774="1 Bedroom",O774,0)</f>
        <v>0</v>
      </c>
      <c r="BT638" s="1363"/>
      <c r="BU638" s="1363"/>
      <c r="BV638" s="1363"/>
      <c r="BW638" s="1363"/>
      <c r="BX638" s="1363">
        <f>IF(J774="2 Bedrooms",O774,0)</f>
        <v>0</v>
      </c>
      <c r="BY638" s="1363"/>
      <c r="BZ638" s="1363"/>
      <c r="CA638" s="1363"/>
      <c r="CB638" s="1363"/>
      <c r="CC638" s="1363">
        <f>IF(J774="3 Bedrooms",O774,0)</f>
        <v>0</v>
      </c>
      <c r="CD638" s="1363"/>
      <c r="CE638" s="1363"/>
      <c r="CF638" s="1363"/>
      <c r="CG638" s="1363"/>
      <c r="CH638" s="1363">
        <f>IF(J774="4 Bedrooms",O774,0)</f>
        <v>0</v>
      </c>
      <c r="CI638" s="1363"/>
      <c r="CJ638" s="1363"/>
      <c r="CK638" s="1363"/>
      <c r="CL638" s="1363"/>
      <c r="CM638" s="1363">
        <f>IF(J774="5 Bedrooms",O774,0)</f>
        <v>0</v>
      </c>
      <c r="CN638" s="1363"/>
      <c r="CO638" s="1363"/>
      <c r="CP638" s="1363"/>
      <c r="CQ638" s="1363"/>
      <c r="CR638" s="6"/>
      <c r="CS638" s="3"/>
      <c r="CT638" s="3"/>
      <c r="CU638" s="3"/>
      <c r="CV638" s="3"/>
      <c r="CW638" s="3"/>
      <c r="CX638" s="3"/>
      <c r="CY638" s="3"/>
      <c r="CZ638" s="3"/>
      <c r="DA638" s="3"/>
      <c r="DB638" s="3"/>
      <c r="DC638" s="3"/>
      <c r="DD638" s="3"/>
      <c r="DE638" s="3"/>
      <c r="DF638" s="3"/>
      <c r="DX638" s="1359">
        <f t="shared" si="30"/>
        <v>44.685714285714283</v>
      </c>
      <c r="DY638" s="1359"/>
      <c r="DZ638" s="1359"/>
      <c r="EA638" s="1359"/>
      <c r="EB638" s="1359"/>
      <c r="EC638" s="1359" t="e">
        <f t="shared" si="25"/>
        <v>#VALUE!</v>
      </c>
      <c r="ED638" s="1359"/>
      <c r="EE638" s="1359"/>
      <c r="EF638" s="1359"/>
      <c r="EG638" s="1359"/>
      <c r="EH638" s="1359" t="e">
        <f t="shared" si="26"/>
        <v>#VALUE!</v>
      </c>
      <c r="EI638" s="1359"/>
      <c r="EJ638" s="1359"/>
      <c r="EK638" s="1359"/>
      <c r="EL638" s="1359"/>
      <c r="EM638" s="1359" t="e">
        <f t="shared" si="27"/>
        <v>#VALUE!</v>
      </c>
      <c r="EN638" s="1359"/>
      <c r="EO638" s="1359"/>
      <c r="EP638" s="1359"/>
      <c r="EQ638" s="1359"/>
      <c r="ER638" s="1359" t="e">
        <f t="shared" si="28"/>
        <v>#VALUE!</v>
      </c>
      <c r="ES638" s="1359"/>
      <c r="ET638" s="1359"/>
      <c r="EU638" s="1359"/>
      <c r="EV638" s="1359"/>
      <c r="EW638" s="1359" t="e">
        <f t="shared" si="29"/>
        <v>#VALUE!</v>
      </c>
      <c r="EX638" s="1359"/>
      <c r="EY638" s="1359"/>
      <c r="EZ638" s="1359"/>
      <c r="FA638" s="1359"/>
    </row>
    <row r="639" spans="2:157" ht="12.95" customHeight="1">
      <c r="B639" s="1392" t="s">
        <v>128</v>
      </c>
      <c r="C639" s="1393"/>
      <c r="D639" s="1393"/>
      <c r="E639" s="1393"/>
      <c r="F639" s="1393"/>
      <c r="G639" s="1393"/>
      <c r="H639" s="1393"/>
      <c r="I639" s="1393"/>
      <c r="J639" s="1393"/>
      <c r="K639" s="1393"/>
      <c r="L639" s="1393"/>
      <c r="M639" s="1393"/>
      <c r="N639" s="1393"/>
      <c r="O639" s="1393"/>
      <c r="P639" s="1393"/>
      <c r="Q639" s="1393"/>
      <c r="R639" s="1393"/>
      <c r="S639" s="1393"/>
      <c r="T639" s="1393"/>
      <c r="U639" s="1393"/>
      <c r="V639" s="1393"/>
      <c r="W639" s="1393"/>
      <c r="X639" s="1393"/>
      <c r="Y639" s="1393"/>
      <c r="Z639" s="1393"/>
      <c r="AA639" s="1393"/>
      <c r="AB639" s="1393"/>
      <c r="AC639" s="1393"/>
      <c r="AD639" s="1393"/>
      <c r="AE639" s="1393"/>
      <c r="AF639" s="1393"/>
      <c r="AG639" s="1393"/>
      <c r="AH639" s="1393"/>
      <c r="AI639" s="1393"/>
      <c r="AJ639" s="1393"/>
      <c r="AK639" s="1393"/>
      <c r="AL639" s="1393"/>
      <c r="AM639" s="1393"/>
      <c r="AN639" s="1394"/>
      <c r="AO639" s="1613">
        <f>SUM(AO627:AR638)</f>
        <v>33037476</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BN639" s="1525">
        <f>IF(J775="SRO/Studio",O775,0)</f>
        <v>0</v>
      </c>
      <c r="BO639" s="1526"/>
      <c r="BP639" s="1526"/>
      <c r="BQ639" s="1526"/>
      <c r="BR639" s="1527"/>
      <c r="BS639" s="1363">
        <f>IF(J775="1 Bedroom",O775,0)</f>
        <v>0</v>
      </c>
      <c r="BT639" s="1363"/>
      <c r="BU639" s="1363"/>
      <c r="BV639" s="1363"/>
      <c r="BW639" s="1363"/>
      <c r="BX639" s="1363">
        <f>IF(J775="2 Bedrooms",O775,0)</f>
        <v>0</v>
      </c>
      <c r="BY639" s="1363"/>
      <c r="BZ639" s="1363"/>
      <c r="CA639" s="1363"/>
      <c r="CB639" s="1363"/>
      <c r="CC639" s="1363">
        <f>IF(J775="3 Bedrooms",O775,0)</f>
        <v>0</v>
      </c>
      <c r="CD639" s="1363"/>
      <c r="CE639" s="1363"/>
      <c r="CF639" s="1363"/>
      <c r="CG639" s="1363"/>
      <c r="CH639" s="1363">
        <f>IF(J775="4 Bedrooms",O775,0)</f>
        <v>0</v>
      </c>
      <c r="CI639" s="1363"/>
      <c r="CJ639" s="1363"/>
      <c r="CK639" s="1363"/>
      <c r="CL639" s="1363"/>
      <c r="CM639" s="1363">
        <f>IF(J775="5 Bedrooms",O775,0)</f>
        <v>0</v>
      </c>
      <c r="CN639" s="1363"/>
      <c r="CO639" s="1363"/>
      <c r="CP639" s="1363"/>
      <c r="CQ639" s="1363"/>
      <c r="CR639" s="1047"/>
      <c r="CV639" s="3"/>
      <c r="CW639" s="3"/>
      <c r="CX639" s="3"/>
      <c r="CY639" s="3"/>
      <c r="CZ639" s="3"/>
      <c r="DA639" s="3"/>
      <c r="DB639" s="3"/>
      <c r="DC639" s="3"/>
      <c r="DD639" s="3"/>
      <c r="DE639" s="3"/>
      <c r="DF639" s="3"/>
      <c r="DX639" s="1359" t="e">
        <f t="shared" si="30"/>
        <v>#VALUE!</v>
      </c>
      <c r="DY639" s="1359"/>
      <c r="DZ639" s="1359"/>
      <c r="EA639" s="1359"/>
      <c r="EB639" s="1359"/>
      <c r="EC639" s="1359" t="e">
        <f t="shared" si="25"/>
        <v>#VALUE!</v>
      </c>
      <c r="ED639" s="1359"/>
      <c r="EE639" s="1359"/>
      <c r="EF639" s="1359"/>
      <c r="EG639" s="1359"/>
      <c r="EH639" s="1359" t="e">
        <f t="shared" si="26"/>
        <v>#VALUE!</v>
      </c>
      <c r="EI639" s="1359"/>
      <c r="EJ639" s="1359"/>
      <c r="EK639" s="1359"/>
      <c r="EL639" s="1359"/>
      <c r="EM639" s="1359" t="e">
        <f t="shared" si="27"/>
        <v>#VALUE!</v>
      </c>
      <c r="EN639" s="1359"/>
      <c r="EO639" s="1359"/>
      <c r="EP639" s="1359"/>
      <c r="EQ639" s="1359"/>
      <c r="ER639" s="1359" t="e">
        <f t="shared" si="28"/>
        <v>#VALUE!</v>
      </c>
      <c r="ES639" s="1359"/>
      <c r="ET639" s="1359"/>
      <c r="EU639" s="1359"/>
      <c r="EV639" s="1359"/>
      <c r="EW639" s="1359" t="e">
        <f t="shared" si="29"/>
        <v>#VALUE!</v>
      </c>
      <c r="EX639" s="1359"/>
      <c r="EY639" s="1359"/>
      <c r="EZ639" s="1359"/>
      <c r="FA639" s="1359"/>
    </row>
    <row r="640" spans="2:157" ht="12.95" customHeight="1">
      <c r="B640" s="1392" t="s">
        <v>268</v>
      </c>
      <c r="C640" s="1393"/>
      <c r="D640" s="1393"/>
      <c r="E640" s="1393"/>
      <c r="F640" s="1393"/>
      <c r="G640" s="1393"/>
      <c r="H640" s="1393"/>
      <c r="I640" s="1393"/>
      <c r="J640" s="1393"/>
      <c r="K640" s="1393"/>
      <c r="L640" s="1393"/>
      <c r="M640" s="1393"/>
      <c r="N640" s="1393"/>
      <c r="O640" s="1393"/>
      <c r="P640" s="1393"/>
      <c r="Q640" s="1393"/>
      <c r="R640" s="1393"/>
      <c r="S640" s="1393"/>
      <c r="T640" s="1393"/>
      <c r="U640" s="1393"/>
      <c r="V640" s="1393"/>
      <c r="W640" s="1393"/>
      <c r="X640" s="1393"/>
      <c r="Y640" s="1393"/>
      <c r="Z640" s="1393"/>
      <c r="AA640" s="1393"/>
      <c r="AB640" s="1393"/>
      <c r="AC640" s="1393"/>
      <c r="AD640" s="1393"/>
      <c r="AE640" s="1393"/>
      <c r="AF640" s="1393"/>
      <c r="AG640" s="1393"/>
      <c r="AH640" s="1393"/>
      <c r="AI640" s="1393"/>
      <c r="AJ640" s="1393"/>
      <c r="AK640" s="1393"/>
      <c r="AL640" s="1393"/>
      <c r="AM640" s="1393"/>
      <c r="AN640" s="1394"/>
      <c r="AO640" s="1384">
        <f>'Sources and Uses Budget'!C105-SUM(Application!AO627:AS632)</f>
        <v>43849242</v>
      </c>
      <c r="AP640" s="1385"/>
      <c r="AQ640" s="1385"/>
      <c r="AR640" s="1385"/>
      <c r="AS640" s="1386"/>
      <c r="AV640" s="3"/>
      <c r="AW640" s="3"/>
      <c r="AX640" s="3"/>
      <c r="AY640" s="3"/>
      <c r="AZ640" s="34"/>
      <c r="BA640" s="34"/>
      <c r="BB640" s="34"/>
      <c r="BC640" s="34"/>
      <c r="BD640" s="34"/>
      <c r="BE640" s="34"/>
      <c r="BF640" s="34"/>
      <c r="BG640" s="34"/>
      <c r="BH640" s="34"/>
      <c r="BI640" s="34"/>
      <c r="BJ640" s="34"/>
      <c r="BK640" s="34"/>
      <c r="BL640" s="34"/>
      <c r="BM640" s="34"/>
      <c r="BN640" s="1525">
        <f>IF(J776="SRO/Studio",O776,0)</f>
        <v>0</v>
      </c>
      <c r="BO640" s="1526"/>
      <c r="BP640" s="1526"/>
      <c r="BQ640" s="1526"/>
      <c r="BR640" s="1527"/>
      <c r="BS640" s="1363">
        <f>IF(J776="1 Bedroom",O776,0)</f>
        <v>0</v>
      </c>
      <c r="BT640" s="1363"/>
      <c r="BU640" s="1363"/>
      <c r="BV640" s="1363"/>
      <c r="BW640" s="1363"/>
      <c r="BX640" s="1363">
        <f>IF(J776="2 Bedrooms",O776,0)</f>
        <v>0</v>
      </c>
      <c r="BY640" s="1363"/>
      <c r="BZ640" s="1363"/>
      <c r="CA640" s="1363"/>
      <c r="CB640" s="1363"/>
      <c r="CC640" s="1363">
        <f>IF(J776="3 Bedrooms",O776,0)</f>
        <v>0</v>
      </c>
      <c r="CD640" s="1363"/>
      <c r="CE640" s="1363"/>
      <c r="CF640" s="1363"/>
      <c r="CG640" s="1363"/>
      <c r="CH640" s="1363">
        <f>IF(J776="4 Bedrooms",O776,0)</f>
        <v>0</v>
      </c>
      <c r="CI640" s="1363"/>
      <c r="CJ640" s="1363"/>
      <c r="CK640" s="1363"/>
      <c r="CL640" s="1363"/>
      <c r="CM640" s="1363">
        <f>IF(J776="5 Bedrooms",O776,0)</f>
        <v>0</v>
      </c>
      <c r="CN640" s="1363"/>
      <c r="CO640" s="1363"/>
      <c r="CP640" s="1363"/>
      <c r="CQ640" s="1363"/>
      <c r="CV640" s="3"/>
      <c r="CW640" s="3"/>
      <c r="CX640" s="3"/>
      <c r="CY640" s="3"/>
      <c r="CZ640" s="3"/>
      <c r="DA640" s="3"/>
      <c r="DB640" s="3"/>
      <c r="DC640" s="3"/>
      <c r="DD640" s="3"/>
      <c r="DE640" s="3"/>
      <c r="DF640" s="3"/>
      <c r="DX640" s="1359" t="e">
        <f t="shared" si="30"/>
        <v>#VALUE!</v>
      </c>
      <c r="DY640" s="1359"/>
      <c r="DZ640" s="1359"/>
      <c r="EA640" s="1359"/>
      <c r="EB640" s="1359"/>
      <c r="EC640" s="1359">
        <f t="shared" si="25"/>
        <v>242.75</v>
      </c>
      <c r="ED640" s="1359"/>
      <c r="EE640" s="1359"/>
      <c r="EF640" s="1359"/>
      <c r="EG640" s="1359"/>
      <c r="EH640" s="1359" t="e">
        <f t="shared" si="26"/>
        <v>#VALUE!</v>
      </c>
      <c r="EI640" s="1359"/>
      <c r="EJ640" s="1359"/>
      <c r="EK640" s="1359"/>
      <c r="EL640" s="1359"/>
      <c r="EM640" s="1359" t="e">
        <f t="shared" si="27"/>
        <v>#VALUE!</v>
      </c>
      <c r="EN640" s="1359"/>
      <c r="EO640" s="1359"/>
      <c r="EP640" s="1359"/>
      <c r="EQ640" s="1359"/>
      <c r="ER640" s="1359" t="e">
        <f t="shared" si="28"/>
        <v>#VALUE!</v>
      </c>
      <c r="ES640" s="1359"/>
      <c r="ET640" s="1359"/>
      <c r="EU640" s="1359"/>
      <c r="EV640" s="1359"/>
      <c r="EW640" s="1359" t="e">
        <f t="shared" si="29"/>
        <v>#VALUE!</v>
      </c>
      <c r="EX640" s="1359"/>
      <c r="EY640" s="1359"/>
      <c r="EZ640" s="1359"/>
      <c r="FA640" s="1359"/>
    </row>
    <row r="641" spans="1:157" ht="12.95" customHeight="1">
      <c r="B641" s="1732" t="s">
        <v>269</v>
      </c>
      <c r="C641" s="1733"/>
      <c r="D641" s="1733"/>
      <c r="E641" s="1733"/>
      <c r="F641" s="1733"/>
      <c r="G641" s="1733"/>
      <c r="H641" s="1733"/>
      <c r="I641" s="1733"/>
      <c r="J641" s="1733"/>
      <c r="K641" s="1733"/>
      <c r="L641" s="1733"/>
      <c r="M641" s="1733"/>
      <c r="N641" s="1733"/>
      <c r="O641" s="1733"/>
      <c r="P641" s="1733"/>
      <c r="Q641" s="1733"/>
      <c r="R641" s="1733"/>
      <c r="S641" s="1733"/>
      <c r="T641" s="1733"/>
      <c r="U641" s="1733"/>
      <c r="V641" s="1733"/>
      <c r="W641" s="1733"/>
      <c r="X641" s="1733"/>
      <c r="Y641" s="1733"/>
      <c r="Z641" s="1733"/>
      <c r="AA641" s="1733"/>
      <c r="AB641" s="1733"/>
      <c r="AC641" s="1733"/>
      <c r="AD641" s="1733"/>
      <c r="AE641" s="1733"/>
      <c r="AF641" s="1733"/>
      <c r="AG641" s="1733"/>
      <c r="AH641" s="1733"/>
      <c r="AI641" s="1733"/>
      <c r="AJ641" s="1733"/>
      <c r="AK641" s="1733"/>
      <c r="AL641" s="1733"/>
      <c r="AM641" s="1733"/>
      <c r="AN641" s="1734"/>
      <c r="AO641" s="1613">
        <f>AO639+AO640</f>
        <v>76886718</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BN641" s="1523">
        <f>SUM(BN637:BR640)</f>
        <v>0</v>
      </c>
      <c r="BO641" s="1727"/>
      <c r="BP641" s="1727"/>
      <c r="BQ641" s="1727"/>
      <c r="BR641" s="1524"/>
      <c r="BS641" s="1728">
        <f>SUM(BS637:BW640)</f>
        <v>0</v>
      </c>
      <c r="BT641" s="1729"/>
      <c r="BU641" s="1729"/>
      <c r="BV641" s="1729"/>
      <c r="BW641" s="1730"/>
      <c r="BX641" s="1728">
        <f>SUM(BX637:CB640)</f>
        <v>1</v>
      </c>
      <c r="BY641" s="1729"/>
      <c r="BZ641" s="1729"/>
      <c r="CA641" s="1729"/>
      <c r="CB641" s="1730"/>
      <c r="CC641" s="1728">
        <f>SUM(CC637:CG640)</f>
        <v>0</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1</v>
      </c>
      <c r="CT641" s="57" t="s">
        <v>2052</v>
      </c>
      <c r="CU641" s="3"/>
      <c r="CV641" s="3"/>
      <c r="CW641" s="3"/>
      <c r="CX641" s="3"/>
      <c r="CY641" s="3"/>
      <c r="CZ641" s="3"/>
      <c r="DA641" s="3"/>
      <c r="DB641" s="3"/>
      <c r="DC641" s="3"/>
      <c r="DD641" s="3"/>
      <c r="DE641" s="3"/>
      <c r="DF641" s="3"/>
      <c r="DX641" s="1359" t="e">
        <f t="shared" si="30"/>
        <v>#VALUE!</v>
      </c>
      <c r="DY641" s="1359"/>
      <c r="DZ641" s="1359"/>
      <c r="EA641" s="1359"/>
      <c r="EB641" s="1359"/>
      <c r="EC641" s="1359" t="e">
        <f t="shared" si="25"/>
        <v>#VALUE!</v>
      </c>
      <c r="ED641" s="1359"/>
      <c r="EE641" s="1359"/>
      <c r="EF641" s="1359"/>
      <c r="EG641" s="1359"/>
      <c r="EH641" s="1359" t="e">
        <f t="shared" si="26"/>
        <v>#VALUE!</v>
      </c>
      <c r="EI641" s="1359"/>
      <c r="EJ641" s="1359"/>
      <c r="EK641" s="1359"/>
      <c r="EL641" s="1359"/>
      <c r="EM641" s="1359" t="e">
        <f t="shared" si="27"/>
        <v>#VALUE!</v>
      </c>
      <c r="EN641" s="1359"/>
      <c r="EO641" s="1359"/>
      <c r="EP641" s="1359"/>
      <c r="EQ641" s="1359"/>
      <c r="ER641" s="1359" t="e">
        <f t="shared" si="28"/>
        <v>#VALUE!</v>
      </c>
      <c r="ES641" s="1359"/>
      <c r="ET641" s="1359"/>
      <c r="EU641" s="1359"/>
      <c r="EV641" s="1359"/>
      <c r="EW641" s="1359" t="e">
        <f t="shared" si="29"/>
        <v>#VALUE!</v>
      </c>
      <c r="EX641" s="1359"/>
      <c r="EY641" s="1359"/>
      <c r="EZ641" s="1359"/>
      <c r="FA641" s="135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59" t="e">
        <f t="shared" si="30"/>
        <v>#VALUE!</v>
      </c>
      <c r="DY642" s="1359"/>
      <c r="DZ642" s="1359"/>
      <c r="EA642" s="1359"/>
      <c r="EB642" s="1359"/>
      <c r="EC642" s="1359">
        <f t="shared" si="25"/>
        <v>190.36111111111111</v>
      </c>
      <c r="ED642" s="1359"/>
      <c r="EE642" s="1359"/>
      <c r="EF642" s="1359"/>
      <c r="EG642" s="1359"/>
      <c r="EH642" s="1359" t="e">
        <f t="shared" si="26"/>
        <v>#VALUE!</v>
      </c>
      <c r="EI642" s="1359"/>
      <c r="EJ642" s="1359"/>
      <c r="EK642" s="1359"/>
      <c r="EL642" s="1359"/>
      <c r="EM642" s="1359" t="e">
        <f t="shared" si="27"/>
        <v>#VALUE!</v>
      </c>
      <c r="EN642" s="1359"/>
      <c r="EO642" s="1359"/>
      <c r="EP642" s="1359"/>
      <c r="EQ642" s="1359"/>
      <c r="ER642" s="1359" t="e">
        <f t="shared" si="28"/>
        <v>#VALUE!</v>
      </c>
      <c r="ES642" s="1359"/>
      <c r="ET642" s="1359"/>
      <c r="EU642" s="1359"/>
      <c r="EV642" s="1359"/>
      <c r="EW642" s="1359" t="e">
        <f t="shared" si="29"/>
        <v>#VALUE!</v>
      </c>
      <c r="EX642" s="1359"/>
      <c r="EY642" s="1359"/>
      <c r="EZ642" s="1359"/>
      <c r="FA642" s="1359"/>
    </row>
    <row r="643" spans="1:157" ht="12.95" customHeight="1">
      <c r="A643" s="55" t="s">
        <v>112</v>
      </c>
      <c r="B643" t="s">
        <v>472</v>
      </c>
      <c r="G643" s="1462" t="str">
        <f>C627</f>
        <v>Bellwether - Permanent Loan</v>
      </c>
      <c r="H643" s="1462"/>
      <c r="I643" s="1462"/>
      <c r="J643" s="1462"/>
      <c r="K643" s="1462"/>
      <c r="L643" s="1462"/>
      <c r="M643" s="1462"/>
      <c r="N643" s="1462"/>
      <c r="O643" s="1462"/>
      <c r="P643" s="1462"/>
      <c r="Q643" s="1462"/>
      <c r="R643" s="1462"/>
      <c r="S643" s="8"/>
      <c r="T643" s="55" t="s">
        <v>113</v>
      </c>
      <c r="U643" t="s">
        <v>472</v>
      </c>
      <c r="Z643" s="1462" t="str">
        <f>C628</f>
        <v>AHCDC - HCD - IIG Loan</v>
      </c>
      <c r="AA643" s="1462"/>
      <c r="AB643" s="1462"/>
      <c r="AC643" s="1462"/>
      <c r="AD643" s="1462"/>
      <c r="AE643" s="1462"/>
      <c r="AF643" s="1462"/>
      <c r="AG643" s="1462"/>
      <c r="AH643" s="1462"/>
      <c r="AI643" s="1462"/>
      <c r="AJ643" s="1462"/>
      <c r="AK643" s="146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9" t="e">
        <f t="shared" si="30"/>
        <v>#VALUE!</v>
      </c>
      <c r="DY643" s="1359"/>
      <c r="DZ643" s="1359"/>
      <c r="EA643" s="1359"/>
      <c r="EB643" s="1359"/>
      <c r="EC643" s="1359">
        <f t="shared" si="25"/>
        <v>741.33333333333326</v>
      </c>
      <c r="ED643" s="1359"/>
      <c r="EE643" s="1359"/>
      <c r="EF643" s="1359"/>
      <c r="EG643" s="1359"/>
      <c r="EH643" s="1359" t="e">
        <f t="shared" si="26"/>
        <v>#VALUE!</v>
      </c>
      <c r="EI643" s="1359"/>
      <c r="EJ643" s="1359"/>
      <c r="EK643" s="1359"/>
      <c r="EL643" s="1359"/>
      <c r="EM643" s="1359" t="e">
        <f t="shared" si="27"/>
        <v>#VALUE!</v>
      </c>
      <c r="EN643" s="1359"/>
      <c r="EO643" s="1359"/>
      <c r="EP643" s="1359"/>
      <c r="EQ643" s="1359"/>
      <c r="ER643" s="1359" t="e">
        <f t="shared" si="28"/>
        <v>#VALUE!</v>
      </c>
      <c r="ES643" s="1359"/>
      <c r="ET643" s="1359"/>
      <c r="EU643" s="1359"/>
      <c r="EV643" s="1359"/>
      <c r="EW643" s="1359" t="e">
        <f t="shared" si="29"/>
        <v>#VALUE!</v>
      </c>
      <c r="EX643" s="1359"/>
      <c r="EY643" s="1359"/>
      <c r="EZ643" s="1359"/>
      <c r="FA643" s="1359"/>
    </row>
    <row r="644" spans="1:157" ht="12.95" customHeight="1">
      <c r="A644" s="22"/>
      <c r="B644" t="s">
        <v>85</v>
      </c>
      <c r="G644" s="1463" t="s">
        <v>2764</v>
      </c>
      <c r="H644" s="1463"/>
      <c r="I644" s="1463"/>
      <c r="J644" s="1463"/>
      <c r="K644" s="1463"/>
      <c r="L644" s="1463"/>
      <c r="M644" s="1463"/>
      <c r="N644" s="1463"/>
      <c r="O644" s="1463"/>
      <c r="P644" s="1463"/>
      <c r="Q644" s="1463"/>
      <c r="R644" s="1463"/>
      <c r="S644" s="8"/>
      <c r="T644" s="22"/>
      <c r="U644" t="s">
        <v>85</v>
      </c>
      <c r="Z644" s="1463" t="s">
        <v>2680</v>
      </c>
      <c r="AA644" s="1463"/>
      <c r="AB644" s="1463"/>
      <c r="AC644" s="1463"/>
      <c r="AD644" s="1463"/>
      <c r="AE644" s="1463"/>
      <c r="AF644" s="1463"/>
      <c r="AG644" s="1463"/>
      <c r="AH644" s="1463"/>
      <c r="AI644" s="1463"/>
      <c r="AJ644" s="1463"/>
      <c r="AK644" s="146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59" t="e">
        <f t="shared" si="30"/>
        <v>#VALUE!</v>
      </c>
      <c r="DY644" s="1359"/>
      <c r="DZ644" s="1359"/>
      <c r="EA644" s="1359"/>
      <c r="EB644" s="1359"/>
      <c r="EC644" s="1359" t="e">
        <f t="shared" si="25"/>
        <v>#VALUE!</v>
      </c>
      <c r="ED644" s="1359"/>
      <c r="EE644" s="1359"/>
      <c r="EF644" s="1359"/>
      <c r="EG644" s="1359"/>
      <c r="EH644" s="1359" t="e">
        <f t="shared" si="26"/>
        <v>#VALUE!</v>
      </c>
      <c r="EI644" s="1359"/>
      <c r="EJ644" s="1359"/>
      <c r="EK644" s="1359"/>
      <c r="EL644" s="1359"/>
      <c r="EM644" s="1359" t="e">
        <f t="shared" si="27"/>
        <v>#VALUE!</v>
      </c>
      <c r="EN644" s="1359"/>
      <c r="EO644" s="1359"/>
      <c r="EP644" s="1359"/>
      <c r="EQ644" s="1359"/>
      <c r="ER644" s="1359" t="e">
        <f t="shared" si="28"/>
        <v>#VALUE!</v>
      </c>
      <c r="ES644" s="1359"/>
      <c r="ET644" s="1359"/>
      <c r="EU644" s="1359"/>
      <c r="EV644" s="1359"/>
      <c r="EW644" s="1359" t="e">
        <f t="shared" si="29"/>
        <v>#VALUE!</v>
      </c>
      <c r="EX644" s="1359"/>
      <c r="EY644" s="1359"/>
      <c r="EZ644" s="1359"/>
      <c r="FA644" s="1359"/>
    </row>
    <row r="645" spans="1:157" ht="12.95" customHeight="1">
      <c r="A645" s="22"/>
      <c r="B645" t="s">
        <v>589</v>
      </c>
      <c r="G645" s="1463" t="s">
        <v>2765</v>
      </c>
      <c r="H645" s="1463"/>
      <c r="I645" s="1463"/>
      <c r="J645" s="1463"/>
      <c r="K645" s="1463"/>
      <c r="L645" s="1463"/>
      <c r="M645" s="1463"/>
      <c r="N645" s="1463"/>
      <c r="O645" s="1463"/>
      <c r="P645" s="1463"/>
      <c r="Q645" s="1463"/>
      <c r="R645" s="1463"/>
      <c r="T645" s="22"/>
      <c r="U645" t="s">
        <v>589</v>
      </c>
      <c r="Z645" s="1464" t="s">
        <v>2770</v>
      </c>
      <c r="AA645" s="1464"/>
      <c r="AB645" s="1464"/>
      <c r="AC645" s="1464"/>
      <c r="AD645" s="1464"/>
      <c r="AE645" s="1464"/>
      <c r="AF645" s="1464"/>
      <c r="AG645" s="1464"/>
      <c r="AH645" s="1464"/>
      <c r="AI645" s="1464"/>
      <c r="AJ645" s="1464"/>
      <c r="AK645" s="1464"/>
      <c r="AV645" s="3"/>
      <c r="AW645" s="3"/>
      <c r="AX645" s="3"/>
      <c r="AY645" s="3"/>
      <c r="AZ645" s="3"/>
      <c r="BA645" s="3"/>
      <c r="BB645" s="3"/>
      <c r="BC645" s="3"/>
      <c r="BD645" s="3"/>
      <c r="BE645" s="3"/>
      <c r="BF645" s="3"/>
      <c r="BG645" s="3"/>
      <c r="BH645" s="3"/>
      <c r="BI645" s="3"/>
      <c r="BJ645" s="3"/>
      <c r="BK645" s="3"/>
      <c r="BL645" s="3"/>
      <c r="BM645" s="3"/>
      <c r="BN645" s="1525">
        <f t="shared" ref="BN645:BN654" si="31">IF(J787="SRO/Studio",O787,0)</f>
        <v>0</v>
      </c>
      <c r="BO645" s="1526"/>
      <c r="BP645" s="1526"/>
      <c r="BQ645" s="1526"/>
      <c r="BR645" s="1527"/>
      <c r="BS645" s="1363">
        <f t="shared" ref="BS645:BS654" si="32">IF(J787="1 Bedroom",O787,0)</f>
        <v>0</v>
      </c>
      <c r="BT645" s="1363"/>
      <c r="BU645" s="1363"/>
      <c r="BV645" s="1363"/>
      <c r="BW645" s="1363"/>
      <c r="BX645" s="1363">
        <f t="shared" ref="BX645:BX654" si="33">IF(J787="2 Bedrooms",O787,0)</f>
        <v>0</v>
      </c>
      <c r="BY645" s="1363"/>
      <c r="BZ645" s="1363"/>
      <c r="CA645" s="1363"/>
      <c r="CB645" s="1363"/>
      <c r="CC645" s="1363">
        <f t="shared" ref="CC645:CC654" si="34">IF(J787="3 Bedrooms",O787,0)</f>
        <v>0</v>
      </c>
      <c r="CD645" s="1363"/>
      <c r="CE645" s="1363"/>
      <c r="CF645" s="1363"/>
      <c r="CG645" s="1363"/>
      <c r="CH645" s="1363">
        <f t="shared" ref="CH645:CH654" si="35">IF(J787="4 Bedrooms",O787,0)</f>
        <v>0</v>
      </c>
      <c r="CI645" s="1363"/>
      <c r="CJ645" s="1363"/>
      <c r="CK645" s="1363"/>
      <c r="CL645" s="1363"/>
      <c r="CM645" s="1363">
        <f t="shared" ref="CM645:CM654" si="36">IF(J787="5 Bedrooms",O787,0)</f>
        <v>0</v>
      </c>
      <c r="CN645" s="1363"/>
      <c r="CO645" s="1363"/>
      <c r="CP645" s="1363"/>
      <c r="CQ645" s="1363"/>
      <c r="CR645" s="6"/>
      <c r="CS645" s="1525">
        <f t="shared" ref="CS645:CS654" si="37">IF(AND(BN645&gt;=1,AH787&gt;=0.1,AH787&lt;=1),O787,0)</f>
        <v>0</v>
      </c>
      <c r="CT645" s="1526"/>
      <c r="CU645" s="1526"/>
      <c r="CV645" s="1526"/>
      <c r="CW645" s="1527"/>
      <c r="CX645" s="1525">
        <f t="shared" ref="CX645:CX654" si="38">IF(AND(BS645&gt;=1,AH787&gt;=0.1,AH787&lt;=1),O787,0)</f>
        <v>0</v>
      </c>
      <c r="CY645" s="1526"/>
      <c r="CZ645" s="1526"/>
      <c r="DA645" s="1526"/>
      <c r="DB645" s="1527"/>
      <c r="DC645" s="1525">
        <f t="shared" ref="DC645:DC654" si="39">IF(AND(BX645&gt;=1,AH787&gt;=0.1,AH787&lt;=1),O787,0)</f>
        <v>0</v>
      </c>
      <c r="DD645" s="1526"/>
      <c r="DE645" s="1526"/>
      <c r="DF645" s="1526"/>
      <c r="DG645" s="1527"/>
      <c r="DH645" s="1525">
        <f t="shared" ref="DH645:DH654" si="40">IF(AND(CC645&gt;=1,AH787&gt;=0.1,AH787&lt;=1),O787,0)</f>
        <v>0</v>
      </c>
      <c r="DI645" s="1526"/>
      <c r="DJ645" s="1526"/>
      <c r="DK645" s="1526"/>
      <c r="DL645" s="1527"/>
      <c r="DM645" s="1525">
        <f t="shared" ref="DM645:DM654" si="41">IF(AND(CH645&gt;=1,AH787&gt;=0.1,AH787&lt;=1),O787,0)</f>
        <v>0</v>
      </c>
      <c r="DN645" s="1526"/>
      <c r="DO645" s="1526"/>
      <c r="DP645" s="1526"/>
      <c r="DQ645" s="1527"/>
      <c r="DR645" s="1525">
        <f t="shared" ref="DR645:DR654" si="42">IF(AND(CM645&gt;=1,AH787&gt;=0.1,AH787&lt;=1),O787,0)</f>
        <v>0</v>
      </c>
      <c r="DS645" s="1526"/>
      <c r="DT645" s="1526"/>
      <c r="DU645" s="1526"/>
      <c r="DV645" s="1527"/>
      <c r="DX645" s="1359" t="e">
        <f t="shared" si="30"/>
        <v>#VALUE!</v>
      </c>
      <c r="DY645" s="1359"/>
      <c r="DZ645" s="1359"/>
      <c r="EA645" s="1359"/>
      <c r="EB645" s="1359"/>
      <c r="EC645" s="1359" t="e">
        <f t="shared" si="25"/>
        <v>#VALUE!</v>
      </c>
      <c r="ED645" s="1359"/>
      <c r="EE645" s="1359"/>
      <c r="EF645" s="1359"/>
      <c r="EG645" s="1359"/>
      <c r="EH645" s="1359" t="e">
        <f t="shared" si="26"/>
        <v>#VALUE!</v>
      </c>
      <c r="EI645" s="1359"/>
      <c r="EJ645" s="1359"/>
      <c r="EK645" s="1359"/>
      <c r="EL645" s="1359"/>
      <c r="EM645" s="1359" t="e">
        <f t="shared" si="27"/>
        <v>#VALUE!</v>
      </c>
      <c r="EN645" s="1359"/>
      <c r="EO645" s="1359"/>
      <c r="EP645" s="1359"/>
      <c r="EQ645" s="1359"/>
      <c r="ER645" s="1359" t="e">
        <f t="shared" si="28"/>
        <v>#VALUE!</v>
      </c>
      <c r="ES645" s="1359"/>
      <c r="ET645" s="1359"/>
      <c r="EU645" s="1359"/>
      <c r="EV645" s="1359"/>
      <c r="EW645" s="1359" t="e">
        <f t="shared" si="29"/>
        <v>#VALUE!</v>
      </c>
      <c r="EX645" s="1359"/>
      <c r="EY645" s="1359"/>
      <c r="EZ645" s="1359"/>
      <c r="FA645" s="1359"/>
    </row>
    <row r="646" spans="1:157" ht="12.95" customHeight="1">
      <c r="A646" s="22"/>
      <c r="B646" t="s">
        <v>17</v>
      </c>
      <c r="G646" s="1463" t="s">
        <v>2766</v>
      </c>
      <c r="H646" s="1463"/>
      <c r="I646" s="1463"/>
      <c r="J646" s="1463"/>
      <c r="K646" s="1463"/>
      <c r="L646" s="1463"/>
      <c r="M646" s="1463"/>
      <c r="N646" s="1463"/>
      <c r="O646" s="1463"/>
      <c r="P646" s="1463"/>
      <c r="Q646" s="1463"/>
      <c r="R646" s="1463"/>
      <c r="S646" s="8"/>
      <c r="T646" s="22"/>
      <c r="U646" t="s">
        <v>17</v>
      </c>
      <c r="Z646" s="1464" t="s">
        <v>2682</v>
      </c>
      <c r="AA646" s="1464"/>
      <c r="AB646" s="1464"/>
      <c r="AC646" s="1464"/>
      <c r="AD646" s="1464"/>
      <c r="AE646" s="1464"/>
      <c r="AF646" s="1464"/>
      <c r="AG646" s="1464"/>
      <c r="AH646" s="1464"/>
      <c r="AI646" s="1464"/>
      <c r="AJ646" s="1464"/>
      <c r="AK646" s="1464"/>
      <c r="AZ646" s="3"/>
      <c r="BA646" s="3"/>
      <c r="BB646" s="3"/>
      <c r="BC646" s="3"/>
      <c r="BD646" s="3"/>
      <c r="BE646" s="3"/>
      <c r="BF646" s="3"/>
      <c r="BG646" s="3"/>
      <c r="BH646" s="3"/>
      <c r="BI646" s="3"/>
      <c r="BJ646" s="3"/>
      <c r="BK646" s="3"/>
      <c r="BL646" s="3"/>
      <c r="BM646" s="3"/>
      <c r="BN646" s="1525">
        <f t="shared" si="31"/>
        <v>0</v>
      </c>
      <c r="BO646" s="1526"/>
      <c r="BP646" s="1526"/>
      <c r="BQ646" s="1526"/>
      <c r="BR646" s="1527"/>
      <c r="BS646" s="1363">
        <f t="shared" si="32"/>
        <v>0</v>
      </c>
      <c r="BT646" s="1363"/>
      <c r="BU646" s="1363"/>
      <c r="BV646" s="1363"/>
      <c r="BW646" s="1363"/>
      <c r="BX646" s="1363">
        <f t="shared" si="33"/>
        <v>0</v>
      </c>
      <c r="BY646" s="1363"/>
      <c r="BZ646" s="1363"/>
      <c r="CA646" s="1363"/>
      <c r="CB646" s="1363"/>
      <c r="CC646" s="1363">
        <f t="shared" si="34"/>
        <v>0</v>
      </c>
      <c r="CD646" s="1363"/>
      <c r="CE646" s="1363"/>
      <c r="CF646" s="1363"/>
      <c r="CG646" s="1363"/>
      <c r="CH646" s="1363">
        <f t="shared" si="35"/>
        <v>0</v>
      </c>
      <c r="CI646" s="1363"/>
      <c r="CJ646" s="1363"/>
      <c r="CK646" s="1363"/>
      <c r="CL646" s="1363"/>
      <c r="CM646" s="1363">
        <f t="shared" si="36"/>
        <v>0</v>
      </c>
      <c r="CN646" s="1363"/>
      <c r="CO646" s="1363"/>
      <c r="CP646" s="1363"/>
      <c r="CQ646" s="1363"/>
      <c r="CR646" s="6"/>
      <c r="CS646" s="1525">
        <f t="shared" si="37"/>
        <v>0</v>
      </c>
      <c r="CT646" s="1526"/>
      <c r="CU646" s="1526"/>
      <c r="CV646" s="1526"/>
      <c r="CW646" s="1527"/>
      <c r="CX646" s="1525">
        <f t="shared" si="38"/>
        <v>0</v>
      </c>
      <c r="CY646" s="1526"/>
      <c r="CZ646" s="1526"/>
      <c r="DA646" s="1526"/>
      <c r="DB646" s="1527"/>
      <c r="DC646" s="1525">
        <f t="shared" si="39"/>
        <v>0</v>
      </c>
      <c r="DD646" s="1526"/>
      <c r="DE646" s="1526"/>
      <c r="DF646" s="1526"/>
      <c r="DG646" s="1527"/>
      <c r="DH646" s="1525">
        <f t="shared" si="40"/>
        <v>0</v>
      </c>
      <c r="DI646" s="1526"/>
      <c r="DJ646" s="1526"/>
      <c r="DK646" s="1526"/>
      <c r="DL646" s="1527"/>
      <c r="DM646" s="1525">
        <f t="shared" si="41"/>
        <v>0</v>
      </c>
      <c r="DN646" s="1526"/>
      <c r="DO646" s="1526"/>
      <c r="DP646" s="1526"/>
      <c r="DQ646" s="1527"/>
      <c r="DR646" s="1525">
        <f t="shared" si="42"/>
        <v>0</v>
      </c>
      <c r="DS646" s="1526"/>
      <c r="DT646" s="1526"/>
      <c r="DU646" s="1526"/>
      <c r="DV646" s="1527"/>
      <c r="DX646" s="1359" t="e">
        <f t="shared" si="30"/>
        <v>#VALUE!</v>
      </c>
      <c r="DY646" s="1359"/>
      <c r="DZ646" s="1359"/>
      <c r="EA646" s="1359"/>
      <c r="EB646" s="1359"/>
      <c r="EC646" s="1359" t="e">
        <f t="shared" si="25"/>
        <v>#VALUE!</v>
      </c>
      <c r="ED646" s="1359"/>
      <c r="EE646" s="1359"/>
      <c r="EF646" s="1359"/>
      <c r="EG646" s="1359"/>
      <c r="EH646" s="1359" t="e">
        <f t="shared" si="26"/>
        <v>#VALUE!</v>
      </c>
      <c r="EI646" s="1359"/>
      <c r="EJ646" s="1359"/>
      <c r="EK646" s="1359"/>
      <c r="EL646" s="1359"/>
      <c r="EM646" s="1359" t="e">
        <f t="shared" si="27"/>
        <v>#VALUE!</v>
      </c>
      <c r="EN646" s="1359"/>
      <c r="EO646" s="1359"/>
      <c r="EP646" s="1359"/>
      <c r="EQ646" s="1359"/>
      <c r="ER646" s="1359" t="e">
        <f t="shared" si="28"/>
        <v>#VALUE!</v>
      </c>
      <c r="ES646" s="1359"/>
      <c r="ET646" s="1359"/>
      <c r="EU646" s="1359"/>
      <c r="EV646" s="1359"/>
      <c r="EW646" s="1359" t="e">
        <f t="shared" si="29"/>
        <v>#VALUE!</v>
      </c>
      <c r="EX646" s="1359"/>
      <c r="EY646" s="1359"/>
      <c r="EZ646" s="1359"/>
      <c r="FA646" s="1359"/>
    </row>
    <row r="647" spans="1:157" ht="12.95" customHeight="1">
      <c r="A647" s="22"/>
      <c r="B647" t="s">
        <v>317</v>
      </c>
      <c r="G647" s="1494" t="s">
        <v>2767</v>
      </c>
      <c r="H647" s="1494"/>
      <c r="I647" s="1494"/>
      <c r="J647" s="1494"/>
      <c r="K647" s="1494"/>
      <c r="L647" s="1494"/>
      <c r="O647" s="33" t="s">
        <v>207</v>
      </c>
      <c r="P647" s="1496"/>
      <c r="Q647" s="1496"/>
      <c r="R647" s="1496"/>
      <c r="S647" s="10"/>
      <c r="T647" s="22"/>
      <c r="U647" t="s">
        <v>317</v>
      </c>
      <c r="Z647" s="1494" t="s">
        <v>2683</v>
      </c>
      <c r="AA647" s="1494"/>
      <c r="AB647" s="1494"/>
      <c r="AC647" s="1494"/>
      <c r="AD647" s="1494"/>
      <c r="AE647" s="1494"/>
      <c r="AH647" s="33" t="s">
        <v>207</v>
      </c>
      <c r="AI647" s="1496"/>
      <c r="AJ647" s="1496"/>
      <c r="AK647" s="1496"/>
      <c r="AZ647" s="34"/>
      <c r="BA647" s="34"/>
      <c r="BB647" s="34"/>
      <c r="BC647" s="34"/>
      <c r="BD647" s="34"/>
      <c r="BE647" s="34"/>
      <c r="BF647" s="34"/>
      <c r="BG647" s="34"/>
      <c r="BH647" s="34"/>
      <c r="BI647" s="34"/>
      <c r="BJ647" s="34"/>
      <c r="BK647" s="34"/>
      <c r="BL647" s="34"/>
      <c r="BM647" s="34"/>
      <c r="BN647" s="1525">
        <f t="shared" si="31"/>
        <v>0</v>
      </c>
      <c r="BO647" s="1526"/>
      <c r="BP647" s="1526"/>
      <c r="BQ647" s="1526"/>
      <c r="BR647" s="1527"/>
      <c r="BS647" s="1363">
        <f t="shared" si="32"/>
        <v>0</v>
      </c>
      <c r="BT647" s="1363"/>
      <c r="BU647" s="1363"/>
      <c r="BV647" s="1363"/>
      <c r="BW647" s="1363"/>
      <c r="BX647" s="1363">
        <f t="shared" si="33"/>
        <v>0</v>
      </c>
      <c r="BY647" s="1363"/>
      <c r="BZ647" s="1363"/>
      <c r="CA647" s="1363"/>
      <c r="CB647" s="1363"/>
      <c r="CC647" s="1363">
        <f t="shared" si="34"/>
        <v>0</v>
      </c>
      <c r="CD647" s="1363"/>
      <c r="CE647" s="1363"/>
      <c r="CF647" s="1363"/>
      <c r="CG647" s="1363"/>
      <c r="CH647" s="1363">
        <f t="shared" si="35"/>
        <v>0</v>
      </c>
      <c r="CI647" s="1363"/>
      <c r="CJ647" s="1363"/>
      <c r="CK647" s="1363"/>
      <c r="CL647" s="1363"/>
      <c r="CM647" s="1363">
        <f t="shared" si="36"/>
        <v>0</v>
      </c>
      <c r="CN647" s="1363"/>
      <c r="CO647" s="1363"/>
      <c r="CP647" s="1363"/>
      <c r="CQ647" s="1363"/>
      <c r="CR647" s="6"/>
      <c r="CS647" s="1525">
        <f t="shared" si="37"/>
        <v>0</v>
      </c>
      <c r="CT647" s="1526"/>
      <c r="CU647" s="1526"/>
      <c r="CV647" s="1526"/>
      <c r="CW647" s="1527"/>
      <c r="CX647" s="1525">
        <f t="shared" si="38"/>
        <v>0</v>
      </c>
      <c r="CY647" s="1526"/>
      <c r="CZ647" s="1526"/>
      <c r="DA647" s="1526"/>
      <c r="DB647" s="1527"/>
      <c r="DC647" s="1525">
        <f t="shared" si="39"/>
        <v>0</v>
      </c>
      <c r="DD647" s="1526"/>
      <c r="DE647" s="1526"/>
      <c r="DF647" s="1526"/>
      <c r="DG647" s="1527"/>
      <c r="DH647" s="1525">
        <f t="shared" si="40"/>
        <v>0</v>
      </c>
      <c r="DI647" s="1526"/>
      <c r="DJ647" s="1526"/>
      <c r="DK647" s="1526"/>
      <c r="DL647" s="1527"/>
      <c r="DM647" s="1525">
        <f t="shared" si="41"/>
        <v>0</v>
      </c>
      <c r="DN647" s="1526"/>
      <c r="DO647" s="1526"/>
      <c r="DP647" s="1526"/>
      <c r="DQ647" s="1527"/>
      <c r="DR647" s="1525">
        <f t="shared" si="42"/>
        <v>0</v>
      </c>
      <c r="DS647" s="1526"/>
      <c r="DT647" s="1526"/>
      <c r="DU647" s="1526"/>
      <c r="DV647" s="1527"/>
      <c r="DX647" s="1359" t="e">
        <f t="shared" si="30"/>
        <v>#VALUE!</v>
      </c>
      <c r="DY647" s="1359"/>
      <c r="DZ647" s="1359"/>
      <c r="EA647" s="1359"/>
      <c r="EB647" s="1359"/>
      <c r="EC647" s="1359" t="e">
        <f t="shared" si="25"/>
        <v>#VALUE!</v>
      </c>
      <c r="ED647" s="1359"/>
      <c r="EE647" s="1359"/>
      <c r="EF647" s="1359"/>
      <c r="EG647" s="1359"/>
      <c r="EH647" s="1359" t="e">
        <f t="shared" si="26"/>
        <v>#VALUE!</v>
      </c>
      <c r="EI647" s="1359"/>
      <c r="EJ647" s="1359"/>
      <c r="EK647" s="1359"/>
      <c r="EL647" s="1359"/>
      <c r="EM647" s="1359" t="e">
        <f t="shared" si="27"/>
        <v>#VALUE!</v>
      </c>
      <c r="EN647" s="1359"/>
      <c r="EO647" s="1359"/>
      <c r="EP647" s="1359"/>
      <c r="EQ647" s="1359"/>
      <c r="ER647" s="1359" t="e">
        <f t="shared" si="28"/>
        <v>#VALUE!</v>
      </c>
      <c r="ES647" s="1359"/>
      <c r="ET647" s="1359"/>
      <c r="EU647" s="1359"/>
      <c r="EV647" s="1359"/>
      <c r="EW647" s="1359" t="e">
        <f t="shared" si="29"/>
        <v>#VALUE!</v>
      </c>
      <c r="EX647" s="1359"/>
      <c r="EY647" s="1359"/>
      <c r="EZ647" s="1359"/>
      <c r="FA647" s="1359"/>
    </row>
    <row r="648" spans="1:157" ht="12.95" customHeight="1">
      <c r="A648" s="22"/>
      <c r="B648" t="s">
        <v>18</v>
      </c>
      <c r="H648" s="1463" t="s">
        <v>2727</v>
      </c>
      <c r="I648" s="1463"/>
      <c r="J648" s="1463"/>
      <c r="K648" s="1463"/>
      <c r="L648" s="1463"/>
      <c r="M648" s="1463"/>
      <c r="N648" s="1463"/>
      <c r="O648" s="1463"/>
      <c r="P648" s="1463"/>
      <c r="Q648" s="1463"/>
      <c r="R648" s="1463"/>
      <c r="S648" s="8"/>
      <c r="T648" s="22"/>
      <c r="U648" t="s">
        <v>18</v>
      </c>
      <c r="AA648" s="1463" t="s">
        <v>2771</v>
      </c>
      <c r="AB648" s="1463"/>
      <c r="AC648" s="1463"/>
      <c r="AD648" s="1463"/>
      <c r="AE648" s="1463"/>
      <c r="AF648" s="1463"/>
      <c r="AG648" s="1463"/>
      <c r="AH648" s="1463"/>
      <c r="AI648" s="1463"/>
      <c r="AJ648" s="1463"/>
      <c r="AK648" s="1463"/>
      <c r="AZ648" s="34"/>
      <c r="BA648" s="34"/>
      <c r="BB648" s="34"/>
      <c r="BC648" s="34"/>
      <c r="BD648" s="34"/>
      <c r="BE648" s="34"/>
      <c r="BF648" s="34"/>
      <c r="BG648" s="34"/>
      <c r="BH648" s="34"/>
      <c r="BI648" s="34"/>
      <c r="BJ648" s="34"/>
      <c r="BK648" s="34"/>
      <c r="BL648" s="34"/>
      <c r="BM648" s="34"/>
      <c r="BN648" s="1525">
        <f t="shared" si="31"/>
        <v>0</v>
      </c>
      <c r="BO648" s="1526"/>
      <c r="BP648" s="1526"/>
      <c r="BQ648" s="1526"/>
      <c r="BR648" s="1527"/>
      <c r="BS648" s="1363">
        <f t="shared" si="32"/>
        <v>0</v>
      </c>
      <c r="BT648" s="1363"/>
      <c r="BU648" s="1363"/>
      <c r="BV648" s="1363"/>
      <c r="BW648" s="1363"/>
      <c r="BX648" s="1363">
        <f t="shared" si="33"/>
        <v>0</v>
      </c>
      <c r="BY648" s="1363"/>
      <c r="BZ648" s="1363"/>
      <c r="CA648" s="1363"/>
      <c r="CB648" s="1363"/>
      <c r="CC648" s="1363">
        <f t="shared" si="34"/>
        <v>0</v>
      </c>
      <c r="CD648" s="1363"/>
      <c r="CE648" s="1363"/>
      <c r="CF648" s="1363"/>
      <c r="CG648" s="1363"/>
      <c r="CH648" s="1363">
        <f t="shared" si="35"/>
        <v>0</v>
      </c>
      <c r="CI648" s="1363"/>
      <c r="CJ648" s="1363"/>
      <c r="CK648" s="1363"/>
      <c r="CL648" s="1363"/>
      <c r="CM648" s="1363">
        <f t="shared" si="36"/>
        <v>0</v>
      </c>
      <c r="CN648" s="1363"/>
      <c r="CO648" s="1363"/>
      <c r="CP648" s="1363"/>
      <c r="CQ648" s="1363"/>
      <c r="CR648" s="6"/>
      <c r="CS648" s="1525">
        <f t="shared" si="37"/>
        <v>0</v>
      </c>
      <c r="CT648" s="1526"/>
      <c r="CU648" s="1526"/>
      <c r="CV648" s="1526"/>
      <c r="CW648" s="1527"/>
      <c r="CX648" s="1525">
        <f t="shared" si="38"/>
        <v>0</v>
      </c>
      <c r="CY648" s="1526"/>
      <c r="CZ648" s="1526"/>
      <c r="DA648" s="1526"/>
      <c r="DB648" s="1527"/>
      <c r="DC648" s="1525">
        <f t="shared" si="39"/>
        <v>0</v>
      </c>
      <c r="DD648" s="1526"/>
      <c r="DE648" s="1526"/>
      <c r="DF648" s="1526"/>
      <c r="DG648" s="1527"/>
      <c r="DH648" s="1525">
        <f t="shared" si="40"/>
        <v>0</v>
      </c>
      <c r="DI648" s="1526"/>
      <c r="DJ648" s="1526"/>
      <c r="DK648" s="1526"/>
      <c r="DL648" s="1527"/>
      <c r="DM648" s="1525">
        <f t="shared" si="41"/>
        <v>0</v>
      </c>
      <c r="DN648" s="1526"/>
      <c r="DO648" s="1526"/>
      <c r="DP648" s="1526"/>
      <c r="DQ648" s="1527"/>
      <c r="DR648" s="1525">
        <f t="shared" si="42"/>
        <v>0</v>
      </c>
      <c r="DS648" s="1526"/>
      <c r="DT648" s="1526"/>
      <c r="DU648" s="1526"/>
      <c r="DV648" s="1527"/>
      <c r="DX648" s="1359" t="e">
        <f t="shared" si="30"/>
        <v>#VALUE!</v>
      </c>
      <c r="DY648" s="1359"/>
      <c r="DZ648" s="1359"/>
      <c r="EA648" s="1359"/>
      <c r="EB648" s="1359"/>
      <c r="EC648" s="1359" t="e">
        <f t="shared" si="25"/>
        <v>#VALUE!</v>
      </c>
      <c r="ED648" s="1359"/>
      <c r="EE648" s="1359"/>
      <c r="EF648" s="1359"/>
      <c r="EG648" s="1359"/>
      <c r="EH648" s="1359" t="e">
        <f t="shared" si="26"/>
        <v>#VALUE!</v>
      </c>
      <c r="EI648" s="1359"/>
      <c r="EJ648" s="1359"/>
      <c r="EK648" s="1359"/>
      <c r="EL648" s="1359"/>
      <c r="EM648" s="1359" t="e">
        <f t="shared" si="27"/>
        <v>#VALUE!</v>
      </c>
      <c r="EN648" s="1359"/>
      <c r="EO648" s="1359"/>
      <c r="EP648" s="1359"/>
      <c r="EQ648" s="1359"/>
      <c r="ER648" s="1359" t="e">
        <f t="shared" si="28"/>
        <v>#VALUE!</v>
      </c>
      <c r="ES648" s="1359"/>
      <c r="ET648" s="1359"/>
      <c r="EU648" s="1359"/>
      <c r="EV648" s="1359"/>
      <c r="EW648" s="1359" t="e">
        <f t="shared" si="29"/>
        <v>#VALUE!</v>
      </c>
      <c r="EX648" s="1359"/>
      <c r="EY648" s="1359"/>
      <c r="EZ648" s="1359"/>
      <c r="FA648" s="1359"/>
    </row>
    <row r="649" spans="1:157" ht="12.95" customHeight="1">
      <c r="A649" s="22"/>
      <c r="B649" t="s">
        <v>20</v>
      </c>
      <c r="N649" s="1440" t="s">
        <v>554</v>
      </c>
      <c r="O649" s="1440"/>
      <c r="T649" s="22"/>
      <c r="U649" t="s">
        <v>20</v>
      </c>
      <c r="AG649" s="1440" t="s">
        <v>554</v>
      </c>
      <c r="AH649" s="1440"/>
      <c r="AZ649" s="34"/>
      <c r="BA649" s="34"/>
      <c r="BB649" s="34"/>
      <c r="BC649" s="34"/>
      <c r="BD649" s="34"/>
      <c r="BE649" s="34"/>
      <c r="BF649" s="34"/>
      <c r="BG649" s="34"/>
      <c r="BH649" s="34"/>
      <c r="BI649" s="34"/>
      <c r="BJ649" s="34"/>
      <c r="BK649" s="34"/>
      <c r="BL649" s="34"/>
      <c r="BM649" s="34"/>
      <c r="BN649" s="1525">
        <f t="shared" si="31"/>
        <v>0</v>
      </c>
      <c r="BO649" s="1526"/>
      <c r="BP649" s="1526"/>
      <c r="BQ649" s="1526"/>
      <c r="BR649" s="1527"/>
      <c r="BS649" s="1363">
        <f t="shared" si="32"/>
        <v>0</v>
      </c>
      <c r="BT649" s="1363"/>
      <c r="BU649" s="1363"/>
      <c r="BV649" s="1363"/>
      <c r="BW649" s="1363"/>
      <c r="BX649" s="1363">
        <f t="shared" si="33"/>
        <v>0</v>
      </c>
      <c r="BY649" s="1363"/>
      <c r="BZ649" s="1363"/>
      <c r="CA649" s="1363"/>
      <c r="CB649" s="1363"/>
      <c r="CC649" s="1363">
        <f t="shared" si="34"/>
        <v>0</v>
      </c>
      <c r="CD649" s="1363"/>
      <c r="CE649" s="1363"/>
      <c r="CF649" s="1363"/>
      <c r="CG649" s="1363"/>
      <c r="CH649" s="1363">
        <f t="shared" si="35"/>
        <v>0</v>
      </c>
      <c r="CI649" s="1363"/>
      <c r="CJ649" s="1363"/>
      <c r="CK649" s="1363"/>
      <c r="CL649" s="1363"/>
      <c r="CM649" s="1363">
        <f t="shared" si="36"/>
        <v>0</v>
      </c>
      <c r="CN649" s="1363"/>
      <c r="CO649" s="1363"/>
      <c r="CP649" s="1363"/>
      <c r="CQ649" s="1363"/>
      <c r="CR649" s="6"/>
      <c r="CS649" s="1525">
        <f t="shared" si="37"/>
        <v>0</v>
      </c>
      <c r="CT649" s="1526"/>
      <c r="CU649" s="1526"/>
      <c r="CV649" s="1526"/>
      <c r="CW649" s="1527"/>
      <c r="CX649" s="1525">
        <f t="shared" si="38"/>
        <v>0</v>
      </c>
      <c r="CY649" s="1526"/>
      <c r="CZ649" s="1526"/>
      <c r="DA649" s="1526"/>
      <c r="DB649" s="1527"/>
      <c r="DC649" s="1525">
        <f t="shared" si="39"/>
        <v>0</v>
      </c>
      <c r="DD649" s="1526"/>
      <c r="DE649" s="1526"/>
      <c r="DF649" s="1526"/>
      <c r="DG649" s="1527"/>
      <c r="DH649" s="1525">
        <f t="shared" si="40"/>
        <v>0</v>
      </c>
      <c r="DI649" s="1526"/>
      <c r="DJ649" s="1526"/>
      <c r="DK649" s="1526"/>
      <c r="DL649" s="1527"/>
      <c r="DM649" s="1525">
        <f t="shared" si="41"/>
        <v>0</v>
      </c>
      <c r="DN649" s="1526"/>
      <c r="DO649" s="1526"/>
      <c r="DP649" s="1526"/>
      <c r="DQ649" s="1527"/>
      <c r="DR649" s="1525">
        <f t="shared" si="42"/>
        <v>0</v>
      </c>
      <c r="DS649" s="1526"/>
      <c r="DT649" s="1526"/>
      <c r="DU649" s="1526"/>
      <c r="DV649" s="1527"/>
      <c r="DX649" s="1359" t="e">
        <f t="shared" si="30"/>
        <v>#VALUE!</v>
      </c>
      <c r="DY649" s="1359"/>
      <c r="DZ649" s="1359"/>
      <c r="EA649" s="1359"/>
      <c r="EB649" s="1359"/>
      <c r="EC649" s="1359" t="e">
        <f t="shared" si="25"/>
        <v>#VALUE!</v>
      </c>
      <c r="ED649" s="1359"/>
      <c r="EE649" s="1359"/>
      <c r="EF649" s="1359"/>
      <c r="EG649" s="1359"/>
      <c r="EH649" s="1359" t="e">
        <f t="shared" si="26"/>
        <v>#VALUE!</v>
      </c>
      <c r="EI649" s="1359"/>
      <c r="EJ649" s="1359"/>
      <c r="EK649" s="1359"/>
      <c r="EL649" s="1359"/>
      <c r="EM649" s="1359" t="e">
        <f t="shared" si="27"/>
        <v>#VALUE!</v>
      </c>
      <c r="EN649" s="1359"/>
      <c r="EO649" s="1359"/>
      <c r="EP649" s="1359"/>
      <c r="EQ649" s="1359"/>
      <c r="ER649" s="1359" t="e">
        <f t="shared" si="28"/>
        <v>#VALUE!</v>
      </c>
      <c r="ES649" s="1359"/>
      <c r="ET649" s="1359"/>
      <c r="EU649" s="1359"/>
      <c r="EV649" s="1359"/>
      <c r="EW649" s="1359" t="e">
        <f t="shared" si="29"/>
        <v>#VALUE!</v>
      </c>
      <c r="EX649" s="1359"/>
      <c r="EY649" s="1359"/>
      <c r="EZ649" s="1359"/>
      <c r="FA649" s="1359"/>
    </row>
    <row r="650" spans="1:157" ht="12.95" customHeight="1">
      <c r="A650" s="22"/>
      <c r="T650" s="22"/>
      <c r="AZ650" s="34"/>
      <c r="BA650" s="34"/>
      <c r="BB650" s="34"/>
      <c r="BC650" s="34"/>
      <c r="BD650" s="34"/>
      <c r="BE650" s="34"/>
      <c r="BF650" s="34"/>
      <c r="BG650" s="34"/>
      <c r="BH650" s="34"/>
      <c r="BI650" s="34"/>
      <c r="BJ650" s="34"/>
      <c r="BK650" s="34"/>
      <c r="BL650" s="34"/>
      <c r="BM650" s="34"/>
      <c r="BN650" s="1525">
        <f t="shared" si="31"/>
        <v>0</v>
      </c>
      <c r="BO650" s="1526"/>
      <c r="BP650" s="1526"/>
      <c r="BQ650" s="1526"/>
      <c r="BR650" s="1527"/>
      <c r="BS650" s="1363">
        <f t="shared" si="32"/>
        <v>0</v>
      </c>
      <c r="BT650" s="1363"/>
      <c r="BU650" s="1363"/>
      <c r="BV650" s="1363"/>
      <c r="BW650" s="1363"/>
      <c r="BX650" s="1363">
        <f t="shared" si="33"/>
        <v>0</v>
      </c>
      <c r="BY650" s="1363"/>
      <c r="BZ650" s="1363"/>
      <c r="CA650" s="1363"/>
      <c r="CB650" s="1363"/>
      <c r="CC650" s="1363">
        <f t="shared" si="34"/>
        <v>0</v>
      </c>
      <c r="CD650" s="1363"/>
      <c r="CE650" s="1363"/>
      <c r="CF650" s="1363"/>
      <c r="CG650" s="1363"/>
      <c r="CH650" s="1363">
        <f t="shared" si="35"/>
        <v>0</v>
      </c>
      <c r="CI650" s="1363"/>
      <c r="CJ650" s="1363"/>
      <c r="CK650" s="1363"/>
      <c r="CL650" s="1363"/>
      <c r="CM650" s="1363">
        <f t="shared" si="36"/>
        <v>0</v>
      </c>
      <c r="CN650" s="1363"/>
      <c r="CO650" s="1363"/>
      <c r="CP650" s="1363"/>
      <c r="CQ650" s="1363"/>
      <c r="CR650" s="6"/>
      <c r="CS650" s="1525">
        <f t="shared" si="37"/>
        <v>0</v>
      </c>
      <c r="CT650" s="1526"/>
      <c r="CU650" s="1526"/>
      <c r="CV650" s="1526"/>
      <c r="CW650" s="1527"/>
      <c r="CX650" s="1525">
        <f t="shared" si="38"/>
        <v>0</v>
      </c>
      <c r="CY650" s="1526"/>
      <c r="CZ650" s="1526"/>
      <c r="DA650" s="1526"/>
      <c r="DB650" s="1527"/>
      <c r="DC650" s="1525">
        <f t="shared" si="39"/>
        <v>0</v>
      </c>
      <c r="DD650" s="1526"/>
      <c r="DE650" s="1526"/>
      <c r="DF650" s="1526"/>
      <c r="DG650" s="1527"/>
      <c r="DH650" s="1525">
        <f t="shared" si="40"/>
        <v>0</v>
      </c>
      <c r="DI650" s="1526"/>
      <c r="DJ650" s="1526"/>
      <c r="DK650" s="1526"/>
      <c r="DL650" s="1527"/>
      <c r="DM650" s="1525">
        <f t="shared" si="41"/>
        <v>0</v>
      </c>
      <c r="DN650" s="1526"/>
      <c r="DO650" s="1526"/>
      <c r="DP650" s="1526"/>
      <c r="DQ650" s="1527"/>
      <c r="DR650" s="1525">
        <f t="shared" si="42"/>
        <v>0</v>
      </c>
      <c r="DS650" s="1526"/>
      <c r="DT650" s="1526"/>
      <c r="DU650" s="1526"/>
      <c r="DV650" s="1527"/>
      <c r="DX650" s="1359" t="e">
        <f t="shared" si="30"/>
        <v>#VALUE!</v>
      </c>
      <c r="DY650" s="1359"/>
      <c r="DZ650" s="1359"/>
      <c r="EA650" s="1359"/>
      <c r="EB650" s="1359"/>
      <c r="EC650" s="1359" t="e">
        <f t="shared" si="25"/>
        <v>#VALUE!</v>
      </c>
      <c r="ED650" s="1359"/>
      <c r="EE650" s="1359"/>
      <c r="EF650" s="1359"/>
      <c r="EG650" s="1359"/>
      <c r="EH650" s="1359" t="e">
        <f t="shared" si="26"/>
        <v>#VALUE!</v>
      </c>
      <c r="EI650" s="1359"/>
      <c r="EJ650" s="1359"/>
      <c r="EK650" s="1359"/>
      <c r="EL650" s="1359"/>
      <c r="EM650" s="1359" t="e">
        <f t="shared" si="27"/>
        <v>#VALUE!</v>
      </c>
      <c r="EN650" s="1359"/>
      <c r="EO650" s="1359"/>
      <c r="EP650" s="1359"/>
      <c r="EQ650" s="1359"/>
      <c r="ER650" s="1359" t="e">
        <f t="shared" si="28"/>
        <v>#VALUE!</v>
      </c>
      <c r="ES650" s="1359"/>
      <c r="ET650" s="1359"/>
      <c r="EU650" s="1359"/>
      <c r="EV650" s="1359"/>
      <c r="EW650" s="1359" t="e">
        <f t="shared" si="29"/>
        <v>#VALUE!</v>
      </c>
      <c r="EX650" s="1359"/>
      <c r="EY650" s="1359"/>
      <c r="EZ650" s="1359"/>
      <c r="FA650" s="1359"/>
    </row>
    <row r="651" spans="1:157" ht="12.95" customHeight="1">
      <c r="A651" s="55" t="s">
        <v>119</v>
      </c>
      <c r="B651" t="s">
        <v>472</v>
      </c>
      <c r="G651" s="1462" t="str">
        <f>C629</f>
        <v>County of San Mateo</v>
      </c>
      <c r="H651" s="1462"/>
      <c r="I651" s="1462"/>
      <c r="J651" s="1462"/>
      <c r="K651" s="1462"/>
      <c r="L651" s="1462"/>
      <c r="M651" s="1462"/>
      <c r="N651" s="1462"/>
      <c r="O651" s="1462"/>
      <c r="P651" s="1462"/>
      <c r="Q651" s="1462"/>
      <c r="R651" s="1462"/>
      <c r="T651" s="55" t="s">
        <v>590</v>
      </c>
      <c r="U651" t="s">
        <v>472</v>
      </c>
      <c r="Z651" s="1462" t="str">
        <f>C630</f>
        <v>City of Daly City (including HEART of San Mateo)</v>
      </c>
      <c r="AA651" s="1462"/>
      <c r="AB651" s="1462"/>
      <c r="AC651" s="1462"/>
      <c r="AD651" s="1462"/>
      <c r="AE651" s="1462"/>
      <c r="AF651" s="1462"/>
      <c r="AG651" s="1462"/>
      <c r="AH651" s="1462"/>
      <c r="AI651" s="1462"/>
      <c r="AJ651" s="1462"/>
      <c r="AK651" s="1462"/>
      <c r="AZ651" s="34"/>
      <c r="BA651" s="34"/>
      <c r="BB651" s="34"/>
      <c r="BC651" s="34"/>
      <c r="BD651" s="34"/>
      <c r="BE651" s="34"/>
      <c r="BF651" s="34"/>
      <c r="BG651" s="34"/>
      <c r="BH651" s="34"/>
      <c r="BI651" s="34"/>
      <c r="BJ651" s="34"/>
      <c r="BK651" s="34"/>
      <c r="BL651" s="34"/>
      <c r="BM651" s="34"/>
      <c r="BN651" s="1525">
        <f t="shared" si="31"/>
        <v>0</v>
      </c>
      <c r="BO651" s="1526"/>
      <c r="BP651" s="1526"/>
      <c r="BQ651" s="1526"/>
      <c r="BR651" s="1527"/>
      <c r="BS651" s="1363">
        <f t="shared" si="32"/>
        <v>0</v>
      </c>
      <c r="BT651" s="1363"/>
      <c r="BU651" s="1363"/>
      <c r="BV651" s="1363"/>
      <c r="BW651" s="1363"/>
      <c r="BX651" s="1363">
        <f t="shared" si="33"/>
        <v>0</v>
      </c>
      <c r="BY651" s="1363"/>
      <c r="BZ651" s="1363"/>
      <c r="CA651" s="1363"/>
      <c r="CB651" s="1363"/>
      <c r="CC651" s="1363">
        <f t="shared" si="34"/>
        <v>0</v>
      </c>
      <c r="CD651" s="1363"/>
      <c r="CE651" s="1363"/>
      <c r="CF651" s="1363"/>
      <c r="CG651" s="1363"/>
      <c r="CH651" s="1363">
        <f t="shared" si="35"/>
        <v>0</v>
      </c>
      <c r="CI651" s="1363"/>
      <c r="CJ651" s="1363"/>
      <c r="CK651" s="1363"/>
      <c r="CL651" s="1363"/>
      <c r="CM651" s="1363">
        <f t="shared" si="36"/>
        <v>0</v>
      </c>
      <c r="CN651" s="1363"/>
      <c r="CO651" s="1363"/>
      <c r="CP651" s="1363"/>
      <c r="CQ651" s="1363"/>
      <c r="CR651" s="6"/>
      <c r="CS651" s="1525">
        <f t="shared" si="37"/>
        <v>0</v>
      </c>
      <c r="CT651" s="1526"/>
      <c r="CU651" s="1526"/>
      <c r="CV651" s="1526"/>
      <c r="CW651" s="1527"/>
      <c r="CX651" s="1525">
        <f t="shared" si="38"/>
        <v>0</v>
      </c>
      <c r="CY651" s="1526"/>
      <c r="CZ651" s="1526"/>
      <c r="DA651" s="1526"/>
      <c r="DB651" s="1527"/>
      <c r="DC651" s="1525">
        <f t="shared" si="39"/>
        <v>0</v>
      </c>
      <c r="DD651" s="1526"/>
      <c r="DE651" s="1526"/>
      <c r="DF651" s="1526"/>
      <c r="DG651" s="1527"/>
      <c r="DH651" s="1525">
        <f t="shared" si="40"/>
        <v>0</v>
      </c>
      <c r="DI651" s="1526"/>
      <c r="DJ651" s="1526"/>
      <c r="DK651" s="1526"/>
      <c r="DL651" s="1527"/>
      <c r="DM651" s="1525">
        <f t="shared" si="41"/>
        <v>0</v>
      </c>
      <c r="DN651" s="1526"/>
      <c r="DO651" s="1526"/>
      <c r="DP651" s="1526"/>
      <c r="DQ651" s="1527"/>
      <c r="DR651" s="1525">
        <f t="shared" si="42"/>
        <v>0</v>
      </c>
      <c r="DS651" s="1526"/>
      <c r="DT651" s="1526"/>
      <c r="DU651" s="1526"/>
      <c r="DV651" s="1527"/>
      <c r="DX651" s="1359" t="e">
        <f t="shared" si="30"/>
        <v>#VALUE!</v>
      </c>
      <c r="DY651" s="1359"/>
      <c r="DZ651" s="1359"/>
      <c r="EA651" s="1359"/>
      <c r="EB651" s="1359"/>
      <c r="EC651" s="1359" t="e">
        <f t="shared" si="25"/>
        <v>#VALUE!</v>
      </c>
      <c r="ED651" s="1359"/>
      <c r="EE651" s="1359"/>
      <c r="EF651" s="1359"/>
      <c r="EG651" s="1359"/>
      <c r="EH651" s="1359" t="e">
        <f t="shared" si="26"/>
        <v>#VALUE!</v>
      </c>
      <c r="EI651" s="1359"/>
      <c r="EJ651" s="1359"/>
      <c r="EK651" s="1359"/>
      <c r="EL651" s="1359"/>
      <c r="EM651" s="1359" t="e">
        <f t="shared" si="27"/>
        <v>#VALUE!</v>
      </c>
      <c r="EN651" s="1359"/>
      <c r="EO651" s="1359"/>
      <c r="EP651" s="1359"/>
      <c r="EQ651" s="1359"/>
      <c r="ER651" s="1359" t="e">
        <f t="shared" si="28"/>
        <v>#VALUE!</v>
      </c>
      <c r="ES651" s="1359"/>
      <c r="ET651" s="1359"/>
      <c r="EU651" s="1359"/>
      <c r="EV651" s="1359"/>
      <c r="EW651" s="1359" t="e">
        <f t="shared" si="29"/>
        <v>#VALUE!</v>
      </c>
      <c r="EX651" s="1359"/>
      <c r="EY651" s="1359"/>
      <c r="EZ651" s="1359"/>
      <c r="FA651" s="1359"/>
    </row>
    <row r="652" spans="1:157" ht="12.95" customHeight="1">
      <c r="A652" s="22"/>
      <c r="B652" t="s">
        <v>85</v>
      </c>
      <c r="G652" s="1463" t="s">
        <v>2772</v>
      </c>
      <c r="H652" s="1463"/>
      <c r="I652" s="1463"/>
      <c r="J652" s="1463"/>
      <c r="K652" s="1463"/>
      <c r="L652" s="1463"/>
      <c r="M652" s="1463"/>
      <c r="N652" s="1463"/>
      <c r="O652" s="1463"/>
      <c r="P652" s="1463"/>
      <c r="Q652" s="1463"/>
      <c r="R652" s="1463"/>
      <c r="T652" s="22"/>
      <c r="U652" t="s">
        <v>85</v>
      </c>
      <c r="Z652" s="1463" t="s">
        <v>2776</v>
      </c>
      <c r="AA652" s="1463"/>
      <c r="AB652" s="1463"/>
      <c r="AC652" s="1463"/>
      <c r="AD652" s="1463"/>
      <c r="AE652" s="1463"/>
      <c r="AF652" s="1463"/>
      <c r="AG652" s="1463"/>
      <c r="AH652" s="1463"/>
      <c r="AI652" s="1463"/>
      <c r="AJ652" s="1463"/>
      <c r="AK652" s="1463"/>
      <c r="AZ652" s="34"/>
      <c r="BA652" s="34"/>
      <c r="BB652" s="34"/>
      <c r="BC652" s="34"/>
      <c r="BD652" s="34"/>
      <c r="BE652" s="34"/>
      <c r="BF652" s="34"/>
      <c r="BG652" s="34"/>
      <c r="BH652" s="34"/>
      <c r="BI652" s="34"/>
      <c r="BJ652" s="34"/>
      <c r="BK652" s="34"/>
      <c r="BL652" s="34"/>
      <c r="BM652" s="34"/>
      <c r="BN652" s="1525">
        <f t="shared" si="31"/>
        <v>0</v>
      </c>
      <c r="BO652" s="1526"/>
      <c r="BP652" s="1526"/>
      <c r="BQ652" s="1526"/>
      <c r="BR652" s="1527"/>
      <c r="BS652" s="1363">
        <f t="shared" si="32"/>
        <v>0</v>
      </c>
      <c r="BT652" s="1363"/>
      <c r="BU652" s="1363"/>
      <c r="BV652" s="1363"/>
      <c r="BW652" s="1363"/>
      <c r="BX652" s="1363">
        <f t="shared" si="33"/>
        <v>0</v>
      </c>
      <c r="BY652" s="1363"/>
      <c r="BZ652" s="1363"/>
      <c r="CA652" s="1363"/>
      <c r="CB652" s="1363"/>
      <c r="CC652" s="1363">
        <f t="shared" si="34"/>
        <v>0</v>
      </c>
      <c r="CD652" s="1363"/>
      <c r="CE652" s="1363"/>
      <c r="CF652" s="1363"/>
      <c r="CG652" s="1363"/>
      <c r="CH652" s="1363">
        <f t="shared" si="35"/>
        <v>0</v>
      </c>
      <c r="CI652" s="1363"/>
      <c r="CJ652" s="1363"/>
      <c r="CK652" s="1363"/>
      <c r="CL652" s="1363"/>
      <c r="CM652" s="1363">
        <f t="shared" si="36"/>
        <v>0</v>
      </c>
      <c r="CN652" s="1363"/>
      <c r="CO652" s="1363"/>
      <c r="CP652" s="1363"/>
      <c r="CQ652" s="1363"/>
      <c r="CR652" s="6"/>
      <c r="CS652" s="1525">
        <f t="shared" si="37"/>
        <v>0</v>
      </c>
      <c r="CT652" s="1526"/>
      <c r="CU652" s="1526"/>
      <c r="CV652" s="1526"/>
      <c r="CW652" s="1527"/>
      <c r="CX652" s="1525">
        <f t="shared" si="38"/>
        <v>0</v>
      </c>
      <c r="CY652" s="1526"/>
      <c r="CZ652" s="1526"/>
      <c r="DA652" s="1526"/>
      <c r="DB652" s="1527"/>
      <c r="DC652" s="1525">
        <f t="shared" si="39"/>
        <v>0</v>
      </c>
      <c r="DD652" s="1526"/>
      <c r="DE652" s="1526"/>
      <c r="DF652" s="1526"/>
      <c r="DG652" s="1527"/>
      <c r="DH652" s="1525">
        <f t="shared" si="40"/>
        <v>0</v>
      </c>
      <c r="DI652" s="1526"/>
      <c r="DJ652" s="1526"/>
      <c r="DK652" s="1526"/>
      <c r="DL652" s="1527"/>
      <c r="DM652" s="1525">
        <f t="shared" si="41"/>
        <v>0</v>
      </c>
      <c r="DN652" s="1526"/>
      <c r="DO652" s="1526"/>
      <c r="DP652" s="1526"/>
      <c r="DQ652" s="1527"/>
      <c r="DR652" s="1525">
        <f t="shared" si="42"/>
        <v>0</v>
      </c>
      <c r="DS652" s="1526"/>
      <c r="DT652" s="1526"/>
      <c r="DU652" s="1526"/>
      <c r="DV652" s="1527"/>
      <c r="DX652" s="1359" t="e">
        <f t="shared" si="30"/>
        <v>#VALUE!</v>
      </c>
      <c r="DY652" s="1359"/>
      <c r="DZ652" s="1359"/>
      <c r="EA652" s="1359"/>
      <c r="EB652" s="1359"/>
      <c r="EC652" s="1359" t="e">
        <f t="shared" si="25"/>
        <v>#VALUE!</v>
      </c>
      <c r="ED652" s="1359"/>
      <c r="EE652" s="1359"/>
      <c r="EF652" s="1359"/>
      <c r="EG652" s="1359"/>
      <c r="EH652" s="1359" t="e">
        <f t="shared" si="26"/>
        <v>#VALUE!</v>
      </c>
      <c r="EI652" s="1359"/>
      <c r="EJ652" s="1359"/>
      <c r="EK652" s="1359"/>
      <c r="EL652" s="1359"/>
      <c r="EM652" s="1359" t="e">
        <f t="shared" si="27"/>
        <v>#VALUE!</v>
      </c>
      <c r="EN652" s="1359"/>
      <c r="EO652" s="1359"/>
      <c r="EP652" s="1359"/>
      <c r="EQ652" s="1359"/>
      <c r="ER652" s="1359" t="e">
        <f t="shared" si="28"/>
        <v>#VALUE!</v>
      </c>
      <c r="ES652" s="1359"/>
      <c r="ET652" s="1359"/>
      <c r="EU652" s="1359"/>
      <c r="EV652" s="1359"/>
      <c r="EW652" s="1359" t="e">
        <f t="shared" si="29"/>
        <v>#VALUE!</v>
      </c>
      <c r="EX652" s="1359"/>
      <c r="EY652" s="1359"/>
      <c r="EZ652" s="1359"/>
      <c r="FA652" s="1359"/>
    </row>
    <row r="653" spans="1:157" ht="12.95" customHeight="1">
      <c r="A653" s="22"/>
      <c r="B653" t="s">
        <v>589</v>
      </c>
      <c r="G653" s="1464" t="s">
        <v>2778</v>
      </c>
      <c r="H653" s="1464"/>
      <c r="I653" s="1464"/>
      <c r="J653" s="1464"/>
      <c r="K653" s="1464"/>
      <c r="L653" s="1464"/>
      <c r="M653" s="1464"/>
      <c r="N653" s="1464"/>
      <c r="O653" s="1464"/>
      <c r="P653" s="1464"/>
      <c r="Q653" s="1464"/>
      <c r="R653" s="1464"/>
      <c r="T653" s="22"/>
      <c r="U653" t="s">
        <v>589</v>
      </c>
      <c r="Z653" s="1464" t="s">
        <v>2777</v>
      </c>
      <c r="AA653" s="1464"/>
      <c r="AB653" s="1464"/>
      <c r="AC653" s="1464"/>
      <c r="AD653" s="1464"/>
      <c r="AE653" s="1464"/>
      <c r="AF653" s="1464"/>
      <c r="AG653" s="1464"/>
      <c r="AH653" s="1464"/>
      <c r="AI653" s="1464"/>
      <c r="AJ653" s="1464"/>
      <c r="AK653" s="1464"/>
      <c r="AZ653" s="34"/>
      <c r="BA653" s="34"/>
      <c r="BB653" s="34"/>
      <c r="BC653" s="34"/>
      <c r="BD653" s="34"/>
      <c r="BE653" s="34"/>
      <c r="BF653" s="34"/>
      <c r="BG653" s="34"/>
      <c r="BH653" s="34"/>
      <c r="BI653" s="34"/>
      <c r="BJ653" s="34"/>
      <c r="BK653" s="34"/>
      <c r="BL653" s="34"/>
      <c r="BM653" s="34"/>
      <c r="BN653" s="1525">
        <f t="shared" si="31"/>
        <v>0</v>
      </c>
      <c r="BO653" s="1526"/>
      <c r="BP653" s="1526"/>
      <c r="BQ653" s="1526"/>
      <c r="BR653" s="1527"/>
      <c r="BS653" s="1363">
        <f t="shared" si="32"/>
        <v>0</v>
      </c>
      <c r="BT653" s="1363"/>
      <c r="BU653" s="1363"/>
      <c r="BV653" s="1363"/>
      <c r="BW653" s="1363"/>
      <c r="BX653" s="1363">
        <f t="shared" si="33"/>
        <v>0</v>
      </c>
      <c r="BY653" s="1363"/>
      <c r="BZ653" s="1363"/>
      <c r="CA653" s="1363"/>
      <c r="CB653" s="1363"/>
      <c r="CC653" s="1363">
        <f t="shared" si="34"/>
        <v>0</v>
      </c>
      <c r="CD653" s="1363"/>
      <c r="CE653" s="1363"/>
      <c r="CF653" s="1363"/>
      <c r="CG653" s="1363"/>
      <c r="CH653" s="1363">
        <f t="shared" si="35"/>
        <v>0</v>
      </c>
      <c r="CI653" s="1363"/>
      <c r="CJ653" s="1363"/>
      <c r="CK653" s="1363"/>
      <c r="CL653" s="1363"/>
      <c r="CM653" s="1363">
        <f t="shared" si="36"/>
        <v>0</v>
      </c>
      <c r="CN653" s="1363"/>
      <c r="CO653" s="1363"/>
      <c r="CP653" s="1363"/>
      <c r="CQ653" s="1363"/>
      <c r="CR653" s="6"/>
      <c r="CS653" s="1525">
        <f t="shared" si="37"/>
        <v>0</v>
      </c>
      <c r="CT653" s="1526"/>
      <c r="CU653" s="1526"/>
      <c r="CV653" s="1526"/>
      <c r="CW653" s="1527"/>
      <c r="CX653" s="1525">
        <f t="shared" si="38"/>
        <v>0</v>
      </c>
      <c r="CY653" s="1526"/>
      <c r="CZ653" s="1526"/>
      <c r="DA653" s="1526"/>
      <c r="DB653" s="1527"/>
      <c r="DC653" s="1525">
        <f t="shared" si="39"/>
        <v>0</v>
      </c>
      <c r="DD653" s="1526"/>
      <c r="DE653" s="1526"/>
      <c r="DF653" s="1526"/>
      <c r="DG653" s="1527"/>
      <c r="DH653" s="1525">
        <f t="shared" si="40"/>
        <v>0</v>
      </c>
      <c r="DI653" s="1526"/>
      <c r="DJ653" s="1526"/>
      <c r="DK653" s="1526"/>
      <c r="DL653" s="1527"/>
      <c r="DM653" s="1525">
        <f t="shared" si="41"/>
        <v>0</v>
      </c>
      <c r="DN653" s="1526"/>
      <c r="DO653" s="1526"/>
      <c r="DP653" s="1526"/>
      <c r="DQ653" s="1527"/>
      <c r="DR653" s="1525">
        <f t="shared" si="42"/>
        <v>0</v>
      </c>
      <c r="DS653" s="1526"/>
      <c r="DT653" s="1526"/>
      <c r="DU653" s="1526"/>
      <c r="DV653" s="1527"/>
      <c r="DX653" s="1359" t="e">
        <f t="shared" si="30"/>
        <v>#VALUE!</v>
      </c>
      <c r="DY653" s="1359"/>
      <c r="DZ653" s="1359"/>
      <c r="EA653" s="1359"/>
      <c r="EB653" s="1359"/>
      <c r="EC653" s="1359" t="e">
        <f t="shared" si="25"/>
        <v>#VALUE!</v>
      </c>
      <c r="ED653" s="1359"/>
      <c r="EE653" s="1359"/>
      <c r="EF653" s="1359"/>
      <c r="EG653" s="1359"/>
      <c r="EH653" s="1359" t="e">
        <f t="shared" si="26"/>
        <v>#VALUE!</v>
      </c>
      <c r="EI653" s="1359"/>
      <c r="EJ653" s="1359"/>
      <c r="EK653" s="1359"/>
      <c r="EL653" s="1359"/>
      <c r="EM653" s="1359" t="e">
        <f t="shared" si="27"/>
        <v>#VALUE!</v>
      </c>
      <c r="EN653" s="1359"/>
      <c r="EO653" s="1359"/>
      <c r="EP653" s="1359"/>
      <c r="EQ653" s="1359"/>
      <c r="ER653" s="1359" t="e">
        <f t="shared" si="28"/>
        <v>#VALUE!</v>
      </c>
      <c r="ES653" s="1359"/>
      <c r="ET653" s="1359"/>
      <c r="EU653" s="1359"/>
      <c r="EV653" s="1359"/>
      <c r="EW653" s="1359" t="e">
        <f t="shared" si="29"/>
        <v>#VALUE!</v>
      </c>
      <c r="EX653" s="1359"/>
      <c r="EY653" s="1359"/>
      <c r="EZ653" s="1359"/>
      <c r="FA653" s="1359"/>
    </row>
    <row r="654" spans="1:157" ht="12.95" customHeight="1">
      <c r="A654" s="22"/>
      <c r="B654" t="s">
        <v>17</v>
      </c>
      <c r="G654" s="1464" t="s">
        <v>2773</v>
      </c>
      <c r="H654" s="1464"/>
      <c r="I654" s="1464"/>
      <c r="J654" s="1464"/>
      <c r="K654" s="1464"/>
      <c r="L654" s="1464"/>
      <c r="M654" s="1464"/>
      <c r="N654" s="1464"/>
      <c r="O654" s="1464"/>
      <c r="P654" s="1464"/>
      <c r="Q654" s="1464"/>
      <c r="R654" s="1464"/>
      <c r="T654" s="22"/>
      <c r="U654" t="s">
        <v>17</v>
      </c>
      <c r="Z654" s="1464" t="s">
        <v>2779</v>
      </c>
      <c r="AA654" s="1464"/>
      <c r="AB654" s="1464"/>
      <c r="AC654" s="1464"/>
      <c r="AD654" s="1464"/>
      <c r="AE654" s="1464"/>
      <c r="AF654" s="1464"/>
      <c r="AG654" s="1464"/>
      <c r="AH654" s="1464"/>
      <c r="AI654" s="1464"/>
      <c r="AJ654" s="1464"/>
      <c r="AK654" s="1464"/>
      <c r="AZ654" s="34"/>
      <c r="BA654" s="34"/>
      <c r="BB654" s="34"/>
      <c r="BC654" s="34"/>
      <c r="BD654" s="34"/>
      <c r="BE654" s="34"/>
      <c r="BF654" s="34"/>
      <c r="BG654" s="34"/>
      <c r="BH654" s="34"/>
      <c r="BI654" s="34"/>
      <c r="BJ654" s="34"/>
      <c r="BK654" s="34"/>
      <c r="BL654" s="34"/>
      <c r="BM654" s="34"/>
      <c r="BN654" s="1525">
        <f t="shared" si="31"/>
        <v>0</v>
      </c>
      <c r="BO654" s="1526"/>
      <c r="BP654" s="1526"/>
      <c r="BQ654" s="1526"/>
      <c r="BR654" s="1527"/>
      <c r="BS654" s="1363">
        <f t="shared" si="32"/>
        <v>0</v>
      </c>
      <c r="BT654" s="1363"/>
      <c r="BU654" s="1363"/>
      <c r="BV654" s="1363"/>
      <c r="BW654" s="1363"/>
      <c r="BX654" s="1363">
        <f t="shared" si="33"/>
        <v>0</v>
      </c>
      <c r="BY654" s="1363"/>
      <c r="BZ654" s="1363"/>
      <c r="CA654" s="1363"/>
      <c r="CB654" s="1363"/>
      <c r="CC654" s="1363">
        <f t="shared" si="34"/>
        <v>0</v>
      </c>
      <c r="CD654" s="1363"/>
      <c r="CE654" s="1363"/>
      <c r="CF654" s="1363"/>
      <c r="CG654" s="1363"/>
      <c r="CH654" s="1363">
        <f t="shared" si="35"/>
        <v>0</v>
      </c>
      <c r="CI654" s="1363"/>
      <c r="CJ654" s="1363"/>
      <c r="CK654" s="1363"/>
      <c r="CL654" s="1363"/>
      <c r="CM654" s="1363">
        <f t="shared" si="36"/>
        <v>0</v>
      </c>
      <c r="CN654" s="1363"/>
      <c r="CO654" s="1363"/>
      <c r="CP654" s="1363"/>
      <c r="CQ654" s="1363"/>
      <c r="CR654" s="6"/>
      <c r="CS654" s="1525">
        <f t="shared" si="37"/>
        <v>0</v>
      </c>
      <c r="CT654" s="1526"/>
      <c r="CU654" s="1526"/>
      <c r="CV654" s="1526"/>
      <c r="CW654" s="1527"/>
      <c r="CX654" s="1525">
        <f t="shared" si="38"/>
        <v>0</v>
      </c>
      <c r="CY654" s="1526"/>
      <c r="CZ654" s="1526"/>
      <c r="DA654" s="1526"/>
      <c r="DB654" s="1527"/>
      <c r="DC654" s="1525">
        <f t="shared" si="39"/>
        <v>0</v>
      </c>
      <c r="DD654" s="1526"/>
      <c r="DE654" s="1526"/>
      <c r="DF654" s="1526"/>
      <c r="DG654" s="1527"/>
      <c r="DH654" s="1525">
        <f t="shared" si="40"/>
        <v>0</v>
      </c>
      <c r="DI654" s="1526"/>
      <c r="DJ654" s="1526"/>
      <c r="DK654" s="1526"/>
      <c r="DL654" s="1527"/>
      <c r="DM654" s="1525">
        <f t="shared" si="41"/>
        <v>0</v>
      </c>
      <c r="DN654" s="1526"/>
      <c r="DO654" s="1526"/>
      <c r="DP654" s="1526"/>
      <c r="DQ654" s="1527"/>
      <c r="DR654" s="1525">
        <f t="shared" si="42"/>
        <v>0</v>
      </c>
      <c r="DS654" s="1526"/>
      <c r="DT654" s="1526"/>
      <c r="DU654" s="1526"/>
      <c r="DV654" s="1527"/>
      <c r="DX654" s="1359" t="e">
        <f t="shared" si="30"/>
        <v>#VALUE!</v>
      </c>
      <c r="DY654" s="1359"/>
      <c r="DZ654" s="1359"/>
      <c r="EA654" s="1359"/>
      <c r="EB654" s="1359"/>
      <c r="EC654" s="1359" t="e">
        <f t="shared" si="25"/>
        <v>#VALUE!</v>
      </c>
      <c r="ED654" s="1359"/>
      <c r="EE654" s="1359"/>
      <c r="EF654" s="1359"/>
      <c r="EG654" s="1359"/>
      <c r="EH654" s="1359" t="e">
        <f t="shared" si="26"/>
        <v>#VALUE!</v>
      </c>
      <c r="EI654" s="1359"/>
      <c r="EJ654" s="1359"/>
      <c r="EK654" s="1359"/>
      <c r="EL654" s="1359"/>
      <c r="EM654" s="1359" t="e">
        <f t="shared" si="27"/>
        <v>#VALUE!</v>
      </c>
      <c r="EN654" s="1359"/>
      <c r="EO654" s="1359"/>
      <c r="EP654" s="1359"/>
      <c r="EQ654" s="1359"/>
      <c r="ER654" s="1359" t="e">
        <f t="shared" si="28"/>
        <v>#VALUE!</v>
      </c>
      <c r="ES654" s="1359"/>
      <c r="ET654" s="1359"/>
      <c r="EU654" s="1359"/>
      <c r="EV654" s="1359"/>
      <c r="EW654" s="1359" t="e">
        <f t="shared" si="29"/>
        <v>#VALUE!</v>
      </c>
      <c r="EX654" s="1359"/>
      <c r="EY654" s="1359"/>
      <c r="EZ654" s="1359"/>
      <c r="FA654" s="1359"/>
    </row>
    <row r="655" spans="1:157" ht="12.95" customHeight="1">
      <c r="A655" s="22"/>
      <c r="B655" t="s">
        <v>317</v>
      </c>
      <c r="G655" s="1494" t="s">
        <v>2774</v>
      </c>
      <c r="H655" s="1494"/>
      <c r="I655" s="1494"/>
      <c r="J655" s="1494"/>
      <c r="K655" s="1494"/>
      <c r="L655" s="1494"/>
      <c r="O655" s="33" t="s">
        <v>207</v>
      </c>
      <c r="P655" s="1496"/>
      <c r="Q655" s="1496"/>
      <c r="R655" s="1496"/>
      <c r="T655" s="22"/>
      <c r="U655" t="s">
        <v>317</v>
      </c>
      <c r="Z655" s="1494" t="s">
        <v>2780</v>
      </c>
      <c r="AA655" s="1494"/>
      <c r="AB655" s="1494"/>
      <c r="AC655" s="1494"/>
      <c r="AD655" s="1494"/>
      <c r="AE655" s="1494"/>
      <c r="AH655" s="33" t="s">
        <v>207</v>
      </c>
      <c r="AI655" s="1496"/>
      <c r="AJ655" s="1496"/>
      <c r="AK655" s="1496"/>
      <c r="AZ655" s="34"/>
      <c r="BA655" s="34"/>
      <c r="BB655" s="34"/>
      <c r="BC655" s="34"/>
      <c r="BD655" s="34"/>
      <c r="BE655" s="34"/>
      <c r="BF655" s="34"/>
      <c r="BG655" s="34"/>
      <c r="BH655" s="34"/>
      <c r="BI655" s="34"/>
      <c r="BJ655" s="34"/>
      <c r="BK655" s="34"/>
      <c r="BL655" s="34"/>
      <c r="BM655" s="34"/>
      <c r="BN655" s="1523">
        <f>SUM(BN645:BR654)</f>
        <v>0</v>
      </c>
      <c r="BO655" s="1727"/>
      <c r="BP655" s="1727"/>
      <c r="BQ655" s="1727"/>
      <c r="BR655" s="1524"/>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769">
        <f>SUM(CS645:CW654)</f>
        <v>0</v>
      </c>
      <c r="CT655" s="1769"/>
      <c r="CU655" s="1769"/>
      <c r="CV655" s="1769"/>
      <c r="CW655" s="1769"/>
      <c r="CX655" s="1769">
        <f>SUM(CX645:DB654)</f>
        <v>0</v>
      </c>
      <c r="CY655" s="1769"/>
      <c r="CZ655" s="1769"/>
      <c r="DA655" s="1769"/>
      <c r="DB655" s="1769"/>
      <c r="DC655" s="1769">
        <f>SUM(DC645:DG654)</f>
        <v>0</v>
      </c>
      <c r="DD655" s="1769"/>
      <c r="DE655" s="1769"/>
      <c r="DF655" s="1769"/>
      <c r="DG655" s="1769"/>
      <c r="DH655" s="1769">
        <f>SUM(DH645:DL654)</f>
        <v>0</v>
      </c>
      <c r="DI655" s="1769"/>
      <c r="DJ655" s="1769"/>
      <c r="DK655" s="1769"/>
      <c r="DL655" s="1769"/>
      <c r="DM655" s="1769">
        <f>SUM(DM645:DQ654)</f>
        <v>0</v>
      </c>
      <c r="DN655" s="1769"/>
      <c r="DO655" s="1769"/>
      <c r="DP655" s="1769"/>
      <c r="DQ655" s="1769"/>
      <c r="DR655" s="1769">
        <f>SUM(DR645:DV654)</f>
        <v>0</v>
      </c>
      <c r="DS655" s="1769"/>
      <c r="DT655" s="1769"/>
      <c r="DU655" s="1769"/>
      <c r="DV655" s="1769"/>
      <c r="DX655" s="1359" t="e">
        <f t="shared" si="30"/>
        <v>#VALUE!</v>
      </c>
      <c r="DY655" s="1359"/>
      <c r="DZ655" s="1359"/>
      <c r="EA655" s="1359"/>
      <c r="EB655" s="1359"/>
      <c r="EC655" s="1359" t="e">
        <f t="shared" si="25"/>
        <v>#VALUE!</v>
      </c>
      <c r="ED655" s="1359"/>
      <c r="EE655" s="1359"/>
      <c r="EF655" s="1359"/>
      <c r="EG655" s="1359"/>
      <c r="EH655" s="1359" t="e">
        <f t="shared" si="26"/>
        <v>#VALUE!</v>
      </c>
      <c r="EI655" s="1359"/>
      <c r="EJ655" s="1359"/>
      <c r="EK655" s="1359"/>
      <c r="EL655" s="1359"/>
      <c r="EM655" s="1359" t="e">
        <f t="shared" si="27"/>
        <v>#VALUE!</v>
      </c>
      <c r="EN655" s="1359"/>
      <c r="EO655" s="1359"/>
      <c r="EP655" s="1359"/>
      <c r="EQ655" s="1359"/>
      <c r="ER655" s="1359" t="e">
        <f t="shared" si="28"/>
        <v>#VALUE!</v>
      </c>
      <c r="ES655" s="1359"/>
      <c r="ET655" s="1359"/>
      <c r="EU655" s="1359"/>
      <c r="EV655" s="1359"/>
      <c r="EW655" s="1359" t="e">
        <f t="shared" si="29"/>
        <v>#VALUE!</v>
      </c>
      <c r="EX655" s="1359"/>
      <c r="EY655" s="1359"/>
      <c r="EZ655" s="1359"/>
      <c r="FA655" s="1359"/>
    </row>
    <row r="656" spans="1:157" ht="12.95" customHeight="1">
      <c r="A656" s="22"/>
      <c r="B656" t="s">
        <v>18</v>
      </c>
      <c r="H656" s="1463" t="s">
        <v>2775</v>
      </c>
      <c r="I656" s="1463"/>
      <c r="J656" s="1463"/>
      <c r="K656" s="1463"/>
      <c r="L656" s="1463"/>
      <c r="M656" s="1463"/>
      <c r="N656" s="1463"/>
      <c r="O656" s="1463"/>
      <c r="P656" s="1463"/>
      <c r="Q656" s="1463"/>
      <c r="R656" s="1463"/>
      <c r="T656" s="22"/>
      <c r="U656" t="s">
        <v>18</v>
      </c>
      <c r="AA656" s="1463" t="s">
        <v>2775</v>
      </c>
      <c r="AB656" s="1463"/>
      <c r="AC656" s="1463"/>
      <c r="AD656" s="1463"/>
      <c r="AE656" s="1463"/>
      <c r="AF656" s="1463"/>
      <c r="AG656" s="1463"/>
      <c r="AH656" s="1463"/>
      <c r="AI656" s="1463"/>
      <c r="AJ656" s="1463"/>
      <c r="AK656" s="146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9" t="e">
        <f t="shared" si="30"/>
        <v>#VALUE!</v>
      </c>
      <c r="DY656" s="1359"/>
      <c r="DZ656" s="1359"/>
      <c r="EA656" s="1359"/>
      <c r="EB656" s="1359"/>
      <c r="EC656" s="1359" t="e">
        <f t="shared" si="25"/>
        <v>#VALUE!</v>
      </c>
      <c r="ED656" s="1359"/>
      <c r="EE656" s="1359"/>
      <c r="EF656" s="1359"/>
      <c r="EG656" s="1359"/>
      <c r="EH656" s="1359" t="e">
        <f t="shared" si="26"/>
        <v>#VALUE!</v>
      </c>
      <c r="EI656" s="1359"/>
      <c r="EJ656" s="1359"/>
      <c r="EK656" s="1359"/>
      <c r="EL656" s="1359"/>
      <c r="EM656" s="1359" t="e">
        <f t="shared" si="27"/>
        <v>#VALUE!</v>
      </c>
      <c r="EN656" s="1359"/>
      <c r="EO656" s="1359"/>
      <c r="EP656" s="1359"/>
      <c r="EQ656" s="1359"/>
      <c r="ER656" s="1359" t="e">
        <f t="shared" si="28"/>
        <v>#VALUE!</v>
      </c>
      <c r="ES656" s="1359"/>
      <c r="ET656" s="1359"/>
      <c r="EU656" s="1359"/>
      <c r="EV656" s="1359"/>
      <c r="EW656" s="1359" t="e">
        <f t="shared" si="29"/>
        <v>#VALUE!</v>
      </c>
      <c r="EX656" s="1359"/>
      <c r="EY656" s="1359"/>
      <c r="EZ656" s="1359"/>
      <c r="FA656" s="1359"/>
    </row>
    <row r="657" spans="1:157" ht="12.95" customHeight="1">
      <c r="A657" s="22"/>
      <c r="B657" t="s">
        <v>20</v>
      </c>
      <c r="N657" s="1440" t="s">
        <v>554</v>
      </c>
      <c r="O657" s="1440"/>
      <c r="T657" s="22"/>
      <c r="U657" t="s">
        <v>20</v>
      </c>
      <c r="AG657" s="1440" t="s">
        <v>554</v>
      </c>
      <c r="AH657" s="144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59">
        <f>SUM(CS655:DV655)</f>
        <v>0</v>
      </c>
      <c r="DS657" s="1359"/>
      <c r="DT657" s="1359"/>
      <c r="DU657" s="1359"/>
      <c r="DV657" s="1359"/>
      <c r="DX657" s="1359" t="e">
        <f t="shared" si="30"/>
        <v>#VALUE!</v>
      </c>
      <c r="DY657" s="1359"/>
      <c r="DZ657" s="1359"/>
      <c r="EA657" s="1359"/>
      <c r="EB657" s="1359"/>
      <c r="EC657" s="1359" t="e">
        <f t="shared" si="25"/>
        <v>#VALUE!</v>
      </c>
      <c r="ED657" s="1359"/>
      <c r="EE657" s="1359"/>
      <c r="EF657" s="1359"/>
      <c r="EG657" s="1359"/>
      <c r="EH657" s="1359" t="e">
        <f t="shared" si="26"/>
        <v>#VALUE!</v>
      </c>
      <c r="EI657" s="1359"/>
      <c r="EJ657" s="1359"/>
      <c r="EK657" s="1359"/>
      <c r="EL657" s="1359"/>
      <c r="EM657" s="1359" t="e">
        <f t="shared" si="27"/>
        <v>#VALUE!</v>
      </c>
      <c r="EN657" s="1359"/>
      <c r="EO657" s="1359"/>
      <c r="EP657" s="1359"/>
      <c r="EQ657" s="1359"/>
      <c r="ER657" s="1359" t="e">
        <f t="shared" si="28"/>
        <v>#VALUE!</v>
      </c>
      <c r="ES657" s="1359"/>
      <c r="ET657" s="1359"/>
      <c r="EU657" s="1359"/>
      <c r="EV657" s="1359"/>
      <c r="EW657" s="1359" t="e">
        <f t="shared" si="29"/>
        <v>#VALUE!</v>
      </c>
      <c r="EX657" s="1359"/>
      <c r="EY657" s="1359"/>
      <c r="EZ657" s="1359"/>
      <c r="FA657" s="135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9" t="e">
        <f t="shared" ref="DX658:DX667" si="43">DX620*(BN620/$BN$632)</f>
        <v>#VALUE!</v>
      </c>
      <c r="DY658" s="1359"/>
      <c r="DZ658" s="1359"/>
      <c r="EA658" s="1359"/>
      <c r="EB658" s="1359"/>
      <c r="EC658" s="1359" t="e">
        <f t="shared" ref="EC658:EC667" si="44">EC620*(BS620/$BS$632)</f>
        <v>#VALUE!</v>
      </c>
      <c r="ED658" s="1359"/>
      <c r="EE658" s="1359"/>
      <c r="EF658" s="1359"/>
      <c r="EG658" s="1359"/>
      <c r="EH658" s="1359" t="e">
        <f t="shared" ref="EH658:EH667" si="45">EH620*(BX620/$BX$632)</f>
        <v>#VALUE!</v>
      </c>
      <c r="EI658" s="1359"/>
      <c r="EJ658" s="1359"/>
      <c r="EK658" s="1359"/>
      <c r="EL658" s="1359"/>
      <c r="EM658" s="1359" t="e">
        <f t="shared" ref="EM658:EM667" si="46">EM620*(CC620/$CC$632)</f>
        <v>#VALUE!</v>
      </c>
      <c r="EN658" s="1359"/>
      <c r="EO658" s="1359"/>
      <c r="EP658" s="1359"/>
      <c r="EQ658" s="1359"/>
      <c r="ER658" s="1359" t="e">
        <f t="shared" ref="ER658:ER667" si="47">ER620*(CH620/$CH$632)</f>
        <v>#VALUE!</v>
      </c>
      <c r="ES658" s="1359"/>
      <c r="ET658" s="1359"/>
      <c r="EU658" s="1359"/>
      <c r="EV658" s="1359"/>
      <c r="EW658" s="1359" t="e">
        <f t="shared" ref="EW658:EW667" si="48">EW620*(CM620/$CM$632)</f>
        <v>#VALUE!</v>
      </c>
      <c r="EX658" s="1359"/>
      <c r="EY658" s="1359"/>
      <c r="EZ658" s="1359"/>
      <c r="FA658" s="1359"/>
    </row>
    <row r="659" spans="1:157" ht="12.95" customHeight="1">
      <c r="A659" s="55" t="s">
        <v>773</v>
      </c>
      <c r="B659" t="s">
        <v>472</v>
      </c>
      <c r="G659" s="1462" t="str">
        <f>C631</f>
        <v>Deferred Developer Fee</v>
      </c>
      <c r="H659" s="1462"/>
      <c r="I659" s="1462"/>
      <c r="J659" s="1462"/>
      <c r="K659" s="1462"/>
      <c r="L659" s="1462"/>
      <c r="M659" s="1462"/>
      <c r="N659" s="1462"/>
      <c r="O659" s="1462"/>
      <c r="P659" s="1462"/>
      <c r="Q659" s="1462"/>
      <c r="R659" s="1462"/>
      <c r="T659" s="55" t="s">
        <v>593</v>
      </c>
      <c r="U659" t="s">
        <v>472</v>
      </c>
      <c r="Z659" s="1462" t="str">
        <f>C632</f>
        <v>Deferred Developer Fee - GP Contribution</v>
      </c>
      <c r="AA659" s="1462"/>
      <c r="AB659" s="1462"/>
      <c r="AC659" s="1462"/>
      <c r="AD659" s="1462"/>
      <c r="AE659" s="1462"/>
      <c r="AF659" s="1462"/>
      <c r="AG659" s="1462"/>
      <c r="AH659" s="1462"/>
      <c r="AI659" s="1462"/>
      <c r="AJ659" s="1462"/>
      <c r="AK659" s="146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9" t="e">
        <f t="shared" si="43"/>
        <v>#VALUE!</v>
      </c>
      <c r="DY659" s="1359"/>
      <c r="DZ659" s="1359"/>
      <c r="EA659" s="1359"/>
      <c r="EB659" s="1359"/>
      <c r="EC659" s="1359" t="e">
        <f t="shared" si="44"/>
        <v>#VALUE!</v>
      </c>
      <c r="ED659" s="1359"/>
      <c r="EE659" s="1359"/>
      <c r="EF659" s="1359"/>
      <c r="EG659" s="1359"/>
      <c r="EH659" s="1359" t="e">
        <f t="shared" si="45"/>
        <v>#VALUE!</v>
      </c>
      <c r="EI659" s="1359"/>
      <c r="EJ659" s="1359"/>
      <c r="EK659" s="1359"/>
      <c r="EL659" s="1359"/>
      <c r="EM659" s="1359" t="e">
        <f t="shared" si="46"/>
        <v>#VALUE!</v>
      </c>
      <c r="EN659" s="1359"/>
      <c r="EO659" s="1359"/>
      <c r="EP659" s="1359"/>
      <c r="EQ659" s="1359"/>
      <c r="ER659" s="1359" t="e">
        <f t="shared" si="47"/>
        <v>#VALUE!</v>
      </c>
      <c r="ES659" s="1359"/>
      <c r="ET659" s="1359"/>
      <c r="EU659" s="1359"/>
      <c r="EV659" s="1359"/>
      <c r="EW659" s="1359" t="e">
        <f t="shared" si="48"/>
        <v>#VALUE!</v>
      </c>
      <c r="EX659" s="1359"/>
      <c r="EY659" s="1359"/>
      <c r="EZ659" s="1359"/>
      <c r="FA659" s="1359"/>
    </row>
    <row r="660" spans="1:157" ht="12.95" customHeight="1">
      <c r="A660" s="22"/>
      <c r="B660" t="s">
        <v>85</v>
      </c>
      <c r="G660" s="1463" t="s">
        <v>2674</v>
      </c>
      <c r="H660" s="1463"/>
      <c r="I660" s="1463"/>
      <c r="J660" s="1463"/>
      <c r="K660" s="1463"/>
      <c r="L660" s="1463"/>
      <c r="M660" s="1463"/>
      <c r="N660" s="1463"/>
      <c r="O660" s="1463"/>
      <c r="P660" s="1463"/>
      <c r="Q660" s="1463"/>
      <c r="R660" s="1463"/>
      <c r="T660" s="22"/>
      <c r="U660" t="s">
        <v>85</v>
      </c>
      <c r="Z660" s="1463" t="s">
        <v>2674</v>
      </c>
      <c r="AA660" s="1463"/>
      <c r="AB660" s="1463"/>
      <c r="AC660" s="1463"/>
      <c r="AD660" s="1463"/>
      <c r="AE660" s="1463"/>
      <c r="AF660" s="1463"/>
      <c r="AG660" s="1463"/>
      <c r="AH660" s="1463"/>
      <c r="AI660" s="1463"/>
      <c r="AJ660" s="1463"/>
      <c r="AK660" s="1463"/>
      <c r="AZ660" s="34"/>
      <c r="BA660" s="34"/>
      <c r="BB660" s="34"/>
      <c r="BC660" s="34"/>
      <c r="BD660" s="34"/>
      <c r="BE660" s="34"/>
      <c r="BF660" s="34"/>
      <c r="BG660" s="34"/>
      <c r="BH660" s="34"/>
      <c r="BI660" s="34"/>
      <c r="BJ660" s="34"/>
      <c r="BK660" s="34"/>
      <c r="BL660" s="34"/>
      <c r="BM660" s="34"/>
      <c r="BN660" s="1728">
        <f>BN632+BN641+BN655</f>
        <v>35</v>
      </c>
      <c r="BO660" s="1729"/>
      <c r="BP660" s="1729"/>
      <c r="BQ660" s="1729"/>
      <c r="BR660" s="1730"/>
      <c r="BS660" s="1728">
        <f>BS632+BS641+BS655</f>
        <v>36</v>
      </c>
      <c r="BT660" s="1729"/>
      <c r="BU660" s="1729"/>
      <c r="BV660" s="1729"/>
      <c r="BW660" s="1730"/>
      <c r="BX660" s="1728">
        <f>BX632+BX641+BX655</f>
        <v>1</v>
      </c>
      <c r="BY660" s="1729"/>
      <c r="BZ660" s="1729"/>
      <c r="CA660" s="1729"/>
      <c r="CB660" s="1730"/>
      <c r="CC660" s="1728">
        <f>CC632+CC641+CC655</f>
        <v>0</v>
      </c>
      <c r="CD660" s="1729"/>
      <c r="CE660" s="1729"/>
      <c r="CF660" s="1729"/>
      <c r="CG660" s="1730"/>
      <c r="CH660" s="1728">
        <f>CH632+CH641+CH655</f>
        <v>0</v>
      </c>
      <c r="CI660" s="1729"/>
      <c r="CJ660" s="1729"/>
      <c r="CK660" s="1729"/>
      <c r="CL660" s="1730"/>
      <c r="CM660" s="1360">
        <f>CM655+CM641+CM632</f>
        <v>0</v>
      </c>
      <c r="CN660" s="1361"/>
      <c r="CO660" s="1361"/>
      <c r="CP660" s="1361"/>
      <c r="CQ660" s="1362"/>
      <c r="CR660" s="3"/>
      <c r="CS660" s="895">
        <f>CS634+CS658</f>
        <v>71</v>
      </c>
      <c r="CT660" s="57" t="s">
        <v>2056</v>
      </c>
      <c r="CU660" s="3"/>
      <c r="CV660" s="3"/>
      <c r="CW660" s="3"/>
      <c r="CX660" s="3"/>
      <c r="CY660" s="3"/>
      <c r="CZ660" s="3"/>
      <c r="DA660" s="3"/>
      <c r="DB660" s="3"/>
      <c r="DC660" s="3"/>
      <c r="DD660" s="3"/>
      <c r="DE660" s="3"/>
      <c r="DF660" s="3"/>
      <c r="DX660" s="1359" t="e">
        <f t="shared" si="43"/>
        <v>#VALUE!</v>
      </c>
      <c r="DY660" s="1359"/>
      <c r="DZ660" s="1359"/>
      <c r="EA660" s="1359"/>
      <c r="EB660" s="1359"/>
      <c r="EC660" s="1359" t="e">
        <f t="shared" si="44"/>
        <v>#VALUE!</v>
      </c>
      <c r="ED660" s="1359"/>
      <c r="EE660" s="1359"/>
      <c r="EF660" s="1359"/>
      <c r="EG660" s="1359"/>
      <c r="EH660" s="1359" t="e">
        <f t="shared" si="45"/>
        <v>#VALUE!</v>
      </c>
      <c r="EI660" s="1359"/>
      <c r="EJ660" s="1359"/>
      <c r="EK660" s="1359"/>
      <c r="EL660" s="1359"/>
      <c r="EM660" s="1359" t="e">
        <f t="shared" si="46"/>
        <v>#VALUE!</v>
      </c>
      <c r="EN660" s="1359"/>
      <c r="EO660" s="1359"/>
      <c r="EP660" s="1359"/>
      <c r="EQ660" s="1359"/>
      <c r="ER660" s="1359" t="e">
        <f t="shared" si="47"/>
        <v>#VALUE!</v>
      </c>
      <c r="ES660" s="1359"/>
      <c r="ET660" s="1359"/>
      <c r="EU660" s="1359"/>
      <c r="EV660" s="1359"/>
      <c r="EW660" s="1359" t="e">
        <f t="shared" si="48"/>
        <v>#VALUE!</v>
      </c>
      <c r="EX660" s="1359"/>
      <c r="EY660" s="1359"/>
      <c r="EZ660" s="1359"/>
      <c r="FA660" s="1359"/>
    </row>
    <row r="661" spans="1:157" ht="12.95" customHeight="1">
      <c r="A661" s="22"/>
      <c r="B661" t="s">
        <v>589</v>
      </c>
      <c r="G661" s="1463" t="s">
        <v>2784</v>
      </c>
      <c r="H661" s="1463"/>
      <c r="I661" s="1463"/>
      <c r="J661" s="1463"/>
      <c r="K661" s="1463"/>
      <c r="L661" s="1463"/>
      <c r="M661" s="1463"/>
      <c r="N661" s="1463"/>
      <c r="O661" s="1463"/>
      <c r="P661" s="1463"/>
      <c r="Q661" s="1463"/>
      <c r="R661" s="1463"/>
      <c r="T661" s="22"/>
      <c r="U661" t="s">
        <v>589</v>
      </c>
      <c r="Z661" s="1464" t="s">
        <v>2784</v>
      </c>
      <c r="AA661" s="1464"/>
      <c r="AB661" s="1464"/>
      <c r="AC661" s="1464"/>
      <c r="AD661" s="1464"/>
      <c r="AE661" s="1464"/>
      <c r="AF661" s="1464"/>
      <c r="AG661" s="1464"/>
      <c r="AH661" s="1464"/>
      <c r="AI661" s="1464"/>
      <c r="AJ661" s="1464"/>
      <c r="AK661" s="146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9" t="e">
        <f t="shared" si="43"/>
        <v>#VALUE!</v>
      </c>
      <c r="DY661" s="1359"/>
      <c r="DZ661" s="1359"/>
      <c r="EA661" s="1359"/>
      <c r="EB661" s="1359"/>
      <c r="EC661" s="1359" t="e">
        <f t="shared" si="44"/>
        <v>#VALUE!</v>
      </c>
      <c r="ED661" s="1359"/>
      <c r="EE661" s="1359"/>
      <c r="EF661" s="1359"/>
      <c r="EG661" s="1359"/>
      <c r="EH661" s="1359" t="e">
        <f t="shared" si="45"/>
        <v>#VALUE!</v>
      </c>
      <c r="EI661" s="1359"/>
      <c r="EJ661" s="1359"/>
      <c r="EK661" s="1359"/>
      <c r="EL661" s="1359"/>
      <c r="EM661" s="1359" t="e">
        <f t="shared" si="46"/>
        <v>#VALUE!</v>
      </c>
      <c r="EN661" s="1359"/>
      <c r="EO661" s="1359"/>
      <c r="EP661" s="1359"/>
      <c r="EQ661" s="1359"/>
      <c r="ER661" s="1359" t="e">
        <f t="shared" si="47"/>
        <v>#VALUE!</v>
      </c>
      <c r="ES661" s="1359"/>
      <c r="ET661" s="1359"/>
      <c r="EU661" s="1359"/>
      <c r="EV661" s="1359"/>
      <c r="EW661" s="1359" t="e">
        <f t="shared" si="48"/>
        <v>#VALUE!</v>
      </c>
      <c r="EX661" s="1359"/>
      <c r="EY661" s="1359"/>
      <c r="EZ661" s="1359"/>
      <c r="FA661" s="1359"/>
    </row>
    <row r="662" spans="1:157" ht="12.95" customHeight="1">
      <c r="A662" s="22"/>
      <c r="B662" t="s">
        <v>17</v>
      </c>
      <c r="G662" s="1463" t="s">
        <v>2672</v>
      </c>
      <c r="H662" s="1463"/>
      <c r="I662" s="1463"/>
      <c r="J662" s="1463"/>
      <c r="K662" s="1463"/>
      <c r="L662" s="1463"/>
      <c r="M662" s="1463"/>
      <c r="N662" s="1463"/>
      <c r="O662" s="1463"/>
      <c r="P662" s="1463"/>
      <c r="Q662" s="1463"/>
      <c r="R662" s="1463"/>
      <c r="T662" s="22"/>
      <c r="U662" t="s">
        <v>17</v>
      </c>
      <c r="Z662" s="1464" t="s">
        <v>2672</v>
      </c>
      <c r="AA662" s="1464"/>
      <c r="AB662" s="1464"/>
      <c r="AC662" s="1464"/>
      <c r="AD662" s="1464"/>
      <c r="AE662" s="1464"/>
      <c r="AF662" s="1464"/>
      <c r="AG662" s="1464"/>
      <c r="AH662" s="1464"/>
      <c r="AI662" s="1464"/>
      <c r="AJ662" s="1464"/>
      <c r="AK662" s="146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9" t="e">
        <f t="shared" si="43"/>
        <v>#VALUE!</v>
      </c>
      <c r="DY662" s="1359"/>
      <c r="DZ662" s="1359"/>
      <c r="EA662" s="1359"/>
      <c r="EB662" s="1359"/>
      <c r="EC662" s="1359" t="e">
        <f t="shared" si="44"/>
        <v>#VALUE!</v>
      </c>
      <c r="ED662" s="1359"/>
      <c r="EE662" s="1359"/>
      <c r="EF662" s="1359"/>
      <c r="EG662" s="1359"/>
      <c r="EH662" s="1359" t="e">
        <f t="shared" si="45"/>
        <v>#VALUE!</v>
      </c>
      <c r="EI662" s="1359"/>
      <c r="EJ662" s="1359"/>
      <c r="EK662" s="1359"/>
      <c r="EL662" s="1359"/>
      <c r="EM662" s="1359" t="e">
        <f t="shared" si="46"/>
        <v>#VALUE!</v>
      </c>
      <c r="EN662" s="1359"/>
      <c r="EO662" s="1359"/>
      <c r="EP662" s="1359"/>
      <c r="EQ662" s="1359"/>
      <c r="ER662" s="1359" t="e">
        <f t="shared" si="47"/>
        <v>#VALUE!</v>
      </c>
      <c r="ES662" s="1359"/>
      <c r="ET662" s="1359"/>
      <c r="EU662" s="1359"/>
      <c r="EV662" s="1359"/>
      <c r="EW662" s="1359" t="e">
        <f t="shared" si="48"/>
        <v>#VALUE!</v>
      </c>
      <c r="EX662" s="1359"/>
      <c r="EY662" s="1359"/>
      <c r="EZ662" s="1359"/>
      <c r="FA662" s="1359"/>
    </row>
    <row r="663" spans="1:157" ht="12.95" customHeight="1">
      <c r="A663" s="22"/>
      <c r="B663" t="s">
        <v>317</v>
      </c>
      <c r="G663" s="1494" t="s">
        <v>2675</v>
      </c>
      <c r="H663" s="1494"/>
      <c r="I663" s="1494"/>
      <c r="J663" s="1494"/>
      <c r="K663" s="1494"/>
      <c r="L663" s="1494"/>
      <c r="O663" s="33" t="s">
        <v>207</v>
      </c>
      <c r="P663" s="1496"/>
      <c r="Q663" s="1496"/>
      <c r="R663" s="1496"/>
      <c r="T663" s="22"/>
      <c r="U663" t="s">
        <v>317</v>
      </c>
      <c r="Z663" s="1494" t="s">
        <v>2675</v>
      </c>
      <c r="AA663" s="1494"/>
      <c r="AB663" s="1494"/>
      <c r="AC663" s="1494"/>
      <c r="AD663" s="1494"/>
      <c r="AE663" s="1494"/>
      <c r="AH663" s="33" t="s">
        <v>207</v>
      </c>
      <c r="AI663" s="1496"/>
      <c r="AJ663" s="1496"/>
      <c r="AK663" s="149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9" t="e">
        <f t="shared" si="43"/>
        <v>#VALUE!</v>
      </c>
      <c r="DY663" s="1359"/>
      <c r="DZ663" s="1359"/>
      <c r="EA663" s="1359"/>
      <c r="EB663" s="1359"/>
      <c r="EC663" s="1359" t="e">
        <f t="shared" si="44"/>
        <v>#VALUE!</v>
      </c>
      <c r="ED663" s="1359"/>
      <c r="EE663" s="1359"/>
      <c r="EF663" s="1359"/>
      <c r="EG663" s="1359"/>
      <c r="EH663" s="1359" t="e">
        <f t="shared" si="45"/>
        <v>#VALUE!</v>
      </c>
      <c r="EI663" s="1359"/>
      <c r="EJ663" s="1359"/>
      <c r="EK663" s="1359"/>
      <c r="EL663" s="1359"/>
      <c r="EM663" s="1359" t="e">
        <f t="shared" si="46"/>
        <v>#VALUE!</v>
      </c>
      <c r="EN663" s="1359"/>
      <c r="EO663" s="1359"/>
      <c r="EP663" s="1359"/>
      <c r="EQ663" s="1359"/>
      <c r="ER663" s="1359" t="e">
        <f t="shared" si="47"/>
        <v>#VALUE!</v>
      </c>
      <c r="ES663" s="1359"/>
      <c r="ET663" s="1359"/>
      <c r="EU663" s="1359"/>
      <c r="EV663" s="1359"/>
      <c r="EW663" s="1359" t="e">
        <f t="shared" si="48"/>
        <v>#VALUE!</v>
      </c>
      <c r="EX663" s="1359"/>
      <c r="EY663" s="1359"/>
      <c r="EZ663" s="1359"/>
      <c r="FA663" s="1359"/>
    </row>
    <row r="664" spans="1:157" ht="12.95" customHeight="1">
      <c r="A664" s="22"/>
      <c r="B664" t="s">
        <v>18</v>
      </c>
      <c r="H664" s="1463" t="s">
        <v>2785</v>
      </c>
      <c r="I664" s="1463"/>
      <c r="J664" s="1463"/>
      <c r="K664" s="1463"/>
      <c r="L664" s="1463"/>
      <c r="M664" s="1463"/>
      <c r="N664" s="1463"/>
      <c r="O664" s="1463"/>
      <c r="P664" s="1463"/>
      <c r="Q664" s="1463"/>
      <c r="R664" s="1463"/>
      <c r="T664" s="22"/>
      <c r="U664" t="s">
        <v>18</v>
      </c>
      <c r="AA664" s="1463" t="s">
        <v>2732</v>
      </c>
      <c r="AB664" s="1463"/>
      <c r="AC664" s="1463"/>
      <c r="AD664" s="1463"/>
      <c r="AE664" s="1463"/>
      <c r="AF664" s="1463"/>
      <c r="AG664" s="1463"/>
      <c r="AH664" s="1463"/>
      <c r="AI664" s="1463"/>
      <c r="AJ664" s="1463"/>
      <c r="AK664" s="146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9" t="e">
        <f t="shared" si="43"/>
        <v>#VALUE!</v>
      </c>
      <c r="DY664" s="1359"/>
      <c r="DZ664" s="1359"/>
      <c r="EA664" s="1359"/>
      <c r="EB664" s="1359"/>
      <c r="EC664" s="1359" t="e">
        <f t="shared" si="44"/>
        <v>#VALUE!</v>
      </c>
      <c r="ED664" s="1359"/>
      <c r="EE664" s="1359"/>
      <c r="EF664" s="1359"/>
      <c r="EG664" s="1359"/>
      <c r="EH664" s="1359" t="e">
        <f t="shared" si="45"/>
        <v>#VALUE!</v>
      </c>
      <c r="EI664" s="1359"/>
      <c r="EJ664" s="1359"/>
      <c r="EK664" s="1359"/>
      <c r="EL664" s="1359"/>
      <c r="EM664" s="1359" t="e">
        <f t="shared" si="46"/>
        <v>#VALUE!</v>
      </c>
      <c r="EN664" s="1359"/>
      <c r="EO664" s="1359"/>
      <c r="EP664" s="1359"/>
      <c r="EQ664" s="1359"/>
      <c r="ER664" s="1359" t="e">
        <f t="shared" si="47"/>
        <v>#VALUE!</v>
      </c>
      <c r="ES664" s="1359"/>
      <c r="ET664" s="1359"/>
      <c r="EU664" s="1359"/>
      <c r="EV664" s="1359"/>
      <c r="EW664" s="1359" t="e">
        <f t="shared" si="48"/>
        <v>#VALUE!</v>
      </c>
      <c r="EX664" s="1359"/>
      <c r="EY664" s="1359"/>
      <c r="EZ664" s="1359"/>
      <c r="FA664" s="1359"/>
    </row>
    <row r="665" spans="1:157" ht="12.95" customHeight="1">
      <c r="A665" s="22"/>
      <c r="B665" t="s">
        <v>20</v>
      </c>
      <c r="N665" s="1440" t="s">
        <v>678</v>
      </c>
      <c r="O665" s="1440"/>
      <c r="T665" s="22"/>
      <c r="U665" t="s">
        <v>20</v>
      </c>
      <c r="AG665" s="1440" t="s">
        <v>678</v>
      </c>
      <c r="AH665" s="144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9" t="e">
        <f t="shared" si="43"/>
        <v>#VALUE!</v>
      </c>
      <c r="DY665" s="1359"/>
      <c r="DZ665" s="1359"/>
      <c r="EA665" s="1359"/>
      <c r="EB665" s="1359"/>
      <c r="EC665" s="1359" t="e">
        <f t="shared" si="44"/>
        <v>#VALUE!</v>
      </c>
      <c r="ED665" s="1359"/>
      <c r="EE665" s="1359"/>
      <c r="EF665" s="1359"/>
      <c r="EG665" s="1359"/>
      <c r="EH665" s="1359" t="e">
        <f t="shared" si="45"/>
        <v>#VALUE!</v>
      </c>
      <c r="EI665" s="1359"/>
      <c r="EJ665" s="1359"/>
      <c r="EK665" s="1359"/>
      <c r="EL665" s="1359"/>
      <c r="EM665" s="1359" t="e">
        <f t="shared" si="46"/>
        <v>#VALUE!</v>
      </c>
      <c r="EN665" s="1359"/>
      <c r="EO665" s="1359"/>
      <c r="EP665" s="1359"/>
      <c r="EQ665" s="1359"/>
      <c r="ER665" s="1359" t="e">
        <f t="shared" si="47"/>
        <v>#VALUE!</v>
      </c>
      <c r="ES665" s="1359"/>
      <c r="ET665" s="1359"/>
      <c r="EU665" s="1359"/>
      <c r="EV665" s="1359"/>
      <c r="EW665" s="1359" t="e">
        <f t="shared" si="48"/>
        <v>#VALUE!</v>
      </c>
      <c r="EX665" s="1359"/>
      <c r="EY665" s="1359"/>
      <c r="EZ665" s="1359"/>
      <c r="FA665" s="135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9" t="e">
        <f t="shared" si="43"/>
        <v>#VALUE!</v>
      </c>
      <c r="DY666" s="1359"/>
      <c r="DZ666" s="1359"/>
      <c r="EA666" s="1359"/>
      <c r="EB666" s="1359"/>
      <c r="EC666" s="1359" t="e">
        <f t="shared" si="44"/>
        <v>#VALUE!</v>
      </c>
      <c r="ED666" s="1359"/>
      <c r="EE666" s="1359"/>
      <c r="EF666" s="1359"/>
      <c r="EG666" s="1359"/>
      <c r="EH666" s="1359" t="e">
        <f t="shared" si="45"/>
        <v>#VALUE!</v>
      </c>
      <c r="EI666" s="1359"/>
      <c r="EJ666" s="1359"/>
      <c r="EK666" s="1359"/>
      <c r="EL666" s="1359"/>
      <c r="EM666" s="1359" t="e">
        <f t="shared" si="46"/>
        <v>#VALUE!</v>
      </c>
      <c r="EN666" s="1359"/>
      <c r="EO666" s="1359"/>
      <c r="EP666" s="1359"/>
      <c r="EQ666" s="1359"/>
      <c r="ER666" s="1359" t="e">
        <f t="shared" si="47"/>
        <v>#VALUE!</v>
      </c>
      <c r="ES666" s="1359"/>
      <c r="ET666" s="1359"/>
      <c r="EU666" s="1359"/>
      <c r="EV666" s="1359"/>
      <c r="EW666" s="1359" t="e">
        <f t="shared" si="48"/>
        <v>#VALUE!</v>
      </c>
      <c r="EX666" s="1359"/>
      <c r="EY666" s="1359"/>
      <c r="EZ666" s="1359"/>
      <c r="FA666" s="1359"/>
    </row>
    <row r="667" spans="1:157" ht="12.95" customHeight="1">
      <c r="A667" s="55" t="s">
        <v>464</v>
      </c>
      <c r="B667" t="s">
        <v>472</v>
      </c>
      <c r="G667" s="1462">
        <f>C633</f>
        <v>0</v>
      </c>
      <c r="H667" s="1462"/>
      <c r="I667" s="1462"/>
      <c r="J667" s="1462"/>
      <c r="K667" s="1462"/>
      <c r="L667" s="1462"/>
      <c r="M667" s="1462"/>
      <c r="N667" s="1462"/>
      <c r="O667" s="1462"/>
      <c r="P667" s="1462"/>
      <c r="Q667" s="1462"/>
      <c r="R667" s="1462"/>
      <c r="T667" s="55" t="s">
        <v>465</v>
      </c>
      <c r="U667" t="s">
        <v>472</v>
      </c>
      <c r="Z667" s="1462">
        <f>C634</f>
        <v>0</v>
      </c>
      <c r="AA667" s="1462"/>
      <c r="AB667" s="1462"/>
      <c r="AC667" s="1462"/>
      <c r="AD667" s="1462"/>
      <c r="AE667" s="1462"/>
      <c r="AF667" s="1462"/>
      <c r="AG667" s="1462"/>
      <c r="AH667" s="1462"/>
      <c r="AI667" s="1462"/>
      <c r="AJ667" s="1462"/>
      <c r="AK667" s="1462"/>
      <c r="AZ667" s="3"/>
      <c r="BA667" s="118">
        <f t="shared" ref="BA667:BA699" si="49">IF($G718=0,"N/A",VLOOKUP($T$189,TC_Rent,(MATCH($B718,bedrooms,FALSE))))</f>
        <v>3252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9" t="e">
        <f t="shared" si="43"/>
        <v>#VALUE!</v>
      </c>
      <c r="DY667" s="1359"/>
      <c r="DZ667" s="1359"/>
      <c r="EA667" s="1359"/>
      <c r="EB667" s="1359"/>
      <c r="EC667" s="1359" t="e">
        <f t="shared" si="44"/>
        <v>#VALUE!</v>
      </c>
      <c r="ED667" s="1359"/>
      <c r="EE667" s="1359"/>
      <c r="EF667" s="1359"/>
      <c r="EG667" s="1359"/>
      <c r="EH667" s="1359" t="e">
        <f t="shared" si="45"/>
        <v>#VALUE!</v>
      </c>
      <c r="EI667" s="1359"/>
      <c r="EJ667" s="1359"/>
      <c r="EK667" s="1359"/>
      <c r="EL667" s="1359"/>
      <c r="EM667" s="1359" t="e">
        <f t="shared" si="46"/>
        <v>#VALUE!</v>
      </c>
      <c r="EN667" s="1359"/>
      <c r="EO667" s="1359"/>
      <c r="EP667" s="1359"/>
      <c r="EQ667" s="1359"/>
      <c r="ER667" s="1359" t="e">
        <f t="shared" si="47"/>
        <v>#VALUE!</v>
      </c>
      <c r="ES667" s="1359"/>
      <c r="ET667" s="1359"/>
      <c r="EU667" s="1359"/>
      <c r="EV667" s="1359"/>
      <c r="EW667" s="1359" t="e">
        <f t="shared" si="48"/>
        <v>#VALUE!</v>
      </c>
      <c r="EX667" s="1359"/>
      <c r="EY667" s="1359"/>
      <c r="EZ667" s="1359"/>
      <c r="FA667" s="1359"/>
    </row>
    <row r="668" spans="1:157" ht="12.95" customHeight="1">
      <c r="A668" s="22"/>
      <c r="B668" t="s">
        <v>85</v>
      </c>
      <c r="G668" s="1463"/>
      <c r="H668" s="1463"/>
      <c r="I668" s="1463"/>
      <c r="J668" s="1463"/>
      <c r="K668" s="1463"/>
      <c r="L668" s="1463"/>
      <c r="M668" s="1463"/>
      <c r="N668" s="1463"/>
      <c r="O668" s="1463"/>
      <c r="P668" s="1463"/>
      <c r="Q668" s="1463"/>
      <c r="R668" s="1463"/>
      <c r="T668" s="22"/>
      <c r="U668" t="s">
        <v>85</v>
      </c>
      <c r="Z668" s="1463"/>
      <c r="AA668" s="1463"/>
      <c r="AB668" s="1463"/>
      <c r="AC668" s="1463"/>
      <c r="AD668" s="1463"/>
      <c r="AE668" s="1463"/>
      <c r="AF668" s="1463"/>
      <c r="AG668" s="1463"/>
      <c r="AH668" s="1463"/>
      <c r="AI668" s="1463"/>
      <c r="AJ668" s="1463"/>
      <c r="AK668" s="1463"/>
      <c r="AZ668" s="3"/>
      <c r="BA668" s="118">
        <f t="shared" si="49"/>
        <v>3252</v>
      </c>
      <c r="BB668" s="3"/>
      <c r="BC668" s="3"/>
      <c r="BD668" s="3"/>
      <c r="BE668" s="3"/>
      <c r="BF668" s="218"/>
      <c r="BG668" s="315">
        <f t="shared" ref="BG668:BG700" si="50">G718</f>
        <v>15</v>
      </c>
      <c r="BH668" s="319">
        <f t="shared" ref="BH668:BH702" si="51">IF($BG$703=0,0,BG668/$BG$703)</f>
        <v>0.21126760563380281</v>
      </c>
      <c r="BI668" s="320">
        <f t="shared" ref="BI668:BI691" si="52">IF(BH668=0,"",BH668*AC718)</f>
        <v>6.3380281690140844E-2</v>
      </c>
      <c r="BJ668" s="3"/>
      <c r="BK668" s="3"/>
      <c r="BL668" s="3"/>
      <c r="BM668" s="3"/>
      <c r="BN668" s="3"/>
      <c r="BO668" s="3"/>
      <c r="BT668" s="315">
        <f t="shared" ref="BT668:BT700" si="53">G718</f>
        <v>15</v>
      </c>
      <c r="BU668" s="319">
        <f t="shared" ref="BU668:BU702" si="54">IF($BT$703=0,0,BT668/$BT$703)</f>
        <v>0.21126760563380281</v>
      </c>
      <c r="BV668" s="320">
        <f t="shared" ref="BV668:BV700" si="55">IF(BU668=0,"",BU668*AH718)</f>
        <v>6.3341302427108781E-2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9" t="e">
        <f>DX630*(BN630/$BN$632)</f>
        <v>#VALUE!</v>
      </c>
      <c r="DY668" s="1359"/>
      <c r="DZ668" s="1359"/>
      <c r="EA668" s="1359"/>
      <c r="EB668" s="1359"/>
      <c r="EC668" s="1359" t="e">
        <f>EC630*(BS630/$BS$632)</f>
        <v>#VALUE!</v>
      </c>
      <c r="ED668" s="1359"/>
      <c r="EE668" s="1359"/>
      <c r="EF668" s="1359"/>
      <c r="EG668" s="1359"/>
      <c r="EH668" s="1359" t="e">
        <f>EH630*(BX630/$BX$632)</f>
        <v>#VALUE!</v>
      </c>
      <c r="EI668" s="1359"/>
      <c r="EJ668" s="1359"/>
      <c r="EK668" s="1359"/>
      <c r="EL668" s="1359"/>
      <c r="EM668" s="1359" t="e">
        <f>EM630*(CC630/$CC$632)</f>
        <v>#VALUE!</v>
      </c>
      <c r="EN668" s="1359"/>
      <c r="EO668" s="1359"/>
      <c r="EP668" s="1359"/>
      <c r="EQ668" s="1359"/>
      <c r="ER668" s="1359" t="e">
        <f>ER630*(CH630/$CH$632)</f>
        <v>#VALUE!</v>
      </c>
      <c r="ES668" s="1359"/>
      <c r="ET668" s="1359"/>
      <c r="EU668" s="1359"/>
      <c r="EV668" s="1359"/>
      <c r="EW668" s="1359" t="e">
        <f>EW630*(CM630/$CM$632)</f>
        <v>#VALUE!</v>
      </c>
      <c r="EX668" s="1359"/>
      <c r="EY668" s="1359"/>
      <c r="EZ668" s="1359"/>
      <c r="FA668" s="1359"/>
    </row>
    <row r="669" spans="1:157" ht="12.95" customHeight="1">
      <c r="A669" s="22"/>
      <c r="B669" t="s">
        <v>589</v>
      </c>
      <c r="G669" s="1463"/>
      <c r="H669" s="1463"/>
      <c r="I669" s="1463"/>
      <c r="J669" s="1463"/>
      <c r="K669" s="1463"/>
      <c r="L669" s="1463"/>
      <c r="M669" s="1463"/>
      <c r="N669" s="1463"/>
      <c r="O669" s="1463"/>
      <c r="P669" s="1463"/>
      <c r="Q669" s="1463"/>
      <c r="R669" s="1463"/>
      <c r="T669" s="22"/>
      <c r="U669" t="s">
        <v>589</v>
      </c>
      <c r="Z669" s="1464"/>
      <c r="AA669" s="1464"/>
      <c r="AB669" s="1464"/>
      <c r="AC669" s="1464"/>
      <c r="AD669" s="1464"/>
      <c r="AE669" s="1464"/>
      <c r="AF669" s="1464"/>
      <c r="AG669" s="1464"/>
      <c r="AH669" s="1464"/>
      <c r="AI669" s="1464"/>
      <c r="AJ669" s="1464"/>
      <c r="AK669" s="1464"/>
      <c r="AZ669" s="3"/>
      <c r="BA669" s="118">
        <f t="shared" si="49"/>
        <v>3252</v>
      </c>
      <c r="BB669" s="3"/>
      <c r="BC669" s="3"/>
      <c r="BD669" s="3"/>
      <c r="BE669" s="3"/>
      <c r="BF669" s="218"/>
      <c r="BG669" s="316">
        <f t="shared" si="50"/>
        <v>18</v>
      </c>
      <c r="BH669" s="319">
        <f t="shared" si="51"/>
        <v>0.25352112676056338</v>
      </c>
      <c r="BI669" s="320">
        <f t="shared" si="52"/>
        <v>7.605633802816901E-2</v>
      </c>
      <c r="BJ669" s="3"/>
      <c r="BK669" s="3"/>
      <c r="BL669" s="3"/>
      <c r="BM669" s="3"/>
      <c r="BN669" s="3"/>
      <c r="BO669" s="3"/>
      <c r="BT669" s="316">
        <f t="shared" si="53"/>
        <v>18</v>
      </c>
      <c r="BU669" s="319">
        <f t="shared" si="54"/>
        <v>0.25352112676056338</v>
      </c>
      <c r="BV669" s="320">
        <f t="shared" si="55"/>
        <v>7.6009562912530526E-2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9" t="e">
        <f>DX631*(BN631/$BN$632)</f>
        <v>#VALUE!</v>
      </c>
      <c r="DY669" s="1359"/>
      <c r="DZ669" s="1359"/>
      <c r="EA669" s="1359"/>
      <c r="EB669" s="1359"/>
      <c r="EC669" s="1359" t="e">
        <f>EC631*(BS631/$BS$632)</f>
        <v>#VALUE!</v>
      </c>
      <c r="ED669" s="1359"/>
      <c r="EE669" s="1359"/>
      <c r="EF669" s="1359"/>
      <c r="EG669" s="1359"/>
      <c r="EH669" s="1359" t="e">
        <f>EH631*(BX631/$BX$632)</f>
        <v>#VALUE!</v>
      </c>
      <c r="EI669" s="1359"/>
      <c r="EJ669" s="1359"/>
      <c r="EK669" s="1359"/>
      <c r="EL669" s="1359"/>
      <c r="EM669" s="1359" t="e">
        <f>EM631*(CC631/$CC$632)</f>
        <v>#VALUE!</v>
      </c>
      <c r="EN669" s="1359"/>
      <c r="EO669" s="1359"/>
      <c r="EP669" s="1359"/>
      <c r="EQ669" s="1359"/>
      <c r="ER669" s="1359" t="e">
        <f>ER631*(CH631/$CH$632)</f>
        <v>#VALUE!</v>
      </c>
      <c r="ES669" s="1359"/>
      <c r="ET669" s="1359"/>
      <c r="EU669" s="1359"/>
      <c r="EV669" s="1359"/>
      <c r="EW669" s="1359" t="e">
        <f>EW631*(CM631/$CM$632)</f>
        <v>#VALUE!</v>
      </c>
      <c r="EX669" s="1359"/>
      <c r="EY669" s="1359"/>
      <c r="EZ669" s="1359"/>
      <c r="FA669" s="1359"/>
    </row>
    <row r="670" spans="1:157" ht="12.95" customHeight="1">
      <c r="A670" s="22"/>
      <c r="B670" t="s">
        <v>17</v>
      </c>
      <c r="G670" s="1463"/>
      <c r="H670" s="1463"/>
      <c r="I670" s="1463"/>
      <c r="J670" s="1463"/>
      <c r="K670" s="1463"/>
      <c r="L670" s="1463"/>
      <c r="M670" s="1463"/>
      <c r="N670" s="1463"/>
      <c r="O670" s="1463"/>
      <c r="P670" s="1463"/>
      <c r="Q670" s="1463"/>
      <c r="R670" s="1463"/>
      <c r="T670" s="22"/>
      <c r="U670" t="s">
        <v>17</v>
      </c>
      <c r="Z670" s="1464"/>
      <c r="AA670" s="1464"/>
      <c r="AB670" s="1464"/>
      <c r="AC670" s="1464"/>
      <c r="AD670" s="1464"/>
      <c r="AE670" s="1464"/>
      <c r="AF670" s="1464"/>
      <c r="AG670" s="1464"/>
      <c r="AH670" s="1464"/>
      <c r="AI670" s="1464"/>
      <c r="AJ670" s="1464"/>
      <c r="AK670" s="1464"/>
      <c r="AZ670" s="3"/>
      <c r="BA670" s="118">
        <f t="shared" si="49"/>
        <v>3252</v>
      </c>
      <c r="BB670" s="3"/>
      <c r="BC670" s="3"/>
      <c r="BD670" s="3"/>
      <c r="BE670" s="3"/>
      <c r="BF670" s="218"/>
      <c r="BG670" s="316">
        <f t="shared" si="50"/>
        <v>1</v>
      </c>
      <c r="BH670" s="319">
        <f t="shared" si="51"/>
        <v>1.4084507042253521E-2</v>
      </c>
      <c r="BI670" s="320">
        <f t="shared" si="52"/>
        <v>2.8169014084507044E-3</v>
      </c>
      <c r="BJ670" s="3"/>
      <c r="BK670" s="3"/>
      <c r="BL670" s="3"/>
      <c r="BM670" s="3"/>
      <c r="BN670" s="3"/>
      <c r="BO670" s="3"/>
      <c r="BT670" s="316">
        <f t="shared" si="53"/>
        <v>1</v>
      </c>
      <c r="BU670" s="319">
        <f t="shared" si="54"/>
        <v>1.4084507042253521E-2</v>
      </c>
      <c r="BV670" s="320">
        <f t="shared" si="55"/>
        <v>2.8151689967603902E-3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9">
        <f>SUMIF(DX635:EB669,"&gt;0")</f>
        <v>922.31428571428569</v>
      </c>
      <c r="DY670" s="1359"/>
      <c r="DZ670" s="1359"/>
      <c r="EA670" s="1359"/>
      <c r="EB670" s="1359"/>
      <c r="EC670" s="1359">
        <f>SUMIF(EC635:EG669,"&gt;0")</f>
        <v>1174.4444444444443</v>
      </c>
      <c r="ED670" s="1359"/>
      <c r="EE670" s="1359"/>
      <c r="EF670" s="1359"/>
      <c r="EG670" s="1359"/>
      <c r="EH670" s="1359">
        <f>SUMIF(EH635:EL669,"&gt;0")</f>
        <v>0</v>
      </c>
      <c r="EI670" s="1359"/>
      <c r="EJ670" s="1359"/>
      <c r="EK670" s="1359"/>
      <c r="EL670" s="1359"/>
      <c r="EM670" s="1359">
        <f>SUMIF(EM635:EQ669,"&gt;0")</f>
        <v>0</v>
      </c>
      <c r="EN670" s="1359"/>
      <c r="EO670" s="1359"/>
      <c r="EP670" s="1359"/>
      <c r="EQ670" s="1359"/>
      <c r="ER670" s="1359">
        <f>SUMIF(ER635:EV669,"&gt;0")</f>
        <v>0</v>
      </c>
      <c r="ES670" s="1359"/>
      <c r="ET670" s="1359"/>
      <c r="EU670" s="1359"/>
      <c r="EV670" s="1359"/>
      <c r="EW670" s="1359">
        <f>SUMIF(EW635:FA669,"&gt;0")</f>
        <v>0</v>
      </c>
      <c r="EX670" s="1359"/>
      <c r="EY670" s="1359"/>
      <c r="EZ670" s="1359"/>
      <c r="FA670" s="1359"/>
    </row>
    <row r="671" spans="1:157" ht="12.95" customHeight="1">
      <c r="A671" s="22"/>
      <c r="B671" t="s">
        <v>317</v>
      </c>
      <c r="G671" s="1494"/>
      <c r="H671" s="1494"/>
      <c r="I671" s="1494"/>
      <c r="J671" s="1494"/>
      <c r="K671" s="1494"/>
      <c r="L671" s="1494"/>
      <c r="O671" s="33" t="s">
        <v>207</v>
      </c>
      <c r="P671" s="1496"/>
      <c r="Q671" s="1496"/>
      <c r="R671" s="1496"/>
      <c r="T671" s="22"/>
      <c r="U671" t="s">
        <v>317</v>
      </c>
      <c r="Z671" s="1494"/>
      <c r="AA671" s="1494"/>
      <c r="AB671" s="1494"/>
      <c r="AC671" s="1494"/>
      <c r="AD671" s="1494"/>
      <c r="AE671" s="1494"/>
      <c r="AH671" s="33" t="s">
        <v>207</v>
      </c>
      <c r="AI671" s="1496"/>
      <c r="AJ671" s="1496"/>
      <c r="AK671" s="1496"/>
      <c r="AZ671" s="3"/>
      <c r="BA671" s="118" t="str">
        <f t="shared" si="49"/>
        <v>N/A</v>
      </c>
      <c r="BB671" s="3"/>
      <c r="BC671" s="3"/>
      <c r="BD671" s="3"/>
      <c r="BE671" s="3"/>
      <c r="BF671" s="218"/>
      <c r="BG671" s="316">
        <f t="shared" si="50"/>
        <v>1</v>
      </c>
      <c r="BH671" s="319">
        <f t="shared" si="51"/>
        <v>1.4084507042253521E-2</v>
      </c>
      <c r="BI671" s="320">
        <f t="shared" si="52"/>
        <v>7.0422535211267607E-3</v>
      </c>
      <c r="BJ671" s="3"/>
      <c r="BK671" s="3"/>
      <c r="BL671" s="3"/>
      <c r="BM671" s="3"/>
      <c r="BN671" s="3"/>
      <c r="BO671" s="3"/>
      <c r="BT671" s="316">
        <f t="shared" si="53"/>
        <v>1</v>
      </c>
      <c r="BU671" s="319">
        <f t="shared" si="54"/>
        <v>1.4084507042253521E-2</v>
      </c>
      <c r="BV671" s="320">
        <f t="shared" si="55"/>
        <v>7.0422535211267607E-3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3"/>
      <c r="I672" s="1463"/>
      <c r="J672" s="1463"/>
      <c r="K672" s="1463"/>
      <c r="L672" s="1463"/>
      <c r="M672" s="1463"/>
      <c r="N672" s="1463"/>
      <c r="O672" s="1463"/>
      <c r="P672" s="1463"/>
      <c r="Q672" s="1463"/>
      <c r="R672" s="1463"/>
      <c r="T672" s="22"/>
      <c r="U672" t="s">
        <v>18</v>
      </c>
      <c r="AA672" s="1463"/>
      <c r="AB672" s="1463"/>
      <c r="AC672" s="1463"/>
      <c r="AD672" s="1463"/>
      <c r="AE672" s="1463"/>
      <c r="AF672" s="1463"/>
      <c r="AG672" s="1463"/>
      <c r="AH672" s="1463"/>
      <c r="AI672" s="1463"/>
      <c r="AJ672" s="1463"/>
      <c r="AK672" s="1463"/>
      <c r="AZ672" s="3"/>
      <c r="BA672" s="118">
        <f t="shared" si="49"/>
        <v>3484</v>
      </c>
      <c r="BB672" s="3"/>
      <c r="BC672" s="3"/>
      <c r="BD672" s="3"/>
      <c r="BE672" s="3"/>
      <c r="BF672" s="218"/>
      <c r="BG672" s="316">
        <f t="shared" si="50"/>
        <v>0</v>
      </c>
      <c r="BH672" s="319">
        <f t="shared" si="51"/>
        <v>0</v>
      </c>
      <c r="BI672" s="320" t="str">
        <f t="shared" si="52"/>
        <v/>
      </c>
      <c r="BJ672" s="3"/>
      <c r="BK672" s="3"/>
      <c r="BL672" s="3"/>
      <c r="BM672" s="3"/>
      <c r="BN672" s="3"/>
      <c r="BO672" s="3"/>
      <c r="BT672" s="316">
        <f t="shared" si="53"/>
        <v>0</v>
      </c>
      <c r="BU672" s="319">
        <f t="shared" si="54"/>
        <v>0</v>
      </c>
      <c r="BV672" s="320"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0" t="s">
        <v>678</v>
      </c>
      <c r="O673" s="1440"/>
      <c r="T673" s="22"/>
      <c r="U673" t="s">
        <v>20</v>
      </c>
      <c r="AG673" s="1440" t="s">
        <v>678</v>
      </c>
      <c r="AH673" s="1440"/>
      <c r="AZ673" s="3"/>
      <c r="BA673" s="118" t="str">
        <f t="shared" si="49"/>
        <v>N/A</v>
      </c>
      <c r="BB673" s="3"/>
      <c r="BC673" s="3"/>
      <c r="BD673" s="3"/>
      <c r="BE673" s="3"/>
      <c r="BF673" s="218"/>
      <c r="BG673" s="316">
        <f t="shared" si="50"/>
        <v>9</v>
      </c>
      <c r="BH673" s="319">
        <f t="shared" si="51"/>
        <v>0.12676056338028169</v>
      </c>
      <c r="BI673" s="320">
        <f t="shared" si="52"/>
        <v>3.8028169014084505E-2</v>
      </c>
      <c r="BJ673" s="3"/>
      <c r="BK673" s="3"/>
      <c r="BL673" s="3"/>
      <c r="BM673" s="3"/>
      <c r="BN673" s="3"/>
      <c r="BO673" s="3"/>
      <c r="BT673" s="316">
        <f t="shared" si="53"/>
        <v>9</v>
      </c>
      <c r="BU673" s="319">
        <f t="shared" si="54"/>
        <v>0.12676056338028169</v>
      </c>
      <c r="BV673" s="320">
        <f t="shared" si="55"/>
        <v>3.80208922882877E-2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3484</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62">
        <f>C635</f>
        <v>0</v>
      </c>
      <c r="H675" s="1462"/>
      <c r="I675" s="1462"/>
      <c r="J675" s="1462"/>
      <c r="K675" s="1462"/>
      <c r="L675" s="1462"/>
      <c r="M675" s="1462"/>
      <c r="N675" s="1462"/>
      <c r="O675" s="1462"/>
      <c r="P675" s="1462"/>
      <c r="Q675" s="1462"/>
      <c r="R675" s="1462"/>
      <c r="T675" s="55" t="s">
        <v>655</v>
      </c>
      <c r="U675" t="s">
        <v>472</v>
      </c>
      <c r="Z675" s="1462">
        <f>C636</f>
        <v>0</v>
      </c>
      <c r="AA675" s="1462"/>
      <c r="AB675" s="1462"/>
      <c r="AC675" s="1462"/>
      <c r="AD675" s="1462"/>
      <c r="AE675" s="1462"/>
      <c r="AF675" s="1462"/>
      <c r="AG675" s="1462"/>
      <c r="AH675" s="1462"/>
      <c r="AI675" s="1462"/>
      <c r="AJ675" s="1462"/>
      <c r="AK675" s="1462"/>
      <c r="AZ675" s="3"/>
      <c r="BA675" s="118">
        <f t="shared" si="49"/>
        <v>3484</v>
      </c>
      <c r="BB675" s="3"/>
      <c r="BC675" s="3"/>
      <c r="BD675" s="3"/>
      <c r="BE675" s="3"/>
      <c r="BF675" s="218"/>
      <c r="BG675" s="316">
        <f t="shared" si="50"/>
        <v>11</v>
      </c>
      <c r="BH675" s="319">
        <f t="shared" si="51"/>
        <v>0.15492957746478872</v>
      </c>
      <c r="BI675" s="320">
        <f t="shared" si="52"/>
        <v>4.6478873239436613E-2</v>
      </c>
      <c r="BJ675" s="3"/>
      <c r="BK675" s="3"/>
      <c r="BL675" s="3"/>
      <c r="BM675" s="3"/>
      <c r="BN675" s="3"/>
      <c r="BO675" s="3"/>
      <c r="BT675" s="316">
        <f t="shared" si="53"/>
        <v>11</v>
      </c>
      <c r="BU675" s="319">
        <f t="shared" si="54"/>
        <v>0.15492957746478872</v>
      </c>
      <c r="BV675" s="320">
        <f t="shared" si="55"/>
        <v>3.0994809268931611E-2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3"/>
      <c r="H676" s="1463"/>
      <c r="I676" s="1463"/>
      <c r="J676" s="1463"/>
      <c r="K676" s="1463"/>
      <c r="L676" s="1463"/>
      <c r="M676" s="1463"/>
      <c r="N676" s="1463"/>
      <c r="O676" s="1463"/>
      <c r="P676" s="1463"/>
      <c r="Q676" s="1463"/>
      <c r="R676" s="1463"/>
      <c r="T676" s="22"/>
      <c r="U676" t="s">
        <v>85</v>
      </c>
      <c r="Z676" s="1463"/>
      <c r="AA676" s="1463"/>
      <c r="AB676" s="1463"/>
      <c r="AC676" s="1463"/>
      <c r="AD676" s="1463"/>
      <c r="AE676" s="1463"/>
      <c r="AF676" s="1463"/>
      <c r="AG676" s="1463"/>
      <c r="AH676" s="1463"/>
      <c r="AI676" s="1463"/>
      <c r="AJ676" s="1463"/>
      <c r="AK676" s="1463"/>
      <c r="AZ676" s="3"/>
      <c r="BA676" s="118" t="str">
        <f t="shared" si="49"/>
        <v>N/A</v>
      </c>
      <c r="BB676" s="3"/>
      <c r="BC676" s="3"/>
      <c r="BD676" s="3"/>
      <c r="BE676" s="3"/>
      <c r="BF676" s="218"/>
      <c r="BG676" s="316">
        <f t="shared" si="50"/>
        <v>16</v>
      </c>
      <c r="BH676" s="319">
        <f t="shared" si="51"/>
        <v>0.22535211267605634</v>
      </c>
      <c r="BI676" s="320">
        <f t="shared" si="52"/>
        <v>0.11267605633802817</v>
      </c>
      <c r="BJ676" s="3"/>
      <c r="BK676" s="3"/>
      <c r="BL676" s="3"/>
      <c r="BM676" s="3"/>
      <c r="BN676" s="3"/>
      <c r="BO676" s="3"/>
      <c r="BT676" s="316">
        <f t="shared" si="53"/>
        <v>16</v>
      </c>
      <c r="BU676" s="319">
        <f t="shared" si="54"/>
        <v>0.22535211267605634</v>
      </c>
      <c r="BV676" s="320">
        <f t="shared" si="55"/>
        <v>0.11267605633802817</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63"/>
      <c r="H677" s="1463"/>
      <c r="I677" s="1463"/>
      <c r="J677" s="1463"/>
      <c r="K677" s="1463"/>
      <c r="L677" s="1463"/>
      <c r="M677" s="1463"/>
      <c r="N677" s="1463"/>
      <c r="O677" s="1463"/>
      <c r="P677" s="1463"/>
      <c r="Q677" s="1463"/>
      <c r="R677" s="1463"/>
      <c r="T677" s="22"/>
      <c r="U677" t="s">
        <v>589</v>
      </c>
      <c r="Z677" s="1464"/>
      <c r="AA677" s="1464"/>
      <c r="AB677" s="1464"/>
      <c r="AC677" s="1464"/>
      <c r="AD677" s="1464"/>
      <c r="AE677" s="1464"/>
      <c r="AF677" s="1464"/>
      <c r="AG677" s="1464"/>
      <c r="AH677" s="1464"/>
      <c r="AI677" s="1464"/>
      <c r="AJ677" s="1464"/>
      <c r="AK677" s="1464"/>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3"/>
      <c r="H678" s="1463"/>
      <c r="I678" s="1463"/>
      <c r="J678" s="1463"/>
      <c r="K678" s="1463"/>
      <c r="L678" s="1463"/>
      <c r="M678" s="1463"/>
      <c r="N678" s="1463"/>
      <c r="O678" s="1463"/>
      <c r="P678" s="1463"/>
      <c r="Q678" s="1463"/>
      <c r="R678" s="1463"/>
      <c r="T678" s="22"/>
      <c r="U678" t="s">
        <v>17</v>
      </c>
      <c r="Z678" s="1464"/>
      <c r="AA678" s="1464"/>
      <c r="AB678" s="1464"/>
      <c r="AC678" s="1464"/>
      <c r="AD678" s="1464"/>
      <c r="AE678" s="1464"/>
      <c r="AF678" s="1464"/>
      <c r="AG678" s="1464"/>
      <c r="AH678" s="1464"/>
      <c r="AI678" s="1464"/>
      <c r="AJ678" s="1464"/>
      <c r="AK678" s="1464"/>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94"/>
      <c r="H679" s="1494"/>
      <c r="I679" s="1494"/>
      <c r="J679" s="1494"/>
      <c r="K679" s="1494"/>
      <c r="L679" s="1494"/>
      <c r="O679" s="33" t="s">
        <v>207</v>
      </c>
      <c r="P679" s="1496"/>
      <c r="Q679" s="1496"/>
      <c r="R679" s="1496"/>
      <c r="T679" s="22"/>
      <c r="U679" t="s">
        <v>317</v>
      </c>
      <c r="Z679" s="1494"/>
      <c r="AA679" s="1494"/>
      <c r="AB679" s="1494"/>
      <c r="AC679" s="1494"/>
      <c r="AD679" s="1494"/>
      <c r="AE679" s="1494"/>
      <c r="AH679" s="33" t="s">
        <v>207</v>
      </c>
      <c r="AI679" s="1496"/>
      <c r="AJ679" s="1496"/>
      <c r="AK679" s="1496"/>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3"/>
      <c r="I680" s="1463"/>
      <c r="J680" s="1463"/>
      <c r="K680" s="1463"/>
      <c r="L680" s="1463"/>
      <c r="M680" s="1463"/>
      <c r="N680" s="1463"/>
      <c r="O680" s="1463"/>
      <c r="P680" s="1463"/>
      <c r="Q680" s="1463"/>
      <c r="R680" s="1463"/>
      <c r="T680" s="22"/>
      <c r="U680" t="s">
        <v>18</v>
      </c>
      <c r="AA680" s="1463"/>
      <c r="AB680" s="1463"/>
      <c r="AC680" s="1463"/>
      <c r="AD680" s="1463"/>
      <c r="AE680" s="1463"/>
      <c r="AF680" s="1463"/>
      <c r="AG680" s="1463"/>
      <c r="AH680" s="1463"/>
      <c r="AI680" s="1463"/>
      <c r="AJ680" s="1463"/>
      <c r="AK680" s="1463"/>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0" t="s">
        <v>678</v>
      </c>
      <c r="O681" s="1440"/>
      <c r="T681" s="22"/>
      <c r="U681" t="s">
        <v>20</v>
      </c>
      <c r="AG681" s="1440" t="s">
        <v>678</v>
      </c>
      <c r="AH681" s="1440"/>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62">
        <f>C637</f>
        <v>0</v>
      </c>
      <c r="H683" s="1462"/>
      <c r="I683" s="1462"/>
      <c r="J683" s="1462"/>
      <c r="K683" s="1462"/>
      <c r="L683" s="1462"/>
      <c r="M683" s="1462"/>
      <c r="N683" s="1462"/>
      <c r="O683" s="1462"/>
      <c r="P683" s="1462"/>
      <c r="Q683" s="1462"/>
      <c r="R683" s="1462"/>
      <c r="T683" s="55" t="s">
        <v>364</v>
      </c>
      <c r="U683" t="s">
        <v>472</v>
      </c>
      <c r="Z683" s="1462">
        <f>C638</f>
        <v>0</v>
      </c>
      <c r="AA683" s="1462"/>
      <c r="AB683" s="1462"/>
      <c r="AC683" s="1462"/>
      <c r="AD683" s="1462"/>
      <c r="AE683" s="1462"/>
      <c r="AF683" s="1462"/>
      <c r="AG683" s="1462"/>
      <c r="AH683" s="1462"/>
      <c r="AI683" s="1462"/>
      <c r="AJ683" s="1462"/>
      <c r="AK683" s="1462"/>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3"/>
      <c r="H684" s="1463"/>
      <c r="I684" s="1463"/>
      <c r="J684" s="1463"/>
      <c r="K684" s="1463"/>
      <c r="L684" s="1463"/>
      <c r="M684" s="1463"/>
      <c r="N684" s="1463"/>
      <c r="O684" s="1463"/>
      <c r="P684" s="1463"/>
      <c r="Q684" s="1463"/>
      <c r="R684" s="1463"/>
      <c r="T684" s="22"/>
      <c r="U684" t="s">
        <v>85</v>
      </c>
      <c r="Z684" s="1463"/>
      <c r="AA684" s="1463"/>
      <c r="AB684" s="1463"/>
      <c r="AC684" s="1463"/>
      <c r="AD684" s="1463"/>
      <c r="AE684" s="1463"/>
      <c r="AF684" s="1463"/>
      <c r="AG684" s="1463"/>
      <c r="AH684" s="1463"/>
      <c r="AI684" s="1463"/>
      <c r="AJ684" s="1463"/>
      <c r="AK684" s="1463"/>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63"/>
      <c r="H685" s="1463"/>
      <c r="I685" s="1463"/>
      <c r="J685" s="1463"/>
      <c r="K685" s="1463"/>
      <c r="L685" s="1463"/>
      <c r="M685" s="1463"/>
      <c r="N685" s="1463"/>
      <c r="O685" s="1463"/>
      <c r="P685" s="1463"/>
      <c r="Q685" s="1463"/>
      <c r="R685" s="1463"/>
      <c r="U685" t="s">
        <v>589</v>
      </c>
      <c r="Z685" s="1464"/>
      <c r="AA685" s="1464"/>
      <c r="AB685" s="1464"/>
      <c r="AC685" s="1464"/>
      <c r="AD685" s="1464"/>
      <c r="AE685" s="1464"/>
      <c r="AF685" s="1464"/>
      <c r="AG685" s="1464"/>
      <c r="AH685" s="1464"/>
      <c r="AI685" s="1464"/>
      <c r="AJ685" s="1464"/>
      <c r="AK685" s="1464"/>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3"/>
      <c r="H686" s="1463"/>
      <c r="I686" s="1463"/>
      <c r="J686" s="1463"/>
      <c r="K686" s="1463"/>
      <c r="L686" s="1463"/>
      <c r="M686" s="1463"/>
      <c r="N686" s="1463"/>
      <c r="O686" s="1463"/>
      <c r="P686" s="1463"/>
      <c r="Q686" s="1463"/>
      <c r="R686" s="1463"/>
      <c r="U686" t="s">
        <v>17</v>
      </c>
      <c r="Z686" s="1464"/>
      <c r="AA686" s="1464"/>
      <c r="AB686" s="1464"/>
      <c r="AC686" s="1464"/>
      <c r="AD686" s="1464"/>
      <c r="AE686" s="1464"/>
      <c r="AF686" s="1464"/>
      <c r="AG686" s="1464"/>
      <c r="AH686" s="1464"/>
      <c r="AI686" s="1464"/>
      <c r="AJ686" s="1464"/>
      <c r="AK686" s="1464"/>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94"/>
      <c r="H687" s="1494"/>
      <c r="I687" s="1494"/>
      <c r="J687" s="1494"/>
      <c r="K687" s="1494"/>
      <c r="L687" s="1494"/>
      <c r="O687" s="33" t="s">
        <v>207</v>
      </c>
      <c r="P687" s="1496"/>
      <c r="Q687" s="1496"/>
      <c r="R687" s="1496"/>
      <c r="U687" t="s">
        <v>317</v>
      </c>
      <c r="Z687" s="1494"/>
      <c r="AA687" s="1494"/>
      <c r="AB687" s="1494"/>
      <c r="AC687" s="1494"/>
      <c r="AD687" s="1494"/>
      <c r="AE687" s="1494"/>
      <c r="AH687" s="33" t="s">
        <v>207</v>
      </c>
      <c r="AI687" s="1496"/>
      <c r="AJ687" s="1496"/>
      <c r="AK687" s="1496"/>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3"/>
      <c r="I688" s="1463"/>
      <c r="J688" s="1463"/>
      <c r="K688" s="1463"/>
      <c r="L688" s="1463"/>
      <c r="M688" s="1463"/>
      <c r="N688" s="1463"/>
      <c r="O688" s="1463"/>
      <c r="P688" s="1463"/>
      <c r="Q688" s="1463"/>
      <c r="R688" s="1463"/>
      <c r="U688" t="s">
        <v>18</v>
      </c>
      <c r="AA688" s="1463"/>
      <c r="AB688" s="1463"/>
      <c r="AC688" s="1463"/>
      <c r="AD688" s="1463"/>
      <c r="AE688" s="1463"/>
      <c r="AF688" s="1463"/>
      <c r="AG688" s="1463"/>
      <c r="AH688" s="1463"/>
      <c r="AI688" s="1463"/>
      <c r="AJ688" s="1463"/>
      <c r="AK688" s="1463"/>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0" t="s">
        <v>678</v>
      </c>
      <c r="O689" s="1440"/>
      <c r="U689" t="s">
        <v>20</v>
      </c>
      <c r="AG689" s="1440" t="s">
        <v>678</v>
      </c>
      <c r="AH689" s="1440"/>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0" t="s">
        <v>554</v>
      </c>
      <c r="AF693" s="1440"/>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0" t="s">
        <v>554</v>
      </c>
      <c r="AF694" s="1440"/>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55">
        <v>45405</v>
      </c>
      <c r="AF695" s="1555"/>
      <c r="AG695" s="1555"/>
      <c r="AH695" s="1555"/>
      <c r="AI695" s="155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30">
        <v>45511</v>
      </c>
      <c r="AF696" s="1830"/>
      <c r="AG696" s="1830"/>
      <c r="AH696" s="1830"/>
      <c r="AI696" s="1830"/>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55">
        <v>45689</v>
      </c>
      <c r="AF698" s="1555"/>
      <c r="AG698" s="1555"/>
      <c r="AH698" s="1555"/>
      <c r="AI698" s="155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607">
        <f>'Sources and Uses Budget'!N135</f>
        <v>0.54518655568820817</v>
      </c>
      <c r="AF699" s="1607"/>
      <c r="AG699" s="1607"/>
      <c r="AH699" s="1607"/>
      <c r="AI699" s="1607"/>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2" t="str">
        <f>H335</f>
        <v>CSCDA</v>
      </c>
      <c r="X700" s="1462"/>
      <c r="Y700" s="1462"/>
      <c r="Z700" s="1462"/>
      <c r="AA700" s="1462"/>
      <c r="AB700" s="1462"/>
      <c r="AC700" s="1462"/>
      <c r="AD700" s="1462"/>
      <c r="AE700" s="1462"/>
      <c r="AF700" s="1462"/>
      <c r="AG700" s="1462"/>
      <c r="AH700" s="1462"/>
      <c r="AI700" s="1462"/>
      <c r="AJ700" s="1462"/>
      <c r="AK700" s="1462"/>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0" t="s">
        <v>678</v>
      </c>
      <c r="AF702" s="1440"/>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63"/>
      <c r="X703" s="1463"/>
      <c r="Y703" s="1463"/>
      <c r="Z703" s="1463"/>
      <c r="AA703" s="1463"/>
      <c r="AB703" s="1463"/>
      <c r="AC703" s="1463"/>
      <c r="AD703" s="1463"/>
      <c r="AE703" s="1463"/>
      <c r="AF703" s="1463"/>
      <c r="AG703" s="1463"/>
      <c r="AH703" s="1463"/>
      <c r="AI703" s="1463"/>
      <c r="AJ703" s="1463"/>
      <c r="AK703" s="1463"/>
      <c r="AZ703" s="34"/>
      <c r="BA703" s="34"/>
      <c r="BB703" s="34"/>
      <c r="BC703" s="34"/>
      <c r="BD703" s="34"/>
      <c r="BE703" s="3"/>
      <c r="BF703" s="312" t="s">
        <v>915</v>
      </c>
      <c r="BG703" s="321">
        <f>SUM(BG668:BG702)</f>
        <v>71</v>
      </c>
      <c r="BH703" s="322">
        <f>SUM(BH668:BH702)</f>
        <v>1</v>
      </c>
      <c r="BI703" s="322">
        <f>SUM(BI668:BI702)</f>
        <v>0.3464788732394366</v>
      </c>
      <c r="BN703" s="3"/>
      <c r="BO703" s="3"/>
      <c r="BT703" s="893">
        <f>SUM(BT668:BT702)</f>
        <v>71</v>
      </c>
      <c r="BU703" s="322">
        <f>SUM(BU668:BU702)</f>
        <v>1</v>
      </c>
      <c r="BV703" s="322">
        <f>SUM(BV668:BV702)</f>
        <v>0.33090004575277393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3"/>
      <c r="K704" s="1463"/>
      <c r="L704" s="1463"/>
      <c r="M704" s="1463"/>
      <c r="N704" s="1463"/>
      <c r="O704" s="1463"/>
      <c r="P704" s="1463"/>
      <c r="Q704" s="1463"/>
      <c r="R704" s="1463"/>
      <c r="S704" s="1463"/>
      <c r="T704" s="1463"/>
      <c r="U704" s="1463"/>
      <c r="V704" s="1463"/>
      <c r="W704" s="1463"/>
      <c r="X704" s="146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94"/>
      <c r="K705" s="1494"/>
      <c r="L705" s="1494"/>
      <c r="M705" s="1494"/>
      <c r="N705" s="1494"/>
      <c r="O705" s="1494"/>
      <c r="P705" s="4" t="s">
        <v>207</v>
      </c>
      <c r="Q705" s="4"/>
      <c r="R705" s="1496"/>
      <c r="S705" s="1496"/>
      <c r="T705" s="149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63" t="s">
        <v>308</v>
      </c>
      <c r="X706" s="1463"/>
      <c r="Y706" s="1463"/>
      <c r="Z706" s="1463"/>
      <c r="AA706" s="1463"/>
      <c r="AB706" s="1463"/>
      <c r="AC706" s="1463"/>
      <c r="AD706" s="1463"/>
      <c r="AE706" s="1463"/>
      <c r="AF706" s="1463"/>
      <c r="AG706" s="1463"/>
      <c r="AH706" s="1463"/>
      <c r="AI706" s="1463"/>
      <c r="AJ706" s="1463"/>
      <c r="AK706" s="146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3" t="s">
        <v>335</v>
      </c>
      <c r="F707" s="1463"/>
      <c r="G707" s="1463"/>
      <c r="H707" s="1463"/>
      <c r="I707" s="1463"/>
      <c r="J707" s="1463"/>
      <c r="K707" s="1463"/>
      <c r="L707" s="1463"/>
      <c r="M707" s="1463"/>
      <c r="N707" s="1463"/>
      <c r="O707" s="1463"/>
      <c r="P707" s="1463"/>
      <c r="Q707" s="1463"/>
      <c r="R707" s="1463"/>
      <c r="S707" s="1463"/>
      <c r="T707" s="1463"/>
      <c r="U707" s="1463"/>
      <c r="V707" s="1463"/>
      <c r="W707" s="1463"/>
      <c r="X707" s="1463"/>
      <c r="Y707" s="1463"/>
      <c r="Z707" s="1463"/>
      <c r="AA707" s="1463"/>
      <c r="AB707" s="1463"/>
      <c r="AC707" s="1463"/>
      <c r="AD707" s="1463"/>
      <c r="AE707" s="1463"/>
      <c r="AF707" s="1463"/>
      <c r="AG707" s="1463"/>
      <c r="AH707" s="1463"/>
      <c r="AI707" s="1463"/>
      <c r="AJ707" s="1463"/>
      <c r="AK707" s="146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22" t="s">
        <v>390</v>
      </c>
      <c r="C714" s="1514"/>
      <c r="D714" s="1514"/>
      <c r="E714" s="1514"/>
      <c r="F714" s="1515"/>
      <c r="G714" s="1522" t="s">
        <v>286</v>
      </c>
      <c r="H714" s="1514"/>
      <c r="I714" s="1514"/>
      <c r="J714" s="1515"/>
      <c r="K714" s="1395" t="s">
        <v>1869</v>
      </c>
      <c r="L714" s="1396"/>
      <c r="M714" s="1396"/>
      <c r="N714" s="1397"/>
      <c r="O714" s="1522" t="s">
        <v>456</v>
      </c>
      <c r="P714" s="1514"/>
      <c r="Q714" s="1514"/>
      <c r="R714" s="1514"/>
      <c r="S714" s="1515"/>
      <c r="T714" s="1513" t="s">
        <v>2253</v>
      </c>
      <c r="U714" s="1514"/>
      <c r="V714" s="1514"/>
      <c r="W714" s="1515"/>
      <c r="X714" s="1513" t="s">
        <v>2255</v>
      </c>
      <c r="Y714" s="1514"/>
      <c r="Z714" s="1514"/>
      <c r="AA714" s="1514"/>
      <c r="AB714" s="1515"/>
      <c r="AC714" s="1513" t="s">
        <v>2254</v>
      </c>
      <c r="AD714" s="1514"/>
      <c r="AE714" s="1514"/>
      <c r="AF714" s="1514"/>
      <c r="AG714" s="1515"/>
      <c r="AH714" s="1513" t="s">
        <v>2256</v>
      </c>
      <c r="AI714" s="1514"/>
      <c r="AJ714" s="1515"/>
      <c r="AK714" s="1513" t="s">
        <v>2290</v>
      </c>
      <c r="AL714" s="1514"/>
      <c r="AM714" s="1514"/>
      <c r="AN714" s="1514"/>
      <c r="AO714" s="151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16"/>
      <c r="C715" s="1517"/>
      <c r="D715" s="1517"/>
      <c r="E715" s="1517"/>
      <c r="F715" s="1518"/>
      <c r="G715" s="1516"/>
      <c r="H715" s="1517"/>
      <c r="I715" s="1517"/>
      <c r="J715" s="1518"/>
      <c r="K715" s="1398"/>
      <c r="L715" s="1399"/>
      <c r="M715" s="1399"/>
      <c r="N715" s="1400"/>
      <c r="O715" s="1516"/>
      <c r="P715" s="1517"/>
      <c r="Q715" s="1517"/>
      <c r="R715" s="1517"/>
      <c r="S715" s="1518"/>
      <c r="T715" s="1516"/>
      <c r="U715" s="1517"/>
      <c r="V715" s="1517"/>
      <c r="W715" s="1518"/>
      <c r="X715" s="1516"/>
      <c r="Y715" s="1517"/>
      <c r="Z715" s="1517"/>
      <c r="AA715" s="1517"/>
      <c r="AB715" s="1518"/>
      <c r="AC715" s="1516"/>
      <c r="AD715" s="1517"/>
      <c r="AE715" s="1517"/>
      <c r="AF715" s="1517"/>
      <c r="AG715" s="1518"/>
      <c r="AH715" s="1516"/>
      <c r="AI715" s="1517"/>
      <c r="AJ715" s="1518"/>
      <c r="AK715" s="1516"/>
      <c r="AL715" s="1517"/>
      <c r="AM715" s="1517"/>
      <c r="AN715" s="1517"/>
      <c r="AO715" s="151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16"/>
      <c r="C716" s="1517"/>
      <c r="D716" s="1517"/>
      <c r="E716" s="1517"/>
      <c r="F716" s="1518"/>
      <c r="G716" s="1516"/>
      <c r="H716" s="1517"/>
      <c r="I716" s="1517"/>
      <c r="J716" s="1518"/>
      <c r="K716" s="1398"/>
      <c r="L716" s="1399"/>
      <c r="M716" s="1399"/>
      <c r="N716" s="1400"/>
      <c r="O716" s="1516"/>
      <c r="P716" s="1517"/>
      <c r="Q716" s="1517"/>
      <c r="R716" s="1517"/>
      <c r="S716" s="1518"/>
      <c r="T716" s="1516"/>
      <c r="U716" s="1517"/>
      <c r="V716" s="1517"/>
      <c r="W716" s="1518"/>
      <c r="X716" s="1516"/>
      <c r="Y716" s="1517"/>
      <c r="Z716" s="1517"/>
      <c r="AA716" s="1517"/>
      <c r="AB716" s="1518"/>
      <c r="AC716" s="1516"/>
      <c r="AD716" s="1517"/>
      <c r="AE716" s="1517"/>
      <c r="AF716" s="1517"/>
      <c r="AG716" s="1518"/>
      <c r="AH716" s="1516"/>
      <c r="AI716" s="1517"/>
      <c r="AJ716" s="1518"/>
      <c r="AK716" s="1516"/>
      <c r="AL716" s="1517"/>
      <c r="AM716" s="1517"/>
      <c r="AN716" s="1517"/>
      <c r="AO716" s="151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19"/>
      <c r="C717" s="1520"/>
      <c r="D717" s="1520"/>
      <c r="E717" s="1520"/>
      <c r="F717" s="1521"/>
      <c r="G717" s="1519"/>
      <c r="H717" s="1520"/>
      <c r="I717" s="1520"/>
      <c r="J717" s="1521"/>
      <c r="K717" s="1398"/>
      <c r="L717" s="1399"/>
      <c r="M717" s="1399"/>
      <c r="N717" s="1400"/>
      <c r="O717" s="1519"/>
      <c r="P717" s="1520"/>
      <c r="Q717" s="1520"/>
      <c r="R717" s="1520"/>
      <c r="S717" s="1521"/>
      <c r="T717" s="1519"/>
      <c r="U717" s="1520"/>
      <c r="V717" s="1520"/>
      <c r="W717" s="1521"/>
      <c r="X717" s="1519"/>
      <c r="Y717" s="1520"/>
      <c r="Z717" s="1520"/>
      <c r="AA717" s="1520"/>
      <c r="AB717" s="1521"/>
      <c r="AC717" s="1519"/>
      <c r="AD717" s="1520"/>
      <c r="AE717" s="1520"/>
      <c r="AF717" s="1520"/>
      <c r="AG717" s="1521"/>
      <c r="AH717" s="1519"/>
      <c r="AI717" s="1520"/>
      <c r="AJ717" s="1521"/>
      <c r="AK717" s="1519"/>
      <c r="AL717" s="1520"/>
      <c r="AM717" s="1520"/>
      <c r="AN717" s="1520"/>
      <c r="AO717" s="152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325</v>
      </c>
      <c r="C718" s="1365"/>
      <c r="D718" s="1365"/>
      <c r="E718" s="1365"/>
      <c r="F718" s="1366"/>
      <c r="G718" s="1370">
        <v>15</v>
      </c>
      <c r="H718" s="1371"/>
      <c r="I718" s="1371"/>
      <c r="J718" s="1372"/>
      <c r="K718" s="1509">
        <v>436</v>
      </c>
      <c r="L718" s="1510"/>
      <c r="M718" s="1510"/>
      <c r="N718" s="1511"/>
      <c r="O718" s="1367">
        <v>913</v>
      </c>
      <c r="P718" s="1368"/>
      <c r="Q718" s="1368"/>
      <c r="R718" s="1368"/>
      <c r="S718" s="1369"/>
      <c r="T718" s="1367">
        <v>62</v>
      </c>
      <c r="U718" s="1368"/>
      <c r="V718" s="1368"/>
      <c r="W718" s="1369"/>
      <c r="X718" s="1373">
        <f t="shared" ref="X718:X741" si="60">O718+T718</f>
        <v>975</v>
      </c>
      <c r="Y718" s="1374"/>
      <c r="Z718" s="1374"/>
      <c r="AA718" s="1374"/>
      <c r="AB718" s="1375"/>
      <c r="AC718" s="1624">
        <v>0.3</v>
      </c>
      <c r="AD718" s="1625"/>
      <c r="AE718" s="1625"/>
      <c r="AF718" s="1625"/>
      <c r="AG718" s="1626"/>
      <c r="AH718" s="1356">
        <f t="shared" ref="AH718:AH751" si="61">IF($AC718&gt;0,($X718/$BA667), "")</f>
        <v>0.29981549815498154</v>
      </c>
      <c r="AI718" s="1357"/>
      <c r="AJ718" s="1358"/>
      <c r="AK718" s="1364" t="s">
        <v>1068</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325</v>
      </c>
      <c r="C719" s="1365"/>
      <c r="D719" s="1365"/>
      <c r="E719" s="1365"/>
      <c r="F719" s="1366"/>
      <c r="G719" s="1370">
        <v>18</v>
      </c>
      <c r="H719" s="1371"/>
      <c r="I719" s="1371"/>
      <c r="J719" s="1372"/>
      <c r="K719" s="1509">
        <v>436</v>
      </c>
      <c r="L719" s="1510"/>
      <c r="M719" s="1510"/>
      <c r="N719" s="1511"/>
      <c r="O719" s="1367">
        <v>913</v>
      </c>
      <c r="P719" s="1368"/>
      <c r="Q719" s="1368"/>
      <c r="R719" s="1368"/>
      <c r="S719" s="1369"/>
      <c r="T719" s="1367">
        <v>62</v>
      </c>
      <c r="U719" s="1368"/>
      <c r="V719" s="1368"/>
      <c r="W719" s="1369"/>
      <c r="X719" s="1373">
        <f t="shared" si="60"/>
        <v>975</v>
      </c>
      <c r="Y719" s="1374"/>
      <c r="Z719" s="1374"/>
      <c r="AA719" s="1374"/>
      <c r="AB719" s="1375"/>
      <c r="AC719" s="1624">
        <v>0.3</v>
      </c>
      <c r="AD719" s="1625"/>
      <c r="AE719" s="1625"/>
      <c r="AF719" s="1625"/>
      <c r="AG719" s="1626"/>
      <c r="AH719" s="1356">
        <f t="shared" si="61"/>
        <v>0.29981549815498154</v>
      </c>
      <c r="AI719" s="1357"/>
      <c r="AJ719" s="1358"/>
      <c r="AK719" s="1364" t="s">
        <v>600</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325</v>
      </c>
      <c r="C720" s="1365"/>
      <c r="D720" s="1365"/>
      <c r="E720" s="1365"/>
      <c r="F720" s="1366"/>
      <c r="G720" s="1370">
        <v>1</v>
      </c>
      <c r="H720" s="1371"/>
      <c r="I720" s="1371"/>
      <c r="J720" s="1372"/>
      <c r="K720" s="1509">
        <v>436</v>
      </c>
      <c r="L720" s="1510"/>
      <c r="M720" s="1510"/>
      <c r="N720" s="1511"/>
      <c r="O720" s="1367">
        <v>588</v>
      </c>
      <c r="P720" s="1368"/>
      <c r="Q720" s="1368"/>
      <c r="R720" s="1368"/>
      <c r="S720" s="1369"/>
      <c r="T720" s="1367">
        <v>62</v>
      </c>
      <c r="U720" s="1368"/>
      <c r="V720" s="1368"/>
      <c r="W720" s="1369"/>
      <c r="X720" s="1373">
        <f t="shared" si="60"/>
        <v>650</v>
      </c>
      <c r="Y720" s="1374"/>
      <c r="Z720" s="1374"/>
      <c r="AA720" s="1374"/>
      <c r="AB720" s="1375"/>
      <c r="AC720" s="1624">
        <v>0.2</v>
      </c>
      <c r="AD720" s="1625"/>
      <c r="AE720" s="1625"/>
      <c r="AF720" s="1625"/>
      <c r="AG720" s="1626"/>
      <c r="AH720" s="1356">
        <f t="shared" si="61"/>
        <v>0.19987699876998771</v>
      </c>
      <c r="AI720" s="1357"/>
      <c r="AJ720" s="1358"/>
      <c r="AK720" s="1364" t="s">
        <v>1068</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t="s">
        <v>325</v>
      </c>
      <c r="C721" s="1365"/>
      <c r="D721" s="1365"/>
      <c r="E721" s="1365"/>
      <c r="F721" s="1366"/>
      <c r="G721" s="1370">
        <v>1</v>
      </c>
      <c r="H721" s="1371"/>
      <c r="I721" s="1371"/>
      <c r="J721" s="1372"/>
      <c r="K721" s="1509">
        <v>436</v>
      </c>
      <c r="L721" s="1510"/>
      <c r="M721" s="1510"/>
      <c r="N721" s="1511"/>
      <c r="O721" s="1367">
        <v>1564</v>
      </c>
      <c r="P721" s="1368"/>
      <c r="Q721" s="1368"/>
      <c r="R721" s="1368"/>
      <c r="S721" s="1369"/>
      <c r="T721" s="1367">
        <v>62</v>
      </c>
      <c r="U721" s="1368"/>
      <c r="V721" s="1368"/>
      <c r="W721" s="1369"/>
      <c r="X721" s="1373">
        <f t="shared" si="60"/>
        <v>1626</v>
      </c>
      <c r="Y721" s="1374"/>
      <c r="Z721" s="1374"/>
      <c r="AA721" s="1374"/>
      <c r="AB721" s="1375"/>
      <c r="AC721" s="1624">
        <v>0.5</v>
      </c>
      <c r="AD721" s="1625"/>
      <c r="AE721" s="1625"/>
      <c r="AF721" s="1625"/>
      <c r="AG721" s="1626"/>
      <c r="AH721" s="1356">
        <f t="shared" si="61"/>
        <v>0.5</v>
      </c>
      <c r="AI721" s="1357"/>
      <c r="AJ721" s="1358"/>
      <c r="AK721" s="1364" t="s">
        <v>600</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t="s">
        <v>325</v>
      </c>
      <c r="C722" s="1365"/>
      <c r="D722" s="1365"/>
      <c r="E722" s="1365"/>
      <c r="F722" s="1366"/>
      <c r="G722" s="1370"/>
      <c r="H722" s="1371"/>
      <c r="I722" s="1371"/>
      <c r="J722" s="1372"/>
      <c r="K722" s="1509"/>
      <c r="L722" s="1510"/>
      <c r="M722" s="1510"/>
      <c r="N722" s="1511"/>
      <c r="O722" s="1367"/>
      <c r="P722" s="1368"/>
      <c r="Q722" s="1368"/>
      <c r="R722" s="1368"/>
      <c r="S722" s="1369"/>
      <c r="T722" s="1367"/>
      <c r="U722" s="1368"/>
      <c r="V722" s="1368"/>
      <c r="W722" s="1369"/>
      <c r="X722" s="1373">
        <f t="shared" si="60"/>
        <v>0</v>
      </c>
      <c r="Y722" s="1374"/>
      <c r="Z722" s="1374"/>
      <c r="AA722" s="1374"/>
      <c r="AB722" s="1375"/>
      <c r="AC722" s="1624"/>
      <c r="AD722" s="1625"/>
      <c r="AE722" s="1625"/>
      <c r="AF722" s="1625"/>
      <c r="AG722" s="1626"/>
      <c r="AH722" s="1356" t="str">
        <f t="shared" si="61"/>
        <v/>
      </c>
      <c r="AI722" s="1357"/>
      <c r="AJ722" s="1358"/>
      <c r="AK722" s="1364" t="s">
        <v>600</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t="s">
        <v>326</v>
      </c>
      <c r="C723" s="1365"/>
      <c r="D723" s="1365"/>
      <c r="E723" s="1365"/>
      <c r="F723" s="1366"/>
      <c r="G723" s="1370">
        <v>9</v>
      </c>
      <c r="H723" s="1371"/>
      <c r="I723" s="1371"/>
      <c r="J723" s="1372"/>
      <c r="K723" s="1509">
        <v>578</v>
      </c>
      <c r="L723" s="1510"/>
      <c r="M723" s="1510"/>
      <c r="N723" s="1511"/>
      <c r="O723" s="1367">
        <v>971</v>
      </c>
      <c r="P723" s="1368"/>
      <c r="Q723" s="1368"/>
      <c r="R723" s="1368"/>
      <c r="S723" s="1369"/>
      <c r="T723" s="1367">
        <v>74</v>
      </c>
      <c r="U723" s="1368"/>
      <c r="V723" s="1368"/>
      <c r="W723" s="1369"/>
      <c r="X723" s="1373">
        <f t="shared" si="60"/>
        <v>1045</v>
      </c>
      <c r="Y723" s="1374"/>
      <c r="Z723" s="1374"/>
      <c r="AA723" s="1374"/>
      <c r="AB723" s="1375"/>
      <c r="AC723" s="1624">
        <v>0.3</v>
      </c>
      <c r="AD723" s="1625"/>
      <c r="AE723" s="1625"/>
      <c r="AF723" s="1625"/>
      <c r="AG723" s="1626"/>
      <c r="AH723" s="1356">
        <f t="shared" si="61"/>
        <v>0.2999425947187141</v>
      </c>
      <c r="AI723" s="1357"/>
      <c r="AJ723" s="1358"/>
      <c r="AK723" s="1364" t="s">
        <v>1068</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t="s">
        <v>326</v>
      </c>
      <c r="C724" s="1365"/>
      <c r="D724" s="1365"/>
      <c r="E724" s="1365"/>
      <c r="F724" s="1366"/>
      <c r="G724" s="1370"/>
      <c r="H724" s="1371"/>
      <c r="I724" s="1371"/>
      <c r="J724" s="1372"/>
      <c r="K724" s="1509"/>
      <c r="L724" s="1510"/>
      <c r="M724" s="1510"/>
      <c r="N724" s="1511"/>
      <c r="O724" s="1367"/>
      <c r="P724" s="1368"/>
      <c r="Q724" s="1368"/>
      <c r="R724" s="1368"/>
      <c r="S724" s="1369"/>
      <c r="T724" s="1367"/>
      <c r="U724" s="1368"/>
      <c r="V724" s="1368"/>
      <c r="W724" s="1369"/>
      <c r="X724" s="1373">
        <f t="shared" si="60"/>
        <v>0</v>
      </c>
      <c r="Y724" s="1374"/>
      <c r="Z724" s="1374"/>
      <c r="AA724" s="1374"/>
      <c r="AB724" s="1375"/>
      <c r="AC724" s="1624"/>
      <c r="AD724" s="1625"/>
      <c r="AE724" s="1625"/>
      <c r="AF724" s="1625"/>
      <c r="AG724" s="1626"/>
      <c r="AH724" s="1356" t="str">
        <f t="shared" si="61"/>
        <v/>
      </c>
      <c r="AI724" s="1357"/>
      <c r="AJ724" s="1358"/>
      <c r="AK724" s="1364" t="s">
        <v>600</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t="s">
        <v>326</v>
      </c>
      <c r="C725" s="1365"/>
      <c r="D725" s="1365"/>
      <c r="E725" s="1365"/>
      <c r="F725" s="1366"/>
      <c r="G725" s="1370">
        <v>11</v>
      </c>
      <c r="H725" s="1371"/>
      <c r="I725" s="1371"/>
      <c r="J725" s="1372"/>
      <c r="K725" s="1509">
        <v>578</v>
      </c>
      <c r="L725" s="1510"/>
      <c r="M725" s="1510"/>
      <c r="N725" s="1511"/>
      <c r="O725" s="1367">
        <v>623</v>
      </c>
      <c r="P725" s="1368"/>
      <c r="Q725" s="1368"/>
      <c r="R725" s="1368"/>
      <c r="S725" s="1369"/>
      <c r="T725" s="1367">
        <v>74</v>
      </c>
      <c r="U725" s="1368"/>
      <c r="V725" s="1368"/>
      <c r="W725" s="1369"/>
      <c r="X725" s="1373">
        <f t="shared" si="60"/>
        <v>697</v>
      </c>
      <c r="Y725" s="1374"/>
      <c r="Z725" s="1374"/>
      <c r="AA725" s="1374"/>
      <c r="AB725" s="1375"/>
      <c r="AC725" s="1624">
        <v>0.3</v>
      </c>
      <c r="AD725" s="1625"/>
      <c r="AE725" s="1625"/>
      <c r="AF725" s="1625"/>
      <c r="AG725" s="1626"/>
      <c r="AH725" s="1356">
        <f t="shared" si="61"/>
        <v>0.20005740528128588</v>
      </c>
      <c r="AI725" s="1357"/>
      <c r="AJ725" s="1358"/>
      <c r="AK725" s="1364" t="s">
        <v>1068</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t="s">
        <v>326</v>
      </c>
      <c r="C726" s="1365"/>
      <c r="D726" s="1365"/>
      <c r="E726" s="1365"/>
      <c r="F726" s="1366"/>
      <c r="G726" s="1370">
        <v>16</v>
      </c>
      <c r="H726" s="1371"/>
      <c r="I726" s="1371"/>
      <c r="J726" s="1372"/>
      <c r="K726" s="1509">
        <v>578</v>
      </c>
      <c r="L726" s="1510"/>
      <c r="M726" s="1510"/>
      <c r="N726" s="1511"/>
      <c r="O726" s="1367">
        <v>1668</v>
      </c>
      <c r="P726" s="1368"/>
      <c r="Q726" s="1368"/>
      <c r="R726" s="1368"/>
      <c r="S726" s="1369"/>
      <c r="T726" s="1367">
        <v>74</v>
      </c>
      <c r="U726" s="1368"/>
      <c r="V726" s="1368"/>
      <c r="W726" s="1369"/>
      <c r="X726" s="1373">
        <f t="shared" si="60"/>
        <v>1742</v>
      </c>
      <c r="Y726" s="1374"/>
      <c r="Z726" s="1374"/>
      <c r="AA726" s="1374"/>
      <c r="AB726" s="1375"/>
      <c r="AC726" s="1624">
        <v>0.5</v>
      </c>
      <c r="AD726" s="1625"/>
      <c r="AE726" s="1625"/>
      <c r="AF726" s="1625"/>
      <c r="AG726" s="1626"/>
      <c r="AH726" s="1356">
        <f t="shared" si="61"/>
        <v>0.5</v>
      </c>
      <c r="AI726" s="1357"/>
      <c r="AJ726" s="1358"/>
      <c r="AK726" s="1364" t="s">
        <v>600</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t="s">
        <v>326</v>
      </c>
      <c r="C727" s="1365"/>
      <c r="D727" s="1365"/>
      <c r="E727" s="1365"/>
      <c r="F727" s="1366"/>
      <c r="G727" s="1370"/>
      <c r="H727" s="1371"/>
      <c r="I727" s="1371"/>
      <c r="J727" s="1372"/>
      <c r="K727" s="1509"/>
      <c r="L727" s="1510"/>
      <c r="M727" s="1510"/>
      <c r="N727" s="1511"/>
      <c r="O727" s="1367"/>
      <c r="P727" s="1368"/>
      <c r="Q727" s="1368"/>
      <c r="R727" s="1368"/>
      <c r="S727" s="1369"/>
      <c r="T727" s="1367"/>
      <c r="U727" s="1368"/>
      <c r="V727" s="1368"/>
      <c r="W727" s="1369"/>
      <c r="X727" s="1373">
        <f t="shared" si="60"/>
        <v>0</v>
      </c>
      <c r="Y727" s="1374"/>
      <c r="Z727" s="1374"/>
      <c r="AA727" s="1374"/>
      <c r="AB727" s="1375"/>
      <c r="AC727" s="1624"/>
      <c r="AD727" s="1625"/>
      <c r="AE727" s="1625"/>
      <c r="AF727" s="1625"/>
      <c r="AG727" s="1626"/>
      <c r="AH727" s="1356" t="str">
        <f t="shared" si="61"/>
        <v/>
      </c>
      <c r="AI727" s="1357"/>
      <c r="AJ727" s="1358"/>
      <c r="AK727" s="1364" t="s">
        <v>600</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c r="C728" s="1365"/>
      <c r="D728" s="1365"/>
      <c r="E728" s="1365"/>
      <c r="F728" s="1366"/>
      <c r="G728" s="1370"/>
      <c r="H728" s="1371"/>
      <c r="I728" s="1371"/>
      <c r="J728" s="1372"/>
      <c r="K728" s="1509"/>
      <c r="L728" s="1510"/>
      <c r="M728" s="1510"/>
      <c r="N728" s="1511"/>
      <c r="O728" s="1367"/>
      <c r="P728" s="1368"/>
      <c r="Q728" s="1368"/>
      <c r="R728" s="1368"/>
      <c r="S728" s="1369"/>
      <c r="T728" s="1367"/>
      <c r="U728" s="1368"/>
      <c r="V728" s="1368"/>
      <c r="W728" s="1369"/>
      <c r="X728" s="1373">
        <f t="shared" si="60"/>
        <v>0</v>
      </c>
      <c r="Y728" s="1374"/>
      <c r="Z728" s="1374"/>
      <c r="AA728" s="1374"/>
      <c r="AB728" s="1375"/>
      <c r="AC728" s="1624"/>
      <c r="AD728" s="1625"/>
      <c r="AE728" s="1625"/>
      <c r="AF728" s="1625"/>
      <c r="AG728" s="1626"/>
      <c r="AH728" s="1356" t="str">
        <f t="shared" si="61"/>
        <v/>
      </c>
      <c r="AI728" s="1357"/>
      <c r="AJ728" s="1358"/>
      <c r="AK728" s="1364" t="s">
        <v>600</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c r="C729" s="1365"/>
      <c r="D729" s="1365"/>
      <c r="E729" s="1365"/>
      <c r="F729" s="1366"/>
      <c r="G729" s="1370"/>
      <c r="H729" s="1371"/>
      <c r="I729" s="1371"/>
      <c r="J729" s="1372"/>
      <c r="K729" s="1509"/>
      <c r="L729" s="1510"/>
      <c r="M729" s="1510"/>
      <c r="N729" s="1511"/>
      <c r="O729" s="1367"/>
      <c r="P729" s="1368"/>
      <c r="Q729" s="1368"/>
      <c r="R729" s="1368"/>
      <c r="S729" s="1369"/>
      <c r="T729" s="1367"/>
      <c r="U729" s="1368"/>
      <c r="V729" s="1368"/>
      <c r="W729" s="1369"/>
      <c r="X729" s="1373">
        <f t="shared" si="60"/>
        <v>0</v>
      </c>
      <c r="Y729" s="1374"/>
      <c r="Z729" s="1374"/>
      <c r="AA729" s="1374"/>
      <c r="AB729" s="1375"/>
      <c r="AC729" s="1624"/>
      <c r="AD729" s="1625"/>
      <c r="AE729" s="1625"/>
      <c r="AF729" s="1625"/>
      <c r="AG729" s="1626"/>
      <c r="AH729" s="1356" t="str">
        <f t="shared" si="61"/>
        <v/>
      </c>
      <c r="AI729" s="1357"/>
      <c r="AJ729" s="1358"/>
      <c r="AK729" s="1364" t="s">
        <v>600</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370"/>
      <c r="H730" s="1371"/>
      <c r="I730" s="1371"/>
      <c r="J730" s="1372"/>
      <c r="K730" s="1509"/>
      <c r="L730" s="1510"/>
      <c r="M730" s="1510"/>
      <c r="N730" s="1511"/>
      <c r="O730" s="1367"/>
      <c r="P730" s="1368"/>
      <c r="Q730" s="1368"/>
      <c r="R730" s="1368"/>
      <c r="S730" s="1369"/>
      <c r="T730" s="1367"/>
      <c r="U730" s="1368"/>
      <c r="V730" s="1368"/>
      <c r="W730" s="1369"/>
      <c r="X730" s="1373">
        <f t="shared" si="60"/>
        <v>0</v>
      </c>
      <c r="Y730" s="1374"/>
      <c r="Z730" s="1374"/>
      <c r="AA730" s="1374"/>
      <c r="AB730" s="1375"/>
      <c r="AC730" s="1624"/>
      <c r="AD730" s="1625"/>
      <c r="AE730" s="1625"/>
      <c r="AF730" s="1625"/>
      <c r="AG730" s="1626"/>
      <c r="AH730" s="1356" t="str">
        <f t="shared" si="61"/>
        <v/>
      </c>
      <c r="AI730" s="1357"/>
      <c r="AJ730" s="1358"/>
      <c r="AK730" s="1364" t="s">
        <v>600</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370"/>
      <c r="H731" s="1371"/>
      <c r="I731" s="1371"/>
      <c r="J731" s="1372"/>
      <c r="K731" s="1509"/>
      <c r="L731" s="1510"/>
      <c r="M731" s="1510"/>
      <c r="N731" s="1511"/>
      <c r="O731" s="1367"/>
      <c r="P731" s="1368"/>
      <c r="Q731" s="1368"/>
      <c r="R731" s="1368"/>
      <c r="S731" s="1369"/>
      <c r="T731" s="1367"/>
      <c r="U731" s="1368"/>
      <c r="V731" s="1368"/>
      <c r="W731" s="1369"/>
      <c r="X731" s="1373">
        <f t="shared" si="60"/>
        <v>0</v>
      </c>
      <c r="Y731" s="1374"/>
      <c r="Z731" s="1374"/>
      <c r="AA731" s="1374"/>
      <c r="AB731" s="1375"/>
      <c r="AC731" s="1624"/>
      <c r="AD731" s="1625"/>
      <c r="AE731" s="1625"/>
      <c r="AF731" s="1625"/>
      <c r="AG731" s="1626"/>
      <c r="AH731" s="1356" t="str">
        <f t="shared" si="61"/>
        <v/>
      </c>
      <c r="AI731" s="1357"/>
      <c r="AJ731" s="1358"/>
      <c r="AK731" s="1364" t="s">
        <v>600</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370"/>
      <c r="H732" s="1371"/>
      <c r="I732" s="1371"/>
      <c r="J732" s="1372"/>
      <c r="K732" s="1509"/>
      <c r="L732" s="1510"/>
      <c r="M732" s="1510"/>
      <c r="N732" s="1511"/>
      <c r="O732" s="1367"/>
      <c r="P732" s="1368"/>
      <c r="Q732" s="1368"/>
      <c r="R732" s="1368"/>
      <c r="S732" s="1369"/>
      <c r="T732" s="1367"/>
      <c r="U732" s="1368"/>
      <c r="V732" s="1368"/>
      <c r="W732" s="1369"/>
      <c r="X732" s="1373">
        <f t="shared" si="60"/>
        <v>0</v>
      </c>
      <c r="Y732" s="1374"/>
      <c r="Z732" s="1374"/>
      <c r="AA732" s="1374"/>
      <c r="AB732" s="1375"/>
      <c r="AC732" s="1624"/>
      <c r="AD732" s="1625"/>
      <c r="AE732" s="1625"/>
      <c r="AF732" s="1625"/>
      <c r="AG732" s="1626"/>
      <c r="AH732" s="1356" t="str">
        <f t="shared" si="61"/>
        <v/>
      </c>
      <c r="AI732" s="1357"/>
      <c r="AJ732" s="1358"/>
      <c r="AK732" s="1364" t="s">
        <v>600</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370"/>
      <c r="H733" s="1371"/>
      <c r="I733" s="1371"/>
      <c r="J733" s="1372"/>
      <c r="K733" s="1509"/>
      <c r="L733" s="1510"/>
      <c r="M733" s="1510"/>
      <c r="N733" s="1511"/>
      <c r="O733" s="1367"/>
      <c r="P733" s="1368"/>
      <c r="Q733" s="1368"/>
      <c r="R733" s="1368"/>
      <c r="S733" s="1369"/>
      <c r="T733" s="1367"/>
      <c r="U733" s="1368"/>
      <c r="V733" s="1368"/>
      <c r="W733" s="1369"/>
      <c r="X733" s="1373">
        <f t="shared" si="60"/>
        <v>0</v>
      </c>
      <c r="Y733" s="1374"/>
      <c r="Z733" s="1374"/>
      <c r="AA733" s="1374"/>
      <c r="AB733" s="1375"/>
      <c r="AC733" s="1624"/>
      <c r="AD733" s="1625"/>
      <c r="AE733" s="1625"/>
      <c r="AF733" s="1625"/>
      <c r="AG733" s="1626"/>
      <c r="AH733" s="1356" t="str">
        <f t="shared" si="61"/>
        <v/>
      </c>
      <c r="AI733" s="1357"/>
      <c r="AJ733" s="1358"/>
      <c r="AK733" s="1364" t="s">
        <v>600</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370"/>
      <c r="H734" s="1371"/>
      <c r="I734" s="1371"/>
      <c r="J734" s="1372"/>
      <c r="K734" s="1509"/>
      <c r="L734" s="1510"/>
      <c r="M734" s="1510"/>
      <c r="N734" s="1511"/>
      <c r="O734" s="1367"/>
      <c r="P734" s="1368"/>
      <c r="Q734" s="1368"/>
      <c r="R734" s="1368"/>
      <c r="S734" s="1369"/>
      <c r="T734" s="1367"/>
      <c r="U734" s="1368"/>
      <c r="V734" s="1368"/>
      <c r="W734" s="1369"/>
      <c r="X734" s="1373">
        <f t="shared" si="60"/>
        <v>0</v>
      </c>
      <c r="Y734" s="1374"/>
      <c r="Z734" s="1374"/>
      <c r="AA734" s="1374"/>
      <c r="AB734" s="1375"/>
      <c r="AC734" s="1624"/>
      <c r="AD734" s="1625"/>
      <c r="AE734" s="1625"/>
      <c r="AF734" s="1625"/>
      <c r="AG734" s="1626"/>
      <c r="AH734" s="1356" t="str">
        <f t="shared" si="61"/>
        <v/>
      </c>
      <c r="AI734" s="1357"/>
      <c r="AJ734" s="1358"/>
      <c r="AK734" s="1364" t="s">
        <v>600</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370"/>
      <c r="H735" s="1371"/>
      <c r="I735" s="1371"/>
      <c r="J735" s="1372"/>
      <c r="K735" s="1509"/>
      <c r="L735" s="1510"/>
      <c r="M735" s="1510"/>
      <c r="N735" s="1511"/>
      <c r="O735" s="1367"/>
      <c r="P735" s="1368"/>
      <c r="Q735" s="1368"/>
      <c r="R735" s="1368"/>
      <c r="S735" s="1369"/>
      <c r="T735" s="1367"/>
      <c r="U735" s="1368"/>
      <c r="V735" s="1368"/>
      <c r="W735" s="1369"/>
      <c r="X735" s="1373">
        <f t="shared" si="60"/>
        <v>0</v>
      </c>
      <c r="Y735" s="1374"/>
      <c r="Z735" s="1374"/>
      <c r="AA735" s="1374"/>
      <c r="AB735" s="1375"/>
      <c r="AC735" s="1624"/>
      <c r="AD735" s="1625"/>
      <c r="AE735" s="1625"/>
      <c r="AF735" s="1625"/>
      <c r="AG735" s="1626"/>
      <c r="AH735" s="1356" t="str">
        <f t="shared" si="61"/>
        <v/>
      </c>
      <c r="AI735" s="1357"/>
      <c r="AJ735" s="1358"/>
      <c r="AK735" s="1364" t="s">
        <v>600</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370"/>
      <c r="H736" s="1371"/>
      <c r="I736" s="1371"/>
      <c r="J736" s="1372"/>
      <c r="K736" s="1509"/>
      <c r="L736" s="1510"/>
      <c r="M736" s="1510"/>
      <c r="N736" s="1511"/>
      <c r="O736" s="1367"/>
      <c r="P736" s="1368"/>
      <c r="Q736" s="1368"/>
      <c r="R736" s="1368"/>
      <c r="S736" s="1369"/>
      <c r="T736" s="1367"/>
      <c r="U736" s="1368"/>
      <c r="V736" s="1368"/>
      <c r="W736" s="1369"/>
      <c r="X736" s="1373">
        <f t="shared" si="60"/>
        <v>0</v>
      </c>
      <c r="Y736" s="1374"/>
      <c r="Z736" s="1374"/>
      <c r="AA736" s="1374"/>
      <c r="AB736" s="1375"/>
      <c r="AC736" s="1624"/>
      <c r="AD736" s="1625"/>
      <c r="AE736" s="1625"/>
      <c r="AF736" s="1625"/>
      <c r="AG736" s="1626"/>
      <c r="AH736" s="1356" t="str">
        <f t="shared" si="61"/>
        <v/>
      </c>
      <c r="AI736" s="1357"/>
      <c r="AJ736" s="1358"/>
      <c r="AK736" s="1364" t="s">
        <v>600</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370"/>
      <c r="H737" s="1371"/>
      <c r="I737" s="1371"/>
      <c r="J737" s="1372"/>
      <c r="K737" s="1509"/>
      <c r="L737" s="1510"/>
      <c r="M737" s="1510"/>
      <c r="N737" s="1511"/>
      <c r="O737" s="1367"/>
      <c r="P737" s="1368"/>
      <c r="Q737" s="1368"/>
      <c r="R737" s="1368"/>
      <c r="S737" s="1369"/>
      <c r="T737" s="1367"/>
      <c r="U737" s="1368"/>
      <c r="V737" s="1368"/>
      <c r="W737" s="1369"/>
      <c r="X737" s="1373">
        <f t="shared" si="60"/>
        <v>0</v>
      </c>
      <c r="Y737" s="1374"/>
      <c r="Z737" s="1374"/>
      <c r="AA737" s="1374"/>
      <c r="AB737" s="1375"/>
      <c r="AC737" s="1624"/>
      <c r="AD737" s="1625"/>
      <c r="AE737" s="1625"/>
      <c r="AF737" s="1625"/>
      <c r="AG737" s="1626"/>
      <c r="AH737" s="1356" t="str">
        <f t="shared" si="61"/>
        <v/>
      </c>
      <c r="AI737" s="1357"/>
      <c r="AJ737" s="1358"/>
      <c r="AK737" s="1364" t="s">
        <v>600</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370"/>
      <c r="H738" s="1371"/>
      <c r="I738" s="1371"/>
      <c r="J738" s="1372"/>
      <c r="K738" s="1509"/>
      <c r="L738" s="1510"/>
      <c r="M738" s="1510"/>
      <c r="N738" s="1511"/>
      <c r="O738" s="1367"/>
      <c r="P738" s="1368"/>
      <c r="Q738" s="1368"/>
      <c r="R738" s="1368"/>
      <c r="S738" s="1369"/>
      <c r="T738" s="1367"/>
      <c r="U738" s="1368"/>
      <c r="V738" s="1368"/>
      <c r="W738" s="1369"/>
      <c r="X738" s="1373">
        <f t="shared" si="60"/>
        <v>0</v>
      </c>
      <c r="Y738" s="1374"/>
      <c r="Z738" s="1374"/>
      <c r="AA738" s="1374"/>
      <c r="AB738" s="1375"/>
      <c r="AC738" s="1624"/>
      <c r="AD738" s="1625"/>
      <c r="AE738" s="1625"/>
      <c r="AF738" s="1625"/>
      <c r="AG738" s="1626"/>
      <c r="AH738" s="1356" t="str">
        <f t="shared" si="61"/>
        <v/>
      </c>
      <c r="AI738" s="1357"/>
      <c r="AJ738" s="1358"/>
      <c r="AK738" s="1364" t="s">
        <v>600</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370"/>
      <c r="H739" s="1371"/>
      <c r="I739" s="1371"/>
      <c r="J739" s="1372"/>
      <c r="K739" s="1509"/>
      <c r="L739" s="1510"/>
      <c r="M739" s="1510"/>
      <c r="N739" s="1511"/>
      <c r="O739" s="1367"/>
      <c r="P739" s="1368"/>
      <c r="Q739" s="1368"/>
      <c r="R739" s="1368"/>
      <c r="S739" s="1369"/>
      <c r="T739" s="1367"/>
      <c r="U739" s="1368"/>
      <c r="V739" s="1368"/>
      <c r="W739" s="1369"/>
      <c r="X739" s="1373">
        <f t="shared" si="60"/>
        <v>0</v>
      </c>
      <c r="Y739" s="1374"/>
      <c r="Z739" s="1374"/>
      <c r="AA739" s="1374"/>
      <c r="AB739" s="1375"/>
      <c r="AC739" s="1624"/>
      <c r="AD739" s="1625"/>
      <c r="AE739" s="1625"/>
      <c r="AF739" s="1625"/>
      <c r="AG739" s="1626"/>
      <c r="AH739" s="1356" t="str">
        <f t="shared" si="61"/>
        <v/>
      </c>
      <c r="AI739" s="1357"/>
      <c r="AJ739" s="1358"/>
      <c r="AK739" s="1364" t="s">
        <v>600</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370"/>
      <c r="H740" s="1371"/>
      <c r="I740" s="1371"/>
      <c r="J740" s="1372"/>
      <c r="K740" s="1509"/>
      <c r="L740" s="1510"/>
      <c r="M740" s="1510"/>
      <c r="N740" s="1511"/>
      <c r="O740" s="1367"/>
      <c r="P740" s="1368"/>
      <c r="Q740" s="1368"/>
      <c r="R740" s="1368"/>
      <c r="S740" s="1369"/>
      <c r="T740" s="1367"/>
      <c r="U740" s="1368"/>
      <c r="V740" s="1368"/>
      <c r="W740" s="1369"/>
      <c r="X740" s="1373">
        <f t="shared" si="60"/>
        <v>0</v>
      </c>
      <c r="Y740" s="1374"/>
      <c r="Z740" s="1374"/>
      <c r="AA740" s="1374"/>
      <c r="AB740" s="1375"/>
      <c r="AC740" s="1624"/>
      <c r="AD740" s="1625"/>
      <c r="AE740" s="1625"/>
      <c r="AF740" s="1625"/>
      <c r="AG740" s="1626"/>
      <c r="AH740" s="1356" t="str">
        <f t="shared" si="61"/>
        <v/>
      </c>
      <c r="AI740" s="1357"/>
      <c r="AJ740" s="1358"/>
      <c r="AK740" s="1364" t="s">
        <v>600</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370"/>
      <c r="H741" s="1371"/>
      <c r="I741" s="1371"/>
      <c r="J741" s="1372"/>
      <c r="K741" s="1509"/>
      <c r="L741" s="1510"/>
      <c r="M741" s="1510"/>
      <c r="N741" s="1511"/>
      <c r="O741" s="1367"/>
      <c r="P741" s="1368"/>
      <c r="Q741" s="1368"/>
      <c r="R741" s="1368"/>
      <c r="S741" s="1369"/>
      <c r="T741" s="1367"/>
      <c r="U741" s="1368"/>
      <c r="V741" s="1368"/>
      <c r="W741" s="1369"/>
      <c r="X741" s="1373">
        <f t="shared" si="60"/>
        <v>0</v>
      </c>
      <c r="Y741" s="1374"/>
      <c r="Z741" s="1374"/>
      <c r="AA741" s="1374"/>
      <c r="AB741" s="1375"/>
      <c r="AC741" s="1624"/>
      <c r="AD741" s="1625"/>
      <c r="AE741" s="1625"/>
      <c r="AF741" s="1625"/>
      <c r="AG741" s="1626"/>
      <c r="AH741" s="1356" t="str">
        <f t="shared" si="61"/>
        <v/>
      </c>
      <c r="AI741" s="1357"/>
      <c r="AJ741" s="1358"/>
      <c r="AK741" s="1364" t="s">
        <v>600</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370"/>
      <c r="H742" s="1371"/>
      <c r="I742" s="1371"/>
      <c r="J742" s="1372"/>
      <c r="K742" s="1509"/>
      <c r="L742" s="1510"/>
      <c r="M742" s="1510"/>
      <c r="N742" s="1511"/>
      <c r="O742" s="1367"/>
      <c r="P742" s="1368"/>
      <c r="Q742" s="1368"/>
      <c r="R742" s="1368"/>
      <c r="S742" s="1369"/>
      <c r="T742" s="1367"/>
      <c r="U742" s="1368"/>
      <c r="V742" s="1368"/>
      <c r="W742" s="1369"/>
      <c r="X742" s="1373">
        <f t="shared" ref="X742:X751" si="62">O742+T742</f>
        <v>0</v>
      </c>
      <c r="Y742" s="1374"/>
      <c r="Z742" s="1374"/>
      <c r="AA742" s="1374"/>
      <c r="AB742" s="1375"/>
      <c r="AC742" s="1624"/>
      <c r="AD742" s="1625"/>
      <c r="AE742" s="1625"/>
      <c r="AF742" s="1625"/>
      <c r="AG742" s="1626"/>
      <c r="AH742" s="1356" t="str">
        <f t="shared" si="61"/>
        <v/>
      </c>
      <c r="AI742" s="1357"/>
      <c r="AJ742" s="1358"/>
      <c r="AK742" s="1364" t="s">
        <v>600</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370"/>
      <c r="H743" s="1371"/>
      <c r="I743" s="1371"/>
      <c r="J743" s="1372"/>
      <c r="K743" s="1509"/>
      <c r="L743" s="1510"/>
      <c r="M743" s="1510"/>
      <c r="N743" s="1511"/>
      <c r="O743" s="1367"/>
      <c r="P743" s="1368"/>
      <c r="Q743" s="1368"/>
      <c r="R743" s="1368"/>
      <c r="S743" s="1369"/>
      <c r="T743" s="1367"/>
      <c r="U743" s="1368"/>
      <c r="V743" s="1368"/>
      <c r="W743" s="1369"/>
      <c r="X743" s="1373">
        <f t="shared" si="62"/>
        <v>0</v>
      </c>
      <c r="Y743" s="1374"/>
      <c r="Z743" s="1374"/>
      <c r="AA743" s="1374"/>
      <c r="AB743" s="1375"/>
      <c r="AC743" s="1624"/>
      <c r="AD743" s="1625"/>
      <c r="AE743" s="1625"/>
      <c r="AF743" s="1625"/>
      <c r="AG743" s="1626"/>
      <c r="AH743" s="1356" t="str">
        <f t="shared" si="61"/>
        <v/>
      </c>
      <c r="AI743" s="1357"/>
      <c r="AJ743" s="1358"/>
      <c r="AK743" s="1364" t="s">
        <v>600</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370"/>
      <c r="H744" s="1371"/>
      <c r="I744" s="1371"/>
      <c r="J744" s="1372"/>
      <c r="K744" s="1509"/>
      <c r="L744" s="1510"/>
      <c r="M744" s="1510"/>
      <c r="N744" s="1511"/>
      <c r="O744" s="1367"/>
      <c r="P744" s="1368"/>
      <c r="Q744" s="1368"/>
      <c r="R744" s="1368"/>
      <c r="S744" s="1369"/>
      <c r="T744" s="1367"/>
      <c r="U744" s="1368"/>
      <c r="V744" s="1368"/>
      <c r="W744" s="1369"/>
      <c r="X744" s="1373">
        <f t="shared" si="62"/>
        <v>0</v>
      </c>
      <c r="Y744" s="1374"/>
      <c r="Z744" s="1374"/>
      <c r="AA744" s="1374"/>
      <c r="AB744" s="1375"/>
      <c r="AC744" s="1624"/>
      <c r="AD744" s="1625"/>
      <c r="AE744" s="1625"/>
      <c r="AF744" s="1625"/>
      <c r="AG744" s="1626"/>
      <c r="AH744" s="1356" t="str">
        <f t="shared" si="61"/>
        <v/>
      </c>
      <c r="AI744" s="1357"/>
      <c r="AJ744" s="1358"/>
      <c r="AK744" s="1364" t="s">
        <v>600</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370"/>
      <c r="H745" s="1371"/>
      <c r="I745" s="1371"/>
      <c r="J745" s="1372"/>
      <c r="K745" s="1509"/>
      <c r="L745" s="1510"/>
      <c r="M745" s="1510"/>
      <c r="N745" s="1511"/>
      <c r="O745" s="1367"/>
      <c r="P745" s="1368"/>
      <c r="Q745" s="1368"/>
      <c r="R745" s="1368"/>
      <c r="S745" s="1369"/>
      <c r="T745" s="1367"/>
      <c r="U745" s="1368"/>
      <c r="V745" s="1368"/>
      <c r="W745" s="1369"/>
      <c r="X745" s="1373">
        <f t="shared" si="62"/>
        <v>0</v>
      </c>
      <c r="Y745" s="1374"/>
      <c r="Z745" s="1374"/>
      <c r="AA745" s="1374"/>
      <c r="AB745" s="1375"/>
      <c r="AC745" s="1624"/>
      <c r="AD745" s="1625"/>
      <c r="AE745" s="1625"/>
      <c r="AF745" s="1625"/>
      <c r="AG745" s="1626"/>
      <c r="AH745" s="1356" t="str">
        <f t="shared" si="61"/>
        <v/>
      </c>
      <c r="AI745" s="1357"/>
      <c r="AJ745" s="1358"/>
      <c r="AK745" s="1364" t="s">
        <v>600</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370"/>
      <c r="H746" s="1371"/>
      <c r="I746" s="1371"/>
      <c r="J746" s="1372"/>
      <c r="K746" s="1509"/>
      <c r="L746" s="1510"/>
      <c r="M746" s="1510"/>
      <c r="N746" s="1511"/>
      <c r="O746" s="1367"/>
      <c r="P746" s="1368"/>
      <c r="Q746" s="1368"/>
      <c r="R746" s="1368"/>
      <c r="S746" s="1369"/>
      <c r="T746" s="1367"/>
      <c r="U746" s="1368"/>
      <c r="V746" s="1368"/>
      <c r="W746" s="1369"/>
      <c r="X746" s="1373">
        <f t="shared" si="62"/>
        <v>0</v>
      </c>
      <c r="Y746" s="1374"/>
      <c r="Z746" s="1374"/>
      <c r="AA746" s="1374"/>
      <c r="AB746" s="1375"/>
      <c r="AC746" s="1624"/>
      <c r="AD746" s="1625"/>
      <c r="AE746" s="1625"/>
      <c r="AF746" s="1625"/>
      <c r="AG746" s="1626"/>
      <c r="AH746" s="1356" t="str">
        <f t="shared" si="61"/>
        <v/>
      </c>
      <c r="AI746" s="1357"/>
      <c r="AJ746" s="1358"/>
      <c r="AK746" s="1364" t="s">
        <v>600</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370"/>
      <c r="H747" s="1371"/>
      <c r="I747" s="1371"/>
      <c r="J747" s="1372"/>
      <c r="K747" s="1509"/>
      <c r="L747" s="1510"/>
      <c r="M747" s="1510"/>
      <c r="N747" s="1511"/>
      <c r="O747" s="1367"/>
      <c r="P747" s="1368"/>
      <c r="Q747" s="1368"/>
      <c r="R747" s="1368"/>
      <c r="S747" s="1369"/>
      <c r="T747" s="1367"/>
      <c r="U747" s="1368"/>
      <c r="V747" s="1368"/>
      <c r="W747" s="1369"/>
      <c r="X747" s="1373">
        <f t="shared" si="62"/>
        <v>0</v>
      </c>
      <c r="Y747" s="1374"/>
      <c r="Z747" s="1374"/>
      <c r="AA747" s="1374"/>
      <c r="AB747" s="1375"/>
      <c r="AC747" s="1624"/>
      <c r="AD747" s="1625"/>
      <c r="AE747" s="1625"/>
      <c r="AF747" s="1625"/>
      <c r="AG747" s="1626"/>
      <c r="AH747" s="1356" t="str">
        <f t="shared" si="61"/>
        <v/>
      </c>
      <c r="AI747" s="1357"/>
      <c r="AJ747" s="1358"/>
      <c r="AK747" s="1364" t="s">
        <v>600</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370"/>
      <c r="H748" s="1371"/>
      <c r="I748" s="1371"/>
      <c r="J748" s="1372"/>
      <c r="K748" s="1509"/>
      <c r="L748" s="1510"/>
      <c r="M748" s="1510"/>
      <c r="N748" s="1511"/>
      <c r="O748" s="1367"/>
      <c r="P748" s="1368"/>
      <c r="Q748" s="1368"/>
      <c r="R748" s="1368"/>
      <c r="S748" s="1369"/>
      <c r="T748" s="1367"/>
      <c r="U748" s="1368"/>
      <c r="V748" s="1368"/>
      <c r="W748" s="1369"/>
      <c r="X748" s="1373">
        <f t="shared" si="62"/>
        <v>0</v>
      </c>
      <c r="Y748" s="1374"/>
      <c r="Z748" s="1374"/>
      <c r="AA748" s="1374"/>
      <c r="AB748" s="1375"/>
      <c r="AC748" s="1624"/>
      <c r="AD748" s="1625"/>
      <c r="AE748" s="1625"/>
      <c r="AF748" s="1625"/>
      <c r="AG748" s="1626"/>
      <c r="AH748" s="1356" t="str">
        <f t="shared" si="61"/>
        <v/>
      </c>
      <c r="AI748" s="1357"/>
      <c r="AJ748" s="1358"/>
      <c r="AK748" s="1364" t="s">
        <v>600</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370"/>
      <c r="H749" s="1371"/>
      <c r="I749" s="1371"/>
      <c r="J749" s="1372"/>
      <c r="K749" s="1509"/>
      <c r="L749" s="1510"/>
      <c r="M749" s="1510"/>
      <c r="N749" s="1511"/>
      <c r="O749" s="1367"/>
      <c r="P749" s="1368"/>
      <c r="Q749" s="1368"/>
      <c r="R749" s="1368"/>
      <c r="S749" s="1369"/>
      <c r="T749" s="1367"/>
      <c r="U749" s="1368"/>
      <c r="V749" s="1368"/>
      <c r="W749" s="1369"/>
      <c r="X749" s="1373">
        <f t="shared" si="62"/>
        <v>0</v>
      </c>
      <c r="Y749" s="1374"/>
      <c r="Z749" s="1374"/>
      <c r="AA749" s="1374"/>
      <c r="AB749" s="1375"/>
      <c r="AC749" s="1624"/>
      <c r="AD749" s="1625"/>
      <c r="AE749" s="1625"/>
      <c r="AF749" s="1625"/>
      <c r="AG749" s="1626"/>
      <c r="AH749" s="1356" t="str">
        <f t="shared" si="61"/>
        <v/>
      </c>
      <c r="AI749" s="1357"/>
      <c r="AJ749" s="1358"/>
      <c r="AK749" s="1364" t="s">
        <v>600</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370"/>
      <c r="H750" s="1371"/>
      <c r="I750" s="1371"/>
      <c r="J750" s="1372"/>
      <c r="K750" s="1509"/>
      <c r="L750" s="1510"/>
      <c r="M750" s="1510"/>
      <c r="N750" s="1511"/>
      <c r="O750" s="1367"/>
      <c r="P750" s="1368"/>
      <c r="Q750" s="1368"/>
      <c r="R750" s="1368"/>
      <c r="S750" s="1369"/>
      <c r="T750" s="1367"/>
      <c r="U750" s="1368"/>
      <c r="V750" s="1368"/>
      <c r="W750" s="1369"/>
      <c r="X750" s="1373">
        <f t="shared" si="62"/>
        <v>0</v>
      </c>
      <c r="Y750" s="1374"/>
      <c r="Z750" s="1374"/>
      <c r="AA750" s="1374"/>
      <c r="AB750" s="1375"/>
      <c r="AC750" s="1624"/>
      <c r="AD750" s="1625"/>
      <c r="AE750" s="1625"/>
      <c r="AF750" s="1625"/>
      <c r="AG750" s="1626"/>
      <c r="AH750" s="1356" t="str">
        <f t="shared" si="61"/>
        <v/>
      </c>
      <c r="AI750" s="1357"/>
      <c r="AJ750" s="1358"/>
      <c r="AK750" s="1364" t="s">
        <v>600</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370"/>
      <c r="H751" s="1371"/>
      <c r="I751" s="1371"/>
      <c r="J751" s="1372"/>
      <c r="K751" s="1509"/>
      <c r="L751" s="1510"/>
      <c r="M751" s="1510"/>
      <c r="N751" s="1511"/>
      <c r="O751" s="1367"/>
      <c r="P751" s="1368"/>
      <c r="Q751" s="1368"/>
      <c r="R751" s="1368"/>
      <c r="S751" s="1369"/>
      <c r="T751" s="1367"/>
      <c r="U751" s="1368"/>
      <c r="V751" s="1368"/>
      <c r="W751" s="1369"/>
      <c r="X751" s="1373">
        <f t="shared" si="62"/>
        <v>0</v>
      </c>
      <c r="Y751" s="1374"/>
      <c r="Z751" s="1374"/>
      <c r="AA751" s="1374"/>
      <c r="AB751" s="1375"/>
      <c r="AC751" s="1624"/>
      <c r="AD751" s="1625"/>
      <c r="AE751" s="1625"/>
      <c r="AF751" s="1625"/>
      <c r="AG751" s="1626"/>
      <c r="AH751" s="1356" t="str">
        <f t="shared" si="61"/>
        <v/>
      </c>
      <c r="AI751" s="1357"/>
      <c r="AJ751" s="1358"/>
      <c r="AK751" s="1364" t="s">
        <v>600</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370"/>
      <c r="H752" s="1371"/>
      <c r="I752" s="1371"/>
      <c r="J752" s="1372"/>
      <c r="K752" s="1509"/>
      <c r="L752" s="1510"/>
      <c r="M752" s="1510"/>
      <c r="N752" s="1511"/>
      <c r="O752" s="1367"/>
      <c r="P752" s="1368"/>
      <c r="Q752" s="1368"/>
      <c r="R752" s="1368"/>
      <c r="S752" s="1369"/>
      <c r="T752" s="1367"/>
      <c r="U752" s="1368"/>
      <c r="V752" s="1368"/>
      <c r="W752" s="1369"/>
      <c r="X752" s="1373">
        <f>O752+T752</f>
        <v>0</v>
      </c>
      <c r="Y752" s="1374"/>
      <c r="Z752" s="1374"/>
      <c r="AA752" s="1374"/>
      <c r="AB752" s="1375"/>
      <c r="AC752" s="1624"/>
      <c r="AD752" s="1625"/>
      <c r="AE752" s="1625"/>
      <c r="AF752" s="1625"/>
      <c r="AG752" s="1626"/>
      <c r="AH752" s="1356" t="str">
        <f>IF($AC752&gt;0,($X752/$BA701), "")</f>
        <v/>
      </c>
      <c r="AI752" s="1357"/>
      <c r="AJ752" s="1358"/>
      <c r="AK752" s="1364" t="s">
        <v>600</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92" t="s">
        <v>125</v>
      </c>
      <c r="C753" s="1393"/>
      <c r="D753" s="1393"/>
      <c r="E753" s="1393"/>
      <c r="F753" s="1394"/>
      <c r="G753" s="1766">
        <f>SUM(G718:G752)</f>
        <v>71</v>
      </c>
      <c r="H753" s="1767"/>
      <c r="I753" s="1767"/>
      <c r="J753" s="1768"/>
      <c r="K753" s="937" t="s">
        <v>124</v>
      </c>
      <c r="L753" s="5"/>
      <c r="M753" s="5"/>
      <c r="N753" s="46"/>
      <c r="O753" s="1373">
        <f>SUMPRODUCT(G718:G752,O718:O752)</f>
        <v>74561</v>
      </c>
      <c r="P753" s="1374"/>
      <c r="Q753" s="1374"/>
      <c r="R753" s="1374"/>
      <c r="S753" s="1375"/>
      <c r="T753"/>
      <c r="U753"/>
      <c r="V753"/>
      <c r="W753"/>
      <c r="X753" s="939" t="s">
        <v>916</v>
      </c>
      <c r="Y753" s="938"/>
      <c r="Z753" s="938"/>
      <c r="AA753" s="938"/>
      <c r="AB753" s="940"/>
      <c r="AC753" s="1608">
        <f>BI703</f>
        <v>0.3464788732394366</v>
      </c>
      <c r="AD753" s="1609"/>
      <c r="AE753" s="1609"/>
      <c r="AF753" s="1609"/>
      <c r="AG753" s="1610"/>
      <c r="AH753" s="1608">
        <f>IFERROR(BV703,"")</f>
        <v>0.33090004575277393</v>
      </c>
      <c r="AI753" s="1609"/>
      <c r="AJ753" s="161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70" t="s">
        <v>2184</v>
      </c>
      <c r="C754" s="1770"/>
      <c r="D754" s="1770"/>
      <c r="E754" s="1770"/>
      <c r="F754" s="1770"/>
      <c r="G754" s="1770"/>
      <c r="H754" s="1770"/>
      <c r="I754" s="1770"/>
      <c r="J754" s="1770"/>
      <c r="K754" s="1770"/>
      <c r="L754" s="1770"/>
      <c r="M754" s="1770"/>
      <c r="N754" s="1770"/>
      <c r="O754" s="1770"/>
      <c r="P754" s="1770"/>
      <c r="Q754" s="1770"/>
      <c r="R754" s="1770"/>
      <c r="S754" s="1770"/>
      <c r="T754" s="1770"/>
      <c r="U754" s="1770"/>
      <c r="V754" s="1770"/>
      <c r="W754" s="1770"/>
      <c r="X754" s="1770"/>
      <c r="Y754" s="1770"/>
      <c r="Z754" s="1770"/>
      <c r="AA754" s="1770"/>
      <c r="AB754" s="1770"/>
      <c r="AC754" s="1770"/>
      <c r="AD754" s="1770"/>
      <c r="AE754" s="1770"/>
      <c r="AF754" s="1770"/>
      <c r="AG754" s="1770"/>
      <c r="AH754" s="17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70"/>
      <c r="C755" s="1770"/>
      <c r="D755" s="1770"/>
      <c r="E755" s="1770"/>
      <c r="F755" s="1770"/>
      <c r="G755" s="1770"/>
      <c r="H755" s="1770"/>
      <c r="I755" s="1770"/>
      <c r="J755" s="1770"/>
      <c r="K755" s="1770"/>
      <c r="L755" s="1770"/>
      <c r="M755" s="1770"/>
      <c r="N755" s="1770"/>
      <c r="O755" s="1770"/>
      <c r="P755" s="1770"/>
      <c r="Q755" s="1770"/>
      <c r="R755" s="1770"/>
      <c r="S755" s="1770"/>
      <c r="T755" s="1770"/>
      <c r="U755" s="1770"/>
      <c r="V755" s="1770"/>
      <c r="W755" s="1770"/>
      <c r="X755" s="1770"/>
      <c r="Y755" s="1770"/>
      <c r="Z755" s="1770"/>
      <c r="AA755" s="1770"/>
      <c r="AB755" s="1770"/>
      <c r="AC755" s="1770"/>
      <c r="AD755" s="1770"/>
      <c r="AE755" s="1770"/>
      <c r="AF755" s="1770"/>
      <c r="AG755" s="1770"/>
      <c r="AH755" s="17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80">
        <f>CS634</f>
        <v>71</v>
      </c>
      <c r="P756" s="1380"/>
      <c r="Q756" s="1380"/>
      <c r="R756" s="1380"/>
      <c r="S756" s="1004"/>
      <c r="T756" s="1004"/>
      <c r="U756" s="118" t="s">
        <v>2183</v>
      </c>
      <c r="V756" s="1067"/>
      <c r="W756" s="1067"/>
      <c r="X756" s="1067"/>
      <c r="Y756" s="1068"/>
      <c r="Z756" s="1068"/>
      <c r="AA756" s="1068"/>
      <c r="AB756" s="1068"/>
      <c r="AC756" s="1067"/>
      <c r="AD756" s="1067"/>
      <c r="AE756" s="1067"/>
      <c r="AF756" s="1067"/>
      <c r="AG756" s="1725">
        <v>54</v>
      </c>
      <c r="AH756" s="1725"/>
      <c r="AI756" s="1725"/>
      <c r="AJ756" s="172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46" t="str">
        <f>IF(G753&lt;&gt;AG440,"! Total Low-Income Units in the Unit Mix Table above does not match the number of Total Low-Income Units on row #"&amp;TEXT(ROW(D440),"#"),"")</f>
        <v/>
      </c>
      <c r="D757" s="1846"/>
      <c r="E757" s="1846"/>
      <c r="F757" s="1846"/>
      <c r="G757" s="1846"/>
      <c r="H757" s="1846"/>
      <c r="I757" s="1846"/>
      <c r="J757" s="1846"/>
      <c r="K757" s="1846"/>
      <c r="L757" s="1846"/>
      <c r="M757" s="1846"/>
      <c r="N757" s="1846"/>
      <c r="O757" s="1846"/>
      <c r="P757" s="1846"/>
      <c r="Q757" s="1846"/>
      <c r="R757" s="1846"/>
      <c r="S757" s="1846"/>
      <c r="T757" s="1846"/>
      <c r="U757" s="1846"/>
      <c r="V757" s="1846"/>
      <c r="W757" s="1846"/>
      <c r="X757" s="1846"/>
      <c r="Y757" s="1846"/>
      <c r="Z757" s="1846"/>
      <c r="AA757" s="1846"/>
      <c r="AB757" s="1846"/>
      <c r="AC757" s="1846"/>
      <c r="AD757" s="1846"/>
      <c r="AE757" s="1846"/>
      <c r="AF757" s="1846"/>
      <c r="AG757" s="1846"/>
      <c r="AH757" s="1846"/>
      <c r="AI757" s="1846"/>
      <c r="AJ757" s="1846"/>
      <c r="AK757" s="1846"/>
      <c r="AL757" s="1846"/>
      <c r="AM757" s="184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46"/>
      <c r="D758" s="1846"/>
      <c r="E758" s="1846"/>
      <c r="F758" s="1846"/>
      <c r="G758" s="1846"/>
      <c r="H758" s="1846"/>
      <c r="I758" s="1846"/>
      <c r="J758" s="1846"/>
      <c r="K758" s="1846"/>
      <c r="L758" s="1846"/>
      <c r="M758" s="1846"/>
      <c r="N758" s="1846"/>
      <c r="O758" s="1846"/>
      <c r="P758" s="1846"/>
      <c r="Q758" s="1846"/>
      <c r="R758" s="1846"/>
      <c r="S758" s="1846"/>
      <c r="T758" s="1846"/>
      <c r="U758" s="1846"/>
      <c r="V758" s="1846"/>
      <c r="W758" s="1846"/>
      <c r="X758" s="1846"/>
      <c r="Y758" s="1846"/>
      <c r="Z758" s="1846"/>
      <c r="AA758" s="1846"/>
      <c r="AB758" s="1846"/>
      <c r="AC758" s="1846"/>
      <c r="AD758" s="1846"/>
      <c r="AE758" s="1846"/>
      <c r="AF758" s="1846"/>
      <c r="AG758" s="1846"/>
      <c r="AH758" s="1846"/>
      <c r="AI758" s="1846"/>
      <c r="AJ758" s="1846"/>
      <c r="AK758" s="1846"/>
      <c r="AL758" s="1846"/>
      <c r="AM758" s="184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6" t="s">
        <v>600</v>
      </c>
      <c r="AE759" s="1726"/>
      <c r="AF759" s="172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22" t="s">
        <v>390</v>
      </c>
      <c r="K769" s="1514"/>
      <c r="L769" s="1514"/>
      <c r="M769" s="1514"/>
      <c r="N769" s="1515"/>
      <c r="O769" s="1721" t="s">
        <v>286</v>
      </c>
      <c r="P769" s="1721"/>
      <c r="Q769" s="1721"/>
      <c r="R769" s="1721"/>
      <c r="S769" s="1721"/>
      <c r="T769" s="1395" t="s">
        <v>1869</v>
      </c>
      <c r="U769" s="1396"/>
      <c r="V769" s="1396"/>
      <c r="W769" s="1397"/>
      <c r="X769" s="1522" t="s">
        <v>456</v>
      </c>
      <c r="Y769" s="1514"/>
      <c r="Z769" s="1514"/>
      <c r="AA769" s="1514"/>
      <c r="AB769" s="1515"/>
      <c r="AC769" s="1522" t="s">
        <v>287</v>
      </c>
      <c r="AD769" s="1514"/>
      <c r="AE769" s="1514"/>
      <c r="AF769" s="1514"/>
      <c r="AG769" s="151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16"/>
      <c r="K770" s="1517"/>
      <c r="L770" s="1517"/>
      <c r="M770" s="1517"/>
      <c r="N770" s="1518"/>
      <c r="O770" s="1721"/>
      <c r="P770" s="1721"/>
      <c r="Q770" s="1721"/>
      <c r="R770" s="1721"/>
      <c r="S770" s="1721"/>
      <c r="T770" s="1398"/>
      <c r="U770" s="1399"/>
      <c r="V770" s="1399"/>
      <c r="W770" s="1400"/>
      <c r="X770" s="1516"/>
      <c r="Y770" s="1517"/>
      <c r="Z770" s="1517"/>
      <c r="AA770" s="1517"/>
      <c r="AB770" s="1518"/>
      <c r="AC770" s="1516"/>
      <c r="AD770" s="1517"/>
      <c r="AE770" s="1517"/>
      <c r="AF770" s="1517"/>
      <c r="AG770" s="151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16"/>
      <c r="K771" s="1517"/>
      <c r="L771" s="1517"/>
      <c r="M771" s="1517"/>
      <c r="N771" s="1518"/>
      <c r="O771" s="1721"/>
      <c r="P771" s="1721"/>
      <c r="Q771" s="1721"/>
      <c r="R771" s="1721"/>
      <c r="S771" s="1721"/>
      <c r="T771" s="1398"/>
      <c r="U771" s="1399"/>
      <c r="V771" s="1399"/>
      <c r="W771" s="1400"/>
      <c r="X771" s="1516"/>
      <c r="Y771" s="1517"/>
      <c r="Z771" s="1517"/>
      <c r="AA771" s="1517"/>
      <c r="AB771" s="1518"/>
      <c r="AC771" s="1516"/>
      <c r="AD771" s="1517"/>
      <c r="AE771" s="1517"/>
      <c r="AF771" s="1517"/>
      <c r="AG771" s="151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19"/>
      <c r="K772" s="1520"/>
      <c r="L772" s="1520"/>
      <c r="M772" s="1520"/>
      <c r="N772" s="1521"/>
      <c r="O772" s="1721"/>
      <c r="P772" s="1721"/>
      <c r="Q772" s="1721"/>
      <c r="R772" s="1721"/>
      <c r="S772" s="1721"/>
      <c r="T772" s="1604"/>
      <c r="U772" s="1605"/>
      <c r="V772" s="1605"/>
      <c r="W772" s="1606"/>
      <c r="X772" s="1519"/>
      <c r="Y772" s="1520"/>
      <c r="Z772" s="1520"/>
      <c r="AA772" s="1520"/>
      <c r="AB772" s="1521"/>
      <c r="AC772" s="1519"/>
      <c r="AD772" s="1520"/>
      <c r="AE772" s="1520"/>
      <c r="AF772" s="1520"/>
      <c r="AG772" s="152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163</v>
      </c>
      <c r="K773" s="1365"/>
      <c r="L773" s="1365"/>
      <c r="M773" s="1365"/>
      <c r="N773" s="1366"/>
      <c r="O773" s="1445">
        <v>1</v>
      </c>
      <c r="P773" s="1445"/>
      <c r="Q773" s="1445"/>
      <c r="R773" s="1445"/>
      <c r="S773" s="1445"/>
      <c r="T773" s="1509">
        <v>865</v>
      </c>
      <c r="U773" s="1510"/>
      <c r="V773" s="1510"/>
      <c r="W773" s="1511"/>
      <c r="X773" s="1367"/>
      <c r="Y773" s="1368"/>
      <c r="Z773" s="1368"/>
      <c r="AA773" s="1368"/>
      <c r="AB773" s="1369"/>
      <c r="AC773" s="1373">
        <f>X773*O773</f>
        <v>0</v>
      </c>
      <c r="AD773" s="1374"/>
      <c r="AE773" s="1374"/>
      <c r="AF773" s="1374"/>
      <c r="AG773" s="137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c r="K774" s="1365"/>
      <c r="L774" s="1365"/>
      <c r="M774" s="1365"/>
      <c r="N774" s="1366"/>
      <c r="O774" s="1445"/>
      <c r="P774" s="1445"/>
      <c r="Q774" s="1445"/>
      <c r="R774" s="1445"/>
      <c r="S774" s="1445"/>
      <c r="T774" s="1509"/>
      <c r="U774" s="1510"/>
      <c r="V774" s="1510"/>
      <c r="W774" s="1511"/>
      <c r="X774" s="1367"/>
      <c r="Y774" s="1368"/>
      <c r="Z774" s="1368"/>
      <c r="AA774" s="1368"/>
      <c r="AB774" s="1369"/>
      <c r="AC774" s="1373">
        <f>X774*O774</f>
        <v>0</v>
      </c>
      <c r="AD774" s="1374"/>
      <c r="AE774" s="1374"/>
      <c r="AF774" s="1374"/>
      <c r="AG774" s="137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445"/>
      <c r="P775" s="1445"/>
      <c r="Q775" s="1445"/>
      <c r="R775" s="1445"/>
      <c r="S775" s="1445"/>
      <c r="T775" s="1509"/>
      <c r="U775" s="1510"/>
      <c r="V775" s="1510"/>
      <c r="W775" s="1511"/>
      <c r="X775" s="1367"/>
      <c r="Y775" s="1368"/>
      <c r="Z775" s="1368"/>
      <c r="AA775" s="1368"/>
      <c r="AB775" s="1369"/>
      <c r="AC775" s="1373">
        <f>X775*O775</f>
        <v>0</v>
      </c>
      <c r="AD775" s="1374"/>
      <c r="AE775" s="1374"/>
      <c r="AF775" s="1374"/>
      <c r="AG775" s="137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445"/>
      <c r="P776" s="1445"/>
      <c r="Q776" s="1445"/>
      <c r="R776" s="1445"/>
      <c r="S776" s="1445"/>
      <c r="T776" s="1509"/>
      <c r="U776" s="1510"/>
      <c r="V776" s="1510"/>
      <c r="W776" s="1511"/>
      <c r="X776" s="1367"/>
      <c r="Y776" s="1368"/>
      <c r="Z776" s="1368"/>
      <c r="AA776" s="1368"/>
      <c r="AB776" s="1369"/>
      <c r="AC776" s="1373">
        <f>X776*O776</f>
        <v>0</v>
      </c>
      <c r="AD776" s="1374"/>
      <c r="AE776" s="1374"/>
      <c r="AF776" s="1374"/>
      <c r="AG776" s="137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92" t="s">
        <v>125</v>
      </c>
      <c r="K777" s="1393"/>
      <c r="L777" s="1393"/>
      <c r="M777" s="1393"/>
      <c r="N777" s="1394"/>
      <c r="O777" s="1523">
        <f>SUM(O773:S776)</f>
        <v>1</v>
      </c>
      <c r="P777" s="1727"/>
      <c r="Q777" s="1727"/>
      <c r="R777" s="1727"/>
      <c r="S777" s="1524"/>
      <c r="X777" s="1392" t="s">
        <v>124</v>
      </c>
      <c r="Y777" s="1393"/>
      <c r="Z777" s="1393"/>
      <c r="AA777" s="1393"/>
      <c r="AB777" s="1394"/>
      <c r="AC777" s="1373">
        <f>SUM(AC773:AG776)</f>
        <v>0</v>
      </c>
      <c r="AD777" s="1374"/>
      <c r="AE777" s="1374"/>
      <c r="AF777" s="1374"/>
      <c r="AG777" s="137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2" t="s">
        <v>678</v>
      </c>
      <c r="K779" s="143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22" t="s">
        <v>390</v>
      </c>
      <c r="K783" s="1514"/>
      <c r="L783" s="1514"/>
      <c r="M783" s="1514"/>
      <c r="N783" s="1515"/>
      <c r="O783" s="1721" t="s">
        <v>286</v>
      </c>
      <c r="P783" s="1721"/>
      <c r="Q783" s="1721"/>
      <c r="R783" s="1721"/>
      <c r="S783" s="1721"/>
      <c r="T783" s="1395" t="s">
        <v>1869</v>
      </c>
      <c r="U783" s="1396"/>
      <c r="V783" s="1396"/>
      <c r="W783" s="1397"/>
      <c r="X783" s="1522" t="s">
        <v>456</v>
      </c>
      <c r="Y783" s="1514"/>
      <c r="Z783" s="1514"/>
      <c r="AA783" s="1514"/>
      <c r="AB783" s="1515"/>
      <c r="AC783" s="1522" t="s">
        <v>287</v>
      </c>
      <c r="AD783" s="1514"/>
      <c r="AE783" s="1514"/>
      <c r="AF783" s="1514"/>
      <c r="AG783" s="15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16"/>
      <c r="K784" s="1517"/>
      <c r="L784" s="1517"/>
      <c r="M784" s="1517"/>
      <c r="N784" s="1518"/>
      <c r="O784" s="1721"/>
      <c r="P784" s="1721"/>
      <c r="Q784" s="1721"/>
      <c r="R784" s="1721"/>
      <c r="S784" s="1721"/>
      <c r="T784" s="1398"/>
      <c r="U784" s="1399"/>
      <c r="V784" s="1399"/>
      <c r="W784" s="1400"/>
      <c r="X784" s="1516"/>
      <c r="Y784" s="1517"/>
      <c r="Z784" s="1517"/>
      <c r="AA784" s="1517"/>
      <c r="AB784" s="1518"/>
      <c r="AC784" s="1516"/>
      <c r="AD784" s="1517"/>
      <c r="AE784" s="1517"/>
      <c r="AF784" s="1517"/>
      <c r="AG784" s="151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16"/>
      <c r="K785" s="1517"/>
      <c r="L785" s="1517"/>
      <c r="M785" s="1517"/>
      <c r="N785" s="1518"/>
      <c r="O785" s="1721"/>
      <c r="P785" s="1721"/>
      <c r="Q785" s="1721"/>
      <c r="R785" s="1721"/>
      <c r="S785" s="1721"/>
      <c r="T785" s="1398"/>
      <c r="U785" s="1399"/>
      <c r="V785" s="1399"/>
      <c r="W785" s="1400"/>
      <c r="X785" s="1516"/>
      <c r="Y785" s="1517"/>
      <c r="Z785" s="1517"/>
      <c r="AA785" s="1517"/>
      <c r="AB785" s="1518"/>
      <c r="AC785" s="1516"/>
      <c r="AD785" s="1517"/>
      <c r="AE785" s="1517"/>
      <c r="AF785" s="1517"/>
      <c r="AG785" s="151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19"/>
      <c r="K786" s="1520"/>
      <c r="L786" s="1520"/>
      <c r="M786" s="1520"/>
      <c r="N786" s="1521"/>
      <c r="O786" s="1721"/>
      <c r="P786" s="1721"/>
      <c r="Q786" s="1721"/>
      <c r="R786" s="1721"/>
      <c r="S786" s="1721"/>
      <c r="T786" s="1604"/>
      <c r="U786" s="1605"/>
      <c r="V786" s="1605"/>
      <c r="W786" s="1606"/>
      <c r="X786" s="1519"/>
      <c r="Y786" s="1520"/>
      <c r="Z786" s="1520"/>
      <c r="AA786" s="1520"/>
      <c r="AB786" s="1521"/>
      <c r="AC786" s="1519"/>
      <c r="AD786" s="1520"/>
      <c r="AE786" s="1520"/>
      <c r="AF786" s="1520"/>
      <c r="AG786" s="152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445"/>
      <c r="P787" s="1445"/>
      <c r="Q787" s="1445"/>
      <c r="R787" s="1445"/>
      <c r="S787" s="1445"/>
      <c r="T787" s="1509"/>
      <c r="U787" s="1510"/>
      <c r="V787" s="1510"/>
      <c r="W787" s="1511"/>
      <c r="X787" s="1367"/>
      <c r="Y787" s="1368"/>
      <c r="Z787" s="1368"/>
      <c r="AA787" s="1368"/>
      <c r="AB787" s="1369"/>
      <c r="AC787" s="1373">
        <f t="shared" ref="AC787:AC796" si="63">X787*O787</f>
        <v>0</v>
      </c>
      <c r="AD787" s="1374"/>
      <c r="AE787" s="1374"/>
      <c r="AF787" s="1374"/>
      <c r="AG787" s="137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445"/>
      <c r="P788" s="1445"/>
      <c r="Q788" s="1445"/>
      <c r="R788" s="1445"/>
      <c r="S788" s="1445"/>
      <c r="T788" s="1509"/>
      <c r="U788" s="1510"/>
      <c r="V788" s="1510"/>
      <c r="W788" s="1511"/>
      <c r="X788" s="1367"/>
      <c r="Y788" s="1368"/>
      <c r="Z788" s="1368"/>
      <c r="AA788" s="1368"/>
      <c r="AB788" s="1369"/>
      <c r="AC788" s="1373">
        <f t="shared" si="63"/>
        <v>0</v>
      </c>
      <c r="AD788" s="1374"/>
      <c r="AE788" s="1374"/>
      <c r="AF788" s="1374"/>
      <c r="AG788" s="137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445"/>
      <c r="P789" s="1445"/>
      <c r="Q789" s="1445"/>
      <c r="R789" s="1445"/>
      <c r="S789" s="1445"/>
      <c r="T789" s="1509"/>
      <c r="U789" s="1510"/>
      <c r="V789" s="1510"/>
      <c r="W789" s="1511"/>
      <c r="X789" s="1367"/>
      <c r="Y789" s="1368"/>
      <c r="Z789" s="1368"/>
      <c r="AA789" s="1368"/>
      <c r="AB789" s="1369"/>
      <c r="AC789" s="1373">
        <f t="shared" si="63"/>
        <v>0</v>
      </c>
      <c r="AD789" s="1374"/>
      <c r="AE789" s="1374"/>
      <c r="AF789" s="1374"/>
      <c r="AG789" s="137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445"/>
      <c r="P790" s="1445"/>
      <c r="Q790" s="1445"/>
      <c r="R790" s="1445"/>
      <c r="S790" s="1445"/>
      <c r="T790" s="1509"/>
      <c r="U790" s="1510"/>
      <c r="V790" s="1510"/>
      <c r="W790" s="1511"/>
      <c r="X790" s="1367"/>
      <c r="Y790" s="1368"/>
      <c r="Z790" s="1368"/>
      <c r="AA790" s="1368"/>
      <c r="AB790" s="1369"/>
      <c r="AC790" s="1373">
        <f t="shared" si="63"/>
        <v>0</v>
      </c>
      <c r="AD790" s="1374"/>
      <c r="AE790" s="1374"/>
      <c r="AF790" s="1374"/>
      <c r="AG790" s="137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445"/>
      <c r="P791" s="1445"/>
      <c r="Q791" s="1445"/>
      <c r="R791" s="1445"/>
      <c r="S791" s="1445"/>
      <c r="T791" s="1509"/>
      <c r="U791" s="1510"/>
      <c r="V791" s="1510"/>
      <c r="W791" s="1511"/>
      <c r="X791" s="1367"/>
      <c r="Y791" s="1368"/>
      <c r="Z791" s="1368"/>
      <c r="AA791" s="1368"/>
      <c r="AB791" s="1369"/>
      <c r="AC791" s="1373">
        <f t="shared" si="63"/>
        <v>0</v>
      </c>
      <c r="AD791" s="1374"/>
      <c r="AE791" s="1374"/>
      <c r="AF791" s="1374"/>
      <c r="AG791" s="137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445"/>
      <c r="P792" s="1445"/>
      <c r="Q792" s="1445"/>
      <c r="R792" s="1445"/>
      <c r="S792" s="1445"/>
      <c r="T792" s="1509"/>
      <c r="U792" s="1510"/>
      <c r="V792" s="1510"/>
      <c r="W792" s="1511"/>
      <c r="X792" s="1367"/>
      <c r="Y792" s="1368"/>
      <c r="Z792" s="1368"/>
      <c r="AA792" s="1368"/>
      <c r="AB792" s="1369"/>
      <c r="AC792" s="1373">
        <f t="shared" si="63"/>
        <v>0</v>
      </c>
      <c r="AD792" s="1374"/>
      <c r="AE792" s="1374"/>
      <c r="AF792" s="1374"/>
      <c r="AG792" s="137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445"/>
      <c r="P793" s="1445"/>
      <c r="Q793" s="1445"/>
      <c r="R793" s="1445"/>
      <c r="S793" s="1445"/>
      <c r="T793" s="1509"/>
      <c r="U793" s="1510"/>
      <c r="V793" s="1510"/>
      <c r="W793" s="1511"/>
      <c r="X793" s="1367"/>
      <c r="Y793" s="1368"/>
      <c r="Z793" s="1368"/>
      <c r="AA793" s="1368"/>
      <c r="AB793" s="1369"/>
      <c r="AC793" s="1373">
        <f t="shared" si="63"/>
        <v>0</v>
      </c>
      <c r="AD793" s="1374"/>
      <c r="AE793" s="1374"/>
      <c r="AF793" s="1374"/>
      <c r="AG793" s="137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445"/>
      <c r="P794" s="1445"/>
      <c r="Q794" s="1445"/>
      <c r="R794" s="1445"/>
      <c r="S794" s="1445"/>
      <c r="T794" s="1509"/>
      <c r="U794" s="1510"/>
      <c r="V794" s="1510"/>
      <c r="W794" s="1511"/>
      <c r="X794" s="1367"/>
      <c r="Y794" s="1368"/>
      <c r="Z794" s="1368"/>
      <c r="AA794" s="1368"/>
      <c r="AB794" s="1369"/>
      <c r="AC794" s="1373">
        <f t="shared" si="63"/>
        <v>0</v>
      </c>
      <c r="AD794" s="1374"/>
      <c r="AE794" s="1374"/>
      <c r="AF794" s="1374"/>
      <c r="AG794" s="137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445"/>
      <c r="P795" s="1445"/>
      <c r="Q795" s="1445"/>
      <c r="R795" s="1445"/>
      <c r="S795" s="1445"/>
      <c r="T795" s="1509"/>
      <c r="U795" s="1510"/>
      <c r="V795" s="1510"/>
      <c r="W795" s="1511"/>
      <c r="X795" s="1367"/>
      <c r="Y795" s="1368"/>
      <c r="Z795" s="1368"/>
      <c r="AA795" s="1368"/>
      <c r="AB795" s="1369"/>
      <c r="AC795" s="1373">
        <f t="shared" si="63"/>
        <v>0</v>
      </c>
      <c r="AD795" s="1374"/>
      <c r="AE795" s="1374"/>
      <c r="AF795" s="1374"/>
      <c r="AG795" s="137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445"/>
      <c r="P796" s="1445"/>
      <c r="Q796" s="1445"/>
      <c r="R796" s="1445"/>
      <c r="S796" s="1445"/>
      <c r="T796" s="1509"/>
      <c r="U796" s="1510"/>
      <c r="V796" s="1510"/>
      <c r="W796" s="1511"/>
      <c r="X796" s="1367"/>
      <c r="Y796" s="1368"/>
      <c r="Z796" s="1368"/>
      <c r="AA796" s="1368"/>
      <c r="AB796" s="1369"/>
      <c r="AC796" s="1373">
        <f t="shared" si="63"/>
        <v>0</v>
      </c>
      <c r="AD796" s="1374"/>
      <c r="AE796" s="1374"/>
      <c r="AF796" s="1374"/>
      <c r="AG796" s="1375"/>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6" t="s">
        <v>478</v>
      </c>
      <c r="BO796" s="1757"/>
      <c r="BP796" s="3"/>
      <c r="BQ796" s="3"/>
      <c r="BR796" s="3"/>
      <c r="BS796" s="14" t="s">
        <v>643</v>
      </c>
      <c r="BT796" s="14"/>
      <c r="BU796" s="14"/>
      <c r="BV796" s="14"/>
      <c r="BW796" s="14"/>
      <c r="BX796" s="14"/>
      <c r="BY796" s="14"/>
      <c r="BZ796" s="14"/>
      <c r="CA796" s="14"/>
      <c r="CB796" s="1753" t="str">
        <f>T189</f>
        <v>San Mateo</v>
      </c>
      <c r="CC796" s="1754"/>
      <c r="CD796" s="1754"/>
      <c r="CE796" s="1754"/>
      <c r="CF796" s="1754"/>
      <c r="CG796" s="1754"/>
      <c r="CH796" s="175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92" t="s">
        <v>125</v>
      </c>
      <c r="K797" s="1393"/>
      <c r="L797" s="1393"/>
      <c r="M797" s="1393"/>
      <c r="N797" s="1394"/>
      <c r="O797" s="1769">
        <f>SUM(O787:S796)</f>
        <v>0</v>
      </c>
      <c r="P797" s="1769"/>
      <c r="Q797" s="1769"/>
      <c r="R797" s="1769"/>
      <c r="S797" s="1769"/>
      <c r="T797"/>
      <c r="U797"/>
      <c r="V797"/>
      <c r="W797"/>
      <c r="X797" s="937" t="s">
        <v>124</v>
      </c>
      <c r="Y797" s="11"/>
      <c r="Z797" s="11"/>
      <c r="AA797" s="11"/>
      <c r="AB797" s="944"/>
      <c r="AC797" s="1373">
        <f>SUM(AC787:AG796)</f>
        <v>0</v>
      </c>
      <c r="AD797" s="1374"/>
      <c r="AE797" s="1374"/>
      <c r="AF797" s="1374"/>
      <c r="AG797" s="137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720" t="str">
        <f>IF(O797&lt;&gt;AG438,"! Total market rate units in the Unit Mix Table above does not match the number of  market rate units on row #"&amp;TEXT(ROW(D438),"#"),"")</f>
        <v/>
      </c>
      <c r="D798" s="1720"/>
      <c r="E798" s="1720"/>
      <c r="F798" s="1720"/>
      <c r="G798" s="1720"/>
      <c r="H798" s="1720"/>
      <c r="I798" s="1720"/>
      <c r="J798" s="1720"/>
      <c r="K798" s="1720"/>
      <c r="L798" s="1720"/>
      <c r="M798" s="1720"/>
      <c r="N798" s="1720"/>
      <c r="O798" s="1720"/>
      <c r="P798" s="1720"/>
      <c r="Q798" s="1720"/>
      <c r="R798" s="1720"/>
      <c r="S798" s="1720"/>
      <c r="T798" s="1720"/>
      <c r="U798" s="1720"/>
      <c r="V798" s="1720"/>
      <c r="W798" s="1720"/>
      <c r="X798" s="1720"/>
      <c r="Y798" s="1720"/>
      <c r="Z798" s="1720"/>
      <c r="AA798" s="1720"/>
      <c r="AB798" s="1720"/>
      <c r="AC798" s="1720"/>
      <c r="AD798" s="1720"/>
      <c r="AE798" s="1720"/>
      <c r="AF798" s="1720"/>
      <c r="AG798" s="1720"/>
      <c r="AH798" s="1720"/>
      <c r="AI798" s="1720"/>
      <c r="AJ798" s="1720"/>
      <c r="AK798" s="1720"/>
      <c r="AL798" s="1720"/>
      <c r="AM798" s="1720"/>
      <c r="AN798" s="172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720"/>
      <c r="D799" s="1720"/>
      <c r="E799" s="1720"/>
      <c r="F799" s="1720"/>
      <c r="G799" s="1720"/>
      <c r="H799" s="1720"/>
      <c r="I799" s="1720"/>
      <c r="J799" s="1720"/>
      <c r="K799" s="1720"/>
      <c r="L799" s="1720"/>
      <c r="M799" s="1720"/>
      <c r="N799" s="1720"/>
      <c r="O799" s="1720"/>
      <c r="P799" s="1720"/>
      <c r="Q799" s="1720"/>
      <c r="R799" s="1720"/>
      <c r="S799" s="1720"/>
      <c r="T799" s="1720"/>
      <c r="U799" s="1720"/>
      <c r="V799" s="1720"/>
      <c r="W799" s="1720"/>
      <c r="X799" s="1720"/>
      <c r="Y799" s="1720"/>
      <c r="Z799" s="1720"/>
      <c r="AA799" s="1720"/>
      <c r="AB799" s="1720"/>
      <c r="AC799" s="1720"/>
      <c r="AD799" s="1720"/>
      <c r="AE799" s="1720"/>
      <c r="AF799" s="1720"/>
      <c r="AG799" s="1720"/>
      <c r="AH799" s="1720"/>
      <c r="AI799" s="1720"/>
      <c r="AJ799" s="1720"/>
      <c r="AK799" s="1720"/>
      <c r="AL799" s="1720"/>
      <c r="AM799" s="1720"/>
      <c r="AN799" s="172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1">
        <f>O753+AC777+AC797</f>
        <v>74561</v>
      </c>
      <c r="Z800" s="1631"/>
      <c r="AA800" s="1631"/>
      <c r="AB800" s="1631"/>
      <c r="AC800" s="163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1">
        <f>(O753+AC777+AC797)*12</f>
        <v>894732</v>
      </c>
      <c r="Z801" s="1631"/>
      <c r="AA801" s="1631"/>
      <c r="AB801" s="1631"/>
      <c r="AC801" s="163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62">
        <v>36</v>
      </c>
      <c r="AA806" s="1618"/>
      <c r="AB806" s="1618"/>
      <c r="AC806" s="1618"/>
      <c r="AD806" s="1618"/>
      <c r="AE806" s="161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7">
        <v>20</v>
      </c>
      <c r="AA807" s="1618"/>
      <c r="AB807" s="1618"/>
      <c r="AC807" s="1618"/>
      <c r="AD807" s="1618"/>
      <c r="AE807" s="161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53327</v>
      </c>
      <c r="AA808" s="1628"/>
      <c r="AB808" s="1628"/>
      <c r="AC808" s="1628"/>
      <c r="AD808" s="1628"/>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770940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84"/>
      <c r="AA813" s="1385"/>
      <c r="AB813" s="1385"/>
      <c r="AC813" s="1385"/>
      <c r="AD813" s="1385"/>
      <c r="AE813" s="13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84"/>
      <c r="AA814" s="1385"/>
      <c r="AB814" s="1385"/>
      <c r="AC814" s="1385"/>
      <c r="AD814" s="1385"/>
      <c r="AE814" s="13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84"/>
      <c r="AA815" s="1385"/>
      <c r="AB815" s="1385"/>
      <c r="AC815" s="1385"/>
      <c r="AD815" s="1385"/>
      <c r="AE815" s="13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88" t="s">
        <v>2653</v>
      </c>
      <c r="Q816" s="1389"/>
      <c r="R816" s="1389"/>
      <c r="S816" s="1389"/>
      <c r="T816" s="1389"/>
      <c r="U816" s="1389"/>
      <c r="V816" s="1389"/>
      <c r="W816" s="1389"/>
      <c r="X816" s="1389"/>
      <c r="Y816" s="1390"/>
      <c r="Z816" s="1384">
        <v>21977</v>
      </c>
      <c r="AA816" s="1385"/>
      <c r="AB816" s="1385"/>
      <c r="AC816" s="1385"/>
      <c r="AD816" s="1385"/>
      <c r="AE816" s="13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21977</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3">
        <f>Z817+Y801+Z809</f>
        <v>1687649</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43" t="s">
        <v>126</v>
      </c>
      <c r="N823" s="1643"/>
      <c r="O823" s="1643"/>
      <c r="P823" s="1644"/>
      <c r="Q823" s="1601" t="s">
        <v>291</v>
      </c>
      <c r="R823" s="1601"/>
      <c r="S823" s="1601"/>
      <c r="T823" s="1601"/>
      <c r="U823" s="1601" t="s">
        <v>292</v>
      </c>
      <c r="V823" s="1601"/>
      <c r="W823" s="1601"/>
      <c r="X823" s="1601"/>
      <c r="Y823" s="1601" t="s">
        <v>293</v>
      </c>
      <c r="Z823" s="1601"/>
      <c r="AA823" s="1601"/>
      <c r="AB823" s="1601"/>
      <c r="AC823" s="1601" t="s">
        <v>362</v>
      </c>
      <c r="AD823" s="1601"/>
      <c r="AE823" s="1601"/>
      <c r="AF823" s="1601"/>
      <c r="AG823" s="1630" t="s">
        <v>336</v>
      </c>
      <c r="AH823" s="1630"/>
      <c r="AI823" s="1630"/>
      <c r="AJ823" s="163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5"/>
      <c r="N824" s="1645"/>
      <c r="O824" s="1645"/>
      <c r="P824" s="1646"/>
      <c r="Q824" s="1601"/>
      <c r="R824" s="1601"/>
      <c r="S824" s="1601"/>
      <c r="T824" s="1601"/>
      <c r="U824" s="1601"/>
      <c r="V824" s="1601"/>
      <c r="W824" s="1601"/>
      <c r="X824" s="1601"/>
      <c r="Y824" s="1601"/>
      <c r="Z824" s="1601"/>
      <c r="AA824" s="1601"/>
      <c r="AB824" s="1601"/>
      <c r="AC824" s="1601"/>
      <c r="AD824" s="1601"/>
      <c r="AE824" s="1601"/>
      <c r="AF824" s="1601"/>
      <c r="AG824" s="1630"/>
      <c r="AH824" s="1630"/>
      <c r="AI824" s="1630"/>
      <c r="AJ824" s="163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16" t="s">
        <v>40</v>
      </c>
      <c r="D825" s="1462"/>
      <c r="E825" s="1462"/>
      <c r="F825" s="1462"/>
      <c r="G825" s="1462"/>
      <c r="H825" s="1462"/>
      <c r="I825" s="48"/>
      <c r="J825" s="48"/>
      <c r="K825" s="48"/>
      <c r="L825" s="49"/>
      <c r="M825" s="1391">
        <v>21</v>
      </c>
      <c r="N825" s="1391"/>
      <c r="O825" s="1391"/>
      <c r="P825" s="1391"/>
      <c r="Q825" s="1391">
        <v>25</v>
      </c>
      <c r="R825" s="1391"/>
      <c r="S825" s="1391"/>
      <c r="T825" s="1391"/>
      <c r="U825" s="1391"/>
      <c r="V825" s="1391"/>
      <c r="W825" s="1391"/>
      <c r="X825" s="1391"/>
      <c r="Y825" s="1391"/>
      <c r="Z825" s="1391"/>
      <c r="AA825" s="1391"/>
      <c r="AB825" s="1391"/>
      <c r="AC825" s="1381"/>
      <c r="AD825" s="1382"/>
      <c r="AE825" s="1382"/>
      <c r="AF825" s="1383"/>
      <c r="AG825" s="1381"/>
      <c r="AH825" s="1382"/>
      <c r="AI825" s="1382"/>
      <c r="AJ825" s="13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00" t="s">
        <v>41</v>
      </c>
      <c r="D826" s="1469"/>
      <c r="E826" s="1469"/>
      <c r="F826" s="1469"/>
      <c r="G826" s="1469"/>
      <c r="H826" s="1469"/>
      <c r="I826" s="5"/>
      <c r="J826" s="5"/>
      <c r="K826" s="5"/>
      <c r="L826" s="46"/>
      <c r="M826" s="1391"/>
      <c r="N826" s="1391"/>
      <c r="O826" s="1391"/>
      <c r="P826" s="1391"/>
      <c r="Q826" s="1391"/>
      <c r="R826" s="1391"/>
      <c r="S826" s="1391"/>
      <c r="T826" s="1391"/>
      <c r="U826" s="1391"/>
      <c r="V826" s="1391"/>
      <c r="W826" s="1391"/>
      <c r="X826" s="1391"/>
      <c r="Y826" s="1391"/>
      <c r="Z826" s="1391"/>
      <c r="AA826" s="1391"/>
      <c r="AB826" s="1391"/>
      <c r="AC826" s="1381"/>
      <c r="AD826" s="1382"/>
      <c r="AE826" s="1382"/>
      <c r="AF826" s="1383"/>
      <c r="AG826" s="1381"/>
      <c r="AH826" s="1382"/>
      <c r="AI826" s="1382"/>
      <c r="AJ826" s="13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00" t="s">
        <v>42</v>
      </c>
      <c r="D827" s="1469"/>
      <c r="E827" s="1469"/>
      <c r="F827" s="1469"/>
      <c r="G827" s="1469"/>
      <c r="H827" s="1469"/>
      <c r="I827" s="60"/>
      <c r="J827" s="60"/>
      <c r="K827" s="60"/>
      <c r="L827" s="61"/>
      <c r="M827" s="1391">
        <v>9</v>
      </c>
      <c r="N827" s="1391"/>
      <c r="O827" s="1391"/>
      <c r="P827" s="1391"/>
      <c r="Q827" s="1391">
        <v>10</v>
      </c>
      <c r="R827" s="1391"/>
      <c r="S827" s="1391"/>
      <c r="T827" s="1391"/>
      <c r="U827" s="1391"/>
      <c r="V827" s="1391"/>
      <c r="W827" s="1391"/>
      <c r="X827" s="1391"/>
      <c r="Y827" s="1391"/>
      <c r="Z827" s="1391"/>
      <c r="AA827" s="1391"/>
      <c r="AB827" s="1391"/>
      <c r="AC827" s="1381"/>
      <c r="AD827" s="1382"/>
      <c r="AE827" s="1382"/>
      <c r="AF827" s="1383"/>
      <c r="AG827" s="1381"/>
      <c r="AH827" s="1382"/>
      <c r="AI827" s="1382"/>
      <c r="AJ827" s="13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00" t="s">
        <v>772</v>
      </c>
      <c r="D828" s="1469"/>
      <c r="E828" s="1469"/>
      <c r="F828" s="1469"/>
      <c r="G828" s="1469"/>
      <c r="H828" s="1469"/>
      <c r="I828" s="60"/>
      <c r="J828" s="60"/>
      <c r="K828" s="60"/>
      <c r="L828" s="61"/>
      <c r="M828" s="1391"/>
      <c r="N828" s="1391"/>
      <c r="O828" s="1391"/>
      <c r="P828" s="1391"/>
      <c r="Q828" s="1391"/>
      <c r="R828" s="1391"/>
      <c r="S828" s="1391"/>
      <c r="T828" s="1391"/>
      <c r="U828" s="1391"/>
      <c r="V828" s="1391"/>
      <c r="W828" s="1391"/>
      <c r="X828" s="1391"/>
      <c r="Y828" s="1391"/>
      <c r="Z828" s="1391"/>
      <c r="AA828" s="1391"/>
      <c r="AB828" s="1391"/>
      <c r="AC828" s="1381"/>
      <c r="AD828" s="1382"/>
      <c r="AE828" s="1382"/>
      <c r="AF828" s="1383"/>
      <c r="AG828" s="1381"/>
      <c r="AH828" s="1382"/>
      <c r="AI828" s="1382"/>
      <c r="AJ828" s="13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00" t="s">
        <v>468</v>
      </c>
      <c r="D829" s="1469"/>
      <c r="E829" s="1469"/>
      <c r="F829" s="1469"/>
      <c r="G829" s="1469"/>
      <c r="H829" s="1469"/>
      <c r="I829" s="60"/>
      <c r="J829" s="60"/>
      <c r="K829" s="60"/>
      <c r="L829" s="61"/>
      <c r="M829" s="1391">
        <v>28</v>
      </c>
      <c r="N829" s="1391"/>
      <c r="O829" s="1391"/>
      <c r="P829" s="1391"/>
      <c r="Q829" s="1391">
        <v>34</v>
      </c>
      <c r="R829" s="1391"/>
      <c r="S829" s="1391"/>
      <c r="T829" s="1391"/>
      <c r="U829" s="1391"/>
      <c r="V829" s="1391"/>
      <c r="W829" s="1391"/>
      <c r="X829" s="1391"/>
      <c r="Y829" s="1391"/>
      <c r="Z829" s="1391"/>
      <c r="AA829" s="1391"/>
      <c r="AB829" s="1391"/>
      <c r="AC829" s="1381"/>
      <c r="AD829" s="1382"/>
      <c r="AE829" s="1382"/>
      <c r="AF829" s="1383"/>
      <c r="AG829" s="1381"/>
      <c r="AH829" s="1382"/>
      <c r="AI829" s="1382"/>
      <c r="AJ829" s="13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1" t="s">
        <v>793</v>
      </c>
      <c r="D830" s="1469"/>
      <c r="E830" s="1469"/>
      <c r="F830" s="1469"/>
      <c r="G830" s="1469"/>
      <c r="H830" s="1469"/>
      <c r="I830" s="60"/>
      <c r="J830" s="60"/>
      <c r="K830" s="60"/>
      <c r="L830" s="61"/>
      <c r="M830" s="1391"/>
      <c r="N830" s="1391"/>
      <c r="O830" s="1391"/>
      <c r="P830" s="1391"/>
      <c r="Q830" s="1391"/>
      <c r="R830" s="1391"/>
      <c r="S830" s="1391"/>
      <c r="T830" s="1391"/>
      <c r="U830" s="1391"/>
      <c r="V830" s="1391"/>
      <c r="W830" s="1391"/>
      <c r="X830" s="1391"/>
      <c r="Y830" s="1391"/>
      <c r="Z830" s="1391"/>
      <c r="AA830" s="1391"/>
      <c r="AB830" s="1391"/>
      <c r="AC830" s="1381"/>
      <c r="AD830" s="1382"/>
      <c r="AE830" s="1382"/>
      <c r="AF830" s="1383"/>
      <c r="AG830" s="1381"/>
      <c r="AH830" s="1382"/>
      <c r="AI830" s="1382"/>
      <c r="AJ830" s="13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88" t="s">
        <v>2654</v>
      </c>
      <c r="G831" s="1389"/>
      <c r="H831" s="1389"/>
      <c r="I831" s="1389"/>
      <c r="J831" s="1389"/>
      <c r="K831" s="1389"/>
      <c r="L831" s="1389"/>
      <c r="M831" s="1391">
        <v>4</v>
      </c>
      <c r="N831" s="1391"/>
      <c r="O831" s="1391"/>
      <c r="P831" s="1391"/>
      <c r="Q831" s="1391">
        <v>5</v>
      </c>
      <c r="R831" s="1391"/>
      <c r="S831" s="1391"/>
      <c r="T831" s="1391"/>
      <c r="U831" s="1391"/>
      <c r="V831" s="1391"/>
      <c r="W831" s="1391"/>
      <c r="X831" s="1391"/>
      <c r="Y831" s="1391"/>
      <c r="Z831" s="1391"/>
      <c r="AA831" s="1391"/>
      <c r="AB831" s="1391"/>
      <c r="AC831" s="1381"/>
      <c r="AD831" s="1382"/>
      <c r="AE831" s="1382"/>
      <c r="AF831" s="1383"/>
      <c r="AG831" s="1381"/>
      <c r="AH831" s="1382"/>
      <c r="AI831" s="1382"/>
      <c r="AJ831" s="13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92" t="s">
        <v>124</v>
      </c>
      <c r="D832" s="1393"/>
      <c r="E832" s="1393"/>
      <c r="F832" s="1393"/>
      <c r="G832" s="1393"/>
      <c r="H832" s="1393"/>
      <c r="I832" s="1393"/>
      <c r="J832" s="1393"/>
      <c r="K832" s="1393"/>
      <c r="L832" s="1394"/>
      <c r="M832" s="1620">
        <f>SUM(M825:P831)</f>
        <v>62</v>
      </c>
      <c r="N832" s="1620"/>
      <c r="O832" s="1620"/>
      <c r="P832" s="1620"/>
      <c r="Q832" s="1620">
        <f>SUM(Q825:T831)</f>
        <v>74</v>
      </c>
      <c r="R832" s="1620"/>
      <c r="S832" s="1620"/>
      <c r="T832" s="1620"/>
      <c r="U832" s="1620">
        <f>SUM(U825:X831)</f>
        <v>0</v>
      </c>
      <c r="V832" s="1620"/>
      <c r="W832" s="1620"/>
      <c r="X832" s="1620"/>
      <c r="Y832" s="1620">
        <f>SUM(Y825:AB831)</f>
        <v>0</v>
      </c>
      <c r="Z832" s="1620"/>
      <c r="AA832" s="1620"/>
      <c r="AB832" s="1620"/>
      <c r="AC832" s="1620">
        <f>SUM(AC825:AF831)</f>
        <v>0</v>
      </c>
      <c r="AD832" s="1620"/>
      <c r="AE832" s="1620"/>
      <c r="AF832" s="1620"/>
      <c r="AG832" s="1620">
        <f>SUM(AG825:AJ831)</f>
        <v>0</v>
      </c>
      <c r="AH832" s="1620"/>
      <c r="AI832" s="1620"/>
      <c r="AJ832" s="162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8" t="s">
        <v>2655</v>
      </c>
      <c r="D837" s="1759"/>
      <c r="E837" s="1759"/>
      <c r="F837" s="1759"/>
      <c r="G837" s="1759"/>
      <c r="H837" s="1759"/>
      <c r="I837" s="1759"/>
      <c r="J837" s="1759"/>
      <c r="K837" s="1759"/>
      <c r="L837" s="1759"/>
      <c r="M837" s="1759"/>
      <c r="N837" s="1759"/>
      <c r="O837" s="1759"/>
      <c r="P837" s="1759"/>
      <c r="Q837" s="1759"/>
      <c r="R837" s="1759"/>
      <c r="S837" s="1759"/>
      <c r="T837" s="1759"/>
      <c r="U837" s="1759"/>
      <c r="V837" s="1759"/>
      <c r="W837" s="1759"/>
      <c r="X837" s="1759"/>
      <c r="Y837" s="1759"/>
      <c r="Z837" s="1759"/>
      <c r="AA837" s="1759"/>
      <c r="AB837" s="1759"/>
      <c r="AC837" s="1759"/>
      <c r="AD837" s="1759"/>
      <c r="AE837" s="1759"/>
      <c r="AF837" s="1759"/>
      <c r="AG837" s="1759"/>
      <c r="AH837" s="1759"/>
      <c r="AI837" s="1759"/>
      <c r="AJ837" s="176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7">
        <f>ROUNDDOWN(BC939*2,2)</f>
        <v>0</v>
      </c>
      <c r="BJ841" s="1647"/>
      <c r="BK841" s="1647"/>
      <c r="BL841" s="164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387">
        <v>1000</v>
      </c>
      <c r="X842" s="1387"/>
      <c r="Y842" s="1387"/>
      <c r="Z842" s="1387"/>
      <c r="AA842" s="1387"/>
      <c r="AB842" s="1387"/>
      <c r="AC842" s="138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387">
        <v>4400</v>
      </c>
      <c r="X843" s="1387"/>
      <c r="Y843" s="1387"/>
      <c r="Z843" s="1387"/>
      <c r="AA843" s="1387"/>
      <c r="AB843" s="1387"/>
      <c r="AC843" s="138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387">
        <v>24072</v>
      </c>
      <c r="X844" s="1387"/>
      <c r="Y844" s="1387"/>
      <c r="Z844" s="1387"/>
      <c r="AA844" s="1387"/>
      <c r="AB844" s="1387"/>
      <c r="AC844" s="138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387">
        <v>99840</v>
      </c>
      <c r="X845" s="1387"/>
      <c r="Y845" s="1387"/>
      <c r="Z845" s="1387"/>
      <c r="AA845" s="1387"/>
      <c r="AB845" s="1387"/>
      <c r="AC845" s="138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88" t="s">
        <v>2656</v>
      </c>
      <c r="N846" s="1389"/>
      <c r="O846" s="1389"/>
      <c r="P846" s="1389"/>
      <c r="Q846" s="1389"/>
      <c r="R846" s="1389"/>
      <c r="S846" s="1389"/>
      <c r="T846" s="1389"/>
      <c r="U846" s="1389"/>
      <c r="V846" s="1390"/>
      <c r="W846" s="1387">
        <f>32444+800</f>
        <v>33244</v>
      </c>
      <c r="X846" s="1387"/>
      <c r="Y846" s="1387"/>
      <c r="Z846" s="1387"/>
      <c r="AA846" s="1387"/>
      <c r="AB846" s="1387"/>
      <c r="AC846" s="138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3">
        <f>SUM(W842:AC846)</f>
        <v>162556</v>
      </c>
      <c r="X847" s="1614"/>
      <c r="Y847" s="1614"/>
      <c r="Z847" s="1614"/>
      <c r="AA847" s="1614"/>
      <c r="AB847" s="1614"/>
      <c r="AC847" s="161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5"/>
      <c r="BH848" s="1635"/>
      <c r="BI848" s="1635"/>
      <c r="BJ848" s="1635"/>
      <c r="BK848" s="1635"/>
      <c r="BL848" s="163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92" t="s">
        <v>346</v>
      </c>
      <c r="K849" s="1393"/>
      <c r="L849" s="1393"/>
      <c r="M849" s="1393"/>
      <c r="N849" s="1393"/>
      <c r="O849" s="1393"/>
      <c r="P849" s="1393"/>
      <c r="Q849" s="1393"/>
      <c r="R849" s="1393"/>
      <c r="S849" s="1393"/>
      <c r="T849" s="1393"/>
      <c r="U849" s="1393"/>
      <c r="V849" s="1394"/>
      <c r="W849" s="1384">
        <v>74689</v>
      </c>
      <c r="X849" s="1385"/>
      <c r="Y849" s="1385"/>
      <c r="Z849" s="1385"/>
      <c r="AA849" s="1385"/>
      <c r="AB849" s="1385"/>
      <c r="AC849" s="138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3"/>
      <c r="X851" s="1633"/>
      <c r="Y851" s="1633"/>
      <c r="Z851" s="1633"/>
      <c r="AA851" s="1633"/>
      <c r="AB851" s="1633"/>
      <c r="AC851" s="1633"/>
      <c r="AZ851" s="1632">
        <f>SUM(AZ818:AZ846)</f>
        <v>7.5000000000000011E-2</v>
      </c>
      <c r="BA851" s="1632"/>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3"/>
      <c r="X852" s="1633"/>
      <c r="Y852" s="1633"/>
      <c r="Z852" s="1633"/>
      <c r="AA852" s="1633"/>
      <c r="AB852" s="1633"/>
      <c r="AC852" s="16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3">
        <v>20493</v>
      </c>
      <c r="X853" s="1633"/>
      <c r="Y853" s="1633"/>
      <c r="Z853" s="1633"/>
      <c r="AA853" s="1633"/>
      <c r="AB853" s="1633"/>
      <c r="AC853" s="16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3">
        <v>77760</v>
      </c>
      <c r="X854" s="1633"/>
      <c r="Y854" s="1633"/>
      <c r="Z854" s="1633"/>
      <c r="AA854" s="1633"/>
      <c r="AB854" s="1633"/>
      <c r="AC854" s="16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4">
        <f>SUM(W851:AC854)</f>
        <v>98253</v>
      </c>
      <c r="X855" s="1724"/>
      <c r="Y855" s="1724"/>
      <c r="Z855" s="1724"/>
      <c r="AA855" s="1724"/>
      <c r="AB855" s="1724"/>
      <c r="AC855" s="172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1">
        <f>196674-W859</f>
        <v>140514</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11">
        <v>3</v>
      </c>
      <c r="U858" s="1468"/>
      <c r="V858" s="161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1">
        <v>56160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11">
        <v>1</v>
      </c>
      <c r="U860" s="1468"/>
      <c r="V860" s="161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88" t="s">
        <v>335</v>
      </c>
      <c r="N861" s="1389"/>
      <c r="O861" s="1389"/>
      <c r="P861" s="1389"/>
      <c r="Q861" s="1389"/>
      <c r="R861" s="1389"/>
      <c r="S861" s="1389"/>
      <c r="T861" s="1389"/>
      <c r="U861" s="1389"/>
      <c r="V861" s="1390"/>
      <c r="W861" s="1621"/>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52">
        <f>SUM(W857:AC861)</f>
        <v>196674</v>
      </c>
      <c r="X862" s="1653"/>
      <c r="Y862" s="1653"/>
      <c r="Z862" s="1653"/>
      <c r="AA862" s="1653"/>
      <c r="AB862" s="1653"/>
      <c r="AC862" s="165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1">
        <v>160000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387"/>
      <c r="X865" s="1387"/>
      <c r="Y865" s="1387"/>
      <c r="Z865" s="1387"/>
      <c r="AA865" s="1387"/>
      <c r="AB865" s="1387"/>
      <c r="AC865" s="138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387">
        <v>128952</v>
      </c>
      <c r="X866" s="1387"/>
      <c r="Y866" s="1387"/>
      <c r="Z866" s="1387"/>
      <c r="AA866" s="1387"/>
      <c r="AB866" s="1387"/>
      <c r="AC866" s="138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387">
        <v>24996</v>
      </c>
      <c r="X867" s="1387"/>
      <c r="Y867" s="1387"/>
      <c r="Z867" s="1387"/>
      <c r="AA867" s="1387"/>
      <c r="AB867" s="1387"/>
      <c r="AC867" s="138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387"/>
      <c r="X868" s="1387"/>
      <c r="Y868" s="1387"/>
      <c r="Z868" s="1387"/>
      <c r="AA868" s="1387"/>
      <c r="AB868" s="1387"/>
      <c r="AC868" s="138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387"/>
      <c r="X869" s="1387"/>
      <c r="Y869" s="1387"/>
      <c r="Z869" s="1387"/>
      <c r="AA869" s="1387"/>
      <c r="AB869" s="1387"/>
      <c r="AC869" s="138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387"/>
      <c r="X870" s="1387"/>
      <c r="Y870" s="1387"/>
      <c r="Z870" s="1387"/>
      <c r="AA870" s="1387"/>
      <c r="AB870" s="1387"/>
      <c r="AC870" s="138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88" t="s">
        <v>335</v>
      </c>
      <c r="N871" s="1389"/>
      <c r="O871" s="1389"/>
      <c r="P871" s="1389"/>
      <c r="Q871" s="1389"/>
      <c r="R871" s="1389"/>
      <c r="S871" s="1389"/>
      <c r="T871" s="1389"/>
      <c r="U871" s="1389"/>
      <c r="V871" s="1390"/>
      <c r="W871" s="1387"/>
      <c r="X871" s="1387"/>
      <c r="Y871" s="1387"/>
      <c r="Z871" s="1387"/>
      <c r="AA871" s="1387"/>
      <c r="AB871" s="1387"/>
      <c r="AC871" s="138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31">
        <f>SUM(W865:AC871)</f>
        <v>153948</v>
      </c>
      <c r="X872" s="1631"/>
      <c r="Y872" s="1631"/>
      <c r="Z872" s="1631"/>
      <c r="AA872" s="1631"/>
      <c r="AB872" s="1631"/>
      <c r="AC872" s="163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88" t="s">
        <v>335</v>
      </c>
      <c r="N874" s="1389"/>
      <c r="O874" s="1389"/>
      <c r="P874" s="1389"/>
      <c r="Q874" s="1389"/>
      <c r="R874" s="1389"/>
      <c r="S874" s="1389"/>
      <c r="T874" s="1389"/>
      <c r="U874" s="1389"/>
      <c r="V874" s="1390"/>
      <c r="W874" s="1384"/>
      <c r="X874" s="1385"/>
      <c r="Y874" s="1385"/>
      <c r="Z874" s="1385"/>
      <c r="AA874" s="1385"/>
      <c r="AB874" s="1385"/>
      <c r="AC874" s="13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88" t="s">
        <v>335</v>
      </c>
      <c r="N875" s="1389"/>
      <c r="O875" s="1389"/>
      <c r="P875" s="1389"/>
      <c r="Q875" s="1389"/>
      <c r="R875" s="1389"/>
      <c r="S875" s="1389"/>
      <c r="T875" s="1389"/>
      <c r="U875" s="1389"/>
      <c r="V875" s="1390"/>
      <c r="W875" s="1384"/>
      <c r="X875" s="1385"/>
      <c r="Y875" s="1385"/>
      <c r="Z875" s="1385"/>
      <c r="AA875" s="1385"/>
      <c r="AB875" s="1385"/>
      <c r="AC875" s="13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88" t="s">
        <v>335</v>
      </c>
      <c r="N876" s="1389"/>
      <c r="O876" s="1389"/>
      <c r="P876" s="1389"/>
      <c r="Q876" s="1389"/>
      <c r="R876" s="1389"/>
      <c r="S876" s="1389"/>
      <c r="T876" s="1389"/>
      <c r="U876" s="1389"/>
      <c r="V876" s="1390"/>
      <c r="W876" s="1384"/>
      <c r="X876" s="1385"/>
      <c r="Y876" s="1385"/>
      <c r="Z876" s="1385"/>
      <c r="AA876" s="1385"/>
      <c r="AB876" s="1385"/>
      <c r="AC876" s="13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88" t="s">
        <v>335</v>
      </c>
      <c r="N877" s="1389"/>
      <c r="O877" s="1389"/>
      <c r="P877" s="1389"/>
      <c r="Q877" s="1389"/>
      <c r="R877" s="1389"/>
      <c r="S877" s="1389"/>
      <c r="T877" s="1389"/>
      <c r="U877" s="1389"/>
      <c r="V877" s="1390"/>
      <c r="W877" s="1384"/>
      <c r="X877" s="1385"/>
      <c r="Y877" s="1385"/>
      <c r="Z877" s="1385"/>
      <c r="AA877" s="1385"/>
      <c r="AB877" s="1385"/>
      <c r="AC877" s="13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88" t="s">
        <v>335</v>
      </c>
      <c r="N878" s="1389"/>
      <c r="O878" s="1389"/>
      <c r="P878" s="1389"/>
      <c r="Q878" s="1389"/>
      <c r="R878" s="1389"/>
      <c r="S878" s="1389"/>
      <c r="T878" s="1389"/>
      <c r="U878" s="1389"/>
      <c r="V878" s="1390"/>
      <c r="W878" s="1384"/>
      <c r="X878" s="1385"/>
      <c r="Y878" s="1385"/>
      <c r="Z878" s="1385"/>
      <c r="AA878" s="1385"/>
      <c r="AB878" s="1385"/>
      <c r="AC878" s="13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3">
        <f>SUM(W874:AC878)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4">
        <f>W847+W855+W862+W863+W872+W879+W849</f>
        <v>846120</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1">
        <f>O797+O777+G753</f>
        <v>72</v>
      </c>
      <c r="AD884" s="1641"/>
      <c r="AE884" s="1641"/>
      <c r="AF884" s="1641"/>
      <c r="AG884" s="1641"/>
      <c r="AH884" s="164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2" t="s">
        <v>32</v>
      </c>
      <c r="F885" s="1722"/>
      <c r="G885" s="1722"/>
      <c r="H885" s="1722"/>
      <c r="I885" s="1722"/>
      <c r="J885" s="1722"/>
      <c r="K885" s="1722"/>
      <c r="L885" s="1722"/>
      <c r="M885" s="1722"/>
      <c r="N885" s="1722"/>
      <c r="O885" s="1722"/>
      <c r="P885" s="1722"/>
      <c r="Q885" s="1722"/>
      <c r="R885" s="1722"/>
      <c r="S885" s="1722"/>
      <c r="T885" s="1722"/>
      <c r="U885" s="1722"/>
      <c r="V885" s="1722"/>
      <c r="W885" s="1722"/>
      <c r="X885" s="1722"/>
      <c r="Y885" s="1722"/>
      <c r="Z885" s="1722"/>
      <c r="AA885" s="1722"/>
      <c r="AB885" s="1723"/>
      <c r="AC885" s="1631">
        <f>IF(ISERROR((ROUNDDOWN(AC883/AC884,0))),0,(ROUNDDOWN(AC883/AC884,0)))</f>
        <v>11751</v>
      </c>
      <c r="AD885" s="1631"/>
      <c r="AE885" s="1631"/>
      <c r="AF885" s="1631"/>
      <c r="AG885" s="1631"/>
      <c r="AH885" s="163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36">
        <f>ROUND((AC883+AF627)/12*3,0)</f>
        <v>324527</v>
      </c>
      <c r="AD886" s="1637"/>
      <c r="AE886" s="1637"/>
      <c r="AF886" s="1637"/>
      <c r="AG886" s="1637"/>
      <c r="AH886" s="163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86"/>
      <c r="AD887" s="1387"/>
      <c r="AE887" s="1387"/>
      <c r="AF887" s="1387"/>
      <c r="AG887" s="1387"/>
      <c r="AH887" s="138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85">
        <v>131134</v>
      </c>
      <c r="AD888" s="1385"/>
      <c r="AE888" s="1385"/>
      <c r="AF888" s="1385"/>
      <c r="AG888" s="1385"/>
      <c r="AH888" s="13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85">
        <v>36000</v>
      </c>
      <c r="AD889" s="1385"/>
      <c r="AE889" s="1385"/>
      <c r="AF889" s="1385"/>
      <c r="AG889" s="1385"/>
      <c r="AH889" s="13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81">
        <v>26500</v>
      </c>
      <c r="AD890" s="1382"/>
      <c r="AE890" s="1382"/>
      <c r="AF890" s="1382"/>
      <c r="AG890" s="1382"/>
      <c r="AH890" s="13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85">
        <v>10000</v>
      </c>
      <c r="AD891" s="1385"/>
      <c r="AE891" s="1385"/>
      <c r="AF891" s="1385"/>
      <c r="AG891" s="1385"/>
      <c r="AH891" s="13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85"/>
      <c r="AD892" s="1385"/>
      <c r="AE892" s="1385"/>
      <c r="AF892" s="1385"/>
      <c r="AG892" s="1385"/>
      <c r="AH892" s="13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8" t="s">
        <v>976</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387"/>
      <c r="AD893" s="1387"/>
      <c r="AE893" s="1387"/>
      <c r="AF893" s="1387"/>
      <c r="AG893" s="1387"/>
      <c r="AH893" s="138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8" t="s">
        <v>976</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387"/>
      <c r="AD894" s="1387"/>
      <c r="AE894" s="1387"/>
      <c r="AF894" s="1387"/>
      <c r="AG894" s="1387"/>
      <c r="AH894" s="138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84"/>
      <c r="AA898" s="1385"/>
      <c r="AB898" s="1385"/>
      <c r="AC898" s="1385"/>
      <c r="AD898" s="1385"/>
      <c r="AE898" s="1386"/>
      <c r="AF898" s="567"/>
      <c r="AZ898" s="34"/>
      <c r="BB898" s="30"/>
      <c r="BC898" s="850"/>
      <c r="BD898" s="1634"/>
      <c r="BE898" s="16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84"/>
      <c r="AA899" s="1385"/>
      <c r="AB899" s="1385"/>
      <c r="AC899" s="1385"/>
      <c r="AD899" s="1385"/>
      <c r="AE899" s="1386"/>
      <c r="AZ899" s="34"/>
      <c r="BB899" s="30"/>
      <c r="BC899" s="850"/>
      <c r="BD899" s="1634"/>
      <c r="BE899" s="16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84"/>
      <c r="AA900" s="1385"/>
      <c r="AB900" s="1385"/>
      <c r="AC900" s="1385"/>
      <c r="AD900" s="1385"/>
      <c r="AE900" s="1386"/>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3">
        <f>Z898-(Z899+Z900)</f>
        <v>0</v>
      </c>
      <c r="AA901" s="1614"/>
      <c r="AB901" s="1614"/>
      <c r="AC901" s="1614"/>
      <c r="AD901" s="1614"/>
      <c r="AE901" s="1615"/>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4"/>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8"/>
      <c r="BE904" s="1648"/>
      <c r="BF904" s="16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7"/>
      <c r="BE905" s="1647"/>
      <c r="BF905" s="164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4"/>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9" t="s">
        <v>96</v>
      </c>
      <c r="B909" s="1539"/>
      <c r="C909" s="1539"/>
      <c r="D909" s="1539"/>
      <c r="E909" s="1539"/>
      <c r="F909" s="1539"/>
      <c r="G909" s="1539"/>
      <c r="H909" s="1539"/>
      <c r="I909" s="1539"/>
      <c r="J909" s="1539"/>
      <c r="K909" s="1539"/>
      <c r="L909" s="1539"/>
      <c r="M909" s="1539"/>
      <c r="N909" s="1539"/>
      <c r="O909" s="1539"/>
      <c r="P909" s="1539"/>
      <c r="Q909" s="1539"/>
      <c r="R909" s="1539"/>
      <c r="S909" s="1539"/>
      <c r="T909" s="1539"/>
      <c r="U909" s="1539"/>
      <c r="V909" s="1539"/>
      <c r="W909" s="1539"/>
      <c r="X909" s="1539"/>
      <c r="Y909" s="1539"/>
      <c r="Z909" s="1539"/>
      <c r="AA909" s="1539"/>
      <c r="AB909" s="1539"/>
      <c r="AC909" s="1539"/>
      <c r="AD909" s="1539"/>
      <c r="AE909" s="1539"/>
      <c r="AF909" s="1539"/>
      <c r="AG909" s="1539"/>
      <c r="AH909" s="1539"/>
      <c r="AI909" s="1539"/>
      <c r="AJ909" s="1539"/>
      <c r="AK909" s="1539"/>
      <c r="AL909" s="1539"/>
      <c r="AM909" s="1539"/>
      <c r="AN909" s="1539"/>
      <c r="AO909" s="1539"/>
      <c r="AP909" s="1539"/>
      <c r="AQ909" s="1539"/>
      <c r="AR909" s="1539"/>
      <c r="AS909" s="1539"/>
      <c r="AT909" s="1539"/>
      <c r="AZ909" s="34"/>
      <c r="BA909" s="34"/>
      <c r="BB909" s="30"/>
      <c r="BC909" s="30"/>
      <c r="BD909" s="1634"/>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9"/>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802</v>
      </c>
      <c r="G914" s="1828"/>
      <c r="H914" s="1828"/>
      <c r="I914" s="1828"/>
      <c r="J914" s="1828"/>
      <c r="K914" s="1828"/>
      <c r="L914" s="1828"/>
      <c r="M914" s="1828"/>
      <c r="N914" s="1828"/>
      <c r="O914" s="1828"/>
      <c r="P914" s="1828"/>
      <c r="Q914" s="1828"/>
      <c r="R914" s="1828"/>
      <c r="S914" s="1828"/>
      <c r="T914" s="1829"/>
      <c r="U914" s="1778" t="s">
        <v>31</v>
      </c>
      <c r="V914" s="1643"/>
      <c r="W914" s="1643"/>
      <c r="X914" s="1643"/>
      <c r="Y914" s="1643"/>
      <c r="Z914" s="16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9" t="s">
        <v>828</v>
      </c>
      <c r="G915" s="1780"/>
      <c r="H915" s="1780"/>
      <c r="I915" s="1780"/>
      <c r="J915" s="1780"/>
      <c r="K915" s="1780"/>
      <c r="L915" s="1780"/>
      <c r="M915" s="1780"/>
      <c r="N915" s="1780"/>
      <c r="O915" s="1780"/>
      <c r="P915" s="1780"/>
      <c r="Q915" s="1780"/>
      <c r="R915" s="1780"/>
      <c r="S915" s="1780"/>
      <c r="T915" s="1786"/>
      <c r="U915" s="1779"/>
      <c r="V915" s="1780"/>
      <c r="W915" s="1780"/>
      <c r="X915" s="1780"/>
      <c r="Y915" s="1780"/>
      <c r="Z915" s="178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1"/>
      <c r="G916" s="1645"/>
      <c r="H916" s="1645"/>
      <c r="I916" s="1645"/>
      <c r="J916" s="1645"/>
      <c r="K916" s="1645"/>
      <c r="L916" s="1645"/>
      <c r="M916" s="1645"/>
      <c r="N916" s="1645"/>
      <c r="O916" s="1645"/>
      <c r="P916" s="1645"/>
      <c r="Q916" s="1645"/>
      <c r="R916" s="1645"/>
      <c r="S916" s="1645"/>
      <c r="T916" s="1646"/>
      <c r="U916" s="1781"/>
      <c r="V916" s="1645"/>
      <c r="W916" s="1645"/>
      <c r="X916" s="1645"/>
      <c r="Y916" s="1645"/>
      <c r="Z916" s="1645"/>
      <c r="AA916" s="108"/>
      <c r="AB916" s="1484" t="s">
        <v>392</v>
      </c>
      <c r="AC916" s="1484"/>
      <c r="AD916" s="1484"/>
      <c r="AE916" s="148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9" t="s">
        <v>554</v>
      </c>
      <c r="V917" s="1421"/>
      <c r="W917" s="1421"/>
      <c r="X917" s="1421"/>
      <c r="Y917" s="1421"/>
      <c r="Z917" s="1422"/>
      <c r="AA917" s="1650">
        <f>AM554</f>
        <v>38500000</v>
      </c>
      <c r="AB917" s="1476"/>
      <c r="AC917" s="1476"/>
      <c r="AD917" s="1476"/>
      <c r="AE917" s="1476"/>
      <c r="AF917" s="165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9" t="s">
        <v>600</v>
      </c>
      <c r="V918" s="1421"/>
      <c r="W918" s="1421"/>
      <c r="X918" s="1421"/>
      <c r="Y918" s="1421"/>
      <c r="Z918" s="1422"/>
      <c r="AA918" s="1650"/>
      <c r="AB918" s="1476"/>
      <c r="AC918" s="1476"/>
      <c r="AD918" s="1476"/>
      <c r="AE918" s="1476"/>
      <c r="AF918" s="165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9" t="s">
        <v>600</v>
      </c>
      <c r="V919" s="1421"/>
      <c r="W919" s="1421"/>
      <c r="X919" s="1421"/>
      <c r="Y919" s="1421"/>
      <c r="Z919" s="1422"/>
      <c r="AA919" s="1650"/>
      <c r="AB919" s="1476"/>
      <c r="AC919" s="1476"/>
      <c r="AD919" s="1476"/>
      <c r="AE919" s="1476"/>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9" t="s">
        <v>600</v>
      </c>
      <c r="V920" s="1421"/>
      <c r="W920" s="1421"/>
      <c r="X920" s="1421"/>
      <c r="Y920" s="1421"/>
      <c r="Z920" s="1422"/>
      <c r="AA920" s="1650"/>
      <c r="AB920" s="1476"/>
      <c r="AC920" s="1476"/>
      <c r="AD920" s="1476"/>
      <c r="AE920" s="1476"/>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9" t="s">
        <v>600</v>
      </c>
      <c r="V921" s="1421"/>
      <c r="W921" s="1421"/>
      <c r="X921" s="1421"/>
      <c r="Y921" s="1421"/>
      <c r="Z921" s="1422"/>
      <c r="AA921" s="1650"/>
      <c r="AB921" s="1476"/>
      <c r="AC921" s="1476"/>
      <c r="AD921" s="1476"/>
      <c r="AE921" s="1476"/>
      <c r="AF921" s="165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9" t="s">
        <v>600</v>
      </c>
      <c r="V922" s="1421"/>
      <c r="W922" s="1421"/>
      <c r="X922" s="1421"/>
      <c r="Y922" s="1421"/>
      <c r="Z922" s="1422"/>
      <c r="AA922" s="1650"/>
      <c r="AB922" s="1476"/>
      <c r="AC922" s="1476"/>
      <c r="AD922" s="1476"/>
      <c r="AE922" s="1476"/>
      <c r="AF922" s="165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9" t="s">
        <v>600</v>
      </c>
      <c r="V923" s="1421"/>
      <c r="W923" s="1421"/>
      <c r="X923" s="1421"/>
      <c r="Y923" s="1421"/>
      <c r="Z923" s="1422"/>
      <c r="AA923" s="1650"/>
      <c r="AB923" s="1476"/>
      <c r="AC923" s="1476"/>
      <c r="AD923" s="1476"/>
      <c r="AE923" s="1476"/>
      <c r="AF923" s="165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9" t="s">
        <v>600</v>
      </c>
      <c r="V924" s="1421"/>
      <c r="W924" s="1421"/>
      <c r="X924" s="1421"/>
      <c r="Y924" s="1421"/>
      <c r="Z924" s="1422"/>
      <c r="AA924" s="1650"/>
      <c r="AB924" s="1476"/>
      <c r="AC924" s="1476"/>
      <c r="AD924" s="1476"/>
      <c r="AE924" s="1476"/>
      <c r="AF924" s="165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5" t="s">
        <v>2558</v>
      </c>
      <c r="G925" s="1656"/>
      <c r="H925" s="1656"/>
      <c r="I925" s="1656"/>
      <c r="J925" s="1656"/>
      <c r="K925" s="1656"/>
      <c r="L925" s="1656"/>
      <c r="M925" s="1656"/>
      <c r="N925" s="1656"/>
      <c r="O925" s="1656"/>
      <c r="P925" s="1656"/>
      <c r="Q925" s="1656"/>
      <c r="R925" s="1656"/>
      <c r="S925" s="1656"/>
      <c r="T925" s="1657"/>
      <c r="U925" s="1649" t="s">
        <v>600</v>
      </c>
      <c r="V925" s="1421"/>
      <c r="W925" s="1421"/>
      <c r="X925" s="1421"/>
      <c r="Y925" s="1421"/>
      <c r="Z925" s="1422"/>
      <c r="AA925" s="1650"/>
      <c r="AB925" s="1476"/>
      <c r="AC925" s="1476"/>
      <c r="AD925" s="1476"/>
      <c r="AE925" s="1476"/>
      <c r="AF925" s="165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5" t="s">
        <v>688</v>
      </c>
      <c r="G926" s="1656"/>
      <c r="H926" s="1656"/>
      <c r="I926" s="1656"/>
      <c r="J926" s="1656"/>
      <c r="K926" s="1656"/>
      <c r="L926" s="1656"/>
      <c r="M926" s="1656"/>
      <c r="N926" s="1656"/>
      <c r="O926" s="1656"/>
      <c r="P926" s="1656"/>
      <c r="Q926" s="1656"/>
      <c r="R926" s="1656"/>
      <c r="S926" s="1656"/>
      <c r="T926" s="1657"/>
      <c r="U926" s="1649" t="s">
        <v>600</v>
      </c>
      <c r="V926" s="1421"/>
      <c r="W926" s="1421"/>
      <c r="X926" s="1421"/>
      <c r="Y926" s="1421"/>
      <c r="Z926" s="1422"/>
      <c r="AA926" s="1650"/>
      <c r="AB926" s="1476"/>
      <c r="AC926" s="1476"/>
      <c r="AD926" s="1476"/>
      <c r="AE926" s="1476"/>
      <c r="AF926" s="165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5" t="s">
        <v>2559</v>
      </c>
      <c r="G927" s="1656"/>
      <c r="H927" s="1656"/>
      <c r="I927" s="1656"/>
      <c r="J927" s="1656"/>
      <c r="K927" s="1656"/>
      <c r="L927" s="1656"/>
      <c r="M927" s="1656"/>
      <c r="N927" s="1656"/>
      <c r="O927" s="1656"/>
      <c r="P927" s="1656"/>
      <c r="Q927" s="1656"/>
      <c r="R927" s="1656"/>
      <c r="S927" s="1656"/>
      <c r="T927" s="1657"/>
      <c r="U927" s="1649" t="s">
        <v>600</v>
      </c>
      <c r="V927" s="1421"/>
      <c r="W927" s="1421"/>
      <c r="X927" s="1421"/>
      <c r="Y927" s="1421"/>
      <c r="Z927" s="1422"/>
      <c r="AA927" s="1650"/>
      <c r="AB927" s="1476"/>
      <c r="AC927" s="1476"/>
      <c r="AD927" s="1476"/>
      <c r="AE927" s="1476"/>
      <c r="AF927" s="165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5" t="s">
        <v>2560</v>
      </c>
      <c r="G928" s="1656"/>
      <c r="H928" s="1656"/>
      <c r="I928" s="1656"/>
      <c r="J928" s="1656"/>
      <c r="K928" s="1656"/>
      <c r="L928" s="1656"/>
      <c r="M928" s="1656"/>
      <c r="N928" s="1656"/>
      <c r="O928" s="1656"/>
      <c r="P928" s="1656"/>
      <c r="Q928" s="1656"/>
      <c r="R928" s="1656"/>
      <c r="S928" s="1656"/>
      <c r="T928" s="1657"/>
      <c r="U928" s="1649" t="s">
        <v>600</v>
      </c>
      <c r="V928" s="1421"/>
      <c r="W928" s="1421"/>
      <c r="X928" s="1421"/>
      <c r="Y928" s="1421"/>
      <c r="Z928" s="1422"/>
      <c r="AA928" s="1650"/>
      <c r="AB928" s="1476"/>
      <c r="AC928" s="1476"/>
      <c r="AD928" s="1476"/>
      <c r="AE928" s="1476"/>
      <c r="AF928" s="165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5" t="s">
        <v>2561</v>
      </c>
      <c r="G929" s="1656"/>
      <c r="H929" s="1656"/>
      <c r="I929" s="1656"/>
      <c r="J929" s="1656"/>
      <c r="K929" s="1656"/>
      <c r="L929" s="1656"/>
      <c r="M929" s="1656"/>
      <c r="N929" s="1656"/>
      <c r="O929" s="1656"/>
      <c r="P929" s="1656"/>
      <c r="Q929" s="1656"/>
      <c r="R929" s="1656"/>
      <c r="S929" s="1656"/>
      <c r="T929" s="1657"/>
      <c r="U929" s="1649" t="s">
        <v>600</v>
      </c>
      <c r="V929" s="1421"/>
      <c r="W929" s="1421"/>
      <c r="X929" s="1421"/>
      <c r="Y929" s="1421"/>
      <c r="Z929" s="1422"/>
      <c r="AA929" s="1650"/>
      <c r="AB929" s="1476"/>
      <c r="AC929" s="1476"/>
      <c r="AD929" s="1476"/>
      <c r="AE929" s="1476"/>
      <c r="AF929" s="165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5" t="s">
        <v>2562</v>
      </c>
      <c r="G930" s="1656"/>
      <c r="H930" s="1656"/>
      <c r="I930" s="1656"/>
      <c r="J930" s="1656"/>
      <c r="K930" s="1656"/>
      <c r="L930" s="1656"/>
      <c r="M930" s="1656"/>
      <c r="N930" s="1656"/>
      <c r="O930" s="1656"/>
      <c r="P930" s="1656"/>
      <c r="Q930" s="1656"/>
      <c r="R930" s="1656"/>
      <c r="S930" s="1656"/>
      <c r="T930" s="1657"/>
      <c r="U930" s="1649" t="s">
        <v>600</v>
      </c>
      <c r="V930" s="1421"/>
      <c r="W930" s="1421"/>
      <c r="X930" s="1421"/>
      <c r="Y930" s="1421"/>
      <c r="Z930" s="1422"/>
      <c r="AA930" s="1650"/>
      <c r="AB930" s="1476"/>
      <c r="AC930" s="1476"/>
      <c r="AD930" s="1476"/>
      <c r="AE930" s="1476"/>
      <c r="AF930" s="165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5" t="s">
        <v>2563</v>
      </c>
      <c r="G931" s="1656"/>
      <c r="H931" s="1656"/>
      <c r="I931" s="1656"/>
      <c r="J931" s="1656"/>
      <c r="K931" s="1656"/>
      <c r="L931" s="1656"/>
      <c r="M931" s="1656"/>
      <c r="N931" s="1656"/>
      <c r="O931" s="1656"/>
      <c r="P931" s="1656"/>
      <c r="Q931" s="1656"/>
      <c r="R931" s="1656"/>
      <c r="S931" s="1656"/>
      <c r="T931" s="1657"/>
      <c r="U931" s="1649" t="s">
        <v>600</v>
      </c>
      <c r="V931" s="1421"/>
      <c r="W931" s="1421"/>
      <c r="X931" s="1421"/>
      <c r="Y931" s="1421"/>
      <c r="Z931" s="1422"/>
      <c r="AA931" s="1650"/>
      <c r="AB931" s="1476"/>
      <c r="AC931" s="1476"/>
      <c r="AD931" s="1476"/>
      <c r="AE931" s="1476"/>
      <c r="AF931" s="165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9" t="s">
        <v>600</v>
      </c>
      <c r="V932" s="1421"/>
      <c r="W932" s="1421"/>
      <c r="X932" s="1421"/>
      <c r="Y932" s="1421"/>
      <c r="Z932" s="1422"/>
      <c r="AA932" s="1650"/>
      <c r="AB932" s="1476"/>
      <c r="AC932" s="1476"/>
      <c r="AD932" s="1476"/>
      <c r="AE932" s="1476"/>
      <c r="AF932" s="165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49" t="s">
        <v>600</v>
      </c>
      <c r="V933" s="1421"/>
      <c r="W933" s="1421"/>
      <c r="X933" s="1421"/>
      <c r="Y933" s="1421"/>
      <c r="Z933" s="1422"/>
      <c r="AA933" s="1650"/>
      <c r="AB933" s="1476"/>
      <c r="AC933" s="1476"/>
      <c r="AD933" s="1476"/>
      <c r="AE933" s="1476"/>
      <c r="AF933" s="165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9" t="s">
        <v>600</v>
      </c>
      <c r="V934" s="1421"/>
      <c r="W934" s="1421"/>
      <c r="X934" s="1421"/>
      <c r="Y934" s="1421"/>
      <c r="Z934" s="1422"/>
      <c r="AA934" s="1650"/>
      <c r="AB934" s="1476"/>
      <c r="AC934" s="1476"/>
      <c r="AD934" s="1476"/>
      <c r="AE934" s="1476"/>
      <c r="AF934" s="165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58" t="s">
        <v>2567</v>
      </c>
      <c r="G935" s="1659"/>
      <c r="H935" s="1659"/>
      <c r="I935" s="1659"/>
      <c r="J935" s="1659"/>
      <c r="K935" s="1659"/>
      <c r="L935" s="1659"/>
      <c r="M935" s="1659"/>
      <c r="N935" s="1659"/>
      <c r="O935" s="1659"/>
      <c r="P935" s="1659"/>
      <c r="Q935" s="1659"/>
      <c r="R935" s="1659"/>
      <c r="S935" s="1659"/>
      <c r="T935" s="1660"/>
      <c r="U935" s="1649" t="s">
        <v>600</v>
      </c>
      <c r="V935" s="1421"/>
      <c r="W935" s="1421"/>
      <c r="X935" s="1421"/>
      <c r="Y935" s="1421"/>
      <c r="Z935" s="1422"/>
      <c r="AA935" s="1650"/>
      <c r="AB935" s="1476"/>
      <c r="AC935" s="1476"/>
      <c r="AD935" s="1476"/>
      <c r="AE935" s="1476"/>
      <c r="AF935" s="165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58" t="s">
        <v>2568</v>
      </c>
      <c r="G936" s="1659"/>
      <c r="H936" s="1659"/>
      <c r="I936" s="1659"/>
      <c r="J936" s="1659"/>
      <c r="K936" s="1659"/>
      <c r="L936" s="1659"/>
      <c r="M936" s="1659"/>
      <c r="N936" s="1659"/>
      <c r="O936" s="1659"/>
      <c r="P936" s="1659"/>
      <c r="Q936" s="1659"/>
      <c r="R936" s="1659"/>
      <c r="S936" s="1659"/>
      <c r="T936" s="1660"/>
      <c r="U936" s="1649" t="s">
        <v>600</v>
      </c>
      <c r="V936" s="1421"/>
      <c r="W936" s="1421"/>
      <c r="X936" s="1421"/>
      <c r="Y936" s="1421"/>
      <c r="Z936" s="1422"/>
      <c r="AA936" s="1650"/>
      <c r="AB936" s="1476"/>
      <c r="AC936" s="1476"/>
      <c r="AD936" s="1476"/>
      <c r="AE936" s="1476"/>
      <c r="AF936" s="165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5" t="s">
        <v>2564</v>
      </c>
      <c r="G937" s="1656"/>
      <c r="H937" s="1656"/>
      <c r="I937" s="1656"/>
      <c r="J937" s="1656"/>
      <c r="K937" s="1656"/>
      <c r="L937" s="1656"/>
      <c r="M937" s="1656"/>
      <c r="N937" s="1656"/>
      <c r="O937" s="1656"/>
      <c r="P937" s="1656"/>
      <c r="Q937" s="1656"/>
      <c r="R937" s="1656"/>
      <c r="S937" s="1656"/>
      <c r="T937" s="1657"/>
      <c r="U937" s="1649" t="s">
        <v>600</v>
      </c>
      <c r="V937" s="1421"/>
      <c r="W937" s="1421"/>
      <c r="X937" s="1421"/>
      <c r="Y937" s="1421"/>
      <c r="Z937" s="1422"/>
      <c r="AA937" s="1650"/>
      <c r="AB937" s="1476"/>
      <c r="AC937" s="1476"/>
      <c r="AD937" s="1476"/>
      <c r="AE937" s="1476"/>
      <c r="AF937" s="165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5" t="s">
        <v>2565</v>
      </c>
      <c r="G938" s="1656"/>
      <c r="H938" s="1656"/>
      <c r="I938" s="1656"/>
      <c r="J938" s="1656"/>
      <c r="K938" s="1656"/>
      <c r="L938" s="1656"/>
      <c r="M938" s="1656"/>
      <c r="N938" s="1656"/>
      <c r="O938" s="1656"/>
      <c r="P938" s="1656"/>
      <c r="Q938" s="1656"/>
      <c r="R938" s="1656"/>
      <c r="S938" s="1656"/>
      <c r="T938" s="1657"/>
      <c r="U938" s="1649" t="s">
        <v>600</v>
      </c>
      <c r="V938" s="1421"/>
      <c r="W938" s="1421"/>
      <c r="X938" s="1421"/>
      <c r="Y938" s="1421"/>
      <c r="Z938" s="142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5" t="s">
        <v>2566</v>
      </c>
      <c r="G939" s="1656"/>
      <c r="H939" s="1656"/>
      <c r="I939" s="1656"/>
      <c r="J939" s="1656"/>
      <c r="K939" s="1656"/>
      <c r="L939" s="1656"/>
      <c r="M939" s="1656"/>
      <c r="N939" s="1656"/>
      <c r="O939" s="1656"/>
      <c r="P939" s="1656"/>
      <c r="Q939" s="1656"/>
      <c r="R939" s="1656"/>
      <c r="S939" s="1656"/>
      <c r="T939" s="1657"/>
      <c r="U939" s="1649" t="s">
        <v>600</v>
      </c>
      <c r="V939" s="1421"/>
      <c r="W939" s="1421"/>
      <c r="X939" s="1421"/>
      <c r="Y939" s="1421"/>
      <c r="Z939" s="142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49" t="s">
        <v>600</v>
      </c>
      <c r="V940" s="1421"/>
      <c r="W940" s="1421"/>
      <c r="X940" s="1421"/>
      <c r="Y940" s="1421"/>
      <c r="Z940" s="1422"/>
      <c r="AA940" s="1650"/>
      <c r="AB940" s="1476"/>
      <c r="AC940" s="1476"/>
      <c r="AD940" s="1476"/>
      <c r="AE940" s="1476"/>
      <c r="AF940" s="165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58" t="s">
        <v>2569</v>
      </c>
      <c r="G941" s="1659"/>
      <c r="H941" s="1659"/>
      <c r="I941" s="1659"/>
      <c r="J941" s="1659"/>
      <c r="K941" s="1659"/>
      <c r="L941" s="1659"/>
      <c r="M941" s="1659"/>
      <c r="N941" s="1659"/>
      <c r="O941" s="1659"/>
      <c r="P941" s="1659"/>
      <c r="Q941" s="1659"/>
      <c r="R941" s="1659"/>
      <c r="S941" s="1659"/>
      <c r="T941" s="1660"/>
      <c r="U941" s="1649" t="s">
        <v>600</v>
      </c>
      <c r="V941" s="1421"/>
      <c r="W941" s="1421"/>
      <c r="X941" s="1421"/>
      <c r="Y941" s="1421"/>
      <c r="Z941" s="1422"/>
      <c r="AA941" s="1650"/>
      <c r="AB941" s="1476"/>
      <c r="AC941" s="1476"/>
      <c r="AD941" s="1476"/>
      <c r="AE941" s="1476"/>
      <c r="AF941" s="165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49" t="s">
        <v>600</v>
      </c>
      <c r="V942" s="1421"/>
      <c r="W942" s="1421"/>
      <c r="X942" s="1421"/>
      <c r="Y942" s="1421"/>
      <c r="Z942" s="1422"/>
      <c r="AA942" s="1650"/>
      <c r="AB942" s="1476"/>
      <c r="AC942" s="1476"/>
      <c r="AD942" s="1476"/>
      <c r="AE942" s="1476"/>
      <c r="AF942" s="165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58" t="s">
        <v>2570</v>
      </c>
      <c r="G943" s="1659"/>
      <c r="H943" s="1659"/>
      <c r="I943" s="1659"/>
      <c r="J943" s="1659"/>
      <c r="K943" s="1659"/>
      <c r="L943" s="1659"/>
      <c r="M943" s="1659"/>
      <c r="N943" s="1659"/>
      <c r="O943" s="1659"/>
      <c r="P943" s="1659"/>
      <c r="Q943" s="1659"/>
      <c r="R943" s="1659"/>
      <c r="S943" s="1659"/>
      <c r="T943" s="1660"/>
      <c r="U943" s="1649" t="s">
        <v>600</v>
      </c>
      <c r="V943" s="1421"/>
      <c r="W943" s="1421"/>
      <c r="X943" s="1421"/>
      <c r="Y943" s="1421"/>
      <c r="Z943" s="1422"/>
      <c r="AA943" s="1650"/>
      <c r="AB943" s="1476"/>
      <c r="AC943" s="1476"/>
      <c r="AD943" s="1476"/>
      <c r="AE943" s="1476"/>
      <c r="AF943" s="165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9" t="s">
        <v>678</v>
      </c>
      <c r="Q944" s="1421"/>
      <c r="R944" s="1421"/>
      <c r="S944" s="1421"/>
      <c r="T944" s="1422"/>
      <c r="U944" s="1649" t="s">
        <v>600</v>
      </c>
      <c r="V944" s="1421"/>
      <c r="W944" s="1421"/>
      <c r="X944" s="1421"/>
      <c r="Y944" s="1421"/>
      <c r="Z944" s="1422"/>
      <c r="AA944" s="1650"/>
      <c r="AB944" s="1476"/>
      <c r="AC944" s="1476"/>
      <c r="AD944" s="1476"/>
      <c r="AE944" s="1476"/>
      <c r="AF944" s="165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5" t="s">
        <v>2557</v>
      </c>
      <c r="G945" s="1656"/>
      <c r="H945" s="1657"/>
      <c r="I945" s="1388" t="s">
        <v>335</v>
      </c>
      <c r="J945" s="1389"/>
      <c r="K945" s="1389"/>
      <c r="L945" s="1389"/>
      <c r="M945" s="1389"/>
      <c r="N945" s="1389"/>
      <c r="O945" s="1389"/>
      <c r="P945" s="1389"/>
      <c r="Q945" s="1389"/>
      <c r="R945" s="1389"/>
      <c r="S945" s="1389"/>
      <c r="T945" s="1390"/>
      <c r="U945" s="1649" t="s">
        <v>678</v>
      </c>
      <c r="V945" s="1421"/>
      <c r="W945" s="1421"/>
      <c r="X945" s="1421"/>
      <c r="Y945" s="1421"/>
      <c r="Z945" s="1422"/>
      <c r="AA945" s="1650"/>
      <c r="AB945" s="1476"/>
      <c r="AC945" s="1476"/>
      <c r="AD945" s="1476"/>
      <c r="AE945" s="1476"/>
      <c r="AF945" s="165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88" t="s">
        <v>335</v>
      </c>
      <c r="J946" s="1389"/>
      <c r="K946" s="1389"/>
      <c r="L946" s="1389"/>
      <c r="M946" s="1389"/>
      <c r="N946" s="1389"/>
      <c r="O946" s="1389"/>
      <c r="P946" s="1389"/>
      <c r="Q946" s="1389"/>
      <c r="R946" s="1389"/>
      <c r="S946" s="1389"/>
      <c r="T946" s="1390"/>
      <c r="U946" s="1649" t="s">
        <v>600</v>
      </c>
      <c r="V946" s="1421"/>
      <c r="W946" s="1421"/>
      <c r="X946" s="1421"/>
      <c r="Y946" s="1421"/>
      <c r="Z946" s="1422"/>
      <c r="AA946" s="1650"/>
      <c r="AB946" s="1476"/>
      <c r="AC946" s="1476"/>
      <c r="AD946" s="1476"/>
      <c r="AE946" s="1476"/>
      <c r="AF946" s="165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88" t="s">
        <v>2657</v>
      </c>
      <c r="J947" s="1672"/>
      <c r="K947" s="1672"/>
      <c r="L947" s="1672"/>
      <c r="M947" s="1672"/>
      <c r="N947" s="1672"/>
      <c r="O947" s="1672"/>
      <c r="P947" s="1672"/>
      <c r="Q947" s="1672"/>
      <c r="R947" s="1672"/>
      <c r="S947" s="1672"/>
      <c r="T947" s="1673"/>
      <c r="U947" s="1649" t="s">
        <v>554</v>
      </c>
      <c r="V947" s="1421"/>
      <c r="W947" s="1421"/>
      <c r="X947" s="1421"/>
      <c r="Y947" s="1421"/>
      <c r="Z947" s="1422"/>
      <c r="AA947" s="1650">
        <f>AO629+AO630</f>
        <v>20214522</v>
      </c>
      <c r="AB947" s="1476"/>
      <c r="AC947" s="1476"/>
      <c r="AD947" s="1476"/>
      <c r="AE947" s="1476"/>
      <c r="AF947" s="165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88" t="s">
        <v>2642</v>
      </c>
      <c r="J948" s="1672"/>
      <c r="K948" s="1672"/>
      <c r="L948" s="1672"/>
      <c r="M948" s="1672"/>
      <c r="N948" s="1672"/>
      <c r="O948" s="1672"/>
      <c r="P948" s="1672"/>
      <c r="Q948" s="1672"/>
      <c r="R948" s="1672"/>
      <c r="S948" s="1672"/>
      <c r="T948" s="1673"/>
      <c r="U948" s="1649" t="s">
        <v>554</v>
      </c>
      <c r="V948" s="1421"/>
      <c r="W948" s="1421"/>
      <c r="X948" s="1421"/>
      <c r="Y948" s="1421"/>
      <c r="Z948" s="1422"/>
      <c r="AA948" s="1650">
        <f>AO628</f>
        <v>3000000</v>
      </c>
      <c r="AB948" s="1476"/>
      <c r="AC948" s="1476"/>
      <c r="AD948" s="1476"/>
      <c r="AE948" s="1476"/>
      <c r="AF948" s="165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785" t="s">
        <v>335</v>
      </c>
      <c r="J949" s="1672"/>
      <c r="K949" s="1672"/>
      <c r="L949" s="1672"/>
      <c r="M949" s="1672"/>
      <c r="N949" s="1672"/>
      <c r="O949" s="1672"/>
      <c r="P949" s="1672"/>
      <c r="Q949" s="1672"/>
      <c r="R949" s="1672"/>
      <c r="S949" s="1672"/>
      <c r="T949" s="1673"/>
      <c r="U949" s="1649" t="s">
        <v>600</v>
      </c>
      <c r="V949" s="1421"/>
      <c r="W949" s="1421"/>
      <c r="X949" s="1421"/>
      <c r="Y949" s="1421"/>
      <c r="Z949" s="1422"/>
      <c r="AA949" s="1650"/>
      <c r="AB949" s="1476"/>
      <c r="AC949" s="1476"/>
      <c r="AD949" s="1476"/>
      <c r="AE949" s="1476"/>
      <c r="AF949" s="165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74">
        <v>45391</v>
      </c>
      <c r="N954" s="1628"/>
      <c r="O954" s="1628"/>
      <c r="P954" s="1628"/>
      <c r="Q954" s="1628"/>
      <c r="R954" s="1628"/>
      <c r="S954" s="1629"/>
      <c r="U954" s="66" t="s">
        <v>11</v>
      </c>
      <c r="V954" s="5"/>
      <c r="W954" s="5"/>
      <c r="X954" s="5"/>
      <c r="Y954" s="5"/>
      <c r="Z954" s="5"/>
      <c r="AA954" s="5"/>
      <c r="AB954" s="5"/>
      <c r="AC954" s="5"/>
      <c r="AD954" s="46"/>
      <c r="AE954" s="1674"/>
      <c r="AF954" s="1628"/>
      <c r="AG954" s="1628"/>
      <c r="AH954" s="1628"/>
      <c r="AI954" s="1628"/>
      <c r="AJ954" s="1628"/>
      <c r="AK954" s="16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61" t="s">
        <v>2734</v>
      </c>
      <c r="N955" s="1495"/>
      <c r="O955" s="1495"/>
      <c r="P955" s="1495"/>
      <c r="Q955" s="1495"/>
      <c r="R955" s="1495"/>
      <c r="S955" s="1662"/>
      <c r="U955" s="66" t="s">
        <v>12</v>
      </c>
      <c r="V955" s="5"/>
      <c r="W955" s="5"/>
      <c r="X955" s="5"/>
      <c r="Y955" s="5"/>
      <c r="Z955" s="5"/>
      <c r="AA955" s="5"/>
      <c r="AB955" s="5"/>
      <c r="AC955" s="5"/>
      <c r="AD955" s="46"/>
      <c r="AE955" s="1661"/>
      <c r="AF955" s="1495"/>
      <c r="AG955" s="1495"/>
      <c r="AH955" s="1495"/>
      <c r="AI955" s="1495"/>
      <c r="AJ955" s="1495"/>
      <c r="AK955" s="16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63" t="s">
        <v>2733</v>
      </c>
      <c r="K956" s="1664"/>
      <c r="L956" s="1664"/>
      <c r="M956" s="1664"/>
      <c r="N956" s="1664"/>
      <c r="O956" s="1664"/>
      <c r="P956" s="1664"/>
      <c r="Q956" s="1664"/>
      <c r="R956" s="1664"/>
      <c r="S956" s="1665"/>
      <c r="U956" s="66" t="s">
        <v>893</v>
      </c>
      <c r="V956" s="5"/>
      <c r="W956" s="5"/>
      <c r="AB956" s="1663" t="s">
        <v>308</v>
      </c>
      <c r="AC956" s="1664"/>
      <c r="AD956" s="1664"/>
      <c r="AE956" s="1664"/>
      <c r="AF956" s="1664"/>
      <c r="AG956" s="1664"/>
      <c r="AH956" s="1664"/>
      <c r="AI956" s="1664"/>
      <c r="AJ956" s="1664"/>
      <c r="AK956" s="166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14">
        <v>0.5</v>
      </c>
      <c r="N957" s="1809"/>
      <c r="O957" s="1809"/>
      <c r="P957" s="1809"/>
      <c r="Q957" s="1809"/>
      <c r="R957" s="1809"/>
      <c r="S957" s="1810"/>
      <c r="U957" s="66" t="s">
        <v>13</v>
      </c>
      <c r="V957" s="5"/>
      <c r="W957" s="5"/>
      <c r="X957" s="5"/>
      <c r="Y957" s="5"/>
      <c r="Z957" s="5"/>
      <c r="AA957" s="5"/>
      <c r="AB957" s="5"/>
      <c r="AC957" s="5"/>
      <c r="AD957" s="46"/>
      <c r="AE957" s="1808"/>
      <c r="AF957" s="1809"/>
      <c r="AG957" s="1809"/>
      <c r="AH957" s="1809"/>
      <c r="AI957" s="1809"/>
      <c r="AJ957" s="1809"/>
      <c r="AK957" s="181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62">
        <v>36</v>
      </c>
      <c r="N958" s="1618"/>
      <c r="O958" s="1618"/>
      <c r="P958" s="1618"/>
      <c r="Q958" s="1618"/>
      <c r="R958" s="1618"/>
      <c r="S958" s="1619"/>
      <c r="U958" s="66" t="s">
        <v>14</v>
      </c>
      <c r="V958" s="5"/>
      <c r="W958" s="5"/>
      <c r="X958" s="5"/>
      <c r="Y958" s="5"/>
      <c r="Z958" s="5"/>
      <c r="AA958" s="5"/>
      <c r="AB958" s="5"/>
      <c r="AC958" s="5"/>
      <c r="AD958" s="46"/>
      <c r="AE958" s="1762"/>
      <c r="AF958" s="1618"/>
      <c r="AG958" s="1618"/>
      <c r="AH958" s="1618"/>
      <c r="AI958" s="1618"/>
      <c r="AJ958" s="1618"/>
      <c r="AK958" s="161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0">
        <v>1129440</v>
      </c>
      <c r="N959" s="1476"/>
      <c r="O959" s="1476"/>
      <c r="P959" s="1476"/>
      <c r="Q959" s="1476"/>
      <c r="R959" s="1476"/>
      <c r="S959" s="1651"/>
      <c r="U959" s="66" t="s">
        <v>15</v>
      </c>
      <c r="V959" s="5"/>
      <c r="W959" s="5"/>
      <c r="X959" s="5"/>
      <c r="Y959" s="5"/>
      <c r="Z959" s="5"/>
      <c r="AA959" s="5"/>
      <c r="AB959" s="5"/>
      <c r="AC959" s="5"/>
      <c r="AD959" s="46"/>
      <c r="AE959" s="1650"/>
      <c r="AF959" s="1476"/>
      <c r="AG959" s="1476"/>
      <c r="AH959" s="1476"/>
      <c r="AI959" s="1476"/>
      <c r="AJ959" s="1476"/>
      <c r="AK959" s="165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0">
        <f>1129440*40</f>
        <v>45177600</v>
      </c>
      <c r="N960" s="1476"/>
      <c r="O960" s="1476"/>
      <c r="P960" s="1476"/>
      <c r="Q960" s="1476"/>
      <c r="R960" s="1476"/>
      <c r="S960" s="1651"/>
      <c r="U960" s="66" t="s">
        <v>16</v>
      </c>
      <c r="V960" s="5"/>
      <c r="W960" s="5"/>
      <c r="X960" s="5"/>
      <c r="Y960" s="5"/>
      <c r="Z960" s="5"/>
      <c r="AA960" s="5"/>
      <c r="AB960" s="5"/>
      <c r="AC960" s="5"/>
      <c r="AD960" s="46"/>
      <c r="AE960" s="1650"/>
      <c r="AF960" s="1476"/>
      <c r="AG960" s="1476"/>
      <c r="AH960" s="1476"/>
      <c r="AI960" s="1476"/>
      <c r="AJ960" s="1476"/>
      <c r="AK960" s="165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717">
        <v>40</v>
      </c>
      <c r="N961" s="1718"/>
      <c r="O961" s="1718"/>
      <c r="P961" s="1718"/>
      <c r="Q961" s="1718"/>
      <c r="R961" s="1718"/>
      <c r="S961" s="1719"/>
      <c r="U961" s="121" t="s">
        <v>1776</v>
      </c>
      <c r="V961" s="5"/>
      <c r="W961" s="5"/>
      <c r="X961" s="5"/>
      <c r="Y961" s="5"/>
      <c r="Z961" s="5"/>
      <c r="AA961" s="5"/>
      <c r="AB961" s="5"/>
      <c r="AC961" s="5"/>
      <c r="AD961" s="46"/>
      <c r="AE961" s="1717"/>
      <c r="AF961" s="1718"/>
      <c r="AG961" s="1718"/>
      <c r="AH961" s="1718"/>
      <c r="AI961" s="1718"/>
      <c r="AJ961" s="1718"/>
      <c r="AK961" s="171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6"/>
      <c r="N966" s="1667"/>
      <c r="O966" s="1667"/>
      <c r="P966" s="1667"/>
      <c r="Q966" s="1667"/>
      <c r="R966" s="1667"/>
      <c r="S966" s="1668"/>
      <c r="T966" s="66" t="s">
        <v>800</v>
      </c>
      <c r="U966" s="5"/>
      <c r="V966" s="5"/>
      <c r="W966" s="5"/>
      <c r="X966" s="5"/>
      <c r="Y966" s="5"/>
      <c r="Z966" s="46"/>
      <c r="AA966" s="1666"/>
      <c r="AB966" s="1667"/>
      <c r="AC966" s="1667"/>
      <c r="AD966" s="1667"/>
      <c r="AE966" s="1667"/>
      <c r="AF966" s="1667"/>
      <c r="AG966" s="16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6"/>
      <c r="N967" s="1667"/>
      <c r="O967" s="1667"/>
      <c r="P967" s="1667"/>
      <c r="Q967" s="1667"/>
      <c r="R967" s="1667"/>
      <c r="S967" s="1668"/>
      <c r="T967" s="66" t="s">
        <v>799</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94" t="s">
        <v>600</v>
      </c>
      <c r="N968" s="1695"/>
      <c r="O968" s="1695"/>
      <c r="P968" s="1695"/>
      <c r="Q968" s="1695"/>
      <c r="R968" s="1695"/>
      <c r="S968" s="1696"/>
      <c r="T968" s="45" t="s">
        <v>338</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6"/>
      <c r="N969" s="1667"/>
      <c r="O969" s="1667"/>
      <c r="P969" s="1667"/>
      <c r="Q969" s="1667"/>
      <c r="R969" s="1667"/>
      <c r="S969" s="1668"/>
      <c r="T969" s="45" t="s">
        <v>339</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6"/>
      <c r="N970" s="1667"/>
      <c r="O970" s="1667"/>
      <c r="P970" s="1667"/>
      <c r="Q970" s="1667"/>
      <c r="R970" s="1667"/>
      <c r="S970" s="1668"/>
      <c r="T970" s="45" t="s">
        <v>377</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97" t="s">
        <v>308</v>
      </c>
      <c r="N971" s="1698"/>
      <c r="O971" s="1698"/>
      <c r="P971" s="1698"/>
      <c r="Q971" s="1698"/>
      <c r="R971" s="1698"/>
      <c r="S971" s="1699"/>
      <c r="T971" s="1669"/>
      <c r="U971" s="1670"/>
      <c r="V971" s="1670"/>
      <c r="W971" s="1670"/>
      <c r="X971" s="1670"/>
      <c r="Y971" s="1670"/>
      <c r="Z971" s="1671"/>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6"/>
      <c r="N972" s="1667"/>
      <c r="O972" s="1667"/>
      <c r="P972" s="1667"/>
      <c r="Q972" s="1667"/>
      <c r="R972" s="1667"/>
      <c r="S972" s="1668"/>
      <c r="T972" s="1669"/>
      <c r="U972" s="1670"/>
      <c r="V972" s="1670"/>
      <c r="W972" s="1670"/>
      <c r="X972" s="1670"/>
      <c r="Y972" s="1670"/>
      <c r="Z972" s="1671"/>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6" t="s">
        <v>678</v>
      </c>
      <c r="P973" s="1487"/>
      <c r="Q973" s="92"/>
      <c r="R973" s="92"/>
      <c r="S973" s="93"/>
      <c r="T973" s="41" t="s">
        <v>170</v>
      </c>
      <c r="U973" s="42"/>
      <c r="V973" s="42"/>
      <c r="W973" s="1763" t="s">
        <v>335</v>
      </c>
      <c r="X973" s="1764"/>
      <c r="Y973" s="1764"/>
      <c r="Z973" s="1764"/>
      <c r="AA973" s="1764"/>
      <c r="AB973" s="1764"/>
      <c r="AC973" s="1764"/>
      <c r="AD973" s="1764"/>
      <c r="AE973" s="1764"/>
      <c r="AF973" s="1764"/>
      <c r="AG973" s="176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16" t="s">
        <v>33</v>
      </c>
      <c r="G974" s="1462"/>
      <c r="H974" s="1462"/>
      <c r="I974" s="1462"/>
      <c r="J974" s="1462"/>
      <c r="K974" s="1462"/>
      <c r="L974" s="1462"/>
      <c r="M974" s="1666"/>
      <c r="N974" s="1667"/>
      <c r="O974" s="1667"/>
      <c r="P974" s="1667"/>
      <c r="Q974" s="1667"/>
      <c r="R974" s="1667"/>
      <c r="S974" s="1668"/>
      <c r="T974" s="47"/>
      <c r="U974" s="48"/>
      <c r="V974" s="48"/>
      <c r="W974" s="48"/>
      <c r="X974" s="48"/>
      <c r="Y974" s="48"/>
      <c r="Z974" s="124" t="s">
        <v>134</v>
      </c>
      <c r="AA974" s="1782"/>
      <c r="AB974" s="1783"/>
      <c r="AC974" s="1783"/>
      <c r="AD974" s="1783"/>
      <c r="AE974" s="1783"/>
      <c r="AF974" s="1783"/>
      <c r="AG974" s="178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9" t="s">
        <v>557</v>
      </c>
      <c r="B978" s="1539"/>
      <c r="C978" s="1539"/>
      <c r="D978" s="1539"/>
      <c r="E978" s="1539"/>
      <c r="F978" s="1539"/>
      <c r="G978" s="1539"/>
      <c r="H978" s="1539"/>
      <c r="I978" s="1539"/>
      <c r="J978" s="1539"/>
      <c r="K978" s="1539"/>
      <c r="L978" s="1539"/>
      <c r="M978" s="1539"/>
      <c r="N978" s="1539"/>
      <c r="O978" s="1539"/>
      <c r="P978" s="1539"/>
      <c r="Q978" s="1539"/>
      <c r="R978" s="1539"/>
      <c r="S978" s="1539"/>
      <c r="T978" s="1539"/>
      <c r="U978" s="1539"/>
      <c r="V978" s="1539"/>
      <c r="W978" s="1539"/>
      <c r="X978" s="1539"/>
      <c r="Y978" s="1539"/>
      <c r="Z978" s="1539"/>
      <c r="AA978" s="1539"/>
      <c r="AB978" s="1539"/>
      <c r="AC978" s="1539"/>
      <c r="AD978" s="1539"/>
      <c r="AE978" s="1539"/>
      <c r="AF978" s="1539"/>
      <c r="AG978" s="1539"/>
      <c r="AH978" s="1539"/>
      <c r="AI978" s="1539"/>
      <c r="AJ978" s="1539"/>
      <c r="AK978" s="1539"/>
      <c r="AL978" s="1539"/>
      <c r="AM978" s="1539"/>
      <c r="AN978" s="1539"/>
      <c r="AO978" s="1539"/>
      <c r="AP978" s="1539"/>
      <c r="AQ978" s="1539"/>
      <c r="AR978" s="1539"/>
      <c r="AS978" s="1539"/>
      <c r="AT978" s="15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9"/>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05" t="s">
        <v>647</v>
      </c>
      <c r="E984" s="1806"/>
      <c r="F984" s="1806"/>
      <c r="G984" s="1806"/>
      <c r="H984" s="1806"/>
      <c r="I984" s="1806"/>
      <c r="J984" s="1806"/>
      <c r="K984" s="1806"/>
      <c r="L984" s="1806"/>
      <c r="M984" s="1806"/>
      <c r="N984" s="1806"/>
      <c r="O984" s="1806"/>
      <c r="P984" s="1806"/>
      <c r="Q984" s="1807"/>
      <c r="R984" s="1805" t="s">
        <v>648</v>
      </c>
      <c r="S984" s="1806"/>
      <c r="T984" s="1806"/>
      <c r="U984" s="1806"/>
      <c r="V984" s="1806"/>
      <c r="W984" s="1806"/>
      <c r="X984" s="1806"/>
      <c r="Y984" s="1806"/>
      <c r="Z984" s="1806"/>
      <c r="AA984" s="1807"/>
      <c r="AB984" s="1805" t="s">
        <v>649</v>
      </c>
      <c r="AC984" s="1806"/>
      <c r="AD984" s="1806"/>
      <c r="AE984" s="1806"/>
      <c r="AF984" s="1806"/>
      <c r="AG984" s="1806"/>
      <c r="AH984" s="1806"/>
      <c r="AI984" s="1807"/>
      <c r="AJ984" s="1805" t="s">
        <v>650</v>
      </c>
      <c r="AK984" s="1806"/>
      <c r="AL984" s="1806"/>
      <c r="AM984" s="1806"/>
      <c r="AN984" s="1806"/>
      <c r="AO984" s="1806"/>
      <c r="AP984" s="1806"/>
      <c r="AQ984" s="180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9" t="s">
        <v>642</v>
      </c>
      <c r="E985" s="1530"/>
      <c r="F985" s="1530"/>
      <c r="G985" s="1530"/>
      <c r="H985" s="1530"/>
      <c r="I985" s="1530"/>
      <c r="J985" s="1530"/>
      <c r="K985" s="1530"/>
      <c r="L985" s="1530"/>
      <c r="M985" s="1530"/>
      <c r="N985" s="1530"/>
      <c r="O985" s="1530"/>
      <c r="P985" s="1530"/>
      <c r="Q985" s="1531"/>
      <c r="R985" s="1761">
        <f>IF(ISNA(IF($BN$796="4%",(INDEX($BP$806:$BT$863,MATCH($CB$796,$BO$806:$BO$863,0),MATCH(D985,$BP$805:$BT$805,0))),(INDEX($BW$806:$CA$863,MATCH($CB$796,$BV$806:$BV$863,0),MATCH(D985,$BW$805:$CA$805,0))))),0,IF($BN$796="4%",(INDEX($BP$806:$BT$863,MATCH($CB$796,$BO$806:$BO$863,0),MATCH(D985,$BP$805:$BT$805,0))),(INDEX($BW$806:$CA$863,MATCH($CB$796,$BV$806:$BV$863,0),MATCH(D985,$BW$805:$CA$805,0)))))</f>
        <v>532060</v>
      </c>
      <c r="S985" s="1761"/>
      <c r="T985" s="1761"/>
      <c r="U985" s="1761"/>
      <c r="V985" s="1761"/>
      <c r="W985" s="1761"/>
      <c r="X985" s="1761"/>
      <c r="Y985" s="1761"/>
      <c r="Z985" s="1761"/>
      <c r="AA985" s="1761"/>
      <c r="AB985" s="1850">
        <f>BN660</f>
        <v>35</v>
      </c>
      <c r="AC985" s="1851"/>
      <c r="AD985" s="1851"/>
      <c r="AE985" s="1851"/>
      <c r="AF985" s="1851"/>
      <c r="AG985" s="1851"/>
      <c r="AH985" s="1851"/>
      <c r="AI985" s="1852"/>
      <c r="AJ985" s="1705">
        <f>IF(ISERROR((R985*AB985)),0,(R985*AB985))</f>
        <v>18622100</v>
      </c>
      <c r="AK985" s="1706"/>
      <c r="AL985" s="1706"/>
      <c r="AM985" s="1706"/>
      <c r="AN985" s="1706"/>
      <c r="AO985" s="1706"/>
      <c r="AP985" s="1706"/>
      <c r="AQ985" s="170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9" t="s">
        <v>326</v>
      </c>
      <c r="E986" s="1530"/>
      <c r="F986" s="1530"/>
      <c r="G986" s="1530"/>
      <c r="H986" s="1530"/>
      <c r="I986" s="1530"/>
      <c r="J986" s="1530"/>
      <c r="K986" s="1530"/>
      <c r="L986" s="1530"/>
      <c r="M986" s="1530"/>
      <c r="N986" s="1530"/>
      <c r="O986" s="1530"/>
      <c r="P986" s="1530"/>
      <c r="Q986" s="1531"/>
      <c r="R986" s="1761">
        <f>IF(ISNA(IF($BN$796="4%",(INDEX($BP$806:$BT$863,MATCH($CB$796,$BO$806:$BO$863,0),MATCH(D986,$BP$805:$BT$805,0))),(INDEX($BW$806:$CA$863,MATCH($CB$796,$BV$806:$BV$863,0),MATCH(D986,$BW$805:$CA$805,0))))),0,IF($BN$796="4%",(INDEX($BP$806:$BT$863,MATCH($CB$796,$BO$806:$BO$863,0),MATCH(D986,$BP$805:$BT$805,0))),(INDEX($BW$806:$CA$863,MATCH($CB$796,$BV$806:$BV$863,0),MATCH(D986,$BW$805:$CA$805,0)))))</f>
        <v>613460</v>
      </c>
      <c r="S986" s="1761"/>
      <c r="T986" s="1761"/>
      <c r="U986" s="1761"/>
      <c r="V986" s="1761"/>
      <c r="W986" s="1761"/>
      <c r="X986" s="1761"/>
      <c r="Y986" s="1761"/>
      <c r="Z986" s="1761"/>
      <c r="AA986" s="1761"/>
      <c r="AB986" s="1850">
        <f>BS660</f>
        <v>36</v>
      </c>
      <c r="AC986" s="1851"/>
      <c r="AD986" s="1851"/>
      <c r="AE986" s="1851"/>
      <c r="AF986" s="1851"/>
      <c r="AG986" s="1851"/>
      <c r="AH986" s="1851"/>
      <c r="AI986" s="1852"/>
      <c r="AJ986" s="1705">
        <f>IF(ISERROR((R986*AB986)),0,(R986*AB986))</f>
        <v>22084560</v>
      </c>
      <c r="AK986" s="1706"/>
      <c r="AL986" s="1706"/>
      <c r="AM986" s="1706"/>
      <c r="AN986" s="1706"/>
      <c r="AO986" s="1706"/>
      <c r="AP986" s="1706"/>
      <c r="AQ986" s="170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9" t="s">
        <v>163</v>
      </c>
      <c r="E987" s="1530"/>
      <c r="F987" s="1530"/>
      <c r="G987" s="1530"/>
      <c r="H987" s="1530"/>
      <c r="I987" s="1530"/>
      <c r="J987" s="1530"/>
      <c r="K987" s="1530"/>
      <c r="L987" s="1530"/>
      <c r="M987" s="1530"/>
      <c r="N987" s="1530"/>
      <c r="O987" s="1530"/>
      <c r="P987" s="1530"/>
      <c r="Q987" s="1531"/>
      <c r="R987" s="1761">
        <f>IF(ISNA(IF($BN$796="4%",(INDEX($BP$806:$BT$863,MATCH($CB$796,$BO$806:$BO$863,0),MATCH(D987,$BP$805:$BT$805,0))),(INDEX($BW$806:$CA$863,MATCH($CB$796,$BV$806:$BV$863,0),MATCH(D987,$BW$805:$CA$805,0))))),0,IF($BN$796="4%",(INDEX($BP$806:$BT$863,MATCH($CB$796,$BO$806:$BO$863,0),MATCH(D987,$BP$805:$BT$805,0))),(INDEX($BW$806:$CA$863,MATCH($CB$796,$BV$806:$BV$863,0),MATCH(D987,$BW$805:$CA$805,0)))))</f>
        <v>740000</v>
      </c>
      <c r="S987" s="1761"/>
      <c r="T987" s="1761"/>
      <c r="U987" s="1761"/>
      <c r="V987" s="1761"/>
      <c r="W987" s="1761"/>
      <c r="X987" s="1761"/>
      <c r="Y987" s="1761"/>
      <c r="Z987" s="1761"/>
      <c r="AA987" s="1761"/>
      <c r="AB987" s="1850">
        <f>BX660</f>
        <v>1</v>
      </c>
      <c r="AC987" s="1851"/>
      <c r="AD987" s="1851"/>
      <c r="AE987" s="1851"/>
      <c r="AF987" s="1851"/>
      <c r="AG987" s="1851"/>
      <c r="AH987" s="1851"/>
      <c r="AI987" s="1852"/>
      <c r="AJ987" s="1705">
        <f>IF(ISERROR((R987*AB987)),0,(R987*AB987))</f>
        <v>740000</v>
      </c>
      <c r="AK987" s="1706"/>
      <c r="AL987" s="1706"/>
      <c r="AM987" s="1706"/>
      <c r="AN987" s="1706"/>
      <c r="AO987" s="1706"/>
      <c r="AP987" s="1706"/>
      <c r="AQ987" s="170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9" t="s">
        <v>164</v>
      </c>
      <c r="E988" s="1530"/>
      <c r="F988" s="1530"/>
      <c r="G988" s="1530"/>
      <c r="H988" s="1530"/>
      <c r="I988" s="1530"/>
      <c r="J988" s="1530"/>
      <c r="K988" s="1530"/>
      <c r="L988" s="1530"/>
      <c r="M988" s="1530"/>
      <c r="N988" s="1530"/>
      <c r="O988" s="1530"/>
      <c r="P988" s="1530"/>
      <c r="Q988" s="1531"/>
      <c r="R988" s="1761">
        <f>IF(ISNA(IF($BN$796="4%",(INDEX($BP$806:$BT$863,MATCH($CB$796,$BO$806:$BO$863,0),MATCH(D988,$BP$805:$BT$805,0))),(INDEX($BW$806:$CA$863,MATCH($CB$796,$BV$806:$BV$863,0),MATCH(D988,$BW$805:$CA$805,0))))),0,IF($BN$796="4%",(INDEX($BP$806:$BT$863,MATCH($CB$796,$BO$806:$BO$863,0),MATCH(D988,$BP$805:$BT$805,0))),(INDEX($BW$806:$CA$863,MATCH($CB$796,$BV$806:$BV$863,0),MATCH(D988,$BW$805:$CA$805,0)))))</f>
        <v>947200</v>
      </c>
      <c r="S988" s="1761"/>
      <c r="T988" s="1761"/>
      <c r="U988" s="1761"/>
      <c r="V988" s="1761"/>
      <c r="W988" s="1761"/>
      <c r="X988" s="1761"/>
      <c r="Y988" s="1761"/>
      <c r="Z988" s="1761"/>
      <c r="AA988" s="1761"/>
      <c r="AB988" s="1850">
        <f>CC660</f>
        <v>0</v>
      </c>
      <c r="AC988" s="1851"/>
      <c r="AD988" s="1851"/>
      <c r="AE988" s="1851"/>
      <c r="AF988" s="1851"/>
      <c r="AG988" s="1851"/>
      <c r="AH988" s="1851"/>
      <c r="AI988" s="1852"/>
      <c r="AJ988" s="1705">
        <f>IF(ISERROR((R988*AB988)),0,(R988*AB988))</f>
        <v>0</v>
      </c>
      <c r="AK988" s="1706"/>
      <c r="AL988" s="1706"/>
      <c r="AM988" s="1706"/>
      <c r="AN988" s="1706"/>
      <c r="AO988" s="1706"/>
      <c r="AP988" s="1706"/>
      <c r="AQ988" s="170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9" t="s">
        <v>469</v>
      </c>
      <c r="E989" s="1530"/>
      <c r="F989" s="1530"/>
      <c r="G989" s="1530"/>
      <c r="H989" s="1530"/>
      <c r="I989" s="1530"/>
      <c r="J989" s="1530"/>
      <c r="K989" s="1530"/>
      <c r="L989" s="1530"/>
      <c r="M989" s="1530"/>
      <c r="N989" s="1530"/>
      <c r="O989" s="1530"/>
      <c r="P989" s="1530"/>
      <c r="Q989" s="1531"/>
      <c r="R989" s="1761">
        <f>IF(ISNA(IF($BN$796="4%",(INDEX($BP$806:$BT$863,MATCH($CB$796,$BO$806:$BO$863,0),MATCH(D989,$BP$805:$BT$805,0))),(INDEX($BW$806:$CA$863,MATCH($CB$796,$BV$806:$BV$863,0),MATCH(D989,$BW$805:$CA$805,0))))),0,IF($BN$796="4%",(INDEX($BP$806:$BT$863,MATCH($CB$796,$BO$806:$BO$863,0),MATCH(D989,$BP$805:$BT$805,0))),(INDEX($BW$806:$CA$863,MATCH($CB$796,$BV$806:$BV$863,0),MATCH(D989,$BW$805:$CA$805,0)))))</f>
        <v>1055240</v>
      </c>
      <c r="S989" s="1761"/>
      <c r="T989" s="1761"/>
      <c r="U989" s="1761"/>
      <c r="V989" s="1761"/>
      <c r="W989" s="1761"/>
      <c r="X989" s="1761"/>
      <c r="Y989" s="1761"/>
      <c r="Z989" s="1761"/>
      <c r="AA989" s="1761"/>
      <c r="AB989" s="1850">
        <f>CM660+CH660</f>
        <v>0</v>
      </c>
      <c r="AC989" s="1851"/>
      <c r="AD989" s="1851"/>
      <c r="AE989" s="1851"/>
      <c r="AF989" s="1851"/>
      <c r="AG989" s="1851"/>
      <c r="AH989" s="1851"/>
      <c r="AI989" s="1852"/>
      <c r="AJ989" s="1705">
        <f>IF(ISERROR((R989*AB989)),0,(R989*AB989))</f>
        <v>0</v>
      </c>
      <c r="AK989" s="1706"/>
      <c r="AL989" s="1706"/>
      <c r="AM989" s="1706"/>
      <c r="AN989" s="1706"/>
      <c r="AO989" s="1706"/>
      <c r="AP989" s="1706"/>
      <c r="AQ989" s="170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90" t="s">
        <v>801</v>
      </c>
      <c r="C990" s="1791"/>
      <c r="D990" s="1791"/>
      <c r="E990" s="1791"/>
      <c r="F990" s="1791"/>
      <c r="G990" s="1791"/>
      <c r="H990" s="1791"/>
      <c r="I990" s="1791"/>
      <c r="J990" s="1791"/>
      <c r="K990" s="1791"/>
      <c r="L990" s="1791"/>
      <c r="M990" s="1791"/>
      <c r="N990" s="1791"/>
      <c r="O990" s="1791"/>
      <c r="P990" s="1791"/>
      <c r="Q990" s="1791"/>
      <c r="R990" s="1791"/>
      <c r="S990" s="1791"/>
      <c r="T990" s="1791"/>
      <c r="U990" s="1791"/>
      <c r="V990" s="1791"/>
      <c r="W990" s="1791"/>
      <c r="X990" s="1791"/>
      <c r="Y990" s="1791"/>
      <c r="Z990" s="1791"/>
      <c r="AA990" s="1792"/>
      <c r="AB990" s="1850">
        <f>SUM(AB985:AI989)</f>
        <v>72</v>
      </c>
      <c r="AC990" s="1851"/>
      <c r="AD990" s="1851"/>
      <c r="AE990" s="1851"/>
      <c r="AF990" s="1851"/>
      <c r="AG990" s="1851"/>
      <c r="AH990" s="1851"/>
      <c r="AI990" s="1852"/>
      <c r="AJ990" s="1705"/>
      <c r="AK990" s="1706"/>
      <c r="AL990" s="1706"/>
      <c r="AM990" s="1706"/>
      <c r="AN990" s="1706"/>
      <c r="AO990" s="1706"/>
      <c r="AP990" s="1706"/>
      <c r="AQ990" s="170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47" t="s">
        <v>521</v>
      </c>
      <c r="C991" s="1848"/>
      <c r="D991" s="1848"/>
      <c r="E991" s="1848"/>
      <c r="F991" s="1848"/>
      <c r="G991" s="1848"/>
      <c r="H991" s="1848"/>
      <c r="I991" s="1848"/>
      <c r="J991" s="1848"/>
      <c r="K991" s="1848"/>
      <c r="L991" s="1848"/>
      <c r="M991" s="1848"/>
      <c r="N991" s="1848"/>
      <c r="O991" s="1848"/>
      <c r="P991" s="1848"/>
      <c r="Q991" s="1848"/>
      <c r="R991" s="1848"/>
      <c r="S991" s="1848"/>
      <c r="T991" s="1848"/>
      <c r="U991" s="1848"/>
      <c r="V991" s="1848"/>
      <c r="W991" s="1848"/>
      <c r="X991" s="1848"/>
      <c r="Y991" s="1848"/>
      <c r="Z991" s="1848"/>
      <c r="AA991" s="1848"/>
      <c r="AB991" s="1848"/>
      <c r="AC991" s="1848"/>
      <c r="AD991" s="1848"/>
      <c r="AE991" s="1848"/>
      <c r="AF991" s="1848"/>
      <c r="AG991" s="1848"/>
      <c r="AH991" s="1848"/>
      <c r="AI991" s="1849"/>
      <c r="AJ991" s="1705">
        <f>SUM(AJ985:AQ989)</f>
        <v>41446660</v>
      </c>
      <c r="AK991" s="1706"/>
      <c r="AL991" s="1706"/>
      <c r="AM991" s="1706"/>
      <c r="AN991" s="1706"/>
      <c r="AO991" s="1706"/>
      <c r="AP991" s="1706"/>
      <c r="AQ991" s="170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1"/>
      <c r="C992" s="1812"/>
      <c r="D992" s="1812"/>
      <c r="E992" s="1812"/>
      <c r="F992" s="1812"/>
      <c r="G992" s="1812"/>
      <c r="H992" s="1812"/>
      <c r="I992" s="1812"/>
      <c r="J992" s="1812"/>
      <c r="K992" s="1812"/>
      <c r="L992" s="1812"/>
      <c r="M992" s="1812"/>
      <c r="N992" s="1812"/>
      <c r="O992" s="1812"/>
      <c r="P992" s="1812"/>
      <c r="Q992" s="1812"/>
      <c r="R992" s="1812"/>
      <c r="S992" s="1812"/>
      <c r="T992" s="1812"/>
      <c r="U992" s="1812"/>
      <c r="V992" s="1812"/>
      <c r="W992" s="1812"/>
      <c r="X992" s="1812"/>
      <c r="Y992" s="1812"/>
      <c r="Z992" s="1812"/>
      <c r="AA992" s="1812"/>
      <c r="AB992" s="1812"/>
      <c r="AC992" s="1812"/>
      <c r="AD992" s="1812"/>
      <c r="AE992" s="1813"/>
      <c r="AF992" s="1818" t="s">
        <v>675</v>
      </c>
      <c r="AG992" s="1819"/>
      <c r="AH992" s="1819"/>
      <c r="AI992" s="1820"/>
      <c r="AJ992" s="1811"/>
      <c r="AK992" s="1812"/>
      <c r="AL992" s="1812"/>
      <c r="AM992" s="1812"/>
      <c r="AN992" s="1812"/>
      <c r="AO992" s="1812"/>
      <c r="AP992" s="1812"/>
      <c r="AQ992" s="181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7" t="s">
        <v>1327</v>
      </c>
      <c r="E993" s="1788"/>
      <c r="F993" s="1788"/>
      <c r="G993" s="1788"/>
      <c r="H993" s="1788"/>
      <c r="I993" s="1788"/>
      <c r="J993" s="1788"/>
      <c r="K993" s="1788"/>
      <c r="L993" s="1788"/>
      <c r="M993" s="1788"/>
      <c r="N993" s="1788"/>
      <c r="O993" s="1788"/>
      <c r="P993" s="1788"/>
      <c r="Q993" s="1788"/>
      <c r="R993" s="1788"/>
      <c r="S993" s="1788"/>
      <c r="T993" s="1788"/>
      <c r="U993" s="1788"/>
      <c r="V993" s="1788"/>
      <c r="W993" s="1788"/>
      <c r="X993" s="1788"/>
      <c r="Y993" s="1788"/>
      <c r="Z993" s="1788"/>
      <c r="AA993" s="1788"/>
      <c r="AB993" s="1788"/>
      <c r="AC993" s="1788"/>
      <c r="AD993" s="1788"/>
      <c r="AE993" s="1789"/>
      <c r="AF993" s="79"/>
      <c r="AG993" s="1821" t="s">
        <v>554</v>
      </c>
      <c r="AH993" s="1822"/>
      <c r="AI993" s="87"/>
      <c r="AJ993" s="1685">
        <f>ROUND(IF(AND(AG993="yes",D999&gt;0),AJ991*0.2,0),0)</f>
        <v>8289332</v>
      </c>
      <c r="AK993" s="1686"/>
      <c r="AL993" s="1686"/>
      <c r="AM993" s="1686"/>
      <c r="AN993" s="1686"/>
      <c r="AO993" s="1686"/>
      <c r="AP993" s="1686"/>
      <c r="AQ993" s="16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96" t="s">
        <v>2571</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3"/>
      <c r="AG994" s="14"/>
      <c r="AH994" s="14"/>
      <c r="AI994" s="83"/>
      <c r="AJ994" s="1688"/>
      <c r="AK994" s="1689"/>
      <c r="AL994" s="1689"/>
      <c r="AM994" s="1689"/>
      <c r="AN994" s="1689"/>
      <c r="AO994" s="1689"/>
      <c r="AP994" s="1689"/>
      <c r="AQ994" s="16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96"/>
      <c r="E995" s="1797"/>
      <c r="F995" s="1797"/>
      <c r="G995" s="1797"/>
      <c r="H995" s="1797"/>
      <c r="I995" s="1797"/>
      <c r="J995" s="1797"/>
      <c r="K995" s="1797"/>
      <c r="L995" s="1797"/>
      <c r="M995" s="1797"/>
      <c r="N995" s="1797"/>
      <c r="O995" s="1797"/>
      <c r="P995" s="1797"/>
      <c r="Q995" s="1797"/>
      <c r="R995" s="1797"/>
      <c r="S995" s="1797"/>
      <c r="T995" s="1797"/>
      <c r="U995" s="1797"/>
      <c r="V995" s="1797"/>
      <c r="W995" s="1797"/>
      <c r="X995" s="1797"/>
      <c r="Y995" s="1797"/>
      <c r="Z995" s="1797"/>
      <c r="AA995" s="1797"/>
      <c r="AB995" s="1797"/>
      <c r="AC995" s="1797"/>
      <c r="AD995" s="1797"/>
      <c r="AE995" s="1798"/>
      <c r="AF995" s="73"/>
      <c r="AG995" s="14"/>
      <c r="AH995" s="14"/>
      <c r="AI995" s="83"/>
      <c r="AJ995" s="1688"/>
      <c r="AK995" s="1689"/>
      <c r="AL995" s="1689"/>
      <c r="AM995" s="1689"/>
      <c r="AN995" s="1689"/>
      <c r="AO995" s="1689"/>
      <c r="AP995" s="1689"/>
      <c r="AQ995" s="16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96"/>
      <c r="E996" s="1797"/>
      <c r="F996" s="1797"/>
      <c r="G996" s="1797"/>
      <c r="H996" s="1797"/>
      <c r="I996" s="1797"/>
      <c r="J996" s="1797"/>
      <c r="K996" s="1797"/>
      <c r="L996" s="1797"/>
      <c r="M996" s="1797"/>
      <c r="N996" s="1797"/>
      <c r="O996" s="1797"/>
      <c r="P996" s="1797"/>
      <c r="Q996" s="1797"/>
      <c r="R996" s="1797"/>
      <c r="S996" s="1797"/>
      <c r="T996" s="1797"/>
      <c r="U996" s="1797"/>
      <c r="V996" s="1797"/>
      <c r="W996" s="1797"/>
      <c r="X996" s="1797"/>
      <c r="Y996" s="1797"/>
      <c r="Z996" s="1797"/>
      <c r="AA996" s="1797"/>
      <c r="AB996" s="1797"/>
      <c r="AC996" s="1797"/>
      <c r="AD996" s="1797"/>
      <c r="AE996" s="1798"/>
      <c r="AF996" s="73"/>
      <c r="AG996" s="14"/>
      <c r="AH996" s="14"/>
      <c r="AI996" s="83"/>
      <c r="AJ996" s="1688"/>
      <c r="AK996" s="1689"/>
      <c r="AL996" s="1689"/>
      <c r="AM996" s="1689"/>
      <c r="AN996" s="1689"/>
      <c r="AO996" s="1689"/>
      <c r="AP996" s="1689"/>
      <c r="AQ996" s="16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96"/>
      <c r="E997" s="1797"/>
      <c r="F997" s="1797"/>
      <c r="G997" s="1797"/>
      <c r="H997" s="1797"/>
      <c r="I997" s="1797"/>
      <c r="J997" s="1797"/>
      <c r="K997" s="1797"/>
      <c r="L997" s="1797"/>
      <c r="M997" s="1797"/>
      <c r="N997" s="1797"/>
      <c r="O997" s="1797"/>
      <c r="P997" s="1797"/>
      <c r="Q997" s="1797"/>
      <c r="R997" s="1797"/>
      <c r="S997" s="1797"/>
      <c r="T997" s="1797"/>
      <c r="U997" s="1797"/>
      <c r="V997" s="1797"/>
      <c r="W997" s="1797"/>
      <c r="X997" s="1797"/>
      <c r="Y997" s="1797"/>
      <c r="Z997" s="1797"/>
      <c r="AA997" s="1797"/>
      <c r="AB997" s="1797"/>
      <c r="AC997" s="1797"/>
      <c r="AD997" s="1797"/>
      <c r="AE997" s="1798"/>
      <c r="AF997" s="73"/>
      <c r="AG997" s="14"/>
      <c r="AH997" s="14"/>
      <c r="AI997" s="83"/>
      <c r="AJ997" s="1688"/>
      <c r="AK997" s="1689"/>
      <c r="AL997" s="1689"/>
      <c r="AM997" s="1689"/>
      <c r="AN997" s="1689"/>
      <c r="AO997" s="1689"/>
      <c r="AP997" s="1689"/>
      <c r="AQ997" s="16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99" t="s">
        <v>2572</v>
      </c>
      <c r="E998" s="1800"/>
      <c r="F998" s="1800"/>
      <c r="G998" s="1800"/>
      <c r="H998" s="1800"/>
      <c r="I998" s="1800"/>
      <c r="J998" s="1800"/>
      <c r="K998" s="1800"/>
      <c r="L998" s="1800"/>
      <c r="M998" s="1800"/>
      <c r="N998" s="1800"/>
      <c r="O998" s="1800"/>
      <c r="P998" s="1800"/>
      <c r="Q998" s="1800"/>
      <c r="R998" s="1800"/>
      <c r="S998" s="1800"/>
      <c r="T998" s="1800"/>
      <c r="U998" s="1800"/>
      <c r="V998" s="1800"/>
      <c r="W998" s="1800"/>
      <c r="X998" s="1800"/>
      <c r="Y998" s="1800"/>
      <c r="Z998" s="1800"/>
      <c r="AA998" s="1800"/>
      <c r="AB998" s="1800"/>
      <c r="AC998" s="1800"/>
      <c r="AD998" s="1800"/>
      <c r="AE998" s="1801"/>
      <c r="AF998" s="73"/>
      <c r="AG998" s="14"/>
      <c r="AH998" s="14"/>
      <c r="AI998" s="83"/>
      <c r="AJ998" s="1688"/>
      <c r="AK998" s="1689"/>
      <c r="AL998" s="1689"/>
      <c r="AM998" s="1689"/>
      <c r="AN998" s="1689"/>
      <c r="AO998" s="1689"/>
      <c r="AP998" s="1689"/>
      <c r="AQ998" s="16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3" t="s">
        <v>2796</v>
      </c>
      <c r="E999" s="1794"/>
      <c r="F999" s="1794"/>
      <c r="G999" s="1794"/>
      <c r="H999" s="1794"/>
      <c r="I999" s="1794"/>
      <c r="J999" s="1794"/>
      <c r="K999" s="1794"/>
      <c r="L999" s="1794"/>
      <c r="M999" s="1794"/>
      <c r="N999" s="1794"/>
      <c r="O999" s="1794"/>
      <c r="P999" s="1794"/>
      <c r="Q999" s="1794"/>
      <c r="R999" s="1794"/>
      <c r="S999" s="1794"/>
      <c r="T999" s="1794"/>
      <c r="U999" s="1794"/>
      <c r="V999" s="1794"/>
      <c r="W999" s="1794"/>
      <c r="X999" s="1794"/>
      <c r="Y999" s="1794"/>
      <c r="Z999" s="1794"/>
      <c r="AA999" s="1794"/>
      <c r="AB999" s="1794"/>
      <c r="AC999" s="1794"/>
      <c r="AD999" s="1794"/>
      <c r="AE999" s="1795"/>
      <c r="AF999" s="77"/>
      <c r="AG999" s="7"/>
      <c r="AH999" s="7"/>
      <c r="AI999" s="78"/>
      <c r="AJ999" s="1691"/>
      <c r="AK999" s="1692"/>
      <c r="AL999" s="1692"/>
      <c r="AM999" s="1692"/>
      <c r="AN999" s="1692"/>
      <c r="AO999" s="1692"/>
      <c r="AP999" s="1692"/>
      <c r="AQ999" s="16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75" t="s">
        <v>1397</v>
      </c>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79"/>
      <c r="AG1000" s="1703" t="s">
        <v>678</v>
      </c>
      <c r="AH1000" s="1704"/>
      <c r="AI1000" s="87"/>
      <c r="AJ1000" s="1685">
        <f>ROUND(IF(AG1000="yes",AJ991*0.05,0),0)</f>
        <v>0</v>
      </c>
      <c r="AK1000" s="1686"/>
      <c r="AL1000" s="1686"/>
      <c r="AM1000" s="1686"/>
      <c r="AN1000" s="1686"/>
      <c r="AO1000" s="1686"/>
      <c r="AP1000" s="1686"/>
      <c r="AQ1000" s="16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96" t="s">
        <v>1395</v>
      </c>
      <c r="E1001" s="1797"/>
      <c r="F1001" s="1797"/>
      <c r="G1001" s="1797"/>
      <c r="H1001" s="1797"/>
      <c r="I1001" s="1797"/>
      <c r="J1001" s="1797"/>
      <c r="K1001" s="1797"/>
      <c r="L1001" s="1797"/>
      <c r="M1001" s="1797"/>
      <c r="N1001" s="1797"/>
      <c r="O1001" s="1797"/>
      <c r="P1001" s="1797"/>
      <c r="Q1001" s="1797"/>
      <c r="R1001" s="1797"/>
      <c r="S1001" s="1797"/>
      <c r="T1001" s="1797"/>
      <c r="U1001" s="1797"/>
      <c r="V1001" s="1797"/>
      <c r="W1001" s="1797"/>
      <c r="X1001" s="1797"/>
      <c r="Y1001" s="1797"/>
      <c r="Z1001" s="1797"/>
      <c r="AA1001" s="1797"/>
      <c r="AB1001" s="1797"/>
      <c r="AC1001" s="1797"/>
      <c r="AD1001" s="1797"/>
      <c r="AE1001" s="1798"/>
      <c r="AF1001" s="73"/>
      <c r="AG1001" s="14"/>
      <c r="AH1001" s="14"/>
      <c r="AI1001" s="83"/>
      <c r="AJ1001" s="1688"/>
      <c r="AK1001" s="1689"/>
      <c r="AL1001" s="1689"/>
      <c r="AM1001" s="1689"/>
      <c r="AN1001" s="1689"/>
      <c r="AO1001" s="1689"/>
      <c r="AP1001" s="1689"/>
      <c r="AQ1001" s="16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96"/>
      <c r="E1002" s="1797"/>
      <c r="F1002" s="1797"/>
      <c r="G1002" s="1797"/>
      <c r="H1002" s="1797"/>
      <c r="I1002" s="1797"/>
      <c r="J1002" s="1797"/>
      <c r="K1002" s="1797"/>
      <c r="L1002" s="1797"/>
      <c r="M1002" s="1797"/>
      <c r="N1002" s="1797"/>
      <c r="O1002" s="1797"/>
      <c r="P1002" s="1797"/>
      <c r="Q1002" s="1797"/>
      <c r="R1002" s="1797"/>
      <c r="S1002" s="1797"/>
      <c r="T1002" s="1797"/>
      <c r="U1002" s="1797"/>
      <c r="V1002" s="1797"/>
      <c r="W1002" s="1797"/>
      <c r="X1002" s="1797"/>
      <c r="Y1002" s="1797"/>
      <c r="Z1002" s="1797"/>
      <c r="AA1002" s="1797"/>
      <c r="AB1002" s="1797"/>
      <c r="AC1002" s="1797"/>
      <c r="AD1002" s="1797"/>
      <c r="AE1002" s="1798"/>
      <c r="AF1002" s="73"/>
      <c r="AG1002" s="14"/>
      <c r="AH1002" s="14"/>
      <c r="AI1002" s="83"/>
      <c r="AJ1002" s="1688"/>
      <c r="AK1002" s="1689"/>
      <c r="AL1002" s="1689"/>
      <c r="AM1002" s="1689"/>
      <c r="AN1002" s="1689"/>
      <c r="AO1002" s="1689"/>
      <c r="AP1002" s="1689"/>
      <c r="AQ1002" s="1690"/>
      <c r="AR1002" s="68"/>
      <c r="AS1002" s="68"/>
      <c r="AT1002" s="68"/>
      <c r="AU1002" s="68"/>
      <c r="AV1002" s="68"/>
      <c r="AW1002" s="68"/>
      <c r="AX1002" s="68"/>
      <c r="AY1002" s="949">
        <f>G753+O797</f>
        <v>71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96"/>
      <c r="E1003" s="1797"/>
      <c r="F1003" s="1797"/>
      <c r="G1003" s="1797"/>
      <c r="H1003" s="1797"/>
      <c r="I1003" s="1797"/>
      <c r="J1003" s="1797"/>
      <c r="K1003" s="1797"/>
      <c r="L1003" s="1797"/>
      <c r="M1003" s="1797"/>
      <c r="N1003" s="1797"/>
      <c r="O1003" s="1797"/>
      <c r="P1003" s="1797"/>
      <c r="Q1003" s="1797"/>
      <c r="R1003" s="1797"/>
      <c r="S1003" s="1797"/>
      <c r="T1003" s="1797"/>
      <c r="U1003" s="1797"/>
      <c r="V1003" s="1797"/>
      <c r="W1003" s="1797"/>
      <c r="X1003" s="1797"/>
      <c r="Y1003" s="1797"/>
      <c r="Z1003" s="1797"/>
      <c r="AA1003" s="1797"/>
      <c r="AB1003" s="1797"/>
      <c r="AC1003" s="1797"/>
      <c r="AD1003" s="1797"/>
      <c r="AE1003" s="1798"/>
      <c r="AF1003" s="73"/>
      <c r="AG1003" s="14"/>
      <c r="AH1003" s="14"/>
      <c r="AI1003" s="83"/>
      <c r="AJ1003" s="1688"/>
      <c r="AK1003" s="1689"/>
      <c r="AL1003" s="1689"/>
      <c r="AM1003" s="1689"/>
      <c r="AN1003" s="1689"/>
      <c r="AO1003" s="1689"/>
      <c r="AP1003" s="1689"/>
      <c r="AQ1003" s="16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96"/>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688"/>
      <c r="AK1004" s="1689"/>
      <c r="AL1004" s="1689"/>
      <c r="AM1004" s="1689"/>
      <c r="AN1004" s="1689"/>
      <c r="AO1004" s="1689"/>
      <c r="AP1004" s="1689"/>
      <c r="AQ1004" s="1690"/>
      <c r="AR1004" s="68"/>
      <c r="AS1004" s="68"/>
      <c r="AT1004" s="68"/>
      <c r="AU1004" s="68"/>
      <c r="AV1004" s="68"/>
      <c r="AW1004" s="68"/>
      <c r="AX1004" s="68"/>
      <c r="AY1004" s="948">
        <f>ROUNDDOWN(X1047/I1047,2)</f>
        <v>0.23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7"/>
      <c r="AG1005" s="7"/>
      <c r="AH1005" s="7"/>
      <c r="AI1005" s="78"/>
      <c r="AJ1005" s="1691"/>
      <c r="AK1005" s="1692"/>
      <c r="AL1005" s="1692"/>
      <c r="AM1005" s="1692"/>
      <c r="AN1005" s="1692"/>
      <c r="AO1005" s="1692"/>
      <c r="AP1005" s="1692"/>
      <c r="AQ1005" s="1693"/>
      <c r="AR1005" s="68"/>
      <c r="AS1005" s="68"/>
      <c r="AT1005" s="68"/>
      <c r="AU1005" s="68"/>
      <c r="AV1005" s="68"/>
      <c r="AW1005" s="68"/>
      <c r="AX1005" s="68"/>
      <c r="AY1005" s="948">
        <f>ROUNDDOWN(X1051/I1051,2)</f>
        <v>0.76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75" t="s">
        <v>1874</v>
      </c>
      <c r="E1006" s="1676"/>
      <c r="F1006" s="1676"/>
      <c r="G1006" s="1676"/>
      <c r="H1006" s="1676"/>
      <c r="I1006" s="1676"/>
      <c r="J1006" s="1676"/>
      <c r="K1006" s="1676"/>
      <c r="L1006" s="1676"/>
      <c r="M1006" s="1676"/>
      <c r="N1006" s="1676"/>
      <c r="O1006" s="1676"/>
      <c r="P1006" s="1676"/>
      <c r="Q1006" s="1676"/>
      <c r="R1006" s="1676"/>
      <c r="S1006" s="1676"/>
      <c r="T1006" s="1676"/>
      <c r="U1006" s="1676"/>
      <c r="V1006" s="1676"/>
      <c r="W1006" s="1676"/>
      <c r="X1006" s="1676"/>
      <c r="Y1006" s="1676"/>
      <c r="Z1006" s="1676"/>
      <c r="AA1006" s="1676"/>
      <c r="AB1006" s="1676"/>
      <c r="AC1006" s="1676"/>
      <c r="AD1006" s="1676"/>
      <c r="AE1006" s="1677"/>
      <c r="AF1006" s="86"/>
      <c r="AG1006" s="1703" t="s">
        <v>554</v>
      </c>
      <c r="AH1006" s="1704"/>
      <c r="AI1006" s="87"/>
      <c r="AJ1006" s="1685">
        <f>ROUND(IF(AG1006="yes",AJ991*0.1,0),0)</f>
        <v>4144666</v>
      </c>
      <c r="AK1006" s="1686"/>
      <c r="AL1006" s="1686"/>
      <c r="AM1006" s="1686"/>
      <c r="AN1006" s="1686"/>
      <c r="AO1006" s="1686"/>
      <c r="AP1006" s="1686"/>
      <c r="AQ1006" s="1687"/>
      <c r="AR1006" s="68"/>
      <c r="AS1006" s="68"/>
      <c r="AT1006" s="68"/>
      <c r="AU1006" s="68"/>
      <c r="AV1006" s="68"/>
      <c r="AW1006" s="68"/>
      <c r="AX1006" s="68"/>
      <c r="BB1006" s="34"/>
      <c r="BD1006" s="34"/>
      <c r="BE1006" s="34"/>
      <c r="BF1006" s="34"/>
    </row>
    <row r="1007" spans="1:157" ht="12.95" customHeight="1">
      <c r="A1007" s="14"/>
      <c r="B1007" s="73"/>
      <c r="C1007" s="74"/>
      <c r="D1007" s="1678" t="s">
        <v>1396</v>
      </c>
      <c r="E1007" s="1679"/>
      <c r="F1007" s="1679"/>
      <c r="G1007" s="1679"/>
      <c r="H1007" s="1679"/>
      <c r="I1007" s="1679"/>
      <c r="J1007" s="1679"/>
      <c r="K1007" s="1679"/>
      <c r="L1007" s="1679"/>
      <c r="M1007" s="1679"/>
      <c r="N1007" s="1679"/>
      <c r="O1007" s="1679"/>
      <c r="P1007" s="1679"/>
      <c r="Q1007" s="1679"/>
      <c r="R1007" s="1679"/>
      <c r="S1007" s="1679"/>
      <c r="T1007" s="1679"/>
      <c r="U1007" s="1679"/>
      <c r="V1007" s="1679"/>
      <c r="W1007" s="1679"/>
      <c r="X1007" s="1679"/>
      <c r="Y1007" s="1679"/>
      <c r="Z1007" s="1679"/>
      <c r="AA1007" s="1679"/>
      <c r="AB1007" s="1679"/>
      <c r="AC1007" s="1679"/>
      <c r="AD1007" s="1679"/>
      <c r="AE1007" s="1680"/>
      <c r="AF1007" s="73"/>
      <c r="AI1007" s="83"/>
      <c r="AJ1007" s="1688"/>
      <c r="AK1007" s="1689"/>
      <c r="AL1007" s="1689"/>
      <c r="AM1007" s="1689"/>
      <c r="AN1007" s="1689"/>
      <c r="AO1007" s="1689"/>
      <c r="AP1007" s="1689"/>
      <c r="AQ1007" s="1690"/>
      <c r="AR1007" s="68"/>
      <c r="AS1007" s="68"/>
      <c r="AT1007" s="68"/>
      <c r="AU1007" s="68"/>
      <c r="AV1007" s="68"/>
      <c r="AW1007" s="68"/>
      <c r="AX1007" s="68"/>
    </row>
    <row r="1008" spans="1:157" ht="12.95" customHeight="1">
      <c r="A1008" s="14"/>
      <c r="B1008" s="73"/>
      <c r="C1008" s="74"/>
      <c r="D1008" s="1678"/>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80"/>
      <c r="AF1008" s="73"/>
      <c r="AG1008" s="14"/>
      <c r="AH1008" s="14"/>
      <c r="AI1008" s="83"/>
      <c r="AJ1008" s="1688"/>
      <c r="AK1008" s="1689"/>
      <c r="AL1008" s="1689"/>
      <c r="AM1008" s="1689"/>
      <c r="AN1008" s="1689"/>
      <c r="AO1008" s="1689"/>
      <c r="AP1008" s="1689"/>
      <c r="AQ1008" s="1690"/>
      <c r="AR1008" s="68"/>
      <c r="AS1008" s="68"/>
      <c r="AT1008" s="68"/>
      <c r="AU1008" s="68"/>
      <c r="AV1008" s="68"/>
      <c r="AW1008" s="68"/>
      <c r="AX1008" s="68"/>
    </row>
    <row r="1009" spans="1:51" ht="12.95" customHeight="1">
      <c r="A1009" s="14"/>
      <c r="B1009" s="85"/>
      <c r="C1009" s="76"/>
      <c r="D1009" s="1681"/>
      <c r="E1009" s="1682"/>
      <c r="F1009" s="1682"/>
      <c r="G1009" s="1682"/>
      <c r="H1009" s="1682"/>
      <c r="I1009" s="1682"/>
      <c r="J1009" s="1682"/>
      <c r="K1009" s="1682"/>
      <c r="L1009" s="1682"/>
      <c r="M1009" s="1682"/>
      <c r="N1009" s="1682"/>
      <c r="O1009" s="1682"/>
      <c r="P1009" s="1682"/>
      <c r="Q1009" s="1682"/>
      <c r="R1009" s="1682"/>
      <c r="S1009" s="1682"/>
      <c r="T1009" s="1682"/>
      <c r="U1009" s="1682"/>
      <c r="V1009" s="1682"/>
      <c r="W1009" s="1682"/>
      <c r="X1009" s="1682"/>
      <c r="Y1009" s="1682"/>
      <c r="Z1009" s="1682"/>
      <c r="AA1009" s="1682"/>
      <c r="AB1009" s="1682"/>
      <c r="AC1009" s="1682"/>
      <c r="AD1009" s="1682"/>
      <c r="AE1009" s="1683"/>
      <c r="AF1009" s="77"/>
      <c r="AG1009" s="7"/>
      <c r="AH1009" s="7"/>
      <c r="AI1009" s="78"/>
      <c r="AJ1009" s="1691"/>
      <c r="AK1009" s="1692"/>
      <c r="AL1009" s="1692"/>
      <c r="AM1009" s="1692"/>
      <c r="AN1009" s="1692"/>
      <c r="AO1009" s="1692"/>
      <c r="AP1009" s="1692"/>
      <c r="AQ1009" s="1693"/>
      <c r="AR1009" s="68"/>
      <c r="AS1009" s="68"/>
      <c r="AT1009" s="68"/>
      <c r="AU1009" s="68"/>
      <c r="AV1009" s="68"/>
      <c r="AW1009" s="68"/>
      <c r="AX1009" s="68"/>
    </row>
    <row r="1010" spans="1:51" ht="12.95" customHeight="1">
      <c r="A1010" s="14"/>
      <c r="B1010" s="79"/>
      <c r="C1010" s="80" t="s">
        <v>213</v>
      </c>
      <c r="D1010" s="1675" t="s">
        <v>1398</v>
      </c>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7"/>
      <c r="AF1010" s="79"/>
      <c r="AG1010" s="1703" t="s">
        <v>678</v>
      </c>
      <c r="AH1010" s="1704"/>
      <c r="AI1010" s="87"/>
      <c r="AJ1010" s="1685">
        <f>ROUND(IF(AG1010="yes",AJ991*0.02,0),0)</f>
        <v>0</v>
      </c>
      <c r="AK1010" s="1686"/>
      <c r="AL1010" s="1686"/>
      <c r="AM1010" s="1686"/>
      <c r="AN1010" s="1686"/>
      <c r="AO1010" s="1686"/>
      <c r="AP1010" s="1686"/>
      <c r="AQ1010" s="1687"/>
      <c r="AR1010" s="68"/>
      <c r="AS1010" s="68"/>
      <c r="AT1010" s="68"/>
      <c r="AU1010" s="68"/>
      <c r="AV1010" s="68"/>
      <c r="AW1010" s="68"/>
      <c r="AX1010" s="68"/>
      <c r="AY1010" s="215">
        <f>IF(SUM(AY1012:AY1020)&lt;=0.1,SUM(AY1012:AY1020),0.1)</f>
        <v>0</v>
      </c>
    </row>
    <row r="1011" spans="1:51" ht="14.25" customHeight="1">
      <c r="A1011" s="14"/>
      <c r="B1011" s="73"/>
      <c r="C1011" s="74"/>
      <c r="D1011" s="1681" t="s">
        <v>1399</v>
      </c>
      <c r="E1011" s="1682"/>
      <c r="F1011" s="1682"/>
      <c r="G1011" s="1682"/>
      <c r="H1011" s="1682"/>
      <c r="I1011" s="1682"/>
      <c r="J1011" s="1682"/>
      <c r="K1011" s="1682"/>
      <c r="L1011" s="1682"/>
      <c r="M1011" s="1682"/>
      <c r="N1011" s="1682"/>
      <c r="O1011" s="1682"/>
      <c r="P1011" s="1682"/>
      <c r="Q1011" s="1682"/>
      <c r="R1011" s="1682"/>
      <c r="S1011" s="1682"/>
      <c r="T1011" s="1682"/>
      <c r="U1011" s="1682"/>
      <c r="V1011" s="1682"/>
      <c r="W1011" s="1682"/>
      <c r="X1011" s="1682"/>
      <c r="Y1011" s="1682"/>
      <c r="Z1011" s="1682"/>
      <c r="AA1011" s="1682"/>
      <c r="AB1011" s="1682"/>
      <c r="AC1011" s="1682"/>
      <c r="AD1011" s="1682"/>
      <c r="AE1011" s="1683"/>
      <c r="AF1011" s="77"/>
      <c r="AG1011" s="7"/>
      <c r="AH1011" s="7"/>
      <c r="AI1011" s="78"/>
      <c r="AJ1011" s="1691"/>
      <c r="AK1011" s="1692"/>
      <c r="AL1011" s="1692"/>
      <c r="AM1011" s="1692"/>
      <c r="AN1011" s="1692"/>
      <c r="AO1011" s="1692"/>
      <c r="AP1011" s="1692"/>
      <c r="AQ1011" s="1693"/>
      <c r="AR1011" s="68"/>
      <c r="AS1011" s="68"/>
      <c r="AT1011" s="68"/>
      <c r="AU1011" s="68"/>
      <c r="AV1011" s="68"/>
      <c r="AW1011" s="68"/>
      <c r="AX1011" s="68"/>
    </row>
    <row r="1012" spans="1:51" ht="12.95" customHeight="1">
      <c r="A1012" s="14"/>
      <c r="B1012" s="79"/>
      <c r="C1012" s="80" t="s">
        <v>216</v>
      </c>
      <c r="D1012" s="1675" t="s">
        <v>1400</v>
      </c>
      <c r="E1012" s="1676"/>
      <c r="F1012" s="1676"/>
      <c r="G1012" s="1676"/>
      <c r="H1012" s="1676"/>
      <c r="I1012" s="1676"/>
      <c r="J1012" s="1676"/>
      <c r="K1012" s="1676"/>
      <c r="L1012" s="1676"/>
      <c r="M1012" s="1676"/>
      <c r="N1012" s="1676"/>
      <c r="O1012" s="1676"/>
      <c r="P1012" s="1676"/>
      <c r="Q1012" s="1676"/>
      <c r="R1012" s="1676"/>
      <c r="S1012" s="1676"/>
      <c r="T1012" s="1676"/>
      <c r="U1012" s="1676"/>
      <c r="V1012" s="1676"/>
      <c r="W1012" s="1676"/>
      <c r="X1012" s="1676"/>
      <c r="Y1012" s="1676"/>
      <c r="Z1012" s="1676"/>
      <c r="AA1012" s="1676"/>
      <c r="AB1012" s="1676"/>
      <c r="AC1012" s="1676"/>
      <c r="AD1012" s="1676"/>
      <c r="AE1012" s="1677"/>
      <c r="AF1012" s="79"/>
      <c r="AG1012" s="1703" t="s">
        <v>678</v>
      </c>
      <c r="AH1012" s="1704"/>
      <c r="AI1012" s="79"/>
      <c r="AJ1012" s="1685">
        <f>ROUND(IF(AG1012="yes",AJ991*0.02,0),0)</f>
        <v>0</v>
      </c>
      <c r="AK1012" s="1686"/>
      <c r="AL1012" s="1686"/>
      <c r="AM1012" s="1686"/>
      <c r="AN1012" s="1686"/>
      <c r="AO1012" s="1686"/>
      <c r="AP1012" s="1686"/>
      <c r="AQ1012" s="1687"/>
      <c r="AR1012" s="68"/>
      <c r="AS1012" s="68"/>
      <c r="AT1012" s="68"/>
      <c r="AU1012" s="68"/>
      <c r="AV1012" s="68"/>
      <c r="AW1012" s="68"/>
      <c r="AX1012" s="68"/>
      <c r="AY1012" s="213">
        <f>IF(A1064="Yes",0.05,0)</f>
        <v>0</v>
      </c>
    </row>
    <row r="1013" spans="1:51" ht="12.95" customHeight="1">
      <c r="A1013" s="14"/>
      <c r="B1013" s="73"/>
      <c r="C1013" s="74"/>
      <c r="D1013" s="1678" t="s">
        <v>1401</v>
      </c>
      <c r="E1013" s="1679"/>
      <c r="F1013" s="1679"/>
      <c r="G1013" s="1679"/>
      <c r="H1013" s="1679"/>
      <c r="I1013" s="1679"/>
      <c r="J1013" s="1679"/>
      <c r="K1013" s="1679"/>
      <c r="L1013" s="1679"/>
      <c r="M1013" s="1679"/>
      <c r="N1013" s="1679"/>
      <c r="O1013" s="1679"/>
      <c r="P1013" s="1679"/>
      <c r="Q1013" s="1679"/>
      <c r="R1013" s="1679"/>
      <c r="S1013" s="1679"/>
      <c r="T1013" s="1679"/>
      <c r="U1013" s="1679"/>
      <c r="V1013" s="1679"/>
      <c r="W1013" s="1679"/>
      <c r="X1013" s="1679"/>
      <c r="Y1013" s="1679"/>
      <c r="Z1013" s="1679"/>
      <c r="AA1013" s="1679"/>
      <c r="AB1013" s="1679"/>
      <c r="AC1013" s="1679"/>
      <c r="AD1013" s="1679"/>
      <c r="AE1013" s="1680"/>
      <c r="AF1013" s="1865" t="str">
        <f>IF(AND(AG1012="yes",AB212&lt;&gt;1),"The project may not be eligible for this boost","")</f>
        <v/>
      </c>
      <c r="AG1013" s="1866"/>
      <c r="AH1013" s="1866"/>
      <c r="AI1013" s="1867"/>
      <c r="AJ1013" s="1688"/>
      <c r="AK1013" s="1689"/>
      <c r="AL1013" s="1689"/>
      <c r="AM1013" s="1689"/>
      <c r="AN1013" s="1689"/>
      <c r="AO1013" s="1689"/>
      <c r="AP1013" s="1689"/>
      <c r="AQ1013" s="1690"/>
      <c r="AR1013" s="68"/>
      <c r="AS1013" s="68"/>
      <c r="AT1013" s="68"/>
      <c r="AU1013" s="68"/>
      <c r="AV1013" s="68"/>
      <c r="AW1013" s="68"/>
      <c r="AX1013" s="68"/>
      <c r="AY1013" s="213">
        <f>IF(A1070="Yes",0.02,0)</f>
        <v>0</v>
      </c>
    </row>
    <row r="1014" spans="1:51" ht="12.95" customHeight="1">
      <c r="A1014" s="14"/>
      <c r="B1014" s="75"/>
      <c r="C1014" s="76"/>
      <c r="D1014" s="1681"/>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3"/>
      <c r="AF1014" s="1868"/>
      <c r="AG1014" s="1869"/>
      <c r="AH1014" s="1869"/>
      <c r="AI1014" s="1870"/>
      <c r="AJ1014" s="1691"/>
      <c r="AK1014" s="1692"/>
      <c r="AL1014" s="1692"/>
      <c r="AM1014" s="1692"/>
      <c r="AN1014" s="1692"/>
      <c r="AO1014" s="1692"/>
      <c r="AP1014" s="1692"/>
      <c r="AQ1014" s="1693"/>
      <c r="AR1014" s="68"/>
      <c r="AS1014" s="68"/>
      <c r="AT1014" s="68"/>
      <c r="AU1014" s="68"/>
      <c r="AV1014" s="68"/>
      <c r="AW1014" s="68"/>
      <c r="AX1014" s="68"/>
      <c r="AY1014" s="213">
        <f>IF(A1076="Yes",0.04,0)</f>
        <v>0</v>
      </c>
    </row>
    <row r="1015" spans="1:51" ht="12.95" customHeight="1">
      <c r="A1015" s="14"/>
      <c r="B1015" s="79"/>
      <c r="C1015" s="80" t="s">
        <v>219</v>
      </c>
      <c r="D1015" s="1787" t="s">
        <v>1402</v>
      </c>
      <c r="E1015" s="1788"/>
      <c r="F1015" s="1788"/>
      <c r="G1015" s="1788"/>
      <c r="H1015" s="1788"/>
      <c r="I1015" s="1788"/>
      <c r="J1015" s="1788"/>
      <c r="K1015" s="1788"/>
      <c r="L1015" s="1788"/>
      <c r="M1015" s="1788"/>
      <c r="N1015" s="1788"/>
      <c r="O1015" s="1788"/>
      <c r="P1015" s="1788"/>
      <c r="Q1015" s="1788"/>
      <c r="R1015" s="1788"/>
      <c r="S1015" s="1788"/>
      <c r="T1015" s="1788"/>
      <c r="U1015" s="1788"/>
      <c r="V1015" s="1788"/>
      <c r="W1015" s="1788"/>
      <c r="X1015" s="1788"/>
      <c r="Y1015" s="1788"/>
      <c r="Z1015" s="1788"/>
      <c r="AA1015" s="1788"/>
      <c r="AB1015" s="1788"/>
      <c r="AC1015" s="1788"/>
      <c r="AD1015" s="1788"/>
      <c r="AE1015" s="1789"/>
      <c r="AF1015" s="79"/>
      <c r="AG1015" s="1703" t="s">
        <v>678</v>
      </c>
      <c r="AH1015" s="1704"/>
      <c r="AI1015" s="87"/>
      <c r="AJ1015" s="1685">
        <f>IF(AG1015="yes",AJ991*AY1010,0)</f>
        <v>0</v>
      </c>
      <c r="AK1015" s="1686"/>
      <c r="AL1015" s="1686"/>
      <c r="AM1015" s="1686"/>
      <c r="AN1015" s="1686"/>
      <c r="AO1015" s="1686"/>
      <c r="AP1015" s="1686"/>
      <c r="AQ1015" s="1687"/>
      <c r="AR1015" s="68"/>
      <c r="AS1015" s="68"/>
      <c r="AT1015" s="68"/>
      <c r="AU1015" s="68"/>
      <c r="AV1015" s="68"/>
      <c r="AW1015" s="68"/>
      <c r="AX1015" s="68"/>
      <c r="AY1015" s="213">
        <f>IF(A1083="Yes",0.04,0)</f>
        <v>0</v>
      </c>
    </row>
    <row r="1016" spans="1:51" ht="12.95" customHeight="1">
      <c r="A1016" s="14"/>
      <c r="B1016" s="73"/>
      <c r="C1016" s="74"/>
      <c r="D1016" s="1678" t="s">
        <v>1403</v>
      </c>
      <c r="E1016" s="1679"/>
      <c r="F1016" s="1679"/>
      <c r="G1016" s="1679"/>
      <c r="H1016" s="1679"/>
      <c r="I1016" s="1679"/>
      <c r="J1016" s="1679"/>
      <c r="K1016" s="1679"/>
      <c r="L1016" s="1679"/>
      <c r="M1016" s="1679"/>
      <c r="N1016" s="1679"/>
      <c r="O1016" s="1679"/>
      <c r="P1016" s="1679"/>
      <c r="Q1016" s="1679"/>
      <c r="R1016" s="1679"/>
      <c r="S1016" s="1679"/>
      <c r="T1016" s="1679"/>
      <c r="U1016" s="1679"/>
      <c r="V1016" s="1679"/>
      <c r="W1016" s="1679"/>
      <c r="X1016" s="1679"/>
      <c r="Y1016" s="1679"/>
      <c r="Z1016" s="1679"/>
      <c r="AA1016" s="1679"/>
      <c r="AB1016" s="1679"/>
      <c r="AC1016" s="1679"/>
      <c r="AD1016" s="1679"/>
      <c r="AE1016" s="1680"/>
      <c r="AF1016" s="1859" t="str">
        <f>IF(AND(AG1015="Yes",AY1010=0),AY1022,"")</f>
        <v/>
      </c>
      <c r="AG1016" s="1860"/>
      <c r="AH1016" s="1860"/>
      <c r="AI1016" s="1861"/>
      <c r="AJ1016" s="1688"/>
      <c r="AK1016" s="1689"/>
      <c r="AL1016" s="1689"/>
      <c r="AM1016" s="1689"/>
      <c r="AN1016" s="1689"/>
      <c r="AO1016" s="1689"/>
      <c r="AP1016" s="1689"/>
      <c r="AQ1016" s="1690"/>
      <c r="AR1016" s="68"/>
      <c r="AS1016" s="68"/>
      <c r="AT1016" s="68"/>
      <c r="AU1016" s="68"/>
      <c r="AV1016" s="68"/>
      <c r="AW1016" s="68"/>
      <c r="AX1016" s="68"/>
      <c r="AY1016" s="213">
        <f>IF(A1086="Yes",0.01,0)</f>
        <v>0</v>
      </c>
    </row>
    <row r="1017" spans="1:51" ht="12.95" customHeight="1">
      <c r="A1017" s="14"/>
      <c r="B1017" s="73"/>
      <c r="C1017" s="74"/>
      <c r="D1017" s="1678"/>
      <c r="E1017" s="1679"/>
      <c r="F1017" s="1679"/>
      <c r="G1017" s="1679"/>
      <c r="H1017" s="1679"/>
      <c r="I1017" s="1679"/>
      <c r="J1017" s="1679"/>
      <c r="K1017" s="1679"/>
      <c r="L1017" s="1679"/>
      <c r="M1017" s="1679"/>
      <c r="N1017" s="1679"/>
      <c r="O1017" s="1679"/>
      <c r="P1017" s="1679"/>
      <c r="Q1017" s="1679"/>
      <c r="R1017" s="1679"/>
      <c r="S1017" s="1679"/>
      <c r="T1017" s="1679"/>
      <c r="U1017" s="1679"/>
      <c r="V1017" s="1679"/>
      <c r="W1017" s="1679"/>
      <c r="X1017" s="1679"/>
      <c r="Y1017" s="1679"/>
      <c r="Z1017" s="1679"/>
      <c r="AA1017" s="1679"/>
      <c r="AB1017" s="1679"/>
      <c r="AC1017" s="1679"/>
      <c r="AD1017" s="1679"/>
      <c r="AE1017" s="1680"/>
      <c r="AF1017" s="1859"/>
      <c r="AG1017" s="1860"/>
      <c r="AH1017" s="1860"/>
      <c r="AI1017" s="1861"/>
      <c r="AJ1017" s="1688"/>
      <c r="AK1017" s="1689"/>
      <c r="AL1017" s="1689"/>
      <c r="AM1017" s="1689"/>
      <c r="AN1017" s="1689"/>
      <c r="AO1017" s="1689"/>
      <c r="AP1017" s="1689"/>
      <c r="AQ1017" s="1690"/>
      <c r="AR1017" s="68"/>
      <c r="AS1017" s="68"/>
      <c r="AT1017" s="68"/>
      <c r="AU1017" s="68"/>
      <c r="AV1017" s="68"/>
      <c r="AW1017" s="68"/>
      <c r="AX1017" s="68"/>
      <c r="AY1017" s="213">
        <f>IF(A1091="Yes",0.01,0)</f>
        <v>0</v>
      </c>
    </row>
    <row r="1018" spans="1:51" ht="12.95" customHeight="1">
      <c r="A1018" s="14"/>
      <c r="B1018" s="81"/>
      <c r="C1018" s="82"/>
      <c r="D1018" s="1681"/>
      <c r="E1018" s="1682"/>
      <c r="F1018" s="1682"/>
      <c r="G1018" s="1682"/>
      <c r="H1018" s="1682"/>
      <c r="I1018" s="1682"/>
      <c r="J1018" s="1682"/>
      <c r="K1018" s="1682"/>
      <c r="L1018" s="1682"/>
      <c r="M1018" s="1682"/>
      <c r="N1018" s="1682"/>
      <c r="O1018" s="1682"/>
      <c r="P1018" s="1682"/>
      <c r="Q1018" s="1682"/>
      <c r="R1018" s="1682"/>
      <c r="S1018" s="1682"/>
      <c r="T1018" s="1682"/>
      <c r="U1018" s="1682"/>
      <c r="V1018" s="1682"/>
      <c r="W1018" s="1682"/>
      <c r="X1018" s="1682"/>
      <c r="Y1018" s="1682"/>
      <c r="Z1018" s="1682"/>
      <c r="AA1018" s="1682"/>
      <c r="AB1018" s="1682"/>
      <c r="AC1018" s="1682"/>
      <c r="AD1018" s="1682"/>
      <c r="AE1018" s="1683"/>
      <c r="AF1018" s="1862"/>
      <c r="AG1018" s="1863"/>
      <c r="AH1018" s="1863"/>
      <c r="AI1018" s="1864"/>
      <c r="AJ1018" s="1691"/>
      <c r="AK1018" s="1692"/>
      <c r="AL1018" s="1692"/>
      <c r="AM1018" s="1692"/>
      <c r="AN1018" s="1692"/>
      <c r="AO1018" s="1692"/>
      <c r="AP1018" s="1692"/>
      <c r="AQ1018" s="1693"/>
      <c r="AR1018" s="68"/>
      <c r="AS1018" s="68"/>
      <c r="AT1018" s="68"/>
      <c r="AU1018" s="68"/>
      <c r="AV1018" s="68"/>
      <c r="AW1018" s="68"/>
      <c r="AX1018" s="68"/>
      <c r="AY1018" s="213">
        <f>IF(A1094="Yes",0.01,0)</f>
        <v>0</v>
      </c>
    </row>
    <row r="1019" spans="1:51" ht="12.95" customHeight="1">
      <c r="A1019" s="14"/>
      <c r="B1019" s="79"/>
      <c r="C1019" s="80" t="s">
        <v>224</v>
      </c>
      <c r="D1019" s="1853" t="s">
        <v>1404</v>
      </c>
      <c r="E1019" s="1854"/>
      <c r="F1019" s="1854"/>
      <c r="G1019" s="1854"/>
      <c r="H1019" s="1854"/>
      <c r="I1019" s="1854"/>
      <c r="J1019" s="1854"/>
      <c r="K1019" s="1854"/>
      <c r="L1019" s="1854"/>
      <c r="M1019" s="1854"/>
      <c r="N1019" s="1854"/>
      <c r="O1019" s="1854"/>
      <c r="P1019" s="1854"/>
      <c r="Q1019" s="1854"/>
      <c r="R1019" s="1854"/>
      <c r="S1019" s="1854"/>
      <c r="T1019" s="1854"/>
      <c r="U1019" s="1854"/>
      <c r="V1019" s="1854"/>
      <c r="W1019" s="1854"/>
      <c r="X1019" s="1854"/>
      <c r="Y1019" s="1854"/>
      <c r="Z1019" s="1854"/>
      <c r="AA1019" s="1854"/>
      <c r="AB1019" s="1854"/>
      <c r="AC1019" s="1854"/>
      <c r="AD1019" s="1854"/>
      <c r="AE1019" s="1855"/>
      <c r="AF1019" s="79"/>
      <c r="AG1019" s="1703" t="s">
        <v>678</v>
      </c>
      <c r="AH1019" s="1704"/>
      <c r="AI1019" s="87"/>
      <c r="AJ1019" s="1685">
        <f>ROUND(IF(AND(AG1019="Yes",J1023&lt;&gt;"N/A",AF1022&lt;&gt;""),MIN(AF1022,(0.15*AJ991)),0),0)</f>
        <v>0</v>
      </c>
      <c r="AK1019" s="1686"/>
      <c r="AL1019" s="1686"/>
      <c r="AM1019" s="1686"/>
      <c r="AN1019" s="1686"/>
      <c r="AO1019" s="1686"/>
      <c r="AP1019" s="1686"/>
      <c r="AQ1019" s="1687"/>
      <c r="AR1019" s="68"/>
      <c r="AS1019" s="68"/>
      <c r="AT1019" s="68"/>
      <c r="AU1019" s="68"/>
      <c r="AV1019" s="68"/>
      <c r="AW1019" s="68"/>
      <c r="AX1019" s="68"/>
      <c r="AY1019" s="213">
        <f>IF(A1098="Yes",0.02,0)</f>
        <v>0</v>
      </c>
    </row>
    <row r="1020" spans="1:51" ht="12.95" customHeight="1">
      <c r="A1020" s="14"/>
      <c r="B1020" s="81"/>
      <c r="C1020" s="84"/>
      <c r="D1020" s="1856"/>
      <c r="E1020" s="1857"/>
      <c r="F1020" s="1857"/>
      <c r="G1020" s="1857"/>
      <c r="H1020" s="1857"/>
      <c r="I1020" s="1857"/>
      <c r="J1020" s="1857"/>
      <c r="K1020" s="1857"/>
      <c r="L1020" s="1857"/>
      <c r="M1020" s="1857"/>
      <c r="N1020" s="1857"/>
      <c r="O1020" s="1857"/>
      <c r="P1020" s="1857"/>
      <c r="Q1020" s="1857"/>
      <c r="R1020" s="1857"/>
      <c r="S1020" s="1857"/>
      <c r="T1020" s="1857"/>
      <c r="U1020" s="1857"/>
      <c r="V1020" s="1857"/>
      <c r="W1020" s="1857"/>
      <c r="X1020" s="1857"/>
      <c r="Y1020" s="1857"/>
      <c r="Z1020" s="1857"/>
      <c r="AA1020" s="1857"/>
      <c r="AB1020" s="1857"/>
      <c r="AC1020" s="1857"/>
      <c r="AD1020" s="1857"/>
      <c r="AE1020" s="1858"/>
      <c r="AF1020" s="1823" t="str">
        <f>IF(AG1019="yes","Please Select Type and Enter Amount:","")</f>
        <v/>
      </c>
      <c r="AG1020" s="1824"/>
      <c r="AH1020" s="1824"/>
      <c r="AI1020" s="1825"/>
      <c r="AJ1020" s="1688"/>
      <c r="AK1020" s="1689"/>
      <c r="AL1020" s="1689"/>
      <c r="AM1020" s="1689"/>
      <c r="AN1020" s="1689"/>
      <c r="AO1020" s="1689"/>
      <c r="AP1020" s="1689"/>
      <c r="AQ1020" s="1690"/>
      <c r="AR1020" s="68"/>
      <c r="AS1020" s="68"/>
      <c r="AT1020" s="68"/>
      <c r="AU1020" s="68"/>
      <c r="AV1020" s="68"/>
      <c r="AW1020" s="68"/>
      <c r="AX1020" s="68"/>
      <c r="AY1020" s="214">
        <f>IF(A1103="Yes",0.02,0)</f>
        <v>0</v>
      </c>
    </row>
    <row r="1021" spans="1:51" ht="12.95" customHeight="1">
      <c r="A1021" s="14"/>
      <c r="B1021" s="81"/>
      <c r="C1021" s="84"/>
      <c r="D1021" s="1678" t="s">
        <v>1405</v>
      </c>
      <c r="E1021" s="1679"/>
      <c r="F1021" s="1679"/>
      <c r="G1021" s="1679"/>
      <c r="H1021" s="1679"/>
      <c r="I1021" s="1679"/>
      <c r="J1021" s="1679"/>
      <c r="K1021" s="1679"/>
      <c r="L1021" s="1679"/>
      <c r="M1021" s="1679"/>
      <c r="N1021" s="1679"/>
      <c r="O1021" s="1679"/>
      <c r="P1021" s="1679"/>
      <c r="Q1021" s="1679"/>
      <c r="R1021" s="1679"/>
      <c r="S1021" s="1679"/>
      <c r="T1021" s="1679"/>
      <c r="U1021" s="1679"/>
      <c r="V1021" s="1679"/>
      <c r="W1021" s="1679"/>
      <c r="X1021" s="1679"/>
      <c r="Y1021" s="1679"/>
      <c r="Z1021" s="1679"/>
      <c r="AA1021" s="1679"/>
      <c r="AB1021" s="1679"/>
      <c r="AC1021" s="1679"/>
      <c r="AD1021" s="1679"/>
      <c r="AE1021" s="1680"/>
      <c r="AF1021" s="1823"/>
      <c r="AG1021" s="1824"/>
      <c r="AH1021" s="1824"/>
      <c r="AI1021" s="1825"/>
      <c r="AJ1021" s="1688"/>
      <c r="AK1021" s="1689"/>
      <c r="AL1021" s="1689"/>
      <c r="AM1021" s="1689"/>
      <c r="AN1021" s="1689"/>
      <c r="AO1021" s="1689"/>
      <c r="AP1021" s="1689"/>
      <c r="AQ1021" s="1690"/>
      <c r="AR1021" s="68"/>
      <c r="AS1021" s="68"/>
      <c r="AT1021" s="68"/>
      <c r="AU1021" s="68"/>
      <c r="AV1021" s="68"/>
      <c r="AW1021" s="68"/>
      <c r="AX1021" s="68"/>
      <c r="AY1021" s="68"/>
    </row>
    <row r="1022" spans="1:51" ht="12.95" customHeight="1">
      <c r="A1022" s="14"/>
      <c r="B1022" s="81"/>
      <c r="C1022" s="84"/>
      <c r="D1022" s="1678"/>
      <c r="E1022" s="1679"/>
      <c r="F1022" s="1679"/>
      <c r="G1022" s="1679"/>
      <c r="H1022" s="1679"/>
      <c r="I1022" s="1679"/>
      <c r="J1022" s="1679"/>
      <c r="K1022" s="1679"/>
      <c r="L1022" s="1679"/>
      <c r="M1022" s="1679"/>
      <c r="N1022" s="1679"/>
      <c r="O1022" s="1679"/>
      <c r="P1022" s="1679"/>
      <c r="Q1022" s="1679"/>
      <c r="R1022" s="1679"/>
      <c r="S1022" s="1679"/>
      <c r="T1022" s="1679"/>
      <c r="U1022" s="1679"/>
      <c r="V1022" s="1679"/>
      <c r="W1022" s="1679"/>
      <c r="X1022" s="1679"/>
      <c r="Y1022" s="1679"/>
      <c r="Z1022" s="1679"/>
      <c r="AA1022" s="1679"/>
      <c r="AB1022" s="1679"/>
      <c r="AC1022" s="1679"/>
      <c r="AD1022" s="1679"/>
      <c r="AE1022" s="1680"/>
      <c r="AF1022" s="1826"/>
      <c r="AG1022" s="1826"/>
      <c r="AH1022" s="1826"/>
      <c r="AI1022" s="1826"/>
      <c r="AJ1022" s="1688"/>
      <c r="AK1022" s="1689"/>
      <c r="AL1022" s="1689"/>
      <c r="AM1022" s="1689"/>
      <c r="AN1022" s="1689"/>
      <c r="AO1022" s="1689"/>
      <c r="AP1022" s="1689"/>
      <c r="AQ1022" s="16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5" t="s">
        <v>600</v>
      </c>
      <c r="K1023" s="1816"/>
      <c r="L1023" s="1816"/>
      <c r="M1023" s="1816"/>
      <c r="N1023" s="1816"/>
      <c r="O1023" s="1816"/>
      <c r="P1023" s="1816"/>
      <c r="Q1023" s="1816"/>
      <c r="R1023" s="1816"/>
      <c r="S1023" s="1816"/>
      <c r="T1023" s="1816"/>
      <c r="U1023" s="1816"/>
      <c r="V1023" s="1816"/>
      <c r="W1023" s="1816"/>
      <c r="X1023" s="1816"/>
      <c r="Y1023" s="1816"/>
      <c r="Z1023" s="1816"/>
      <c r="AA1023" s="1816"/>
      <c r="AB1023" s="1816"/>
      <c r="AC1023" s="1816"/>
      <c r="AD1023" s="1816"/>
      <c r="AE1023" s="1817"/>
      <c r="AF1023" s="1826"/>
      <c r="AG1023" s="1826"/>
      <c r="AH1023" s="1826"/>
      <c r="AI1023" s="1826"/>
      <c r="AJ1023" s="1691"/>
      <c r="AK1023" s="1692"/>
      <c r="AL1023" s="1692"/>
      <c r="AM1023" s="1692"/>
      <c r="AN1023" s="1692"/>
      <c r="AO1023" s="1692"/>
      <c r="AP1023" s="1692"/>
      <c r="AQ1023" s="1693"/>
      <c r="AR1023" s="68"/>
      <c r="AS1023" s="68"/>
      <c r="AT1023" s="68"/>
      <c r="AU1023" s="68"/>
      <c r="AV1023" s="68"/>
      <c r="AW1023" s="68"/>
      <c r="AX1023" s="68"/>
      <c r="AY1023" s="68"/>
    </row>
    <row r="1024" spans="1:51" ht="12.95" customHeight="1">
      <c r="A1024" s="14"/>
      <c r="B1024" s="79"/>
      <c r="C1024" s="80" t="s">
        <v>230</v>
      </c>
      <c r="D1024" s="1675" t="s">
        <v>1406</v>
      </c>
      <c r="E1024" s="1676"/>
      <c r="F1024" s="1676"/>
      <c r="G1024" s="1676"/>
      <c r="H1024" s="1676"/>
      <c r="I1024" s="1676"/>
      <c r="J1024" s="1676"/>
      <c r="K1024" s="1676"/>
      <c r="L1024" s="1676"/>
      <c r="M1024" s="1676"/>
      <c r="N1024" s="1676"/>
      <c r="O1024" s="1676"/>
      <c r="P1024" s="1676"/>
      <c r="Q1024" s="1676"/>
      <c r="R1024" s="1676"/>
      <c r="S1024" s="1676"/>
      <c r="T1024" s="1676"/>
      <c r="U1024" s="1676"/>
      <c r="V1024" s="1676"/>
      <c r="W1024" s="1676"/>
      <c r="X1024" s="1676"/>
      <c r="Y1024" s="1676"/>
      <c r="Z1024" s="1676"/>
      <c r="AA1024" s="1676"/>
      <c r="AB1024" s="1676"/>
      <c r="AC1024" s="1676"/>
      <c r="AD1024" s="1676"/>
      <c r="AE1024" s="1677"/>
      <c r="AF1024" s="79"/>
      <c r="AG1024" s="1703" t="s">
        <v>554</v>
      </c>
      <c r="AH1024" s="1704"/>
      <c r="AI1024" s="87"/>
      <c r="AJ1024" s="1685">
        <f>ROUND(IF(AG1024="Yes",AF1026,0),0)</f>
        <v>1064193</v>
      </c>
      <c r="AK1024" s="1686"/>
      <c r="AL1024" s="1686"/>
      <c r="AM1024" s="1686"/>
      <c r="AN1024" s="1686"/>
      <c r="AO1024" s="1686"/>
      <c r="AP1024" s="1686"/>
      <c r="AQ1024" s="1687"/>
      <c r="AR1024" s="68"/>
      <c r="AS1024" s="68"/>
      <c r="AT1024" s="68"/>
      <c r="AU1024" s="68"/>
      <c r="AV1024" s="68"/>
      <c r="AW1024" s="68"/>
      <c r="AX1024" s="68"/>
      <c r="AY1024" s="68"/>
    </row>
    <row r="1025" spans="1:51" ht="12.95" customHeight="1">
      <c r="A1025" s="14"/>
      <c r="B1025" s="73"/>
      <c r="C1025" s="74"/>
      <c r="D1025" s="1678" t="s">
        <v>1881</v>
      </c>
      <c r="E1025" s="1679"/>
      <c r="F1025" s="1679"/>
      <c r="G1025" s="1679"/>
      <c r="H1025" s="1679"/>
      <c r="I1025" s="1679"/>
      <c r="J1025" s="1679"/>
      <c r="K1025" s="1679"/>
      <c r="L1025" s="1679"/>
      <c r="M1025" s="1679"/>
      <c r="N1025" s="1679"/>
      <c r="O1025" s="1679"/>
      <c r="P1025" s="1679"/>
      <c r="Q1025" s="1679"/>
      <c r="R1025" s="1679"/>
      <c r="S1025" s="1679"/>
      <c r="T1025" s="1679"/>
      <c r="U1025" s="1679"/>
      <c r="V1025" s="1679"/>
      <c r="W1025" s="1679"/>
      <c r="X1025" s="1679"/>
      <c r="Y1025" s="1679"/>
      <c r="Z1025" s="1679"/>
      <c r="AA1025" s="1679"/>
      <c r="AB1025" s="1679"/>
      <c r="AC1025" s="1679"/>
      <c r="AD1025" s="1679"/>
      <c r="AE1025" s="1680"/>
      <c r="AF1025" s="1802" t="str">
        <f>IF(AG1024="yes","Enter Amount:","")</f>
        <v>Enter Amount:</v>
      </c>
      <c r="AG1025" s="1803"/>
      <c r="AH1025" s="1803"/>
      <c r="AI1025" s="1804"/>
      <c r="AJ1025" s="1688"/>
      <c r="AK1025" s="1689"/>
      <c r="AL1025" s="1689"/>
      <c r="AM1025" s="1689"/>
      <c r="AN1025" s="1689"/>
      <c r="AO1025" s="1689"/>
      <c r="AP1025" s="1689"/>
      <c r="AQ1025" s="1690"/>
      <c r="AR1025" s="68"/>
      <c r="AS1025" s="68"/>
      <c r="AT1025" s="68"/>
      <c r="AU1025" s="68"/>
      <c r="AV1025" s="68"/>
      <c r="AW1025" s="68"/>
      <c r="AX1025" s="68"/>
      <c r="AY1025" s="68"/>
    </row>
    <row r="1026" spans="1:51" ht="12.95" customHeight="1">
      <c r="A1026" s="14"/>
      <c r="B1026" s="73"/>
      <c r="C1026" s="74"/>
      <c r="D1026" s="1678"/>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80"/>
      <c r="AF1026" s="1826">
        <f>'Sources and Uses Budget'!C85</f>
        <v>1064193</v>
      </c>
      <c r="AG1026" s="1826"/>
      <c r="AH1026" s="1826"/>
      <c r="AI1026" s="1826"/>
      <c r="AJ1026" s="1688"/>
      <c r="AK1026" s="1689"/>
      <c r="AL1026" s="1689"/>
      <c r="AM1026" s="1689"/>
      <c r="AN1026" s="1689"/>
      <c r="AO1026" s="1689"/>
      <c r="AP1026" s="1689"/>
      <c r="AQ1026" s="1690"/>
      <c r="AR1026" s="68"/>
      <c r="AS1026" s="68"/>
      <c r="AT1026" s="68"/>
      <c r="AU1026" s="68"/>
      <c r="AV1026" s="68"/>
      <c r="AW1026" s="68"/>
      <c r="AX1026" s="68"/>
      <c r="AY1026" s="68"/>
    </row>
    <row r="1027" spans="1:51" ht="12.95" customHeight="1">
      <c r="A1027" s="14"/>
      <c r="B1027" s="85"/>
      <c r="C1027" s="84"/>
      <c r="D1027" s="1681"/>
      <c r="E1027" s="1682"/>
      <c r="F1027" s="1682"/>
      <c r="G1027" s="1682"/>
      <c r="H1027" s="1682"/>
      <c r="I1027" s="1682"/>
      <c r="J1027" s="1682"/>
      <c r="K1027" s="1682"/>
      <c r="L1027" s="1682"/>
      <c r="M1027" s="1682"/>
      <c r="N1027" s="1682"/>
      <c r="O1027" s="1682"/>
      <c r="P1027" s="1682"/>
      <c r="Q1027" s="1682"/>
      <c r="R1027" s="1682"/>
      <c r="S1027" s="1682"/>
      <c r="T1027" s="1682"/>
      <c r="U1027" s="1682"/>
      <c r="V1027" s="1682"/>
      <c r="W1027" s="1682"/>
      <c r="X1027" s="1682"/>
      <c r="Y1027" s="1682"/>
      <c r="Z1027" s="1682"/>
      <c r="AA1027" s="1682"/>
      <c r="AB1027" s="1682"/>
      <c r="AC1027" s="1682"/>
      <c r="AD1027" s="1682"/>
      <c r="AE1027" s="1683"/>
      <c r="AF1027" s="1826"/>
      <c r="AG1027" s="1826"/>
      <c r="AH1027" s="1826"/>
      <c r="AI1027" s="1826"/>
      <c r="AJ1027" s="1691"/>
      <c r="AK1027" s="1692"/>
      <c r="AL1027" s="1692"/>
      <c r="AM1027" s="1692"/>
      <c r="AN1027" s="1692"/>
      <c r="AO1027" s="1692"/>
      <c r="AP1027" s="1692"/>
      <c r="AQ1027" s="1693"/>
      <c r="AR1027" s="68"/>
      <c r="AS1027" s="68"/>
      <c r="AT1027" s="68"/>
      <c r="AU1027" s="68"/>
      <c r="AV1027" s="68"/>
      <c r="AW1027" s="68"/>
      <c r="AX1027" s="68"/>
      <c r="AY1027" s="68"/>
    </row>
    <row r="1028" spans="1:51" ht="12.95" customHeight="1">
      <c r="A1028" s="14"/>
      <c r="B1028" s="79"/>
      <c r="C1028" s="80" t="s">
        <v>235</v>
      </c>
      <c r="D1028" s="1787" t="s">
        <v>1407</v>
      </c>
      <c r="E1028" s="1788"/>
      <c r="F1028" s="1788"/>
      <c r="G1028" s="1788"/>
      <c r="H1028" s="1788"/>
      <c r="I1028" s="1788"/>
      <c r="J1028" s="1788"/>
      <c r="K1028" s="1788"/>
      <c r="L1028" s="1788"/>
      <c r="M1028" s="1788"/>
      <c r="N1028" s="1788"/>
      <c r="O1028" s="1788"/>
      <c r="P1028" s="1788"/>
      <c r="Q1028" s="1788"/>
      <c r="R1028" s="1788"/>
      <c r="S1028" s="1788"/>
      <c r="T1028" s="1788"/>
      <c r="U1028" s="1788"/>
      <c r="V1028" s="1788"/>
      <c r="W1028" s="1788"/>
      <c r="X1028" s="1788"/>
      <c r="Y1028" s="1788"/>
      <c r="Z1028" s="1788"/>
      <c r="AA1028" s="1788"/>
      <c r="AB1028" s="1788"/>
      <c r="AC1028" s="1788"/>
      <c r="AD1028" s="1788"/>
      <c r="AE1028" s="1789"/>
      <c r="AF1028" s="79"/>
      <c r="AG1028" s="1703" t="s">
        <v>554</v>
      </c>
      <c r="AH1028" s="1704"/>
      <c r="AI1028" s="87"/>
      <c r="AJ1028" s="1685">
        <f>ROUND(IF(AG1028="yes",(AJ991*0.1),0),0)</f>
        <v>4144666</v>
      </c>
      <c r="AK1028" s="1686"/>
      <c r="AL1028" s="1686"/>
      <c r="AM1028" s="1686"/>
      <c r="AN1028" s="1686"/>
      <c r="AO1028" s="1686"/>
      <c r="AP1028" s="1686"/>
      <c r="AQ1028" s="1687"/>
      <c r="AR1028" s="68"/>
      <c r="AS1028" s="68"/>
      <c r="AT1028" s="68"/>
      <c r="AU1028" s="68"/>
      <c r="AV1028" s="68"/>
      <c r="AW1028" s="68"/>
      <c r="AX1028" s="68"/>
      <c r="AY1028" s="68"/>
    </row>
    <row r="1029" spans="1:51" ht="12.95" customHeight="1">
      <c r="A1029" s="14"/>
      <c r="B1029" s="73"/>
      <c r="C1029" s="74"/>
      <c r="D1029" s="1678" t="s">
        <v>1408</v>
      </c>
      <c r="E1029" s="1679"/>
      <c r="F1029" s="1679"/>
      <c r="G1029" s="1679"/>
      <c r="H1029" s="1679"/>
      <c r="I1029" s="1679"/>
      <c r="J1029" s="1679"/>
      <c r="K1029" s="1679"/>
      <c r="L1029" s="1679"/>
      <c r="M1029" s="1679"/>
      <c r="N1029" s="1679"/>
      <c r="O1029" s="1679"/>
      <c r="P1029" s="1679"/>
      <c r="Q1029" s="1679"/>
      <c r="R1029" s="1679"/>
      <c r="S1029" s="1679"/>
      <c r="T1029" s="1679"/>
      <c r="U1029" s="1679"/>
      <c r="V1029" s="1679"/>
      <c r="W1029" s="1679"/>
      <c r="X1029" s="1679"/>
      <c r="Y1029" s="1679"/>
      <c r="Z1029" s="1679"/>
      <c r="AA1029" s="1679"/>
      <c r="AB1029" s="1679"/>
      <c r="AC1029" s="1679"/>
      <c r="AD1029" s="1679"/>
      <c r="AE1029" s="1680"/>
      <c r="AF1029" s="73"/>
      <c r="AG1029" s="14"/>
      <c r="AH1029" s="14"/>
      <c r="AI1029" s="83"/>
      <c r="AJ1029" s="1688"/>
      <c r="AK1029" s="1689"/>
      <c r="AL1029" s="1689"/>
      <c r="AM1029" s="1689"/>
      <c r="AN1029" s="1689"/>
      <c r="AO1029" s="1689"/>
      <c r="AP1029" s="1689"/>
      <c r="AQ1029" s="1690"/>
      <c r="AR1029" s="68"/>
      <c r="AS1029" s="68"/>
      <c r="AT1029" s="68"/>
      <c r="AU1029" s="68"/>
      <c r="AV1029" s="68"/>
      <c r="AW1029" s="68"/>
      <c r="AX1029" s="68"/>
      <c r="AY1029" s="68"/>
    </row>
    <row r="1030" spans="1:51" ht="12.95" customHeight="1">
      <c r="A1030" s="14"/>
      <c r="B1030" s="77"/>
      <c r="C1030" s="74"/>
      <c r="D1030" s="1681"/>
      <c r="E1030" s="1682"/>
      <c r="F1030" s="1682"/>
      <c r="G1030" s="1682"/>
      <c r="H1030" s="1682"/>
      <c r="I1030" s="1682"/>
      <c r="J1030" s="1682"/>
      <c r="K1030" s="1682"/>
      <c r="L1030" s="1682"/>
      <c r="M1030" s="1682"/>
      <c r="N1030" s="1682"/>
      <c r="O1030" s="1682"/>
      <c r="P1030" s="1682"/>
      <c r="Q1030" s="1682"/>
      <c r="R1030" s="1682"/>
      <c r="S1030" s="1682"/>
      <c r="T1030" s="1682"/>
      <c r="U1030" s="1682"/>
      <c r="V1030" s="1682"/>
      <c r="W1030" s="1682"/>
      <c r="X1030" s="1682"/>
      <c r="Y1030" s="1682"/>
      <c r="Z1030" s="1682"/>
      <c r="AA1030" s="1682"/>
      <c r="AB1030" s="1682"/>
      <c r="AC1030" s="1682"/>
      <c r="AD1030" s="1682"/>
      <c r="AE1030" s="1683"/>
      <c r="AF1030" s="73"/>
      <c r="AG1030" s="14"/>
      <c r="AH1030" s="14"/>
      <c r="AI1030" s="83"/>
      <c r="AJ1030" s="1691"/>
      <c r="AK1030" s="1692"/>
      <c r="AL1030" s="1692"/>
      <c r="AM1030" s="1692"/>
      <c r="AN1030" s="1692"/>
      <c r="AO1030" s="1692"/>
      <c r="AP1030" s="1692"/>
      <c r="AQ1030" s="1693"/>
      <c r="AR1030" s="68"/>
      <c r="AS1030" s="68"/>
      <c r="AT1030" s="68"/>
      <c r="AU1030" s="68"/>
      <c r="AV1030" s="68"/>
      <c r="AW1030" s="68"/>
      <c r="AX1030" s="68"/>
      <c r="AY1030" s="68"/>
    </row>
    <row r="1031" spans="1:51" ht="12.95" customHeight="1">
      <c r="A1031" s="14"/>
      <c r="B1031" s="73"/>
      <c r="C1031" s="367" t="s">
        <v>697</v>
      </c>
      <c r="D1031" s="1675" t="s">
        <v>1877</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79"/>
      <c r="AG1031" s="1703" t="s">
        <v>678</v>
      </c>
      <c r="AH1031" s="1704"/>
      <c r="AI1031" s="87"/>
      <c r="AJ1031" s="1685">
        <f>ROUND(IF(AG1031="yes",(AJ991*0.15),0),0)</f>
        <v>0</v>
      </c>
      <c r="AK1031" s="1686"/>
      <c r="AL1031" s="1686"/>
      <c r="AM1031" s="1686"/>
      <c r="AN1031" s="1686"/>
      <c r="AO1031" s="1686"/>
      <c r="AP1031" s="1686"/>
      <c r="AQ1031" s="1687"/>
      <c r="AR1031" s="68"/>
      <c r="AS1031" s="68"/>
      <c r="AT1031" s="68"/>
      <c r="AU1031" s="68"/>
      <c r="AV1031" s="68"/>
      <c r="AW1031" s="68"/>
      <c r="AX1031" s="68"/>
      <c r="AY1031" s="68"/>
    </row>
    <row r="1032" spans="1:51" ht="12.95" customHeight="1">
      <c r="A1032" s="14"/>
      <c r="B1032" s="73"/>
      <c r="C1032" s="74"/>
      <c r="D1032" s="1708"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09"/>
      <c r="AF1032" s="950"/>
      <c r="AG1032" s="951"/>
      <c r="AH1032" s="951"/>
      <c r="AI1032" s="952"/>
      <c r="AJ1032" s="1688"/>
      <c r="AK1032" s="1689"/>
      <c r="AL1032" s="1689"/>
      <c r="AM1032" s="1689"/>
      <c r="AN1032" s="1689"/>
      <c r="AO1032" s="1689"/>
      <c r="AP1032" s="1689"/>
      <c r="AQ1032" s="1690"/>
      <c r="AR1032" s="68"/>
      <c r="AS1032" s="68"/>
      <c r="AT1032" s="68"/>
      <c r="AU1032" s="68"/>
      <c r="AV1032" s="68"/>
      <c r="AW1032" s="68"/>
      <c r="AX1032" s="68"/>
      <c r="AY1032" s="68"/>
    </row>
    <row r="1033" spans="1:51" ht="12.95" customHeight="1">
      <c r="A1033" s="14"/>
      <c r="B1033" s="73"/>
      <c r="C1033" s="74"/>
      <c r="D1033" s="1708"/>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09"/>
      <c r="AF1033" s="950"/>
      <c r="AG1033" s="951"/>
      <c r="AH1033" s="951"/>
      <c r="AI1033" s="952"/>
      <c r="AJ1033" s="1688"/>
      <c r="AK1033" s="1689"/>
      <c r="AL1033" s="1689"/>
      <c r="AM1033" s="1689"/>
      <c r="AN1033" s="1689"/>
      <c r="AO1033" s="1689"/>
      <c r="AP1033" s="1689"/>
      <c r="AQ1033" s="1690"/>
      <c r="AR1033" s="68"/>
      <c r="AS1033" s="68"/>
      <c r="AT1033" s="68"/>
      <c r="AU1033" s="68"/>
      <c r="AV1033" s="68"/>
      <c r="AW1033" s="68"/>
      <c r="AX1033" s="68"/>
      <c r="AY1033" s="68"/>
    </row>
    <row r="1034" spans="1:51" ht="12.95" customHeight="1">
      <c r="A1034" s="14"/>
      <c r="B1034" s="73"/>
      <c r="C1034" s="74"/>
      <c r="D1034" s="1710"/>
      <c r="E1034" s="1711"/>
      <c r="F1034" s="1711"/>
      <c r="G1034" s="1711"/>
      <c r="H1034" s="1711"/>
      <c r="I1034" s="1711"/>
      <c r="J1034" s="1711"/>
      <c r="K1034" s="1711"/>
      <c r="L1034" s="1711"/>
      <c r="M1034" s="1711"/>
      <c r="N1034" s="1711"/>
      <c r="O1034" s="1711"/>
      <c r="P1034" s="1711"/>
      <c r="Q1034" s="1711"/>
      <c r="R1034" s="1711"/>
      <c r="S1034" s="1711"/>
      <c r="T1034" s="1711"/>
      <c r="U1034" s="1711"/>
      <c r="V1034" s="1711"/>
      <c r="W1034" s="1711"/>
      <c r="X1034" s="1711"/>
      <c r="Y1034" s="1711"/>
      <c r="Z1034" s="1711"/>
      <c r="AA1034" s="1711"/>
      <c r="AB1034" s="1711"/>
      <c r="AC1034" s="1711"/>
      <c r="AD1034" s="1711"/>
      <c r="AE1034" s="1712"/>
      <c r="AF1034" s="953"/>
      <c r="AG1034" s="954"/>
      <c r="AH1034" s="954"/>
      <c r="AI1034" s="955"/>
      <c r="AJ1034" s="1691"/>
      <c r="AK1034" s="1692"/>
      <c r="AL1034" s="1692"/>
      <c r="AM1034" s="1692"/>
      <c r="AN1034" s="1692"/>
      <c r="AO1034" s="1692"/>
      <c r="AP1034" s="1692"/>
      <c r="AQ1034" s="1693"/>
      <c r="AR1034" s="68"/>
      <c r="AS1034" s="68"/>
      <c r="AT1034" s="68"/>
      <c r="AU1034" s="68"/>
      <c r="AV1034" s="68"/>
      <c r="AW1034" s="68"/>
      <c r="AX1034" s="68"/>
      <c r="AY1034" s="68"/>
    </row>
    <row r="1035" spans="1:51" ht="12.95" customHeight="1">
      <c r="A1035" s="14"/>
      <c r="B1035" s="73"/>
      <c r="C1035" s="367" t="s">
        <v>697</v>
      </c>
      <c r="D1035" s="1787" t="s">
        <v>1879</v>
      </c>
      <c r="E1035" s="1788"/>
      <c r="F1035" s="1788"/>
      <c r="G1035" s="1788"/>
      <c r="H1035" s="1788"/>
      <c r="I1035" s="1788"/>
      <c r="J1035" s="1788"/>
      <c r="K1035" s="1788"/>
      <c r="L1035" s="1788"/>
      <c r="M1035" s="1788"/>
      <c r="N1035" s="1788"/>
      <c r="O1035" s="1788"/>
      <c r="P1035" s="1788"/>
      <c r="Q1035" s="1788"/>
      <c r="R1035" s="1788"/>
      <c r="S1035" s="1788"/>
      <c r="T1035" s="1788"/>
      <c r="U1035" s="1788"/>
      <c r="V1035" s="1788"/>
      <c r="W1035" s="1788"/>
      <c r="X1035" s="1788"/>
      <c r="Y1035" s="1788"/>
      <c r="Z1035" s="1788"/>
      <c r="AA1035" s="1788"/>
      <c r="AB1035" s="1788"/>
      <c r="AC1035" s="1788"/>
      <c r="AD1035" s="1788"/>
      <c r="AE1035" s="1789"/>
      <c r="AF1035" s="73"/>
      <c r="AG1035" s="1776" t="s">
        <v>554</v>
      </c>
      <c r="AH1035" s="1777"/>
      <c r="AI1035" s="83"/>
      <c r="AJ1035" s="1685">
        <f>ROUND(IF(AND(AG1035="yes",AJ1031=0),(AJ991*0.1),0),0)</f>
        <v>4144666</v>
      </c>
      <c r="AK1035" s="1686"/>
      <c r="AL1035" s="1686"/>
      <c r="AM1035" s="1686"/>
      <c r="AN1035" s="1686"/>
      <c r="AO1035" s="1686"/>
      <c r="AP1035" s="1686"/>
      <c r="AQ1035" s="1687"/>
      <c r="AR1035" s="68"/>
      <c r="AS1035" s="68"/>
      <c r="AT1035" s="68"/>
      <c r="AU1035" s="68"/>
      <c r="AV1035" s="68"/>
      <c r="AW1035" s="68"/>
      <c r="AX1035" s="68"/>
      <c r="AY1035" s="68"/>
    </row>
    <row r="1036" spans="1:51" ht="12.95" customHeight="1">
      <c r="A1036" s="14"/>
      <c r="B1036" s="73"/>
      <c r="C1036" s="74"/>
      <c r="D1036" s="1708"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09"/>
      <c r="AF1036" s="73"/>
      <c r="AG1036" s="14"/>
      <c r="AH1036" s="14"/>
      <c r="AI1036" s="83"/>
      <c r="AJ1036" s="1688"/>
      <c r="AK1036" s="1689"/>
      <c r="AL1036" s="1689"/>
      <c r="AM1036" s="1689"/>
      <c r="AN1036" s="1689"/>
      <c r="AO1036" s="1689"/>
      <c r="AP1036" s="1689"/>
      <c r="AQ1036" s="1690"/>
      <c r="AR1036" s="68"/>
      <c r="AS1036" s="68"/>
      <c r="AT1036" s="68"/>
      <c r="AU1036" s="68"/>
      <c r="AV1036" s="68"/>
      <c r="AW1036" s="68"/>
      <c r="AX1036" s="68"/>
      <c r="AY1036" s="68"/>
    </row>
    <row r="1037" spans="1:51" ht="12.95" customHeight="1">
      <c r="A1037" s="14"/>
      <c r="B1037" s="73"/>
      <c r="C1037" s="74"/>
      <c r="D1037" s="1708"/>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09"/>
      <c r="AF1037" s="73"/>
      <c r="AG1037" s="14"/>
      <c r="AH1037" s="14"/>
      <c r="AI1037" s="83"/>
      <c r="AJ1037" s="1688"/>
      <c r="AK1037" s="1689"/>
      <c r="AL1037" s="1689"/>
      <c r="AM1037" s="1689"/>
      <c r="AN1037" s="1689"/>
      <c r="AO1037" s="1689"/>
      <c r="AP1037" s="1689"/>
      <c r="AQ1037" s="1690"/>
      <c r="AR1037" s="68"/>
      <c r="AS1037" s="68"/>
      <c r="AT1037" s="68"/>
      <c r="AU1037" s="68"/>
      <c r="AV1037" s="68"/>
      <c r="AW1037" s="68"/>
      <c r="AX1037" s="68"/>
      <c r="AY1037" s="68"/>
    </row>
    <row r="1038" spans="1:51" ht="12.95" customHeight="1">
      <c r="A1038" s="14"/>
      <c r="B1038" s="73"/>
      <c r="C1038" s="74"/>
      <c r="D1038" s="1708"/>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09"/>
      <c r="AF1038" s="73"/>
      <c r="AG1038" s="14"/>
      <c r="AH1038" s="14"/>
      <c r="AI1038" s="83"/>
      <c r="AJ1038" s="1688"/>
      <c r="AK1038" s="1689"/>
      <c r="AL1038" s="1689"/>
      <c r="AM1038" s="1689"/>
      <c r="AN1038" s="1689"/>
      <c r="AO1038" s="1689"/>
      <c r="AP1038" s="1689"/>
      <c r="AQ1038" s="1690"/>
      <c r="AR1038" s="68"/>
      <c r="AS1038" s="68"/>
      <c r="AT1038" s="68"/>
      <c r="AU1038" s="68"/>
      <c r="AV1038" s="68"/>
      <c r="AW1038" s="68"/>
      <c r="AX1038" s="68"/>
      <c r="AY1038" s="68"/>
    </row>
    <row r="1039" spans="1:51" ht="12.95" customHeight="1">
      <c r="A1039" s="14"/>
      <c r="B1039" s="73"/>
      <c r="C1039" s="74"/>
      <c r="D1039" s="1710"/>
      <c r="E1039" s="1711"/>
      <c r="F1039" s="1711"/>
      <c r="G1039" s="1711"/>
      <c r="H1039" s="1711"/>
      <c r="I1039" s="1711"/>
      <c r="J1039" s="1711"/>
      <c r="K1039" s="1711"/>
      <c r="L1039" s="1711"/>
      <c r="M1039" s="1711"/>
      <c r="N1039" s="1711"/>
      <c r="O1039" s="1711"/>
      <c r="P1039" s="1711"/>
      <c r="Q1039" s="1711"/>
      <c r="R1039" s="1711"/>
      <c r="S1039" s="1711"/>
      <c r="T1039" s="1711"/>
      <c r="U1039" s="1711"/>
      <c r="V1039" s="1711"/>
      <c r="W1039" s="1711"/>
      <c r="X1039" s="1711"/>
      <c r="Y1039" s="1711"/>
      <c r="Z1039" s="1711"/>
      <c r="AA1039" s="1711"/>
      <c r="AB1039" s="1711"/>
      <c r="AC1039" s="1711"/>
      <c r="AD1039" s="1711"/>
      <c r="AE1039" s="1712"/>
      <c r="AF1039" s="73"/>
      <c r="AG1039" s="14"/>
      <c r="AH1039" s="14"/>
      <c r="AI1039" s="83"/>
      <c r="AJ1039" s="1688"/>
      <c r="AK1039" s="1689"/>
      <c r="AL1039" s="1689"/>
      <c r="AM1039" s="1689"/>
      <c r="AN1039" s="1689"/>
      <c r="AO1039" s="1689"/>
      <c r="AP1039" s="1689"/>
      <c r="AQ1039" s="1690"/>
      <c r="AR1039" s="68"/>
      <c r="AS1039" s="68"/>
      <c r="AT1039" s="68"/>
      <c r="AU1039" s="68"/>
      <c r="AV1039" s="68"/>
      <c r="AW1039" s="68"/>
      <c r="AX1039" s="68"/>
      <c r="AY1039" s="68"/>
    </row>
    <row r="1040" spans="1:51" ht="12.95" customHeight="1">
      <c r="A1040" s="14"/>
      <c r="B1040" s="79"/>
      <c r="C1040" s="131" t="s">
        <v>1035</v>
      </c>
      <c r="D1040" s="1675" t="s">
        <v>1409</v>
      </c>
      <c r="E1040" s="1676"/>
      <c r="F1040" s="1676"/>
      <c r="G1040" s="1676"/>
      <c r="H1040" s="1676"/>
      <c r="I1040" s="1676"/>
      <c r="J1040" s="1676"/>
      <c r="K1040" s="1676"/>
      <c r="L1040" s="1676"/>
      <c r="M1040" s="1676"/>
      <c r="N1040" s="1676"/>
      <c r="O1040" s="1676"/>
      <c r="P1040" s="1676"/>
      <c r="Q1040" s="1676"/>
      <c r="R1040" s="1676"/>
      <c r="S1040" s="1676"/>
      <c r="T1040" s="1676"/>
      <c r="U1040" s="1676"/>
      <c r="V1040" s="1676"/>
      <c r="W1040" s="1676"/>
      <c r="X1040" s="1676"/>
      <c r="Y1040" s="1676"/>
      <c r="Z1040" s="1676"/>
      <c r="AA1040" s="1676"/>
      <c r="AB1040" s="1676"/>
      <c r="AC1040" s="1676"/>
      <c r="AD1040" s="1676"/>
      <c r="AE1040" s="1677"/>
      <c r="AF1040" s="79"/>
      <c r="AG1040" s="1703" t="s">
        <v>678</v>
      </c>
      <c r="AH1040" s="1704"/>
      <c r="AI1040" s="87"/>
      <c r="AJ1040" s="1685">
        <f>ROUND(IF(AG1040="yes",(AJ991*0.1),0),0)</f>
        <v>0</v>
      </c>
      <c r="AK1040" s="1686"/>
      <c r="AL1040" s="1686"/>
      <c r="AM1040" s="1686"/>
      <c r="AN1040" s="1686"/>
      <c r="AO1040" s="1686"/>
      <c r="AP1040" s="1686"/>
      <c r="AQ1040" s="1687"/>
      <c r="AR1040" s="68"/>
      <c r="AS1040" s="68"/>
      <c r="AT1040" s="68"/>
      <c r="AU1040" s="68"/>
      <c r="AV1040" s="68"/>
      <c r="AW1040" s="68"/>
      <c r="AX1040" s="68"/>
      <c r="AY1040" s="68"/>
    </row>
    <row r="1041" spans="1:51" ht="12.95" customHeight="1">
      <c r="A1041" s="14"/>
      <c r="B1041" s="73"/>
      <c r="C1041" s="74"/>
      <c r="D1041" s="1678" t="s">
        <v>2505</v>
      </c>
      <c r="E1041" s="1679"/>
      <c r="F1041" s="1679"/>
      <c r="G1041" s="1679"/>
      <c r="H1041" s="1679"/>
      <c r="I1041" s="1679"/>
      <c r="J1041" s="1679"/>
      <c r="K1041" s="1679"/>
      <c r="L1041" s="1679"/>
      <c r="M1041" s="1679"/>
      <c r="N1041" s="1679"/>
      <c r="O1041" s="1679"/>
      <c r="P1041" s="1679"/>
      <c r="Q1041" s="1679"/>
      <c r="R1041" s="1679"/>
      <c r="S1041" s="1679"/>
      <c r="T1041" s="1679"/>
      <c r="U1041" s="1679"/>
      <c r="V1041" s="1679"/>
      <c r="W1041" s="1679"/>
      <c r="X1041" s="1679"/>
      <c r="Y1041" s="1679"/>
      <c r="Z1041" s="1679"/>
      <c r="AA1041" s="1679"/>
      <c r="AB1041" s="1679"/>
      <c r="AC1041" s="1679"/>
      <c r="AD1041" s="1679"/>
      <c r="AE1041" s="1680"/>
      <c r="AF1041" s="73"/>
      <c r="AG1041" s="14"/>
      <c r="AH1041" s="14"/>
      <c r="AI1041" s="83"/>
      <c r="AJ1041" s="1688"/>
      <c r="AK1041" s="1689"/>
      <c r="AL1041" s="1689"/>
      <c r="AM1041" s="1689"/>
      <c r="AN1041" s="1689"/>
      <c r="AO1041" s="1689"/>
      <c r="AP1041" s="1689"/>
      <c r="AQ1041" s="1690"/>
      <c r="AR1041" s="68"/>
      <c r="AS1041" s="68"/>
      <c r="AT1041" s="68"/>
      <c r="AU1041" s="68"/>
      <c r="AV1041" s="68"/>
      <c r="AW1041" s="68"/>
      <c r="AX1041" s="68"/>
      <c r="AY1041" s="68"/>
    </row>
    <row r="1042" spans="1:51" ht="12.95" customHeight="1">
      <c r="A1042" s="14"/>
      <c r="B1042" s="73"/>
      <c r="C1042" s="74"/>
      <c r="D1042" s="1678"/>
      <c r="E1042" s="1679"/>
      <c r="F1042" s="1679"/>
      <c r="G1042" s="1679"/>
      <c r="H1042" s="1679"/>
      <c r="I1042" s="1679"/>
      <c r="J1042" s="1679"/>
      <c r="K1042" s="1679"/>
      <c r="L1042" s="1679"/>
      <c r="M1042" s="1679"/>
      <c r="N1042" s="1679"/>
      <c r="O1042" s="1679"/>
      <c r="P1042" s="1679"/>
      <c r="Q1042" s="1679"/>
      <c r="R1042" s="1679"/>
      <c r="S1042" s="1679"/>
      <c r="T1042" s="1679"/>
      <c r="U1042" s="1679"/>
      <c r="V1042" s="1679"/>
      <c r="W1042" s="1679"/>
      <c r="X1042" s="1679"/>
      <c r="Y1042" s="1679"/>
      <c r="Z1042" s="1679"/>
      <c r="AA1042" s="1679"/>
      <c r="AB1042" s="1679"/>
      <c r="AC1042" s="1679"/>
      <c r="AD1042" s="1679"/>
      <c r="AE1042" s="1680"/>
      <c r="AF1042" s="73"/>
      <c r="AG1042" s="14"/>
      <c r="AH1042" s="14"/>
      <c r="AI1042" s="83"/>
      <c r="AJ1042" s="1688"/>
      <c r="AK1042" s="1689"/>
      <c r="AL1042" s="1689"/>
      <c r="AM1042" s="1689"/>
      <c r="AN1042" s="1689"/>
      <c r="AO1042" s="1689"/>
      <c r="AP1042" s="1689"/>
      <c r="AQ1042" s="1690"/>
      <c r="AR1042" s="68"/>
      <c r="AS1042" s="68"/>
      <c r="AT1042" s="68"/>
      <c r="AU1042" s="68"/>
      <c r="AV1042" s="68"/>
      <c r="AW1042" s="68"/>
      <c r="AX1042" s="68"/>
      <c r="AY1042" s="68"/>
    </row>
    <row r="1043" spans="1:51" ht="12.95" customHeight="1">
      <c r="A1043" s="14"/>
      <c r="B1043" s="73"/>
      <c r="C1043" s="74"/>
      <c r="D1043" s="1681"/>
      <c r="E1043" s="1682"/>
      <c r="F1043" s="1682"/>
      <c r="G1043" s="1682"/>
      <c r="H1043" s="1682"/>
      <c r="I1043" s="1682"/>
      <c r="J1043" s="1682"/>
      <c r="K1043" s="1682"/>
      <c r="L1043" s="1682"/>
      <c r="M1043" s="1682"/>
      <c r="N1043" s="1682"/>
      <c r="O1043" s="1682"/>
      <c r="P1043" s="1682"/>
      <c r="Q1043" s="1682"/>
      <c r="R1043" s="1682"/>
      <c r="S1043" s="1682"/>
      <c r="T1043" s="1682"/>
      <c r="U1043" s="1682"/>
      <c r="V1043" s="1682"/>
      <c r="W1043" s="1682"/>
      <c r="X1043" s="1682"/>
      <c r="Y1043" s="1682"/>
      <c r="Z1043" s="1682"/>
      <c r="AA1043" s="1682"/>
      <c r="AB1043" s="1682"/>
      <c r="AC1043" s="1682"/>
      <c r="AD1043" s="1682"/>
      <c r="AE1043" s="1683"/>
      <c r="AF1043" s="73"/>
      <c r="AG1043" s="14"/>
      <c r="AH1043" s="14"/>
      <c r="AI1043" s="83"/>
      <c r="AJ1043" s="1691"/>
      <c r="AK1043" s="1692"/>
      <c r="AL1043" s="1692"/>
      <c r="AM1043" s="1692"/>
      <c r="AN1043" s="1692"/>
      <c r="AO1043" s="1692"/>
      <c r="AP1043" s="1692"/>
      <c r="AQ1043" s="1693"/>
      <c r="AR1043" s="68"/>
      <c r="AS1043" s="68"/>
      <c r="AT1043" s="68"/>
      <c r="AU1043" s="68"/>
      <c r="AV1043" s="68"/>
      <c r="AW1043" s="68"/>
      <c r="AX1043" s="68"/>
      <c r="AY1043" s="68"/>
    </row>
    <row r="1044" spans="1:51" ht="12.95" customHeight="1">
      <c r="A1044" s="14"/>
      <c r="B1044" s="79"/>
      <c r="C1044" s="131" t="s">
        <v>1875</v>
      </c>
      <c r="D1044" s="1787" t="s">
        <v>2057</v>
      </c>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9"/>
      <c r="AF1044" s="79"/>
      <c r="AG1044" s="1774" t="str">
        <f>IF(X1047&gt;0,"Yes","No")</f>
        <v>Yes</v>
      </c>
      <c r="AH1044" s="1775"/>
      <c r="AI1044" s="87"/>
      <c r="AJ1044" s="1685">
        <f>IF((X1047=0),0,AY1004*AJ991)</f>
        <v>9532731.8000000007</v>
      </c>
      <c r="AK1044" s="1686"/>
      <c r="AL1044" s="1686"/>
      <c r="AM1044" s="1686"/>
      <c r="AN1044" s="1686"/>
      <c r="AO1044" s="1686"/>
      <c r="AP1044" s="1686"/>
      <c r="AQ1044" s="1687"/>
      <c r="AR1044" s="68"/>
      <c r="AS1044" s="68"/>
      <c r="AT1044" s="68"/>
      <c r="AU1044" s="68"/>
      <c r="AV1044" s="68"/>
      <c r="AW1044" s="68"/>
      <c r="AX1044" s="68"/>
      <c r="AY1044" s="68"/>
    </row>
    <row r="1045" spans="1:51" ht="12.95" customHeight="1">
      <c r="A1045" s="14"/>
      <c r="B1045" s="73"/>
      <c r="C1045" s="476"/>
      <c r="D1045" s="1678" t="s">
        <v>1411</v>
      </c>
      <c r="E1045" s="1679"/>
      <c r="F1045" s="1679"/>
      <c r="G1045" s="1679"/>
      <c r="H1045" s="1679"/>
      <c r="I1045" s="1679"/>
      <c r="J1045" s="1679"/>
      <c r="K1045" s="1679"/>
      <c r="L1045" s="1679"/>
      <c r="M1045" s="1679"/>
      <c r="N1045" s="1679"/>
      <c r="O1045" s="1679"/>
      <c r="P1045" s="1679"/>
      <c r="Q1045" s="1679"/>
      <c r="R1045" s="1679"/>
      <c r="S1045" s="1679"/>
      <c r="T1045" s="1679"/>
      <c r="U1045" s="1679"/>
      <c r="V1045" s="1679"/>
      <c r="W1045" s="1679"/>
      <c r="X1045" s="1679"/>
      <c r="Y1045" s="1679"/>
      <c r="Z1045" s="1679"/>
      <c r="AA1045" s="1679"/>
      <c r="AB1045" s="1679"/>
      <c r="AC1045" s="1679"/>
      <c r="AD1045" s="1679"/>
      <c r="AE1045" s="1680"/>
      <c r="AF1045" s="73"/>
      <c r="AG1045" s="477"/>
      <c r="AH1045" s="477"/>
      <c r="AI1045" s="83"/>
      <c r="AJ1045" s="1688"/>
      <c r="AK1045" s="1689"/>
      <c r="AL1045" s="1689"/>
      <c r="AM1045" s="1689"/>
      <c r="AN1045" s="1689"/>
      <c r="AO1045" s="1689"/>
      <c r="AP1045" s="1689"/>
      <c r="AQ1045" s="1690"/>
      <c r="AR1045" s="68"/>
      <c r="AS1045" s="68"/>
      <c r="AT1045" s="68"/>
      <c r="AU1045" s="13"/>
      <c r="AV1045" s="68"/>
      <c r="AW1045" s="68"/>
      <c r="AX1045" s="68"/>
      <c r="AY1045" s="68"/>
    </row>
    <row r="1046" spans="1:51" ht="12.95" customHeight="1">
      <c r="A1046" s="14"/>
      <c r="B1046" s="73"/>
      <c r="C1046" s="476"/>
      <c r="D1046" s="1678"/>
      <c r="E1046" s="1679"/>
      <c r="F1046" s="1679"/>
      <c r="G1046" s="1679"/>
      <c r="H1046" s="1679"/>
      <c r="I1046" s="1679"/>
      <c r="J1046" s="1679"/>
      <c r="K1046" s="1679"/>
      <c r="L1046" s="1679"/>
      <c r="M1046" s="1679"/>
      <c r="N1046" s="1679"/>
      <c r="O1046" s="1679"/>
      <c r="P1046" s="1679"/>
      <c r="Q1046" s="1679"/>
      <c r="R1046" s="1679"/>
      <c r="S1046" s="1679"/>
      <c r="T1046" s="1679"/>
      <c r="U1046" s="1679"/>
      <c r="V1046" s="1679"/>
      <c r="W1046" s="1679"/>
      <c r="X1046" s="1679"/>
      <c r="Y1046" s="1679"/>
      <c r="Z1046" s="1679"/>
      <c r="AA1046" s="1679"/>
      <c r="AB1046" s="1679"/>
      <c r="AC1046" s="1679"/>
      <c r="AD1046" s="1679"/>
      <c r="AE1046" s="1680"/>
      <c r="AF1046" s="73"/>
      <c r="AG1046" s="477"/>
      <c r="AH1046" s="477"/>
      <c r="AI1046" s="83"/>
      <c r="AJ1046" s="1688"/>
      <c r="AK1046" s="1689"/>
      <c r="AL1046" s="1689"/>
      <c r="AM1046" s="1689"/>
      <c r="AN1046" s="1689"/>
      <c r="AO1046" s="1689"/>
      <c r="AP1046" s="1689"/>
      <c r="AQ1046" s="169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72">
        <f>AY1002</f>
        <v>71</v>
      </c>
      <c r="J1047" s="1773"/>
      <c r="K1047" s="7"/>
      <c r="L1047" s="133"/>
      <c r="M1047" s="133"/>
      <c r="N1047" s="133"/>
      <c r="O1047" s="133"/>
      <c r="P1047" s="133"/>
      <c r="Q1047" s="133"/>
      <c r="R1047" s="133"/>
      <c r="S1047" s="133"/>
      <c r="T1047" s="133"/>
      <c r="U1047" s="133"/>
      <c r="V1047" s="134" t="s">
        <v>993</v>
      </c>
      <c r="W1047" s="48"/>
      <c r="X1047" s="1715">
        <f>BG632</f>
        <v>17</v>
      </c>
      <c r="Y1047" s="1716"/>
      <c r="Z1047" s="48"/>
      <c r="AA1047" s="48"/>
      <c r="AB1047" s="48"/>
      <c r="AC1047" s="48"/>
      <c r="AD1047" s="48"/>
      <c r="AE1047" s="49"/>
      <c r="AF1047" s="959"/>
      <c r="AG1047" s="960"/>
      <c r="AH1047" s="960"/>
      <c r="AI1047" s="961"/>
      <c r="AJ1047" s="1691"/>
      <c r="AK1047" s="1692"/>
      <c r="AL1047" s="1692"/>
      <c r="AM1047" s="1692"/>
      <c r="AN1047" s="1692"/>
      <c r="AO1047" s="1692"/>
      <c r="AP1047" s="1692"/>
      <c r="AQ1047" s="1693"/>
      <c r="AR1047" s="68"/>
      <c r="AS1047" s="68"/>
      <c r="AT1047" s="68"/>
      <c r="AU1047" s="14"/>
      <c r="AV1047" s="68"/>
      <c r="AW1047" s="68"/>
      <c r="AX1047" s="68"/>
      <c r="AY1047" s="68"/>
    </row>
    <row r="1048" spans="1:51" ht="12.95" customHeight="1">
      <c r="A1048" s="14"/>
      <c r="B1048" s="79"/>
      <c r="C1048" s="131" t="s">
        <v>1876</v>
      </c>
      <c r="D1048" s="1675" t="s">
        <v>2536</v>
      </c>
      <c r="E1048" s="1676"/>
      <c r="F1048" s="1676"/>
      <c r="G1048" s="1676"/>
      <c r="H1048" s="1676"/>
      <c r="I1048" s="1676"/>
      <c r="J1048" s="1676"/>
      <c r="K1048" s="1676"/>
      <c r="L1048" s="1676"/>
      <c r="M1048" s="1676"/>
      <c r="N1048" s="1676"/>
      <c r="O1048" s="1676"/>
      <c r="P1048" s="1676"/>
      <c r="Q1048" s="1676"/>
      <c r="R1048" s="1676"/>
      <c r="S1048" s="1676"/>
      <c r="T1048" s="1676"/>
      <c r="U1048" s="1676"/>
      <c r="V1048" s="1676"/>
      <c r="W1048" s="1676"/>
      <c r="X1048" s="1676"/>
      <c r="Y1048" s="1676"/>
      <c r="Z1048" s="1676"/>
      <c r="AA1048" s="1676"/>
      <c r="AB1048" s="1676"/>
      <c r="AC1048" s="1676"/>
      <c r="AD1048" s="1676"/>
      <c r="AE1048" s="1677"/>
      <c r="AF1048" s="73"/>
      <c r="AG1048" s="1774" t="str">
        <f>IF(X1051&gt;0,"Yes","No")</f>
        <v>Yes</v>
      </c>
      <c r="AH1048" s="1775"/>
      <c r="AI1048" s="83"/>
      <c r="AJ1048" s="1685">
        <f>IF((X1051=0),0,(2*AY1005)*AJ991)</f>
        <v>62998923.200000003</v>
      </c>
      <c r="AK1048" s="1686"/>
      <c r="AL1048" s="1686"/>
      <c r="AM1048" s="1686"/>
      <c r="AN1048" s="1686"/>
      <c r="AO1048" s="1686"/>
      <c r="AP1048" s="1686"/>
      <c r="AQ1048" s="1687"/>
      <c r="AR1048" s="68"/>
      <c r="AS1048" s="68"/>
      <c r="AT1048" s="68"/>
      <c r="AU1048" s="14"/>
      <c r="AV1048" s="68"/>
      <c r="AW1048" s="68"/>
      <c r="AX1048" s="68"/>
      <c r="AY1048" s="68"/>
    </row>
    <row r="1049" spans="1:51" ht="12.95" customHeight="1">
      <c r="A1049" s="14"/>
      <c r="B1049" s="73"/>
      <c r="C1049" s="476"/>
      <c r="D1049" s="1678" t="s">
        <v>1410</v>
      </c>
      <c r="E1049" s="1679"/>
      <c r="F1049" s="1679"/>
      <c r="G1049" s="1679"/>
      <c r="H1049" s="1679"/>
      <c r="I1049" s="1679"/>
      <c r="J1049" s="1679"/>
      <c r="K1049" s="1679"/>
      <c r="L1049" s="1679"/>
      <c r="M1049" s="1679"/>
      <c r="N1049" s="1679"/>
      <c r="O1049" s="1679"/>
      <c r="P1049" s="1679"/>
      <c r="Q1049" s="1679"/>
      <c r="R1049" s="1679"/>
      <c r="S1049" s="1679"/>
      <c r="T1049" s="1679"/>
      <c r="U1049" s="1679"/>
      <c r="V1049" s="1679"/>
      <c r="W1049" s="1679"/>
      <c r="X1049" s="1679"/>
      <c r="Y1049" s="1679"/>
      <c r="Z1049" s="1679"/>
      <c r="AA1049" s="1679"/>
      <c r="AB1049" s="1679"/>
      <c r="AC1049" s="1679"/>
      <c r="AD1049" s="1679"/>
      <c r="AE1049" s="1680"/>
      <c r="AF1049" s="73"/>
      <c r="AG1049" s="477"/>
      <c r="AH1049" s="477"/>
      <c r="AI1049" s="83"/>
      <c r="AJ1049" s="1688"/>
      <c r="AK1049" s="1689"/>
      <c r="AL1049" s="1689"/>
      <c r="AM1049" s="1689"/>
      <c r="AN1049" s="1689"/>
      <c r="AO1049" s="1689"/>
      <c r="AP1049" s="1689"/>
      <c r="AQ1049" s="1690"/>
      <c r="AR1049" s="68"/>
      <c r="AS1049" s="68"/>
      <c r="AT1049" s="68"/>
      <c r="AU1049" s="68"/>
      <c r="AV1049" s="68"/>
      <c r="AW1049" s="68"/>
      <c r="AX1049" s="68"/>
      <c r="AY1049" s="68"/>
    </row>
    <row r="1050" spans="1:51" ht="12.95" customHeight="1">
      <c r="A1050" s="14"/>
      <c r="B1050" s="73"/>
      <c r="C1050" s="83"/>
      <c r="D1050" s="1678"/>
      <c r="E1050" s="1679"/>
      <c r="F1050" s="1679"/>
      <c r="G1050" s="1679"/>
      <c r="H1050" s="1679"/>
      <c r="I1050" s="1679"/>
      <c r="J1050" s="1679"/>
      <c r="K1050" s="1679"/>
      <c r="L1050" s="1679"/>
      <c r="M1050" s="1679"/>
      <c r="N1050" s="1679"/>
      <c r="O1050" s="1679"/>
      <c r="P1050" s="1679"/>
      <c r="Q1050" s="1679"/>
      <c r="R1050" s="1679"/>
      <c r="S1050" s="1679"/>
      <c r="T1050" s="1679"/>
      <c r="U1050" s="1679"/>
      <c r="V1050" s="1679"/>
      <c r="W1050" s="1679"/>
      <c r="X1050" s="1679"/>
      <c r="Y1050" s="1679"/>
      <c r="Z1050" s="1679"/>
      <c r="AA1050" s="1679"/>
      <c r="AB1050" s="1679"/>
      <c r="AC1050" s="1679"/>
      <c r="AD1050" s="1679"/>
      <c r="AE1050" s="1680"/>
      <c r="AF1050" s="956"/>
      <c r="AG1050" s="957"/>
      <c r="AH1050" s="957"/>
      <c r="AI1050" s="958"/>
      <c r="AJ1050" s="1688"/>
      <c r="AK1050" s="1689"/>
      <c r="AL1050" s="1689"/>
      <c r="AM1050" s="1689"/>
      <c r="AN1050" s="1689"/>
      <c r="AO1050" s="1689"/>
      <c r="AP1050" s="1689"/>
      <c r="AQ1050" s="169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72">
        <f>AY1002</f>
        <v>71</v>
      </c>
      <c r="J1051" s="1773"/>
      <c r="K1051" s="14"/>
      <c r="L1051" s="133"/>
      <c r="M1051" s="133"/>
      <c r="N1051" s="133"/>
      <c r="O1051" s="133"/>
      <c r="P1051" s="133"/>
      <c r="Q1051" s="133"/>
      <c r="R1051" s="133"/>
      <c r="S1051" s="133"/>
      <c r="T1051" s="133"/>
      <c r="U1051" s="133"/>
      <c r="V1051" s="134" t="s">
        <v>994</v>
      </c>
      <c r="X1051" s="1715">
        <f>BK632</f>
        <v>54</v>
      </c>
      <c r="Y1051" s="1716"/>
      <c r="AF1051" s="959"/>
      <c r="AG1051" s="960"/>
      <c r="AH1051" s="960"/>
      <c r="AI1051" s="961"/>
      <c r="AJ1051" s="1691"/>
      <c r="AK1051" s="1692"/>
      <c r="AL1051" s="1692"/>
      <c r="AM1051" s="1692"/>
      <c r="AN1051" s="1692"/>
      <c r="AO1051" s="1692"/>
      <c r="AP1051" s="1692"/>
      <c r="AQ1051" s="1693"/>
      <c r="AR1051" s="68"/>
      <c r="AS1051" s="68"/>
      <c r="AT1051" s="68"/>
      <c r="AU1051" s="68"/>
      <c r="AV1051" s="68"/>
      <c r="AW1051" s="68"/>
      <c r="AX1051" s="68"/>
      <c r="AY1051" s="68"/>
    </row>
    <row r="1052" spans="1:51" ht="12.95" customHeight="1">
      <c r="A1052" s="14"/>
      <c r="B1052" s="102"/>
      <c r="C1052" s="103"/>
      <c r="D1052" s="1713" t="s">
        <v>522</v>
      </c>
      <c r="E1052" s="1713"/>
      <c r="F1052" s="1713"/>
      <c r="G1052" s="1713"/>
      <c r="H1052" s="1713"/>
      <c r="I1052" s="1713"/>
      <c r="J1052" s="1713"/>
      <c r="K1052" s="1713"/>
      <c r="L1052" s="1713"/>
      <c r="M1052" s="1713"/>
      <c r="N1052" s="1713"/>
      <c r="O1052" s="1713"/>
      <c r="P1052" s="1713"/>
      <c r="Q1052" s="1713"/>
      <c r="R1052" s="1713"/>
      <c r="S1052" s="1713"/>
      <c r="T1052" s="1713"/>
      <c r="U1052" s="1713"/>
      <c r="V1052" s="1713"/>
      <c r="W1052" s="1713"/>
      <c r="X1052" s="1713"/>
      <c r="Y1052" s="1713"/>
      <c r="Z1052" s="1713"/>
      <c r="AA1052" s="1713"/>
      <c r="AB1052" s="1713"/>
      <c r="AC1052" s="1713"/>
      <c r="AD1052" s="1713"/>
      <c r="AE1052" s="1713"/>
      <c r="AF1052" s="1713"/>
      <c r="AG1052" s="1713"/>
      <c r="AH1052" s="1713"/>
      <c r="AI1052" s="1714"/>
      <c r="AJ1052" s="1700">
        <f>SUM(AJ991:AQ1051)</f>
        <v>135765838</v>
      </c>
      <c r="AK1052" s="1701"/>
      <c r="AL1052" s="1701"/>
      <c r="AM1052" s="1701"/>
      <c r="AN1052" s="1701"/>
      <c r="AO1052" s="1701"/>
      <c r="AP1052" s="1701"/>
      <c r="AQ1052" s="17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684">
        <f>IF(ISNA(IF((AJ1019&gt;(AJ991*0.15)),"(f) cannot be greater than 15% of unadjusted eligible basis.",0)),"",(IF((AJ1019&gt;(AJ991*0.15)),"(f) cannot be greater than 15% of unadjusted eligible basis.",0)))</f>
        <v>0</v>
      </c>
      <c r="C1059" s="1684"/>
      <c r="D1059" s="1684"/>
      <c r="E1059" s="1684"/>
      <c r="F1059" s="1684"/>
      <c r="G1059" s="1684"/>
      <c r="H1059" s="1684"/>
      <c r="I1059" s="1684"/>
      <c r="J1059" s="1684"/>
      <c r="K1059" s="1684"/>
      <c r="L1059" s="1684"/>
      <c r="M1059" s="1684"/>
      <c r="N1059" s="1684"/>
      <c r="O1059" s="1684"/>
      <c r="P1059" s="1684"/>
      <c r="Q1059" s="1684"/>
      <c r="R1059" s="1684"/>
      <c r="S1059" s="1684"/>
      <c r="T1059" s="1684"/>
      <c r="U1059" s="1684"/>
      <c r="V1059" s="1684"/>
      <c r="W1059" s="1684"/>
      <c r="X1059" s="1684"/>
      <c r="Y1059" s="1684"/>
      <c r="Z1059" s="1684"/>
      <c r="AA1059" s="1684"/>
      <c r="AB1059" s="1684"/>
      <c r="AC1059" s="1684"/>
      <c r="AD1059" s="1684"/>
      <c r="AE1059" s="1684"/>
      <c r="AF1059" s="1684"/>
      <c r="AG1059" s="1684"/>
      <c r="AH1059" s="1684"/>
      <c r="AI1059" s="1684"/>
      <c r="AJ1059" s="1684"/>
      <c r="AK1059" s="1684"/>
      <c r="AL1059" s="1684"/>
      <c r="AM1059" s="1684"/>
      <c r="AN1059" s="1684"/>
      <c r="AO1059" s="1684"/>
      <c r="AP1059" s="1684"/>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0" t="s">
        <v>600</v>
      </c>
      <c r="B1064" s="144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0" t="s">
        <v>600</v>
      </c>
      <c r="B1070" s="144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0" t="s">
        <v>600</v>
      </c>
      <c r="B1076" s="144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0" t="s">
        <v>600</v>
      </c>
      <c r="B1083" s="144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0" t="s">
        <v>600</v>
      </c>
      <c r="B1086" s="144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0" t="s">
        <v>600</v>
      </c>
      <c r="B1091" s="144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0" t="s">
        <v>600</v>
      </c>
      <c r="B1094" s="144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0" t="s">
        <v>600</v>
      </c>
      <c r="B1098" s="144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0" t="s">
        <v>600</v>
      </c>
      <c r="B1103" s="144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A971:AG971"/>
    <mergeCell ref="D1024:AE1024"/>
    <mergeCell ref="AJ984:AQ984"/>
    <mergeCell ref="AB988:AI988"/>
    <mergeCell ref="D987:Q987"/>
    <mergeCell ref="AJ1000:AQ1005"/>
    <mergeCell ref="AJ1019:AQ1023"/>
    <mergeCell ref="D1019:AE1020"/>
    <mergeCell ref="AB990:AI990"/>
    <mergeCell ref="AF1016:AI1018"/>
    <mergeCell ref="AF1013:AI1014"/>
    <mergeCell ref="D989:Q989"/>
    <mergeCell ref="AB989:AI989"/>
    <mergeCell ref="D994:AE997"/>
    <mergeCell ref="D998:AE998"/>
    <mergeCell ref="AG1024:AH1024"/>
    <mergeCell ref="B747:F747"/>
    <mergeCell ref="B748:F748"/>
    <mergeCell ref="B742:F742"/>
    <mergeCell ref="B743:F743"/>
    <mergeCell ref="B744:F744"/>
    <mergeCell ref="B745:F745"/>
    <mergeCell ref="C757:AM758"/>
    <mergeCell ref="G742:J742"/>
    <mergeCell ref="AA922:AF922"/>
    <mergeCell ref="K746:N746"/>
    <mergeCell ref="O746:S746"/>
    <mergeCell ref="T746:W746"/>
    <mergeCell ref="K747:N747"/>
    <mergeCell ref="O747:S747"/>
    <mergeCell ref="T747:W747"/>
    <mergeCell ref="X751:AB751"/>
    <mergeCell ref="C832:L832"/>
    <mergeCell ref="AH750:AJ750"/>
    <mergeCell ref="AH751:AJ751"/>
    <mergeCell ref="W842:AC842"/>
    <mergeCell ref="W847:AC847"/>
    <mergeCell ref="U832:X832"/>
    <mergeCell ref="M832:P832"/>
    <mergeCell ref="W866:AC866"/>
    <mergeCell ref="T743:W743"/>
    <mergeCell ref="K744:N744"/>
    <mergeCell ref="O744:S744"/>
    <mergeCell ref="T748:W748"/>
    <mergeCell ref="K749:N749"/>
    <mergeCell ref="G747:J747"/>
    <mergeCell ref="AC747:AG747"/>
    <mergeCell ref="AC633:AE633"/>
    <mergeCell ref="AC634:AE634"/>
    <mergeCell ref="AC627:AE627"/>
    <mergeCell ref="O734:S734"/>
    <mergeCell ref="K739:N739"/>
    <mergeCell ref="AC749:AG749"/>
    <mergeCell ref="AC750:AG750"/>
    <mergeCell ref="AC751:AG751"/>
    <mergeCell ref="Z601:AK601"/>
    <mergeCell ref="AK741:AO741"/>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C733:AG733"/>
    <mergeCell ref="AC739:AG739"/>
    <mergeCell ref="AH738:AJ738"/>
    <mergeCell ref="AH736:AJ736"/>
    <mergeCell ref="AH735:AJ735"/>
    <mergeCell ref="AK720:AO720"/>
    <mergeCell ref="AK721:AO721"/>
    <mergeCell ref="O728:S728"/>
    <mergeCell ref="O729:S729"/>
    <mergeCell ref="O722:S722"/>
    <mergeCell ref="T633:V633"/>
    <mergeCell ref="AC624:AE626"/>
    <mergeCell ref="Z570:AK570"/>
    <mergeCell ref="AM566:AS566"/>
    <mergeCell ref="H573:R573"/>
    <mergeCell ref="G743:J743"/>
    <mergeCell ref="G744:J744"/>
    <mergeCell ref="B624:L626"/>
    <mergeCell ref="Q627:S627"/>
    <mergeCell ref="Q628:S628"/>
    <mergeCell ref="Q629:S629"/>
    <mergeCell ref="Q630:S630"/>
    <mergeCell ref="Q631:S631"/>
    <mergeCell ref="Q632:S632"/>
    <mergeCell ref="Q633:S633"/>
    <mergeCell ref="Q634:S634"/>
    <mergeCell ref="Z593:AK593"/>
    <mergeCell ref="AK629:AN629"/>
    <mergeCell ref="C633:L633"/>
    <mergeCell ref="C634:L634"/>
    <mergeCell ref="M624:P626"/>
    <mergeCell ref="M627:P627"/>
    <mergeCell ref="Z594:AK594"/>
    <mergeCell ref="G601:R601"/>
    <mergeCell ref="W634:Y634"/>
    <mergeCell ref="AC635:AE635"/>
    <mergeCell ref="AK634:AN634"/>
    <mergeCell ref="AK635:AN635"/>
    <mergeCell ref="AK636:AN636"/>
    <mergeCell ref="AK637:AN637"/>
    <mergeCell ref="AK740:AO740"/>
    <mergeCell ref="AH737:AJ73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6:AJ16"/>
    <mergeCell ref="H18:AJ18"/>
    <mergeCell ref="O33:P33"/>
    <mergeCell ref="AK731:AO731"/>
    <mergeCell ref="AH728:AJ728"/>
    <mergeCell ref="G730:J730"/>
    <mergeCell ref="A83:AT84"/>
    <mergeCell ref="A69:AT70"/>
    <mergeCell ref="M565:P565"/>
    <mergeCell ref="G670:R670"/>
    <mergeCell ref="Z669:AK669"/>
    <mergeCell ref="E707:AK707"/>
    <mergeCell ref="W706:AK706"/>
    <mergeCell ref="AA688:AK688"/>
    <mergeCell ref="AC719:AG719"/>
    <mergeCell ref="G677:R677"/>
    <mergeCell ref="Z678:AK678"/>
    <mergeCell ref="G685:R685"/>
    <mergeCell ref="A709:AT711"/>
    <mergeCell ref="Q635:S635"/>
    <mergeCell ref="W700:AK700"/>
    <mergeCell ref="Z683:AK683"/>
    <mergeCell ref="N665:O665"/>
    <mergeCell ref="H672:R672"/>
    <mergeCell ref="G676:R676"/>
    <mergeCell ref="B719:F719"/>
    <mergeCell ref="B714:F717"/>
    <mergeCell ref="Z686:AK686"/>
    <mergeCell ref="G675:R675"/>
    <mergeCell ref="Z667:AK667"/>
    <mergeCell ref="M358:N358"/>
    <mergeCell ref="AK633:AN633"/>
    <mergeCell ref="T634:V634"/>
    <mergeCell ref="AF418:AH418"/>
    <mergeCell ref="AA573:AK573"/>
    <mergeCell ref="AK733:AO733"/>
    <mergeCell ref="AK734:AO734"/>
    <mergeCell ref="T719:W719"/>
    <mergeCell ref="AK736:AO736"/>
    <mergeCell ref="K748:N748"/>
    <mergeCell ref="O748:S748"/>
    <mergeCell ref="AC742:AG742"/>
    <mergeCell ref="AC743:AG743"/>
    <mergeCell ref="AC744:AG744"/>
    <mergeCell ref="AC745:AG745"/>
    <mergeCell ref="AC746:AG746"/>
    <mergeCell ref="AK722:AO722"/>
    <mergeCell ref="G751:J751"/>
    <mergeCell ref="K742:N742"/>
    <mergeCell ref="O742:S742"/>
    <mergeCell ref="G728:J728"/>
    <mergeCell ref="AH752:AJ752"/>
    <mergeCell ref="O749:S749"/>
    <mergeCell ref="AK730:AO730"/>
    <mergeCell ref="AH732:AJ732"/>
    <mergeCell ref="AC729:AG729"/>
    <mergeCell ref="X722:AB722"/>
    <mergeCell ref="AC724:AG724"/>
    <mergeCell ref="AC730:AG730"/>
    <mergeCell ref="O739:S739"/>
    <mergeCell ref="O740:S740"/>
    <mergeCell ref="K741:N741"/>
    <mergeCell ref="K752:N752"/>
    <mergeCell ref="O736:S736"/>
    <mergeCell ref="K738:N738"/>
    <mergeCell ref="K730:N730"/>
    <mergeCell ref="AC748:AG748"/>
    <mergeCell ref="R705:T705"/>
    <mergeCell ref="W703:AK703"/>
    <mergeCell ref="G678:R678"/>
    <mergeCell ref="P679:R679"/>
    <mergeCell ref="Z676:AK676"/>
    <mergeCell ref="AE698:AI698"/>
    <mergeCell ref="AH721:AJ721"/>
    <mergeCell ref="AC714:AG717"/>
    <mergeCell ref="AC720:AG720"/>
    <mergeCell ref="X719:AB719"/>
    <mergeCell ref="O724:S724"/>
    <mergeCell ref="T725:W725"/>
    <mergeCell ref="H680:R680"/>
    <mergeCell ref="T729:W729"/>
    <mergeCell ref="AC721:AG721"/>
    <mergeCell ref="AC722:AG722"/>
    <mergeCell ref="AH720:AJ720"/>
    <mergeCell ref="X718:AB718"/>
    <mergeCell ref="G725:J725"/>
    <mergeCell ref="O714:S717"/>
    <mergeCell ref="AH722:AJ722"/>
    <mergeCell ref="K718:N718"/>
    <mergeCell ref="K719:N719"/>
    <mergeCell ref="G718:J718"/>
    <mergeCell ref="Z679:AE679"/>
    <mergeCell ref="G723:J723"/>
    <mergeCell ref="O725:S725"/>
    <mergeCell ref="O726:S726"/>
    <mergeCell ref="K727:N727"/>
    <mergeCell ref="K725:N725"/>
    <mergeCell ref="DR654:DV654"/>
    <mergeCell ref="DR653:DV653"/>
    <mergeCell ref="DH651:DL651"/>
    <mergeCell ref="DM651:DQ651"/>
    <mergeCell ref="DR657:DV657"/>
    <mergeCell ref="AK728:AO728"/>
    <mergeCell ref="AK729:AO729"/>
    <mergeCell ref="DH654:DL654"/>
    <mergeCell ref="DM654:DQ654"/>
    <mergeCell ref="DH655:DL655"/>
    <mergeCell ref="DM655:DQ655"/>
    <mergeCell ref="BS655:BW655"/>
    <mergeCell ref="BX655:CB655"/>
    <mergeCell ref="DH653:DL653"/>
    <mergeCell ref="AK726:AO726"/>
    <mergeCell ref="DH649:DL649"/>
    <mergeCell ref="DM649:DQ649"/>
    <mergeCell ref="CS651:CW651"/>
    <mergeCell ref="AK723:AO723"/>
    <mergeCell ref="AK724:AO724"/>
    <mergeCell ref="AK725:AO725"/>
    <mergeCell ref="DC653:DG653"/>
    <mergeCell ref="AI663:AK663"/>
    <mergeCell ref="Z661:AK661"/>
    <mergeCell ref="X720:AB720"/>
    <mergeCell ref="CS655:CW655"/>
    <mergeCell ref="DH652:DL652"/>
    <mergeCell ref="DM652:DQ652"/>
    <mergeCell ref="CS653:CW653"/>
    <mergeCell ref="CX653:DB653"/>
    <mergeCell ref="CH660:CL660"/>
    <mergeCell ref="Z675:AK675"/>
    <mergeCell ref="DM653:DQ653"/>
    <mergeCell ref="AG689:AH689"/>
    <mergeCell ref="AA680:AK680"/>
    <mergeCell ref="AI687:AK687"/>
    <mergeCell ref="AE696:AI696"/>
    <mergeCell ref="AH719:AJ719"/>
    <mergeCell ref="X714:AB717"/>
    <mergeCell ref="DC652:DG652"/>
    <mergeCell ref="DC650:DG650"/>
    <mergeCell ref="AH733:AJ733"/>
    <mergeCell ref="CH652:CL652"/>
    <mergeCell ref="CH653:CL653"/>
    <mergeCell ref="CH654:CL654"/>
    <mergeCell ref="CM652:CQ652"/>
    <mergeCell ref="CM653:CQ653"/>
    <mergeCell ref="CM654:CQ654"/>
    <mergeCell ref="BN652:BR652"/>
    <mergeCell ref="BN653:BR653"/>
    <mergeCell ref="BN654:BR654"/>
    <mergeCell ref="Z685:AK685"/>
    <mergeCell ref="CM660:CQ660"/>
    <mergeCell ref="CC660:CG660"/>
    <mergeCell ref="BS660:BW660"/>
    <mergeCell ref="Z660:AK660"/>
    <mergeCell ref="J704:X704"/>
    <mergeCell ref="X730:AB730"/>
    <mergeCell ref="X731:AB731"/>
    <mergeCell ref="H688:R688"/>
    <mergeCell ref="AE702:AF702"/>
    <mergeCell ref="AE693:AF693"/>
    <mergeCell ref="AE694:AF694"/>
    <mergeCell ref="AK727:AO727"/>
    <mergeCell ref="CS654:CW654"/>
    <mergeCell ref="CX654:DB654"/>
    <mergeCell ref="DC654:DG654"/>
    <mergeCell ref="BS653:BW653"/>
    <mergeCell ref="BN651:BR651"/>
    <mergeCell ref="BN650:BR650"/>
    <mergeCell ref="CX655:DB655"/>
    <mergeCell ref="DC655:DG655"/>
    <mergeCell ref="DR655:DV655"/>
    <mergeCell ref="CS652:CW652"/>
    <mergeCell ref="CX652:DB652"/>
    <mergeCell ref="BN649:BR649"/>
    <mergeCell ref="BN648:BR648"/>
    <mergeCell ref="CC655:CG655"/>
    <mergeCell ref="CH655:CL655"/>
    <mergeCell ref="CM655:CQ655"/>
    <mergeCell ref="CC649:CG649"/>
    <mergeCell ref="CC650:CG650"/>
    <mergeCell ref="CC652:CG652"/>
    <mergeCell ref="CC653:CG653"/>
    <mergeCell ref="CC654:CG654"/>
    <mergeCell ref="CH650:CL650"/>
    <mergeCell ref="BS650:BW650"/>
    <mergeCell ref="BX653:CB653"/>
    <mergeCell ref="BX654:CB654"/>
    <mergeCell ref="DR651:DV651"/>
    <mergeCell ref="DH650:DL650"/>
    <mergeCell ref="DM650:DQ650"/>
    <mergeCell ref="CX649:DB649"/>
    <mergeCell ref="DC649:DG649"/>
    <mergeCell ref="BS651:BW651"/>
    <mergeCell ref="BS652:BW652"/>
    <mergeCell ref="BN647:BR647"/>
    <mergeCell ref="BX651:CB651"/>
    <mergeCell ref="CM648:CQ648"/>
    <mergeCell ref="CC651:CG651"/>
    <mergeCell ref="BX649:CB649"/>
    <mergeCell ref="BX650:CB650"/>
    <mergeCell ref="CH648:CL648"/>
    <mergeCell ref="CC648:CG648"/>
    <mergeCell ref="CX651:DB651"/>
    <mergeCell ref="DC651:DG651"/>
    <mergeCell ref="CM651:CQ651"/>
    <mergeCell ref="CH649:CL649"/>
    <mergeCell ref="BX652:CB652"/>
    <mergeCell ref="DR649:DV649"/>
    <mergeCell ref="DR652:DV652"/>
    <mergeCell ref="CC647:CG647"/>
    <mergeCell ref="CS647:CW647"/>
    <mergeCell ref="CX647:DB647"/>
    <mergeCell ref="DC647:DG647"/>
    <mergeCell ref="CM649:CQ649"/>
    <mergeCell ref="DH648:DL648"/>
    <mergeCell ref="DM648:DQ648"/>
    <mergeCell ref="DR648:DV648"/>
    <mergeCell ref="CS649:CW649"/>
    <mergeCell ref="CH651:CL651"/>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S632:CW632"/>
    <mergeCell ref="CX632:DB632"/>
    <mergeCell ref="CM647:CQ647"/>
    <mergeCell ref="CM646:CQ646"/>
    <mergeCell ref="BX647:CB647"/>
    <mergeCell ref="CX648:DB648"/>
    <mergeCell ref="DC648:DG648"/>
    <mergeCell ref="BX632:CB632"/>
    <mergeCell ref="CM639:CQ639"/>
    <mergeCell ref="CX630:DB630"/>
    <mergeCell ref="CS631:CW631"/>
    <mergeCell ref="CX631:DB631"/>
    <mergeCell ref="CH631:CL631"/>
    <mergeCell ref="BX645:CB645"/>
    <mergeCell ref="CC638:CG63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CM645:CQ645"/>
    <mergeCell ref="CM640:CQ640"/>
    <mergeCell ref="DR630:DV630"/>
    <mergeCell ref="DH630:DL630"/>
    <mergeCell ref="DM618:DQ618"/>
    <mergeCell ref="DR618:DV618"/>
    <mergeCell ref="DM645:DQ645"/>
    <mergeCell ref="DR645:DV645"/>
    <mergeCell ref="CC645:CG645"/>
    <mergeCell ref="CH637:CL637"/>
    <mergeCell ref="CH641:CL641"/>
    <mergeCell ref="DH631:DL631"/>
    <mergeCell ref="CC630:CG630"/>
    <mergeCell ref="DM616:DQ616"/>
    <mergeCell ref="CS616:CW616"/>
    <mergeCell ref="AO637:AS637"/>
    <mergeCell ref="CS614:CW614"/>
    <mergeCell ref="CS605:CW605"/>
    <mergeCell ref="CX605:DB605"/>
    <mergeCell ref="AF633:AJ633"/>
    <mergeCell ref="G612:R612"/>
    <mergeCell ref="Z611:AK611"/>
    <mergeCell ref="CX613:DB613"/>
    <mergeCell ref="AO636:AS636"/>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37:EL637"/>
    <mergeCell ref="DX612:EB612"/>
    <mergeCell ref="EC612:EG612"/>
    <mergeCell ref="EH612:EL612"/>
    <mergeCell ref="BN617:BR617"/>
    <mergeCell ref="DR619:DV619"/>
    <mergeCell ref="CM625:CQ625"/>
    <mergeCell ref="BS623:BW623"/>
    <mergeCell ref="CS624:CW624"/>
    <mergeCell ref="CX624:DB624"/>
    <mergeCell ref="CM623:CQ623"/>
    <mergeCell ref="DM624:DQ624"/>
    <mergeCell ref="CS628:CW628"/>
    <mergeCell ref="CX628:DB628"/>
    <mergeCell ref="DC628:DG628"/>
    <mergeCell ref="DH628:DL628"/>
    <mergeCell ref="DM628:DQ628"/>
    <mergeCell ref="CM624:CQ624"/>
    <mergeCell ref="CH626:CL626"/>
    <mergeCell ref="CM626:CQ626"/>
    <mergeCell ref="DR621:DV621"/>
    <mergeCell ref="CM621:CQ621"/>
    <mergeCell ref="BS622:BW622"/>
    <mergeCell ref="BX622:CB622"/>
    <mergeCell ref="DC622:DG622"/>
    <mergeCell ref="DH622:DL622"/>
    <mergeCell ref="DM622:DQ622"/>
    <mergeCell ref="DR622:DV622"/>
    <mergeCell ref="CS623:CW623"/>
    <mergeCell ref="CX623:DB623"/>
    <mergeCell ref="DC623:DG623"/>
    <mergeCell ref="DH623:DL623"/>
    <mergeCell ref="DM623:DQ623"/>
    <mergeCell ref="DC624:DG624"/>
    <mergeCell ref="DH624:DL624"/>
    <mergeCell ref="CM628:CQ628"/>
    <mergeCell ref="CM627:CQ627"/>
    <mergeCell ref="DM627:DQ627"/>
    <mergeCell ref="CM629:CQ629"/>
    <mergeCell ref="CS620:CW620"/>
    <mergeCell ref="DH614:DL614"/>
    <mergeCell ref="DM614:DQ614"/>
    <mergeCell ref="CX614:DB614"/>
    <mergeCell ref="CC617:CG617"/>
    <mergeCell ref="CC619:CG619"/>
    <mergeCell ref="BE614:BF614"/>
    <mergeCell ref="BI617:BJ617"/>
    <mergeCell ref="BE616:BF616"/>
    <mergeCell ref="BG616:BH616"/>
    <mergeCell ref="BG632:BH632"/>
    <mergeCell ref="BK632:BL632"/>
    <mergeCell ref="BN632:BR632"/>
    <mergeCell ref="BI618:BJ618"/>
    <mergeCell ref="BK618:BL618"/>
    <mergeCell ref="BN625:BR625"/>
    <mergeCell ref="BS625:BW625"/>
    <mergeCell ref="BX625:CB625"/>
    <mergeCell ref="BN627:BR627"/>
    <mergeCell ref="BS627:BW627"/>
    <mergeCell ref="BX620:CB620"/>
    <mergeCell ref="BN628:BR628"/>
    <mergeCell ref="BS628:BW628"/>
    <mergeCell ref="BG621:BH621"/>
    <mergeCell ref="BI621:BJ621"/>
    <mergeCell ref="BK621:BL621"/>
    <mergeCell ref="BE621:BF621"/>
    <mergeCell ref="BG620:BH620"/>
    <mergeCell ref="BE623:BF623"/>
    <mergeCell ref="BX615:CB615"/>
    <mergeCell ref="BX616:CB616"/>
    <mergeCell ref="EW667:FA667"/>
    <mergeCell ref="EM661:EQ661"/>
    <mergeCell ref="EW669:FA669"/>
    <mergeCell ref="EW647:FA647"/>
    <mergeCell ref="A617:AT618"/>
    <mergeCell ref="BI623:BJ623"/>
    <mergeCell ref="BK623:BL623"/>
    <mergeCell ref="AK628:AN628"/>
    <mergeCell ref="DM617:DQ617"/>
    <mergeCell ref="BX623:CB623"/>
    <mergeCell ref="DC621:DG621"/>
    <mergeCell ref="DH621:DL621"/>
    <mergeCell ref="DM621:DQ621"/>
    <mergeCell ref="DC630:DG630"/>
    <mergeCell ref="CS630:CW630"/>
    <mergeCell ref="DC614:DG614"/>
    <mergeCell ref="CC614:CG614"/>
    <mergeCell ref="BK616:BL616"/>
    <mergeCell ref="BK631:BL631"/>
    <mergeCell ref="BN631:BR631"/>
    <mergeCell ref="CX621:DB621"/>
    <mergeCell ref="BK628:BL628"/>
    <mergeCell ref="T624:V626"/>
    <mergeCell ref="BI620:BJ620"/>
    <mergeCell ref="BK620:BL620"/>
    <mergeCell ref="BG629:BH629"/>
    <mergeCell ref="BI629:BJ629"/>
    <mergeCell ref="BK629:BL629"/>
    <mergeCell ref="BE626:BF626"/>
    <mergeCell ref="BS620:BW620"/>
    <mergeCell ref="BG628:BH628"/>
    <mergeCell ref="BI628:BJ628"/>
    <mergeCell ref="EM670:EQ670"/>
    <mergeCell ref="DX656:EB656"/>
    <mergeCell ref="EC656:EG656"/>
    <mergeCell ref="EH656:EL656"/>
    <mergeCell ref="EM656:EQ656"/>
    <mergeCell ref="DX666:EB666"/>
    <mergeCell ref="EC666:EG666"/>
    <mergeCell ref="ER650:EV650"/>
    <mergeCell ref="DX645:EB645"/>
    <mergeCell ref="EW649:FA649"/>
    <mergeCell ref="EW652:FA652"/>
    <mergeCell ref="EW641:FA641"/>
    <mergeCell ref="DX642:EB642"/>
    <mergeCell ref="EC642:EG642"/>
    <mergeCell ref="EH642:EL642"/>
    <mergeCell ref="EM642:EQ642"/>
    <mergeCell ref="ER642:EV642"/>
    <mergeCell ref="EH655:EL655"/>
    <mergeCell ref="EM655:EQ655"/>
    <mergeCell ref="DX641:EB641"/>
    <mergeCell ref="ER669:EV669"/>
    <mergeCell ref="ER668:EV668"/>
    <mergeCell ref="EH651:EL651"/>
    <mergeCell ref="EH650:EL650"/>
    <mergeCell ref="EM650:EQ650"/>
    <mergeCell ref="DX653:EB653"/>
    <mergeCell ref="EC653:EG653"/>
    <mergeCell ref="DX654:EB654"/>
    <mergeCell ref="EC654:EG654"/>
    <mergeCell ref="EH654:EL654"/>
    <mergeCell ref="EM651:EQ651"/>
    <mergeCell ref="EW664:FA664"/>
    <mergeCell ref="EM669:EQ669"/>
    <mergeCell ref="DX664:EB664"/>
    <mergeCell ref="EH647:EL647"/>
    <mergeCell ref="EM647:EQ647"/>
    <mergeCell ref="DX648:EB648"/>
    <mergeCell ref="DX651:EB651"/>
    <mergeCell ref="EC651:EG651"/>
    <mergeCell ref="EM648:EQ648"/>
    <mergeCell ref="ER651:EV651"/>
    <mergeCell ref="ER652:EV652"/>
    <mergeCell ref="EH653:EL653"/>
    <mergeCell ref="EM653:EQ653"/>
    <mergeCell ref="ER653:EV653"/>
    <mergeCell ref="DX663:EB663"/>
    <mergeCell ref="EC663:EG663"/>
    <mergeCell ref="EH663:EL663"/>
    <mergeCell ref="EM663:EQ663"/>
    <mergeCell ref="ER663:EV663"/>
    <mergeCell ref="EC667:EG667"/>
    <mergeCell ref="EH667:EL667"/>
    <mergeCell ref="EM667:EQ667"/>
    <mergeCell ref="ER667:EV667"/>
    <mergeCell ref="EH652:EL652"/>
    <mergeCell ref="ER665:EV665"/>
    <mergeCell ref="EH666:EL666"/>
    <mergeCell ref="EM649:EQ649"/>
    <mergeCell ref="EC664:EG664"/>
    <mergeCell ref="EH664:EL664"/>
    <mergeCell ref="EM654:EQ654"/>
    <mergeCell ref="ER654:EV654"/>
    <mergeCell ref="EM652:EQ652"/>
    <mergeCell ref="DX650:EB650"/>
    <mergeCell ref="ER670:EV670"/>
    <mergeCell ref="ER655:EV655"/>
    <mergeCell ref="EH648:EL648"/>
    <mergeCell ref="EH649:EL649"/>
    <mergeCell ref="DX655:EB655"/>
    <mergeCell ref="EW654:FA654"/>
    <mergeCell ref="DX647:EB647"/>
    <mergeCell ref="EC647:EG647"/>
    <mergeCell ref="ER661:EV661"/>
    <mergeCell ref="EW661:FA661"/>
    <mergeCell ref="EM662:EQ662"/>
    <mergeCell ref="ER662:EV662"/>
    <mergeCell ref="EW662:FA662"/>
    <mergeCell ref="ER659:EV659"/>
    <mergeCell ref="EW659:FA659"/>
    <mergeCell ref="DX660:EB660"/>
    <mergeCell ref="EC660:EG660"/>
    <mergeCell ref="EH660:EL660"/>
    <mergeCell ref="EM660:EQ660"/>
    <mergeCell ref="EW650:FA650"/>
    <mergeCell ref="EW648:FA648"/>
    <mergeCell ref="EW651:FA651"/>
    <mergeCell ref="EW658:FA658"/>
    <mergeCell ref="ER649:EV649"/>
    <mergeCell ref="DX652:EB652"/>
    <mergeCell ref="EC652:EG652"/>
    <mergeCell ref="DX669:EB669"/>
    <mergeCell ref="EC670:EG670"/>
    <mergeCell ref="EH670:EL670"/>
    <mergeCell ref="ER656:EV656"/>
    <mergeCell ref="EC669:EG669"/>
    <mergeCell ref="EH669:EL66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M666:EQ666"/>
    <mergeCell ref="ER666:EV666"/>
    <mergeCell ref="EW666:FA666"/>
    <mergeCell ref="DX667:EB667"/>
    <mergeCell ref="ER660:EV660"/>
    <mergeCell ref="EW660:FA660"/>
    <mergeCell ref="DX661:EB661"/>
    <mergeCell ref="EC661:EG661"/>
    <mergeCell ref="EH661:EL661"/>
    <mergeCell ref="EM659:EQ659"/>
    <mergeCell ref="DX658:EB658"/>
    <mergeCell ref="EC658:EG658"/>
    <mergeCell ref="EH658:EL658"/>
    <mergeCell ref="EM658:EQ658"/>
    <mergeCell ref="ER658:EV658"/>
    <mergeCell ref="EM665:EQ665"/>
    <mergeCell ref="EC648:EG648"/>
    <mergeCell ref="DX643:EB643"/>
    <mergeCell ref="EW639:FA639"/>
    <mergeCell ref="DX640:EB640"/>
    <mergeCell ref="EC640:EG640"/>
    <mergeCell ref="EW640:FA640"/>
    <mergeCell ref="ER643:EV643"/>
    <mergeCell ref="ER640:EV640"/>
    <mergeCell ref="ER639:EV639"/>
    <mergeCell ref="EW637:FA637"/>
    <mergeCell ref="EW643:FA643"/>
    <mergeCell ref="DX644:EB644"/>
    <mergeCell ref="EC644:EG644"/>
    <mergeCell ref="EH644:EL644"/>
    <mergeCell ref="EH641:EL641"/>
    <mergeCell ref="EM641:EQ641"/>
    <mergeCell ref="ER641:EV641"/>
    <mergeCell ref="EC637:EG637"/>
    <mergeCell ref="EM638:EQ638"/>
    <mergeCell ref="EC639:EG639"/>
    <mergeCell ref="EH639:EL639"/>
    <mergeCell ref="EM639:EQ639"/>
    <mergeCell ref="EM637:EQ637"/>
    <mergeCell ref="EM644:EQ644"/>
    <mergeCell ref="DX618:EB618"/>
    <mergeCell ref="EC618:EG618"/>
    <mergeCell ref="EH618:EL618"/>
    <mergeCell ref="EM618:EQ618"/>
    <mergeCell ref="ER618:EV618"/>
    <mergeCell ref="EW638:FA638"/>
    <mergeCell ref="EH640:EL640"/>
    <mergeCell ref="EW619:FA619"/>
    <mergeCell ref="EC630:EG630"/>
    <mergeCell ref="EH630:EL630"/>
    <mergeCell ref="EM619:EQ619"/>
    <mergeCell ref="ER619:EV619"/>
    <mergeCell ref="DX632:EB632"/>
    <mergeCell ref="EW630:FA630"/>
    <mergeCell ref="DX631:EB631"/>
    <mergeCell ref="EC631:EG631"/>
    <mergeCell ref="EH631:EL631"/>
    <mergeCell ref="EM631:EQ631"/>
    <mergeCell ref="ER631:EV631"/>
    <mergeCell ref="ER638:EV638"/>
    <mergeCell ref="EC635:EG635"/>
    <mergeCell ref="EH635:EL635"/>
    <mergeCell ref="EW636:FA636"/>
    <mergeCell ref="ER637:EV637"/>
    <mergeCell ref="DX619:EB619"/>
    <mergeCell ref="EC619:EG619"/>
    <mergeCell ref="EC624:EG624"/>
    <mergeCell ref="EH624:EL624"/>
    <mergeCell ref="EM624:EQ624"/>
    <mergeCell ref="ER624:EV624"/>
    <mergeCell ref="EM620:EQ620"/>
    <mergeCell ref="DX637:EB637"/>
    <mergeCell ref="EW618:FA618"/>
    <mergeCell ref="DX613:EB613"/>
    <mergeCell ref="DX614:EB614"/>
    <mergeCell ref="EC614:EG614"/>
    <mergeCell ref="EH614:EL614"/>
    <mergeCell ref="EM614:EQ614"/>
    <mergeCell ref="EC615:EG615"/>
    <mergeCell ref="EC609:EG609"/>
    <mergeCell ref="EH609:EL609"/>
    <mergeCell ref="EM609:EQ609"/>
    <mergeCell ref="ER609:EV609"/>
    <mergeCell ref="EM612:EQ612"/>
    <mergeCell ref="ER612:EV612"/>
    <mergeCell ref="EM615:EQ615"/>
    <mergeCell ref="ER615:EV615"/>
    <mergeCell ref="EW615:FA615"/>
    <mergeCell ref="DX616:EB616"/>
    <mergeCell ref="EC616:EG616"/>
    <mergeCell ref="EH616:EL616"/>
    <mergeCell ref="EM616:EQ616"/>
    <mergeCell ref="EC613:EG613"/>
    <mergeCell ref="EH613:EL613"/>
    <mergeCell ref="EM613:EQ613"/>
    <mergeCell ref="ER616:EV616"/>
    <mergeCell ref="EW616:FA616"/>
    <mergeCell ref="ER613:EV613"/>
    <mergeCell ref="EW613:FA613"/>
    <mergeCell ref="ER614:EV614"/>
    <mergeCell ref="EW614:FA614"/>
    <mergeCell ref="DX615:EB615"/>
    <mergeCell ref="DX617:EB617"/>
    <mergeCell ref="EC617:EG61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15:EL615"/>
    <mergeCell ref="EW612:FA61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AC894:AH894"/>
    <mergeCell ref="AA932:AF932"/>
    <mergeCell ref="U930:Z93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D985:Q985"/>
    <mergeCell ref="B992:AE992"/>
    <mergeCell ref="AJ1015:AQ1018"/>
    <mergeCell ref="M970:S970"/>
    <mergeCell ref="AJ1024:AQ1027"/>
    <mergeCell ref="M957:S957"/>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D1028:AE1028"/>
    <mergeCell ref="B990:AA990"/>
    <mergeCell ref="D993:AE993"/>
    <mergeCell ref="D999:AE999"/>
    <mergeCell ref="D1000:AE1000"/>
    <mergeCell ref="D1001:AE1005"/>
    <mergeCell ref="D1010:AE1010"/>
    <mergeCell ref="D1011:AE1011"/>
    <mergeCell ref="D1031:AE1031"/>
    <mergeCell ref="D1032:AE1034"/>
    <mergeCell ref="AF1025:AI1025"/>
    <mergeCell ref="AJ1012:AQ1014"/>
    <mergeCell ref="U939:Z939"/>
    <mergeCell ref="F935:T935"/>
    <mergeCell ref="U935:Z935"/>
    <mergeCell ref="F941:T941"/>
    <mergeCell ref="U941:Z941"/>
    <mergeCell ref="AA941:AF941"/>
    <mergeCell ref="F943:T943"/>
    <mergeCell ref="U943:Z943"/>
    <mergeCell ref="AA943:AF943"/>
    <mergeCell ref="AA935:AF935"/>
    <mergeCell ref="U942:Z942"/>
    <mergeCell ref="D988:Q988"/>
    <mergeCell ref="M955:S955"/>
    <mergeCell ref="R984:AA984"/>
    <mergeCell ref="A978:AT980"/>
    <mergeCell ref="AA970:AG970"/>
    <mergeCell ref="AE961:AK961"/>
    <mergeCell ref="AE957:AK957"/>
    <mergeCell ref="M974:S974"/>
    <mergeCell ref="D984:Q984"/>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AA917:AF917"/>
    <mergeCell ref="AA967:AG967"/>
    <mergeCell ref="B753:F753"/>
    <mergeCell ref="AC753:AG753"/>
    <mergeCell ref="O753:S753"/>
    <mergeCell ref="Z814:AE814"/>
    <mergeCell ref="Y831:AB831"/>
    <mergeCell ref="AE954:AK954"/>
    <mergeCell ref="I949:T949"/>
    <mergeCell ref="AA942:AF942"/>
    <mergeCell ref="F915:T916"/>
    <mergeCell ref="AA930:AF930"/>
    <mergeCell ref="D1044:AE1044"/>
    <mergeCell ref="D1013:AE1014"/>
    <mergeCell ref="AG1044:AH1044"/>
    <mergeCell ref="D1016:AE1018"/>
    <mergeCell ref="AG1031:AH1031"/>
    <mergeCell ref="D1035:AE1035"/>
    <mergeCell ref="D1006:AE1006"/>
    <mergeCell ref="R989:AA989"/>
    <mergeCell ref="AG829:AJ829"/>
    <mergeCell ref="U831:X831"/>
    <mergeCell ref="Q831:T831"/>
    <mergeCell ref="Y800:AC800"/>
    <mergeCell ref="K731:N731"/>
    <mergeCell ref="T740:W740"/>
    <mergeCell ref="G741:J741"/>
    <mergeCell ref="T793:W793"/>
    <mergeCell ref="X745:AB745"/>
    <mergeCell ref="X746:AB746"/>
    <mergeCell ref="X747:AB747"/>
    <mergeCell ref="X748:AB748"/>
    <mergeCell ref="X749:AB749"/>
    <mergeCell ref="X750:AB750"/>
    <mergeCell ref="G739:J739"/>
    <mergeCell ref="X735:AB735"/>
    <mergeCell ref="X736:AB736"/>
    <mergeCell ref="X737:AB737"/>
    <mergeCell ref="T736:W736"/>
    <mergeCell ref="O732:S732"/>
    <mergeCell ref="T749:W749"/>
    <mergeCell ref="K750:N750"/>
    <mergeCell ref="O750:S750"/>
    <mergeCell ref="T750:W750"/>
    <mergeCell ref="K751:N751"/>
    <mergeCell ref="O751:S751"/>
    <mergeCell ref="T751:W751"/>
    <mergeCell ref="G745:J745"/>
    <mergeCell ref="G746:J746"/>
    <mergeCell ref="G732:J732"/>
    <mergeCell ref="T741:W741"/>
    <mergeCell ref="X734:AB734"/>
    <mergeCell ref="G587:R587"/>
    <mergeCell ref="G578:R578"/>
    <mergeCell ref="AF631:AJ631"/>
    <mergeCell ref="Z602:AK602"/>
    <mergeCell ref="Z612:AK612"/>
    <mergeCell ref="T627:V627"/>
    <mergeCell ref="Z624:AB626"/>
    <mergeCell ref="Z627:AB627"/>
    <mergeCell ref="Z605:AE605"/>
    <mergeCell ref="Z609:AK609"/>
    <mergeCell ref="G609:R609"/>
    <mergeCell ref="M631:P631"/>
    <mergeCell ref="M632:P632"/>
    <mergeCell ref="M560:P560"/>
    <mergeCell ref="G577:R577"/>
    <mergeCell ref="G594:R594"/>
    <mergeCell ref="N615:O615"/>
    <mergeCell ref="T563:V563"/>
    <mergeCell ref="Z588:AK588"/>
    <mergeCell ref="Z564:AD564"/>
    <mergeCell ref="Z565:AD565"/>
    <mergeCell ref="Z572:AE572"/>
    <mergeCell ref="G586:R586"/>
    <mergeCell ref="W627:Y627"/>
    <mergeCell ref="N575:O575"/>
    <mergeCell ref="G569:R569"/>
    <mergeCell ref="H582:R582"/>
    <mergeCell ref="P597:R597"/>
    <mergeCell ref="T629:V629"/>
    <mergeCell ref="T630:V630"/>
    <mergeCell ref="T631:V631"/>
    <mergeCell ref="T632:V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W871:AC871"/>
    <mergeCell ref="AC789:AG789"/>
    <mergeCell ref="AC790:AG790"/>
    <mergeCell ref="Y826:AB826"/>
    <mergeCell ref="O733:S733"/>
    <mergeCell ref="O735:S735"/>
    <mergeCell ref="T738:W738"/>
    <mergeCell ref="T744:W744"/>
    <mergeCell ref="K745:N745"/>
    <mergeCell ref="O745:S745"/>
    <mergeCell ref="T745:W745"/>
    <mergeCell ref="J794:N794"/>
    <mergeCell ref="J789:N789"/>
    <mergeCell ref="T790:W790"/>
    <mergeCell ref="O797:S797"/>
    <mergeCell ref="AC769:AG772"/>
    <mergeCell ref="T794:W794"/>
    <mergeCell ref="T792:W792"/>
    <mergeCell ref="O777:S777"/>
    <mergeCell ref="X788:AB788"/>
    <mergeCell ref="T734:W734"/>
    <mergeCell ref="O775:S775"/>
    <mergeCell ref="X739:AB739"/>
    <mergeCell ref="C763:AR765"/>
    <mergeCell ref="C766:AR768"/>
    <mergeCell ref="B754:AH755"/>
    <mergeCell ref="AH739:AJ739"/>
    <mergeCell ref="AH740:AJ740"/>
    <mergeCell ref="AK737:AO737"/>
    <mergeCell ref="AK738:AO738"/>
    <mergeCell ref="G752:J752"/>
    <mergeCell ref="B741:F741"/>
    <mergeCell ref="T789:W789"/>
    <mergeCell ref="AK742:AO742"/>
    <mergeCell ref="AK750:AO750"/>
    <mergeCell ref="AK751:AO751"/>
    <mergeCell ref="AH745:AJ745"/>
    <mergeCell ref="B746:F746"/>
    <mergeCell ref="J774:N774"/>
    <mergeCell ref="T737:W737"/>
    <mergeCell ref="Z806:AE806"/>
    <mergeCell ref="AC740:AG740"/>
    <mergeCell ref="AC741:AG741"/>
    <mergeCell ref="T739:W739"/>
    <mergeCell ref="G750:J750"/>
    <mergeCell ref="O752:S752"/>
    <mergeCell ref="G753:J753"/>
    <mergeCell ref="M828:P828"/>
    <mergeCell ref="F831:L831"/>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AC736:AG736"/>
    <mergeCell ref="W861:AC861"/>
    <mergeCell ref="D1094:AK1097"/>
    <mergeCell ref="G726:J726"/>
    <mergeCell ref="Q827:T827"/>
    <mergeCell ref="R987:AA987"/>
    <mergeCell ref="G729:J729"/>
    <mergeCell ref="B726:F726"/>
    <mergeCell ref="T728:W728"/>
    <mergeCell ref="BG848:BL848"/>
    <mergeCell ref="AH731:AJ731"/>
    <mergeCell ref="D1064:AK1069"/>
    <mergeCell ref="AH727:AJ727"/>
    <mergeCell ref="G727:J727"/>
    <mergeCell ref="C829:H829"/>
    <mergeCell ref="Q828:T828"/>
    <mergeCell ref="AO641:AS641"/>
    <mergeCell ref="G646:R646"/>
    <mergeCell ref="Z644:AK644"/>
    <mergeCell ref="AH730:AJ730"/>
    <mergeCell ref="AC723:AG723"/>
    <mergeCell ref="O718:S718"/>
    <mergeCell ref="G748:J748"/>
    <mergeCell ref="G749:J749"/>
    <mergeCell ref="B749:F749"/>
    <mergeCell ref="K740:N740"/>
    <mergeCell ref="T742:W742"/>
    <mergeCell ref="K743:N743"/>
    <mergeCell ref="O743:S743"/>
    <mergeCell ref="X738:AB738"/>
    <mergeCell ref="O741:S741"/>
    <mergeCell ref="J792:N792"/>
    <mergeCell ref="K733:N733"/>
    <mergeCell ref="D1098:AK1102"/>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827:P827"/>
    <mergeCell ref="J797:N797"/>
    <mergeCell ref="AH734:AJ734"/>
    <mergeCell ref="B736:F736"/>
    <mergeCell ref="K735:N735"/>
    <mergeCell ref="K736:N736"/>
    <mergeCell ref="AC794:AG794"/>
    <mergeCell ref="B750:F750"/>
    <mergeCell ref="B751:F751"/>
    <mergeCell ref="AC826:AF826"/>
    <mergeCell ref="AK739:AO739"/>
    <mergeCell ref="B740:F740"/>
    <mergeCell ref="X789:AB789"/>
    <mergeCell ref="X790:AB790"/>
    <mergeCell ref="X791:AB791"/>
    <mergeCell ref="X740:AB740"/>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G740:J740"/>
    <mergeCell ref="T733:W733"/>
    <mergeCell ref="T735:W735"/>
    <mergeCell ref="AK638:AN638"/>
    <mergeCell ref="CM641:CQ641"/>
    <mergeCell ref="CC637:CG637"/>
    <mergeCell ref="BX641:CB641"/>
    <mergeCell ref="CC641:CG641"/>
    <mergeCell ref="CC639:CG639"/>
    <mergeCell ref="AO639:AS639"/>
    <mergeCell ref="CC640:CG640"/>
    <mergeCell ref="AF632:AJ632"/>
    <mergeCell ref="C632:L632"/>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826:H826"/>
    <mergeCell ref="J795:N795"/>
    <mergeCell ref="B732:F732"/>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X609:DB609"/>
    <mergeCell ref="CH606:CL606"/>
    <mergeCell ref="CH605:CL605"/>
    <mergeCell ref="CH609:CL609"/>
    <mergeCell ref="CH610:CL610"/>
    <mergeCell ref="CH608:CL608"/>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BX599:CB599"/>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544:AT545"/>
    <mergeCell ref="A480:AT481"/>
    <mergeCell ref="B566:AL566"/>
    <mergeCell ref="AM561:AS561"/>
    <mergeCell ref="AM559:AS559"/>
    <mergeCell ref="H590:R59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P346:AE346"/>
    <mergeCell ref="AI556:AL556"/>
    <mergeCell ref="AD412:AE412"/>
    <mergeCell ref="AC456:AF456"/>
    <mergeCell ref="CM596:CQ596"/>
    <mergeCell ref="G570:R570"/>
    <mergeCell ref="Z561:AD561"/>
    <mergeCell ref="M562:P562"/>
    <mergeCell ref="M563:P563"/>
    <mergeCell ref="I421:K421"/>
    <mergeCell ref="T564:V564"/>
    <mergeCell ref="M554:P554"/>
    <mergeCell ref="C561:L561"/>
    <mergeCell ref="P344:AE344"/>
    <mergeCell ref="N372:Q372"/>
    <mergeCell ref="P424:Q424"/>
    <mergeCell ref="Q492:AK492"/>
    <mergeCell ref="W560:Y560"/>
    <mergeCell ref="AA339:AF339"/>
    <mergeCell ref="D468:V468"/>
    <mergeCell ref="S405:AJ405"/>
    <mergeCell ref="AC539:AF539"/>
    <mergeCell ref="F457:AB458"/>
    <mergeCell ref="AH536:AK536"/>
    <mergeCell ref="AE425:AF425"/>
    <mergeCell ref="AC507:AF507"/>
    <mergeCell ref="A351:AT352"/>
    <mergeCell ref="CH623:CL623"/>
    <mergeCell ref="AI581:AK581"/>
    <mergeCell ref="AM564:AS564"/>
    <mergeCell ref="AM563:AS563"/>
    <mergeCell ref="Z560:AD560"/>
    <mergeCell ref="G604:R604"/>
    <mergeCell ref="Z604:AK604"/>
    <mergeCell ref="G588:R588"/>
    <mergeCell ref="G613:L613"/>
    <mergeCell ref="G579:R579"/>
    <mergeCell ref="AM560:AS560"/>
    <mergeCell ref="Z578:AK578"/>
    <mergeCell ref="Z603:AK603"/>
    <mergeCell ref="AI605:AK605"/>
    <mergeCell ref="BK611:BL611"/>
    <mergeCell ref="BN600:BR600"/>
    <mergeCell ref="BS639:BW639"/>
    <mergeCell ref="AC628:AE628"/>
    <mergeCell ref="Z628:AB628"/>
    <mergeCell ref="Z629:AB629"/>
    <mergeCell ref="T635:V635"/>
    <mergeCell ref="T636:V636"/>
    <mergeCell ref="T637:V637"/>
    <mergeCell ref="T638:V638"/>
    <mergeCell ref="Q624:S626"/>
    <mergeCell ref="BS632:BW632"/>
    <mergeCell ref="M635:P635"/>
    <mergeCell ref="M636:P636"/>
    <mergeCell ref="AF630:AJ630"/>
    <mergeCell ref="BE617:BF617"/>
    <mergeCell ref="AA614:AK614"/>
    <mergeCell ref="BE605:BF605"/>
    <mergeCell ref="CM612:CQ612"/>
    <mergeCell ref="BX638:CB638"/>
    <mergeCell ref="BX637:CB637"/>
    <mergeCell ref="CH638:CL638"/>
    <mergeCell ref="CH617:CL617"/>
    <mergeCell ref="BN638:BR638"/>
    <mergeCell ref="CH611:CL611"/>
    <mergeCell ref="BS611:BW611"/>
    <mergeCell ref="BG609:BH609"/>
    <mergeCell ref="BE630:BF630"/>
    <mergeCell ref="BS617:BW617"/>
    <mergeCell ref="BS630:BW630"/>
    <mergeCell ref="AK624:AN626"/>
    <mergeCell ref="AK627:AN627"/>
    <mergeCell ref="AC636:AE636"/>
    <mergeCell ref="AC637:AE637"/>
    <mergeCell ref="AC638:AE638"/>
    <mergeCell ref="CC609:CG609"/>
    <mergeCell ref="BN626:BR626"/>
    <mergeCell ref="BG627:BH627"/>
    <mergeCell ref="BI627:BJ627"/>
    <mergeCell ref="BK627:BL627"/>
    <mergeCell ref="BS637:BW637"/>
    <mergeCell ref="BN622:BR622"/>
    <mergeCell ref="BN615:BR615"/>
    <mergeCell ref="CC616:CG616"/>
    <mergeCell ref="BX618:CB618"/>
    <mergeCell ref="CC618:CG618"/>
    <mergeCell ref="BI630:BJ630"/>
    <mergeCell ref="CC620:CG620"/>
    <mergeCell ref="BX629:CB629"/>
    <mergeCell ref="BE620:BF620"/>
    <mergeCell ref="CH627:CL627"/>
    <mergeCell ref="CM611:CQ611"/>
    <mergeCell ref="BG617:BH617"/>
    <mergeCell ref="BS615:BW615"/>
    <mergeCell ref="CC611:CG611"/>
    <mergeCell ref="BS612:BW612"/>
    <mergeCell ref="BN616:BR616"/>
    <mergeCell ref="BE618:BF618"/>
    <mergeCell ref="BE619:BF619"/>
    <mergeCell ref="BI616:BJ616"/>
    <mergeCell ref="BE611:BF611"/>
    <mergeCell ref="CH612:CL612"/>
    <mergeCell ref="G611:R611"/>
    <mergeCell ref="CH613:CL613"/>
    <mergeCell ref="Q638:S638"/>
    <mergeCell ref="Z634:AB634"/>
    <mergeCell ref="Z635:AB635"/>
    <mergeCell ref="W628:Y628"/>
    <mergeCell ref="W629:Y629"/>
    <mergeCell ref="W630:Y630"/>
    <mergeCell ref="W631:Y631"/>
    <mergeCell ref="AG615:AH615"/>
    <mergeCell ref="P613:R613"/>
    <mergeCell ref="M628:P628"/>
    <mergeCell ref="M629:P629"/>
    <mergeCell ref="M630:P630"/>
    <mergeCell ref="BG623:BH623"/>
    <mergeCell ref="CC623:CG623"/>
    <mergeCell ref="BK612:BL612"/>
    <mergeCell ref="CH625:CL625"/>
    <mergeCell ref="BN629:BR629"/>
    <mergeCell ref="BS629:BW629"/>
    <mergeCell ref="BI625:BJ625"/>
    <mergeCell ref="CM613:CQ613"/>
    <mergeCell ref="CM614:CQ614"/>
    <mergeCell ref="CM615:CQ615"/>
    <mergeCell ref="BG615:BH615"/>
    <mergeCell ref="CM616:CQ616"/>
    <mergeCell ref="CM617:CQ617"/>
    <mergeCell ref="CM618:CQ618"/>
    <mergeCell ref="BE615:BF615"/>
    <mergeCell ref="BG619:BH619"/>
    <mergeCell ref="BX612:CB612"/>
    <mergeCell ref="CH622:CL622"/>
    <mergeCell ref="BG626:BH626"/>
    <mergeCell ref="BN639:BR639"/>
    <mergeCell ref="BN640:BR640"/>
    <mergeCell ref="BN641:BR641"/>
    <mergeCell ref="BX639:CB639"/>
    <mergeCell ref="BX640:CB640"/>
    <mergeCell ref="BE613:BF613"/>
    <mergeCell ref="BI626:BJ626"/>
    <mergeCell ref="BK626:BL626"/>
    <mergeCell ref="BN621:BR621"/>
    <mergeCell ref="BS621:BW621"/>
    <mergeCell ref="BX621:CB621"/>
    <mergeCell ref="CC621:CG621"/>
    <mergeCell ref="CH621:CL621"/>
    <mergeCell ref="BI615:BJ615"/>
    <mergeCell ref="BS613:BW613"/>
    <mergeCell ref="CC629:CG629"/>
    <mergeCell ref="CH629:CL629"/>
    <mergeCell ref="BX627:CB627"/>
    <mergeCell ref="CC627:CG627"/>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G612:BH612"/>
    <mergeCell ref="BN612:BR612"/>
    <mergeCell ref="BI614:BJ614"/>
    <mergeCell ref="CH628:CL628"/>
    <mergeCell ref="BN619:BR619"/>
    <mergeCell ref="BK615:BL615"/>
    <mergeCell ref="BN618:BR618"/>
    <mergeCell ref="BK617:BL617"/>
    <mergeCell ref="BG625:BH625"/>
    <mergeCell ref="BS619:BW619"/>
    <mergeCell ref="CH640:CL640"/>
    <mergeCell ref="BX626:CB626"/>
    <mergeCell ref="CC626:CG626"/>
    <mergeCell ref="BN623:BR623"/>
    <mergeCell ref="AC630:AE630"/>
    <mergeCell ref="AC631:AE631"/>
    <mergeCell ref="AC632:AE632"/>
    <mergeCell ref="Z646:AK646"/>
    <mergeCell ref="BE629:BF629"/>
    <mergeCell ref="M633:P633"/>
    <mergeCell ref="M634:P634"/>
    <mergeCell ref="AG649:AH649"/>
    <mergeCell ref="C636:L636"/>
    <mergeCell ref="C637:L637"/>
    <mergeCell ref="C638:L638"/>
    <mergeCell ref="BE627:BF627"/>
    <mergeCell ref="AK631:AN631"/>
    <mergeCell ref="Z647:AE647"/>
    <mergeCell ref="BE628:BF628"/>
    <mergeCell ref="AO638:AS638"/>
    <mergeCell ref="AF636:AJ636"/>
    <mergeCell ref="AF637:AJ637"/>
    <mergeCell ref="AF638:AJ638"/>
    <mergeCell ref="T628:V628"/>
    <mergeCell ref="BE631:BF631"/>
    <mergeCell ref="AO634:AS634"/>
    <mergeCell ref="AF635:AJ635"/>
    <mergeCell ref="AO635:AS635"/>
    <mergeCell ref="C629:L629"/>
    <mergeCell ref="C630:L630"/>
    <mergeCell ref="AK632:AN632"/>
    <mergeCell ref="W635:Y635"/>
    <mergeCell ref="BN637:BR637"/>
    <mergeCell ref="BS631:BW631"/>
    <mergeCell ref="BN655:BR655"/>
    <mergeCell ref="BS640:BW640"/>
    <mergeCell ref="BS649:BW649"/>
    <mergeCell ref="BG631:BH631"/>
    <mergeCell ref="BI631:BJ631"/>
    <mergeCell ref="BN645:BR645"/>
    <mergeCell ref="BS647:BW647"/>
    <mergeCell ref="BN660:BR660"/>
    <mergeCell ref="AA664:AK664"/>
    <mergeCell ref="AH729:AJ729"/>
    <mergeCell ref="B734:F734"/>
    <mergeCell ref="B731:F731"/>
    <mergeCell ref="B730:F730"/>
    <mergeCell ref="O731:S731"/>
    <mergeCell ref="X723:AB723"/>
    <mergeCell ref="M637:P637"/>
    <mergeCell ref="M638:P638"/>
    <mergeCell ref="B641:AN641"/>
    <mergeCell ref="BN646:BR646"/>
    <mergeCell ref="B723:F723"/>
    <mergeCell ref="O730:S730"/>
    <mergeCell ref="K724:N724"/>
    <mergeCell ref="Z636:AB636"/>
    <mergeCell ref="Z637:AB637"/>
    <mergeCell ref="Z638:AB638"/>
    <mergeCell ref="W637:Y637"/>
    <mergeCell ref="W638:Y638"/>
    <mergeCell ref="G663:L663"/>
    <mergeCell ref="BS641:BW641"/>
    <mergeCell ref="AO632:AS632"/>
    <mergeCell ref="C827:H827"/>
    <mergeCell ref="B733:F733"/>
    <mergeCell ref="X732:AB732"/>
    <mergeCell ref="K734:N734"/>
    <mergeCell ref="J793:N793"/>
    <mergeCell ref="O793:S793"/>
    <mergeCell ref="J790:N790"/>
    <mergeCell ref="C798:AN799"/>
    <mergeCell ref="T795:W795"/>
    <mergeCell ref="B752:F752"/>
    <mergeCell ref="AK752:AO752"/>
    <mergeCell ref="O776:S776"/>
    <mergeCell ref="O769:S772"/>
    <mergeCell ref="AK735:AO735"/>
    <mergeCell ref="X733:AB733"/>
    <mergeCell ref="AK732:AO732"/>
    <mergeCell ref="E885:AB885"/>
    <mergeCell ref="W843:AC843"/>
    <mergeCell ref="J849:V849"/>
    <mergeCell ref="W855:AC855"/>
    <mergeCell ref="W846:AC846"/>
    <mergeCell ref="W852:AC852"/>
    <mergeCell ref="AC734:AG734"/>
    <mergeCell ref="AC735:AG735"/>
    <mergeCell ref="O783:S786"/>
    <mergeCell ref="O756:R756"/>
    <mergeCell ref="AG756:AJ756"/>
    <mergeCell ref="T776:W776"/>
    <mergeCell ref="AH749:AJ749"/>
    <mergeCell ref="AD759:AF759"/>
    <mergeCell ref="AC774:AG774"/>
    <mergeCell ref="T775:W775"/>
    <mergeCell ref="U947:Z947"/>
    <mergeCell ref="U934:Z934"/>
    <mergeCell ref="T972:Z972"/>
    <mergeCell ref="I946:T946"/>
    <mergeCell ref="AJ1044:AQ1047"/>
    <mergeCell ref="AJ1048:AQ1051"/>
    <mergeCell ref="AJ1052:AQ1052"/>
    <mergeCell ref="AG1028:AH1028"/>
    <mergeCell ref="AJ989:AQ989"/>
    <mergeCell ref="D1036:AE1039"/>
    <mergeCell ref="AJ1035:AQ1039"/>
    <mergeCell ref="D1052:AI1052"/>
    <mergeCell ref="D1048:AE1048"/>
    <mergeCell ref="D1045:AE1046"/>
    <mergeCell ref="D1049:AE1050"/>
    <mergeCell ref="AA940:AF940"/>
    <mergeCell ref="A909:AT910"/>
    <mergeCell ref="U937:Z937"/>
    <mergeCell ref="X1047:Y1047"/>
    <mergeCell ref="F945:H945"/>
    <mergeCell ref="AB916:AE916"/>
    <mergeCell ref="AA921:AF921"/>
    <mergeCell ref="U931:Z931"/>
    <mergeCell ref="AA931:AF931"/>
    <mergeCell ref="F937:T937"/>
    <mergeCell ref="F938:T938"/>
    <mergeCell ref="F939:T939"/>
    <mergeCell ref="U938:Z938"/>
    <mergeCell ref="M961:S961"/>
    <mergeCell ref="AJ1040:AQ1043"/>
    <mergeCell ref="D1029:AE1030"/>
    <mergeCell ref="U919:Z91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D1040:AE1040"/>
    <mergeCell ref="D1041:AE1043"/>
    <mergeCell ref="U924:Z924"/>
    <mergeCell ref="AA934:AF934"/>
    <mergeCell ref="A1060:AQ1060"/>
    <mergeCell ref="F928:T928"/>
    <mergeCell ref="B1059:AP1059"/>
    <mergeCell ref="AJ1028:AQ1030"/>
    <mergeCell ref="M968:S968"/>
    <mergeCell ref="D1076:AK1082"/>
    <mergeCell ref="M967:S967"/>
    <mergeCell ref="AA966:AG966"/>
    <mergeCell ref="AA972:AG972"/>
    <mergeCell ref="D1070:AK1075"/>
    <mergeCell ref="M971:S971"/>
    <mergeCell ref="M960:S960"/>
    <mergeCell ref="D1083:AK1085"/>
    <mergeCell ref="AA928:AF9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F929:T929"/>
    <mergeCell ref="F930:T930"/>
    <mergeCell ref="F931:T931"/>
    <mergeCell ref="U927:Z927"/>
    <mergeCell ref="AA918:AF918"/>
    <mergeCell ref="U923:Z923"/>
    <mergeCell ref="AA924:AF924"/>
    <mergeCell ref="AA919:AF919"/>
    <mergeCell ref="J956:S956"/>
    <mergeCell ref="AA948:AF948"/>
    <mergeCell ref="U940:Z940"/>
    <mergeCell ref="U921:Z921"/>
    <mergeCell ref="AA923:AF923"/>
    <mergeCell ref="BD905:BF905"/>
    <mergeCell ref="M876:V876"/>
    <mergeCell ref="W868:AC868"/>
    <mergeCell ref="AC885:AH885"/>
    <mergeCell ref="BD904:BF904"/>
    <mergeCell ref="BD903:BE903"/>
    <mergeCell ref="I945:T945"/>
    <mergeCell ref="U945:Z945"/>
    <mergeCell ref="AA945:AF945"/>
    <mergeCell ref="BD902:BE902"/>
    <mergeCell ref="W869:AC869"/>
    <mergeCell ref="W867:AC867"/>
    <mergeCell ref="W862:AC862"/>
    <mergeCell ref="U929:Z929"/>
    <mergeCell ref="AA929:AF929"/>
    <mergeCell ref="F925:T925"/>
    <mergeCell ref="F926:T926"/>
    <mergeCell ref="F927:T927"/>
    <mergeCell ref="U925:Z925"/>
    <mergeCell ref="AA925:AF925"/>
    <mergeCell ref="U926:Z926"/>
    <mergeCell ref="AA926:AF926"/>
    <mergeCell ref="M871:V871"/>
    <mergeCell ref="AC887:AH887"/>
    <mergeCell ref="AC890:AH890"/>
    <mergeCell ref="F936:T936"/>
    <mergeCell ref="U936:Z936"/>
    <mergeCell ref="AA936:AF936"/>
    <mergeCell ref="AC888:AH888"/>
    <mergeCell ref="M878:V878"/>
    <mergeCell ref="AC883:AH883"/>
    <mergeCell ref="U928:Z928"/>
    <mergeCell ref="Z813:AE813"/>
    <mergeCell ref="Y825:AB825"/>
    <mergeCell ref="AC825:AF825"/>
    <mergeCell ref="AG827:AJ827"/>
    <mergeCell ref="M826:P826"/>
    <mergeCell ref="AG826:AJ826"/>
    <mergeCell ref="AG825:AJ825"/>
    <mergeCell ref="AC797:AG797"/>
    <mergeCell ref="U828:X828"/>
    <mergeCell ref="M831:P831"/>
    <mergeCell ref="Y830:AB830"/>
    <mergeCell ref="AC795:AG795"/>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B737:F737"/>
    <mergeCell ref="AC831:AF831"/>
    <mergeCell ref="B735:F735"/>
    <mergeCell ref="C628:L628"/>
    <mergeCell ref="AZ851:BA851"/>
    <mergeCell ref="W876:AC876"/>
    <mergeCell ref="M861:V861"/>
    <mergeCell ref="W845:AC845"/>
    <mergeCell ref="W854:AC854"/>
    <mergeCell ref="BD898:BE898"/>
    <mergeCell ref="BD900:BE900"/>
    <mergeCell ref="BD901:BE901"/>
    <mergeCell ref="BD899:BE899"/>
    <mergeCell ref="M875:V875"/>
    <mergeCell ref="W877:AC877"/>
    <mergeCell ref="W853:AC853"/>
    <mergeCell ref="AC886:AH886"/>
    <mergeCell ref="W874:AC874"/>
    <mergeCell ref="C894:AB894"/>
    <mergeCell ref="AC889:AH889"/>
    <mergeCell ref="Z898:AE898"/>
    <mergeCell ref="AC893:AH893"/>
    <mergeCell ref="AC892:AH892"/>
    <mergeCell ref="AC891:AH891"/>
    <mergeCell ref="C893:AB893"/>
    <mergeCell ref="AC884:AH884"/>
    <mergeCell ref="W851:AC851"/>
    <mergeCell ref="Z899:AE899"/>
    <mergeCell ref="W875:AC875"/>
    <mergeCell ref="T858:V858"/>
    <mergeCell ref="W872:AC872"/>
    <mergeCell ref="W863:AC863"/>
    <mergeCell ref="W849:AC849"/>
    <mergeCell ref="W857:AC857"/>
    <mergeCell ref="M846:V846"/>
    <mergeCell ref="Z901:AE901"/>
    <mergeCell ref="W844:AC844"/>
    <mergeCell ref="AC832:AF832"/>
    <mergeCell ref="W859:AC859"/>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J788:N788"/>
    <mergeCell ref="Z818:AE818"/>
    <mergeCell ref="O789:S789"/>
    <mergeCell ref="J775:N775"/>
    <mergeCell ref="AC776:AG776"/>
    <mergeCell ref="AG823:AJ824"/>
    <mergeCell ref="M830:P830"/>
    <mergeCell ref="T791:W791"/>
    <mergeCell ref="Y801:AC801"/>
    <mergeCell ref="AC827:AF827"/>
    <mergeCell ref="AC777:AG777"/>
    <mergeCell ref="Y832:AB832"/>
    <mergeCell ref="T860:V860"/>
    <mergeCell ref="Z809:AE809"/>
    <mergeCell ref="J769:N772"/>
    <mergeCell ref="AC787:AG787"/>
    <mergeCell ref="U829:X829"/>
    <mergeCell ref="U827:X827"/>
    <mergeCell ref="Q825:T825"/>
    <mergeCell ref="O790:S790"/>
    <mergeCell ref="AC828:AF828"/>
    <mergeCell ref="U823:X824"/>
    <mergeCell ref="X752:AB752"/>
    <mergeCell ref="Q829:T829"/>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AG832:AJ832"/>
    <mergeCell ref="X773:AB773"/>
    <mergeCell ref="C828:H828"/>
    <mergeCell ref="B718:F718"/>
    <mergeCell ref="T722:W722"/>
    <mergeCell ref="B639:AN639"/>
    <mergeCell ref="B640:AN640"/>
    <mergeCell ref="T787:W787"/>
    <mergeCell ref="T788:W788"/>
    <mergeCell ref="O796:S796"/>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61:P561"/>
    <mergeCell ref="M557:P557"/>
    <mergeCell ref="Z613:AE613"/>
    <mergeCell ref="G610:R610"/>
    <mergeCell ref="T565:V565"/>
    <mergeCell ref="C560:L560"/>
    <mergeCell ref="AH753:AJ753"/>
    <mergeCell ref="B721:F721"/>
    <mergeCell ref="B727:F727"/>
    <mergeCell ref="T562:V562"/>
    <mergeCell ref="Z670:AK670"/>
    <mergeCell ref="N657:O657"/>
    <mergeCell ref="Q823:T824"/>
    <mergeCell ref="K728:N728"/>
    <mergeCell ref="K729:N729"/>
    <mergeCell ref="Z610:AK610"/>
    <mergeCell ref="Z677:AK677"/>
    <mergeCell ref="Q394:U394"/>
    <mergeCell ref="AO633:AS633"/>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Z587:AK587"/>
    <mergeCell ref="AE402:AJ402"/>
    <mergeCell ref="Z434:AA434"/>
    <mergeCell ref="T783:W786"/>
    <mergeCell ref="G722:J722"/>
    <mergeCell ref="G679:L679"/>
    <mergeCell ref="Z651:AK651"/>
    <mergeCell ref="P655:R655"/>
    <mergeCell ref="Z653:AK653"/>
    <mergeCell ref="Z652:AK652"/>
    <mergeCell ref="N673:O673"/>
    <mergeCell ref="G687:L687"/>
    <mergeCell ref="Z671:AE671"/>
    <mergeCell ref="Z668:AK668"/>
    <mergeCell ref="P663:R663"/>
    <mergeCell ref="AG657:AH657"/>
    <mergeCell ref="G661:R661"/>
    <mergeCell ref="AI679:AK679"/>
    <mergeCell ref="G652:R652"/>
    <mergeCell ref="AI647:AK647"/>
    <mergeCell ref="H648:R648"/>
    <mergeCell ref="G647:L647"/>
    <mergeCell ref="H656:R656"/>
    <mergeCell ref="G655:L655"/>
    <mergeCell ref="G660:R660"/>
    <mergeCell ref="G659:R659"/>
    <mergeCell ref="Z659:AK659"/>
    <mergeCell ref="H664:R664"/>
    <mergeCell ref="G651:R651"/>
    <mergeCell ref="AG673:AH673"/>
    <mergeCell ref="C631:L631"/>
    <mergeCell ref="W636:Y636"/>
    <mergeCell ref="AG393:AJ393"/>
    <mergeCell ref="M356:N356"/>
    <mergeCell ref="G474:V474"/>
    <mergeCell ref="AG583:AH583"/>
    <mergeCell ref="Z551:AD553"/>
    <mergeCell ref="AH538:AK538"/>
    <mergeCell ref="W471:Y471"/>
    <mergeCell ref="AC523:AF523"/>
    <mergeCell ref="W474:Y474"/>
    <mergeCell ref="D473:V473"/>
    <mergeCell ref="D441:AF441"/>
    <mergeCell ref="D466:V466"/>
    <mergeCell ref="AG437:AJ437"/>
    <mergeCell ref="Z654:AK654"/>
    <mergeCell ref="G645:R645"/>
    <mergeCell ref="AF634:AJ634"/>
    <mergeCell ref="W633:Y633"/>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M265:T265"/>
    <mergeCell ref="AA314:AK314"/>
    <mergeCell ref="AA313:AK313"/>
    <mergeCell ref="H319:R319"/>
    <mergeCell ref="AA316:AF316"/>
    <mergeCell ref="AA297:AK297"/>
    <mergeCell ref="AA327:AK327"/>
    <mergeCell ref="H335:R335"/>
    <mergeCell ref="AI315:AK315"/>
    <mergeCell ref="AA304:AK304"/>
    <mergeCell ref="AA312:AK312"/>
    <mergeCell ref="AA288:AK288"/>
    <mergeCell ref="H287:R287"/>
    <mergeCell ref="AA324:AF324"/>
    <mergeCell ref="H336:R336"/>
    <mergeCell ref="AI331:AK331"/>
    <mergeCell ref="AG401:AJ401"/>
    <mergeCell ref="AC347:AE347"/>
    <mergeCell ref="P343:AE343"/>
    <mergeCell ref="AA340:AF340"/>
    <mergeCell ref="P339:R339"/>
    <mergeCell ref="AH195:AI195"/>
    <mergeCell ref="AH196:AI196"/>
    <mergeCell ref="U176:V176"/>
    <mergeCell ref="AH194:AI194"/>
    <mergeCell ref="I185:AE185"/>
    <mergeCell ref="I189:P189"/>
    <mergeCell ref="T189:AE189"/>
    <mergeCell ref="I190:N190"/>
    <mergeCell ref="T190:AE190"/>
    <mergeCell ref="D220:Z220"/>
    <mergeCell ref="H328:R328"/>
    <mergeCell ref="AA319:AK319"/>
    <mergeCell ref="AA323:AF323"/>
    <mergeCell ref="H320:R320"/>
    <mergeCell ref="H296:R296"/>
    <mergeCell ref="H323:M323"/>
    <mergeCell ref="AA330:AK330"/>
    <mergeCell ref="H324:M324"/>
    <mergeCell ref="AA325:AK325"/>
    <mergeCell ref="H315:M315"/>
    <mergeCell ref="H321:R321"/>
    <mergeCell ref="H322:R322"/>
    <mergeCell ref="P315:R315"/>
    <mergeCell ref="AI299:AK299"/>
    <mergeCell ref="H297:R297"/>
    <mergeCell ref="AA298:AK298"/>
    <mergeCell ref="H317:R317"/>
    <mergeCell ref="AA301:AK301"/>
    <mergeCell ref="H301:R301"/>
    <mergeCell ref="AA307:AF307"/>
    <mergeCell ref="H313:R313"/>
    <mergeCell ref="H300:M300"/>
    <mergeCell ref="W245:X245"/>
    <mergeCell ref="U247:W247"/>
    <mergeCell ref="M237:AE237"/>
    <mergeCell ref="AI227:AJ227"/>
    <mergeCell ref="A222:AT223"/>
    <mergeCell ref="AF178:AG178"/>
    <mergeCell ref="G113:H113"/>
    <mergeCell ref="Y120:AK120"/>
    <mergeCell ref="C115:K115"/>
    <mergeCell ref="O160:T160"/>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U175:V175"/>
    <mergeCell ref="R177:S177"/>
    <mergeCell ref="U236:W236"/>
    <mergeCell ref="M243:AE243"/>
    <mergeCell ref="D204:M204"/>
    <mergeCell ref="P204:U204"/>
    <mergeCell ref="M26:Q26"/>
    <mergeCell ref="A21:AL21"/>
    <mergeCell ref="F150:T150"/>
    <mergeCell ref="A72:AT73"/>
    <mergeCell ref="M27:Q27"/>
    <mergeCell ref="Y123:AK123"/>
    <mergeCell ref="AC245:AE245"/>
    <mergeCell ref="M246:AE246"/>
    <mergeCell ref="AA238:AK238"/>
    <mergeCell ref="AI178:AK178"/>
    <mergeCell ref="M234:T234"/>
    <mergeCell ref="W234:X234"/>
    <mergeCell ref="AB212:AC212"/>
    <mergeCell ref="AF243:AK243"/>
    <mergeCell ref="J174:AB174"/>
    <mergeCell ref="M238:T238"/>
    <mergeCell ref="Z204:AF206"/>
    <mergeCell ref="T197:U197"/>
    <mergeCell ref="P205:U205"/>
    <mergeCell ref="M239:AE239"/>
    <mergeCell ref="AI229:AJ229"/>
    <mergeCell ref="M235:AE235"/>
    <mergeCell ref="T193:AI193"/>
    <mergeCell ref="D205:M205"/>
    <mergeCell ref="M233:AE233"/>
    <mergeCell ref="N191:AE192"/>
    <mergeCell ref="D211:M211"/>
    <mergeCell ref="AI228:AJ228"/>
    <mergeCell ref="AI226:AJ226"/>
    <mergeCell ref="J173:S173"/>
    <mergeCell ref="O155:AH155"/>
    <mergeCell ref="O153:AH15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249:AK249"/>
    <mergeCell ref="AB215:AL215"/>
    <mergeCell ref="T198:U198"/>
    <mergeCell ref="Y212:Z212"/>
    <mergeCell ref="D214:Z214"/>
    <mergeCell ref="AB216:AL216"/>
    <mergeCell ref="A105:AT106"/>
    <mergeCell ref="L113:O113"/>
    <mergeCell ref="O161:AH161"/>
    <mergeCell ref="D164:AH164"/>
    <mergeCell ref="M249:T249"/>
    <mergeCell ref="O154:AH154"/>
    <mergeCell ref="O156:AH156"/>
    <mergeCell ref="O157:X157"/>
    <mergeCell ref="O158:R158"/>
    <mergeCell ref="W159:X159"/>
    <mergeCell ref="O159:T159"/>
    <mergeCell ref="P113:S113"/>
    <mergeCell ref="M236:R236"/>
    <mergeCell ref="Z236:AE236"/>
    <mergeCell ref="Y117:AK117"/>
    <mergeCell ref="M232:AK232"/>
    <mergeCell ref="W261:X261"/>
    <mergeCell ref="U263:W263"/>
    <mergeCell ref="M257:T257"/>
    <mergeCell ref="M256:AE256"/>
    <mergeCell ref="P291:R291"/>
    <mergeCell ref="L274:AJ274"/>
    <mergeCell ref="H289:R289"/>
    <mergeCell ref="H291:M291"/>
    <mergeCell ref="H299:M299"/>
    <mergeCell ref="AA257:AK257"/>
    <mergeCell ref="M260:AE260"/>
    <mergeCell ref="AA265:AK265"/>
    <mergeCell ref="H295:R295"/>
    <mergeCell ref="M261:T261"/>
    <mergeCell ref="AH262:AK262"/>
    <mergeCell ref="T195:U195"/>
    <mergeCell ref="E187:AE188"/>
    <mergeCell ref="Z199:AA199"/>
    <mergeCell ref="AC234:AE234"/>
    <mergeCell ref="AH197:AI197"/>
    <mergeCell ref="M254:AE254"/>
    <mergeCell ref="AH254:AK254"/>
    <mergeCell ref="AF251:AK251"/>
    <mergeCell ref="M244:AE244"/>
    <mergeCell ref="M247:R247"/>
    <mergeCell ref="M245:T245"/>
    <mergeCell ref="D208:M208"/>
    <mergeCell ref="T196:U196"/>
    <mergeCell ref="A169:AT170"/>
    <mergeCell ref="Z247:AE247"/>
    <mergeCell ref="M248:AE248"/>
    <mergeCell ref="AC253:AE253"/>
    <mergeCell ref="L277:AD277"/>
    <mergeCell ref="T278:V278"/>
    <mergeCell ref="Z255:AE255"/>
    <mergeCell ref="M255:R255"/>
    <mergeCell ref="M253:T253"/>
    <mergeCell ref="M262:AE262"/>
    <mergeCell ref="AA299:AF299"/>
    <mergeCell ref="AA331:AF331"/>
    <mergeCell ref="H304:R304"/>
    <mergeCell ref="H303:R303"/>
    <mergeCell ref="AA308:AF308"/>
    <mergeCell ref="AA305:AK305"/>
    <mergeCell ref="AA311:AK311"/>
    <mergeCell ref="AA306:AK306"/>
    <mergeCell ref="AA303:AK303"/>
    <mergeCell ref="Z263:AE263"/>
    <mergeCell ref="H311:R311"/>
    <mergeCell ref="H308:M308"/>
    <mergeCell ref="P307:R307"/>
    <mergeCell ref="H305:R305"/>
    <mergeCell ref="AA300:AF300"/>
    <mergeCell ref="H306:R306"/>
    <mergeCell ref="D270:H270"/>
    <mergeCell ref="X270:AC270"/>
    <mergeCell ref="H329:R329"/>
    <mergeCell ref="AA329:AK329"/>
    <mergeCell ref="P331:R331"/>
    <mergeCell ref="H330:R330"/>
    <mergeCell ref="AA321:AK321"/>
    <mergeCell ref="H325:R325"/>
    <mergeCell ref="AH535:AK535"/>
    <mergeCell ref="AH527:AK527"/>
    <mergeCell ref="AC517:AF517"/>
    <mergeCell ref="AH501:AK501"/>
    <mergeCell ref="D450:AF450"/>
    <mergeCell ref="D451:AJ452"/>
    <mergeCell ref="S402:U402"/>
    <mergeCell ref="P425:Q425"/>
    <mergeCell ref="I418:K418"/>
    <mergeCell ref="S413:T413"/>
    <mergeCell ref="AA293:AK293"/>
    <mergeCell ref="AH529:AK529"/>
    <mergeCell ref="B489:P490"/>
    <mergeCell ref="AC506:AF506"/>
    <mergeCell ref="D443:AF443"/>
    <mergeCell ref="AA292:AF292"/>
    <mergeCell ref="AB276:AD276"/>
    <mergeCell ref="Y278:AD278"/>
    <mergeCell ref="AA295:AK295"/>
    <mergeCell ref="AI339:AK339"/>
    <mergeCell ref="H340:M340"/>
    <mergeCell ref="H332:M332"/>
    <mergeCell ref="AA336:AK336"/>
    <mergeCell ref="H333:R333"/>
    <mergeCell ref="H307:M307"/>
    <mergeCell ref="Q485:AK485"/>
    <mergeCell ref="AC531:AF531"/>
    <mergeCell ref="AH509:AK509"/>
    <mergeCell ref="D437:AF437"/>
    <mergeCell ref="AC522:AF522"/>
    <mergeCell ref="BS597:BW597"/>
    <mergeCell ref="BG596:BH596"/>
    <mergeCell ref="BG599:BH599"/>
    <mergeCell ref="CC598:CG598"/>
    <mergeCell ref="BI607:BJ607"/>
    <mergeCell ref="BG604:BH604"/>
    <mergeCell ref="BX602:CB602"/>
    <mergeCell ref="CC597:CG597"/>
    <mergeCell ref="AC370:AF370"/>
    <mergeCell ref="P348:Z348"/>
    <mergeCell ref="N373:AF374"/>
    <mergeCell ref="AJ355:AK355"/>
    <mergeCell ref="H338:R338"/>
    <mergeCell ref="H288:R288"/>
    <mergeCell ref="AA335:AK335"/>
    <mergeCell ref="CH597:CL597"/>
    <mergeCell ref="BX598:CB598"/>
    <mergeCell ref="CH598:CL598"/>
    <mergeCell ref="BS596:BW596"/>
    <mergeCell ref="BK604:BL604"/>
    <mergeCell ref="BX597:CB597"/>
    <mergeCell ref="CH596:CL596"/>
    <mergeCell ref="CH601:CL601"/>
    <mergeCell ref="BS603:BW603"/>
    <mergeCell ref="BN604:BR604"/>
    <mergeCell ref="BN598:BR598"/>
    <mergeCell ref="BG603:BH603"/>
    <mergeCell ref="AI597:AK597"/>
    <mergeCell ref="AC536:AF536"/>
    <mergeCell ref="Q559:S559"/>
    <mergeCell ref="S489:AK490"/>
    <mergeCell ref="Q563:S563"/>
    <mergeCell ref="BK596:BL596"/>
    <mergeCell ref="BK603:BL603"/>
    <mergeCell ref="BX596:CB596"/>
    <mergeCell ref="BG601:BH601"/>
    <mergeCell ref="BG600:BH600"/>
    <mergeCell ref="CC600:CG600"/>
    <mergeCell ref="CC607:CG607"/>
    <mergeCell ref="BS608:BW608"/>
    <mergeCell ref="BN608:BR608"/>
    <mergeCell ref="BI604:BJ604"/>
    <mergeCell ref="CC606:CG606"/>
    <mergeCell ref="BK597:BL597"/>
    <mergeCell ref="BN596:BR596"/>
    <mergeCell ref="BI602:BJ602"/>
    <mergeCell ref="BI598:BJ598"/>
    <mergeCell ref="BN597:BR597"/>
    <mergeCell ref="BG597:BH597"/>
    <mergeCell ref="BI597:BJ597"/>
    <mergeCell ref="BN602:BR602"/>
    <mergeCell ref="BX604:CB604"/>
    <mergeCell ref="BS605:BW605"/>
    <mergeCell ref="BX605:CB605"/>
    <mergeCell ref="BI601:BJ601"/>
    <mergeCell ref="BI600:BJ600"/>
    <mergeCell ref="BN603:BR603"/>
    <mergeCell ref="BI605:BJ605"/>
    <mergeCell ref="BX603:CB603"/>
    <mergeCell ref="BK598:BL598"/>
    <mergeCell ref="CC601:CG601"/>
    <mergeCell ref="CC602:CG602"/>
    <mergeCell ref="CC605:CG605"/>
    <mergeCell ref="BS602:BW602"/>
    <mergeCell ref="BS598:BW598"/>
    <mergeCell ref="BS599:BW599"/>
    <mergeCell ref="G603:R603"/>
    <mergeCell ref="N607:O607"/>
    <mergeCell ref="AG607:AH607"/>
    <mergeCell ref="CC610:CG610"/>
    <mergeCell ref="BX610:CB610"/>
    <mergeCell ref="BS616:BW616"/>
    <mergeCell ref="BS606:BW606"/>
    <mergeCell ref="BN606:BR606"/>
    <mergeCell ref="BK606:BL606"/>
    <mergeCell ref="BI606:BJ606"/>
    <mergeCell ref="BK610:BL610"/>
    <mergeCell ref="BG611:BH611"/>
    <mergeCell ref="BK607:BL607"/>
    <mergeCell ref="BN607:BR607"/>
    <mergeCell ref="BS607:BW607"/>
    <mergeCell ref="BN609:BR609"/>
    <mergeCell ref="BN610:BR610"/>
    <mergeCell ref="BE612:BF612"/>
    <mergeCell ref="BI603:BJ603"/>
    <mergeCell ref="BN611:BR611"/>
    <mergeCell ref="BG610:BH610"/>
    <mergeCell ref="BE604:BF604"/>
    <mergeCell ref="BX607:CB607"/>
    <mergeCell ref="BG608:BH608"/>
    <mergeCell ref="BK605:BL605"/>
    <mergeCell ref="CC608:CG608"/>
    <mergeCell ref="BG606:BH606"/>
    <mergeCell ref="BE598:BF598"/>
    <mergeCell ref="BG618:BH618"/>
    <mergeCell ref="BN620:BR620"/>
    <mergeCell ref="BG598:BH598"/>
    <mergeCell ref="BN613:BR613"/>
    <mergeCell ref="BE622:BF622"/>
    <mergeCell ref="BG622:BH622"/>
    <mergeCell ref="BI622:BJ622"/>
    <mergeCell ref="BK622:BL622"/>
    <mergeCell ref="BE603:BF603"/>
    <mergeCell ref="BE600:BF600"/>
    <mergeCell ref="BE608:BF608"/>
    <mergeCell ref="H606:R606"/>
    <mergeCell ref="G605:L605"/>
    <mergeCell ref="G602:R602"/>
    <mergeCell ref="N599:O599"/>
    <mergeCell ref="AA598:AK598"/>
    <mergeCell ref="AA606:AK606"/>
    <mergeCell ref="P605:R605"/>
    <mergeCell ref="BE602:BF602"/>
    <mergeCell ref="BE599:BF599"/>
    <mergeCell ref="BN601:BR601"/>
    <mergeCell ref="BG605:BH605"/>
    <mergeCell ref="BI608:BJ608"/>
    <mergeCell ref="AG599:AH599"/>
    <mergeCell ref="AI613:AK613"/>
    <mergeCell ref="BK599:BL599"/>
    <mergeCell ref="BN599:BR599"/>
    <mergeCell ref="BS604:BW604"/>
    <mergeCell ref="BI610:BJ610"/>
    <mergeCell ref="BI609:BJ609"/>
    <mergeCell ref="BG607:BH607"/>
    <mergeCell ref="BS610:BW610"/>
    <mergeCell ref="BI612:BJ612"/>
    <mergeCell ref="BK609:BL609"/>
    <mergeCell ref="BE601:BF601"/>
    <mergeCell ref="BK600:BL600"/>
    <mergeCell ref="CH599:CL599"/>
    <mergeCell ref="BI611:BJ611"/>
    <mergeCell ref="BK601:BL601"/>
    <mergeCell ref="BS609:BW609"/>
    <mergeCell ref="BS626:BW626"/>
    <mergeCell ref="BX608:CB608"/>
    <mergeCell ref="BX611:CB611"/>
    <mergeCell ref="BX614:CB614"/>
    <mergeCell ref="BX609:CB609"/>
    <mergeCell ref="BX624:CB624"/>
    <mergeCell ref="BX619:CB619"/>
    <mergeCell ref="CC624:CG624"/>
    <mergeCell ref="BK625:BL625"/>
    <mergeCell ref="CC625:CG625"/>
    <mergeCell ref="CC622:CG622"/>
    <mergeCell ref="BI599:BJ599"/>
    <mergeCell ref="BE609:BF609"/>
    <mergeCell ref="BE607:BF607"/>
    <mergeCell ref="CH624:CL624"/>
    <mergeCell ref="CH620:CL620"/>
    <mergeCell ref="BN624:BR624"/>
    <mergeCell ref="BS624:BW624"/>
    <mergeCell ref="BE610:BF610"/>
    <mergeCell ref="BE624:BF624"/>
    <mergeCell ref="BG624:BH624"/>
    <mergeCell ref="BI624:BJ624"/>
    <mergeCell ref="BK624:BL624"/>
    <mergeCell ref="BE625:BF625"/>
    <mergeCell ref="BE606:BF606"/>
    <mergeCell ref="B729:F729"/>
    <mergeCell ref="AI560:AL560"/>
    <mergeCell ref="O529:AA529"/>
    <mergeCell ref="AH533:AK533"/>
    <mergeCell ref="AI563:AL563"/>
    <mergeCell ref="Z562:AD562"/>
    <mergeCell ref="Z563:AD563"/>
    <mergeCell ref="AI564:AL564"/>
    <mergeCell ref="Z554:AD554"/>
    <mergeCell ref="N591:O591"/>
    <mergeCell ref="AA590:AK590"/>
    <mergeCell ref="AI589:AK589"/>
    <mergeCell ref="Z596:AK596"/>
    <mergeCell ref="H598:R598"/>
    <mergeCell ref="G597:L597"/>
    <mergeCell ref="AG591:AH591"/>
    <mergeCell ref="AF629:AJ629"/>
    <mergeCell ref="AC529:AF529"/>
    <mergeCell ref="AH530:AK530"/>
    <mergeCell ref="AE560:AH560"/>
    <mergeCell ref="T556:V556"/>
    <mergeCell ref="Z559:AD559"/>
    <mergeCell ref="AE562:AH562"/>
    <mergeCell ref="AH542:AK542"/>
    <mergeCell ref="AC542:AF542"/>
    <mergeCell ref="AI557:AL557"/>
    <mergeCell ref="H614:R614"/>
    <mergeCell ref="W624:Y626"/>
    <mergeCell ref="B725:F725"/>
    <mergeCell ref="AF624:AJ626"/>
    <mergeCell ref="G643:R643"/>
    <mergeCell ref="M574:R574"/>
    <mergeCell ref="Q554:S554"/>
    <mergeCell ref="Z662:AK662"/>
    <mergeCell ref="B724:F724"/>
    <mergeCell ref="B722:F722"/>
    <mergeCell ref="P647:R647"/>
    <mergeCell ref="T714:W717"/>
    <mergeCell ref="O719:S719"/>
    <mergeCell ref="X724:AB724"/>
    <mergeCell ref="Z655:AE655"/>
    <mergeCell ref="AA656:AK656"/>
    <mergeCell ref="O720:S720"/>
    <mergeCell ref="G714:J717"/>
    <mergeCell ref="P687:R687"/>
    <mergeCell ref="J705:O705"/>
    <mergeCell ref="Z577:AK577"/>
    <mergeCell ref="AE565:AH565"/>
    <mergeCell ref="G580:R580"/>
    <mergeCell ref="Z663:AE663"/>
    <mergeCell ref="AG665:AH665"/>
    <mergeCell ref="G653:R653"/>
    <mergeCell ref="AG681:AH681"/>
    <mergeCell ref="AK630:AN630"/>
    <mergeCell ref="G654:R654"/>
    <mergeCell ref="G668:R668"/>
    <mergeCell ref="P671:R671"/>
    <mergeCell ref="Z643:AK643"/>
    <mergeCell ref="BE597:BF597"/>
    <mergeCell ref="M252:AE252"/>
    <mergeCell ref="AA291:AF291"/>
    <mergeCell ref="AI291:AK291"/>
    <mergeCell ref="M259:AE259"/>
    <mergeCell ref="G731:J731"/>
    <mergeCell ref="AE561:AH561"/>
    <mergeCell ref="AM562:AS562"/>
    <mergeCell ref="Z432:AA432"/>
    <mergeCell ref="Q487:AK487"/>
    <mergeCell ref="Q486:AK486"/>
    <mergeCell ref="AH502:AK502"/>
    <mergeCell ref="AC499:AK499"/>
    <mergeCell ref="W468:Y468"/>
    <mergeCell ref="AI562:AL562"/>
    <mergeCell ref="B503:H508"/>
    <mergeCell ref="M555:P555"/>
    <mergeCell ref="M556:P556"/>
    <mergeCell ref="AC508:AF508"/>
    <mergeCell ref="AG441:AJ441"/>
    <mergeCell ref="AI323:AK323"/>
    <mergeCell ref="AA320:AK320"/>
    <mergeCell ref="AA337:AK337"/>
    <mergeCell ref="H327:R327"/>
    <mergeCell ref="AA333:AK333"/>
    <mergeCell ref="W469:Y469"/>
    <mergeCell ref="AE556:AH556"/>
    <mergeCell ref="D470:V470"/>
    <mergeCell ref="Q489:R490"/>
    <mergeCell ref="B720:F720"/>
    <mergeCell ref="G720:J720"/>
    <mergeCell ref="AC629:AE629"/>
    <mergeCell ref="AA332:AF332"/>
    <mergeCell ref="AA328:AK328"/>
    <mergeCell ref="V276:W276"/>
    <mergeCell ref="K403:AJ403"/>
    <mergeCell ref="AG449:AJ449"/>
    <mergeCell ref="N371:Q371"/>
    <mergeCell ref="V382:W382"/>
    <mergeCell ref="Y364:Z364"/>
    <mergeCell ref="N378:P378"/>
    <mergeCell ref="J388:U388"/>
    <mergeCell ref="AG391:AJ391"/>
    <mergeCell ref="K404:AJ404"/>
    <mergeCell ref="AC385:AJ385"/>
    <mergeCell ref="D444:AF444"/>
    <mergeCell ref="P421:R421"/>
    <mergeCell ref="D447:AF447"/>
    <mergeCell ref="U255:W255"/>
    <mergeCell ref="P299:R299"/>
    <mergeCell ref="H293:R293"/>
    <mergeCell ref="A282:AT283"/>
    <mergeCell ref="AA287:AK287"/>
    <mergeCell ref="T267:X267"/>
    <mergeCell ref="AA290:AK290"/>
    <mergeCell ref="M263:R263"/>
    <mergeCell ref="M264:AE264"/>
    <mergeCell ref="H339:M339"/>
    <mergeCell ref="AA317:AK317"/>
    <mergeCell ref="L280:AD280"/>
    <mergeCell ref="L275:AD275"/>
    <mergeCell ref="H290:R290"/>
    <mergeCell ref="AF259:AK259"/>
    <mergeCell ref="AC261:AE261"/>
    <mergeCell ref="AC387:AJ387"/>
    <mergeCell ref="V388:AJ388"/>
    <mergeCell ref="N370:Q370"/>
    <mergeCell ref="I410:AE410"/>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AC520:AF520"/>
    <mergeCell ref="AC527:AF527"/>
    <mergeCell ref="B520:H542"/>
    <mergeCell ref="D445:AF445"/>
    <mergeCell ref="T557:V557"/>
    <mergeCell ref="D446:AF446"/>
    <mergeCell ref="AG450:AJ450"/>
    <mergeCell ref="AC455:AF455"/>
    <mergeCell ref="S401:U401"/>
    <mergeCell ref="B551:L553"/>
    <mergeCell ref="M551:P553"/>
    <mergeCell ref="Q551:S553"/>
    <mergeCell ref="T551:V553"/>
    <mergeCell ref="W551:Y553"/>
    <mergeCell ref="AC532:AF532"/>
    <mergeCell ref="O535:AA535"/>
    <mergeCell ref="D442:AF442"/>
    <mergeCell ref="AH521:AK521"/>
    <mergeCell ref="AC505:AF505"/>
    <mergeCell ref="W467:Y467"/>
    <mergeCell ref="Q494:AK494"/>
    <mergeCell ref="Q488:AK488"/>
    <mergeCell ref="AC510:AF510"/>
    <mergeCell ref="AG395:AJ395"/>
    <mergeCell ref="AI392:AJ392"/>
    <mergeCell ref="R412:S412"/>
    <mergeCell ref="Q429:R429"/>
    <mergeCell ref="D448:AF448"/>
    <mergeCell ref="AG445:AJ445"/>
    <mergeCell ref="AH534:AK534"/>
    <mergeCell ref="AC504:AF504"/>
    <mergeCell ref="B517:H519"/>
    <mergeCell ref="AC454:AF454"/>
    <mergeCell ref="D471:V471"/>
    <mergeCell ref="W418:Y418"/>
    <mergeCell ref="AF430:AG430"/>
    <mergeCell ref="AH495:AK495"/>
    <mergeCell ref="AH515:AK515"/>
    <mergeCell ref="D467:V467"/>
    <mergeCell ref="AH524:AK524"/>
    <mergeCell ref="Q493:AK493"/>
    <mergeCell ref="AC502:AF502"/>
    <mergeCell ref="AH522:AK522"/>
    <mergeCell ref="AH523:AK523"/>
    <mergeCell ref="O532:AA532"/>
    <mergeCell ref="AH504:AK504"/>
    <mergeCell ref="AH517:AK517"/>
    <mergeCell ref="AH508:AK508"/>
    <mergeCell ref="AH507:AK507"/>
    <mergeCell ref="M495:P495"/>
    <mergeCell ref="AC501:AF501"/>
    <mergeCell ref="AH526:AK526"/>
    <mergeCell ref="AC533:AF533"/>
    <mergeCell ref="AC509:AF509"/>
    <mergeCell ref="AC525:AF525"/>
    <mergeCell ref="AH503:AK503"/>
    <mergeCell ref="AC500:AF500"/>
    <mergeCell ref="AH505:AK505"/>
    <mergeCell ref="AH525:AK525"/>
    <mergeCell ref="AH528:AK528"/>
    <mergeCell ref="AC503:AF503"/>
    <mergeCell ref="L508:AB508"/>
    <mergeCell ref="O526:AA526"/>
    <mergeCell ref="AC524:AF524"/>
    <mergeCell ref="AH519:AK519"/>
    <mergeCell ref="AC518:AF518"/>
    <mergeCell ref="AC513:AF513"/>
    <mergeCell ref="AH513:AK513"/>
    <mergeCell ref="AC526:AF526"/>
    <mergeCell ref="AH531:AK531"/>
    <mergeCell ref="AF574:AK574"/>
    <mergeCell ref="Z585:AK585"/>
    <mergeCell ref="G568:R568"/>
    <mergeCell ref="AH540:AK540"/>
    <mergeCell ref="X729:AB729"/>
    <mergeCell ref="AM556:AS556"/>
    <mergeCell ref="D449:AF449"/>
    <mergeCell ref="B501:H502"/>
    <mergeCell ref="O523:AA523"/>
    <mergeCell ref="P349:AE349"/>
    <mergeCell ref="AG448:AJ448"/>
    <mergeCell ref="AG442:AJ442"/>
    <mergeCell ref="J367:K367"/>
    <mergeCell ref="AG379:AH379"/>
    <mergeCell ref="E420:AJ420"/>
    <mergeCell ref="V377:W377"/>
    <mergeCell ref="S377:T377"/>
    <mergeCell ref="AG377:AH377"/>
    <mergeCell ref="E418:G418"/>
    <mergeCell ref="AD411:AE411"/>
    <mergeCell ref="F427:AH428"/>
    <mergeCell ref="J387:U387"/>
    <mergeCell ref="AC386:AJ386"/>
    <mergeCell ref="Q393:U393"/>
    <mergeCell ref="AG394:AJ394"/>
    <mergeCell ref="AG380:AH380"/>
    <mergeCell ref="AM554:AS554"/>
    <mergeCell ref="AM557:AS557"/>
    <mergeCell ref="AM555:AS555"/>
    <mergeCell ref="AH537:AK537"/>
    <mergeCell ref="AE557:AH557"/>
    <mergeCell ref="T554:V554"/>
    <mergeCell ref="Q556:S556"/>
    <mergeCell ref="W558:Y558"/>
    <mergeCell ref="N583:O583"/>
    <mergeCell ref="AE558:AH558"/>
    <mergeCell ref="Z555:AD555"/>
    <mergeCell ref="Q562:S562"/>
    <mergeCell ref="G593:R593"/>
    <mergeCell ref="AI558:AL558"/>
    <mergeCell ref="Z557:AD557"/>
    <mergeCell ref="AI561:AL561"/>
    <mergeCell ref="AC528:AF528"/>
    <mergeCell ref="AC530:AF530"/>
    <mergeCell ref="AH532:AK532"/>
    <mergeCell ref="AH726:AJ726"/>
    <mergeCell ref="G719:J719"/>
    <mergeCell ref="N649:O649"/>
    <mergeCell ref="G644:R644"/>
    <mergeCell ref="Z645:AK645"/>
    <mergeCell ref="Z630:AB630"/>
    <mergeCell ref="Z631:AB631"/>
    <mergeCell ref="Z632:AB632"/>
    <mergeCell ref="Z633:AB633"/>
    <mergeCell ref="AC540:AF540"/>
    <mergeCell ref="AC541:AF541"/>
    <mergeCell ref="AC538:AF538"/>
    <mergeCell ref="AC534:AF534"/>
    <mergeCell ref="AH724:AJ724"/>
    <mergeCell ref="T720:W720"/>
    <mergeCell ref="K720:N720"/>
    <mergeCell ref="Q564:S564"/>
    <mergeCell ref="AO624:AS626"/>
    <mergeCell ref="G721:J721"/>
    <mergeCell ref="AC516:AF516"/>
    <mergeCell ref="AC521:AF521"/>
    <mergeCell ref="AH516:AK516"/>
    <mergeCell ref="Q491:AK491"/>
    <mergeCell ref="AG447:AJ447"/>
    <mergeCell ref="AC515:AF515"/>
    <mergeCell ref="AC514:AF514"/>
    <mergeCell ref="AH506:AK506"/>
    <mergeCell ref="D465:V465"/>
    <mergeCell ref="AH246:AK246"/>
    <mergeCell ref="AI397:AJ397"/>
    <mergeCell ref="T399:AJ399"/>
    <mergeCell ref="T398:AJ398"/>
    <mergeCell ref="D440:AF440"/>
    <mergeCell ref="AG438:AJ438"/>
    <mergeCell ref="AG440:AJ440"/>
    <mergeCell ref="D406:AJ407"/>
    <mergeCell ref="AG439:AJ439"/>
    <mergeCell ref="AG443:AJ443"/>
    <mergeCell ref="AG444:AJ444"/>
    <mergeCell ref="H414:AE415"/>
    <mergeCell ref="AC519:AF519"/>
    <mergeCell ref="AE424:AF424"/>
    <mergeCell ref="AG446:AJ446"/>
    <mergeCell ref="AH500:AK500"/>
    <mergeCell ref="W470:Y470"/>
    <mergeCell ref="AH510:AK510"/>
    <mergeCell ref="AC512:AF512"/>
    <mergeCell ref="AH512:AK512"/>
    <mergeCell ref="B514:H516"/>
    <mergeCell ref="CX620:DB620"/>
    <mergeCell ref="DX622:EB622"/>
    <mergeCell ref="EC622:EG622"/>
    <mergeCell ref="EH622:EL622"/>
    <mergeCell ref="DH620:DL620"/>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558:S558"/>
    <mergeCell ref="C554:L554"/>
    <mergeCell ref="C558:L558"/>
    <mergeCell ref="Q557:S557"/>
    <mergeCell ref="C555:L555"/>
    <mergeCell ref="C556:L556"/>
    <mergeCell ref="AI565:AL565"/>
    <mergeCell ref="EW663:FA663"/>
    <mergeCell ref="EW655:FA655"/>
    <mergeCell ref="ER636:EV636"/>
    <mergeCell ref="EM630:EQ630"/>
    <mergeCell ref="ER620:EV620"/>
    <mergeCell ref="EW620:FA620"/>
    <mergeCell ref="DX621:EB621"/>
    <mergeCell ref="EC621:EG621"/>
    <mergeCell ref="EH621:EL621"/>
    <mergeCell ref="EM621:EQ621"/>
    <mergeCell ref="ER621:EV621"/>
    <mergeCell ref="EW621:FA621"/>
    <mergeCell ref="EW623:FA623"/>
    <mergeCell ref="DX624:EB624"/>
    <mergeCell ref="EW624:FA624"/>
    <mergeCell ref="DX625:EB625"/>
    <mergeCell ref="EM622:EQ622"/>
    <mergeCell ref="ER622:EV622"/>
    <mergeCell ref="EW622:FA622"/>
    <mergeCell ref="DX623:EB623"/>
    <mergeCell ref="EC623:EG623"/>
    <mergeCell ref="EH623:EL623"/>
    <mergeCell ref="EM623:EQ623"/>
    <mergeCell ref="ER623:EV623"/>
    <mergeCell ref="ER644:EV644"/>
    <mergeCell ref="EC650:EG650"/>
    <mergeCell ref="EC655:EG655"/>
    <mergeCell ref="EW644:FA644"/>
    <mergeCell ref="EC641:EG641"/>
    <mergeCell ref="EC643:EG643"/>
    <mergeCell ref="EH643:EL643"/>
    <mergeCell ref="EM643:EQ643"/>
    <mergeCell ref="EC625:EG625"/>
    <mergeCell ref="EH625:EL625"/>
    <mergeCell ref="EM625:EQ625"/>
    <mergeCell ref="CX629:DB629"/>
    <mergeCell ref="EW665:FA665"/>
    <mergeCell ref="EM636:EQ636"/>
    <mergeCell ref="EC649:EG649"/>
    <mergeCell ref="ER648:EV648"/>
    <mergeCell ref="ER647:EV647"/>
    <mergeCell ref="EH645:EL645"/>
    <mergeCell ref="EM645:EQ645"/>
    <mergeCell ref="EH646:EL646"/>
    <mergeCell ref="EM646:EQ646"/>
    <mergeCell ref="ER627:EV627"/>
    <mergeCell ref="ER628:EV628"/>
    <mergeCell ref="EW628:FA628"/>
    <mergeCell ref="DX629:EB629"/>
    <mergeCell ref="EC629:EG629"/>
    <mergeCell ref="EH629:EL629"/>
    <mergeCell ref="EM629:EQ629"/>
    <mergeCell ref="ER629:EV629"/>
    <mergeCell ref="DX627:EB627"/>
    <mergeCell ref="EC627:EG627"/>
    <mergeCell ref="EH627:EL627"/>
    <mergeCell ref="EM627:EQ627"/>
    <mergeCell ref="EM640:EQ640"/>
    <mergeCell ref="DX639:EB639"/>
    <mergeCell ref="EC645:EG645"/>
    <mergeCell ref="ER645:EV645"/>
    <mergeCell ref="EW645:FA645"/>
    <mergeCell ref="DX646:EB646"/>
    <mergeCell ref="EC646:EG646"/>
    <mergeCell ref="ER626:EV626"/>
    <mergeCell ref="EW626:FA626"/>
    <mergeCell ref="DM632:DQ632"/>
    <mergeCell ref="DC631:DG631"/>
    <mergeCell ref="DM631:DQ631"/>
    <mergeCell ref="CS627:CW627"/>
    <mergeCell ref="CX627:DB627"/>
    <mergeCell ref="DC627:DG627"/>
    <mergeCell ref="DH627:DL627"/>
    <mergeCell ref="DR627:DV627"/>
    <mergeCell ref="CS626:CW626"/>
    <mergeCell ref="CX626:DB626"/>
    <mergeCell ref="DC626:DG626"/>
    <mergeCell ref="DH626:DL626"/>
    <mergeCell ref="DM626:DQ626"/>
    <mergeCell ref="DR626:DV626"/>
    <mergeCell ref="DX630:EB630"/>
    <mergeCell ref="AG830:AJ830"/>
    <mergeCell ref="M877:V877"/>
    <mergeCell ref="AH747:AJ747"/>
    <mergeCell ref="DC629:DG629"/>
    <mergeCell ref="DH629:DL629"/>
    <mergeCell ref="DM629:DQ629"/>
    <mergeCell ref="DR629:DV629"/>
    <mergeCell ref="EW627:FA627"/>
    <mergeCell ref="DX628:EB628"/>
    <mergeCell ref="EC628:EG628"/>
    <mergeCell ref="EH628:EL628"/>
    <mergeCell ref="EM628:EQ628"/>
    <mergeCell ref="EW631:FA631"/>
    <mergeCell ref="EC636:EG636"/>
    <mergeCell ref="EH636:EL636"/>
    <mergeCell ref="Y827:AB827"/>
    <mergeCell ref="X777:AB777"/>
    <mergeCell ref="EW629:FA629"/>
    <mergeCell ref="EH632:EL632"/>
    <mergeCell ref="EM632:EQ632"/>
    <mergeCell ref="ER632:EV632"/>
    <mergeCell ref="EW632:FA632"/>
    <mergeCell ref="DX635:EB635"/>
    <mergeCell ref="ER630:EV630"/>
    <mergeCell ref="DR628:DV628"/>
    <mergeCell ref="CS629:CW629"/>
    <mergeCell ref="ER635:EV635"/>
    <mergeCell ref="AK745:AO745"/>
    <mergeCell ref="AK746:AO746"/>
    <mergeCell ref="AK747:AO747"/>
    <mergeCell ref="AK748:AO748"/>
    <mergeCell ref="AK749:AO749"/>
    <mergeCell ref="C557:L557"/>
    <mergeCell ref="AM558:AS558"/>
    <mergeCell ref="DX638:EB638"/>
    <mergeCell ref="EC638:EG638"/>
    <mergeCell ref="EH638:EL638"/>
    <mergeCell ref="DX636:EB636"/>
    <mergeCell ref="DR623:DV623"/>
    <mergeCell ref="DC620:DG620"/>
    <mergeCell ref="CM622:CQ622"/>
    <mergeCell ref="DX665:EB665"/>
    <mergeCell ref="EC665:EG665"/>
    <mergeCell ref="EH665:EL665"/>
    <mergeCell ref="CM620:CQ620"/>
    <mergeCell ref="DR620:DV620"/>
    <mergeCell ref="CS621:CW621"/>
    <mergeCell ref="CS622:CW622"/>
    <mergeCell ref="CX622:DB622"/>
    <mergeCell ref="EC632:EG632"/>
    <mergeCell ref="DX649:EB649"/>
    <mergeCell ref="DX662:EB662"/>
    <mergeCell ref="EC662:EG662"/>
    <mergeCell ref="EH662:EL662"/>
    <mergeCell ref="DX659:EB659"/>
    <mergeCell ref="EC659:EG659"/>
    <mergeCell ref="EH659:EL659"/>
    <mergeCell ref="AF627:AJ627"/>
    <mergeCell ref="AO630:AS630"/>
    <mergeCell ref="AO627:AS627"/>
    <mergeCell ref="AO629:AS629"/>
    <mergeCell ref="AO628:AS628"/>
    <mergeCell ref="AO631:AS631"/>
    <mergeCell ref="AO640:AS640"/>
    <mergeCell ref="DR624:DV624"/>
    <mergeCell ref="CS625:CW625"/>
    <mergeCell ref="CX625:DB625"/>
    <mergeCell ref="AH748:AJ748"/>
    <mergeCell ref="EW635:FA635"/>
    <mergeCell ref="EM635:EQ635"/>
    <mergeCell ref="DM620:DQ620"/>
    <mergeCell ref="DX620:EB620"/>
    <mergeCell ref="EC620:EG620"/>
    <mergeCell ref="EH620:EL620"/>
    <mergeCell ref="BX628:CB628"/>
    <mergeCell ref="CC628:CG628"/>
    <mergeCell ref="B728:F728"/>
    <mergeCell ref="O723:S723"/>
    <mergeCell ref="G724:J724"/>
    <mergeCell ref="X725:AB725"/>
    <mergeCell ref="X728:AB728"/>
    <mergeCell ref="AH746:AJ746"/>
    <mergeCell ref="EW642:FA642"/>
    <mergeCell ref="ER646:EV646"/>
    <mergeCell ref="EW646:FA646"/>
    <mergeCell ref="EW653:FA653"/>
    <mergeCell ref="DC625:DG625"/>
    <mergeCell ref="DH625:DL625"/>
    <mergeCell ref="DM625:DQ625"/>
    <mergeCell ref="DR625:DV625"/>
    <mergeCell ref="ER625:EV625"/>
    <mergeCell ref="EW625:FA625"/>
    <mergeCell ref="DX626:EB626"/>
    <mergeCell ref="EC626:EG626"/>
    <mergeCell ref="EH626:EL626"/>
    <mergeCell ref="EM626:EQ62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N136" sqref="N13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1)Bellwether - Permanent Loan</v>
      </c>
      <c r="G2" s="139" t="str">
        <f>Application!B628&amp;Application!C628</f>
        <v>2)AHCDC - HCD - IIG Loan</v>
      </c>
      <c r="H2" s="139" t="str">
        <f>Application!B629&amp;Application!C629</f>
        <v>3)County of San Mateo</v>
      </c>
      <c r="I2" s="139" t="str">
        <f>Application!B630&amp;Application!C630</f>
        <v>4)City of Daly City (including HEART of San Mateo)</v>
      </c>
      <c r="J2" s="139" t="str">
        <f>Application!B631&amp;Application!C631</f>
        <v>5)Deferred Developer Fee</v>
      </c>
      <c r="K2" s="139" t="str">
        <f>Application!B632&amp;Application!C632</f>
        <v>6)Deferred Developer Fee - GP Contribution</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v>4000000</v>
      </c>
      <c r="D4" s="147"/>
      <c r="E4" s="147"/>
      <c r="F4" s="147">
        <v>1850000</v>
      </c>
      <c r="G4" s="147"/>
      <c r="H4" s="147">
        <f>C4-F4</f>
        <v>2150000</v>
      </c>
      <c r="I4" s="147"/>
      <c r="J4" s="147"/>
      <c r="K4" s="147"/>
      <c r="L4" s="147"/>
      <c r="M4" s="147"/>
      <c r="N4" s="147"/>
      <c r="O4" s="147"/>
      <c r="P4" s="147"/>
      <c r="Q4" s="147"/>
      <c r="R4" s="550">
        <f>SUM(E4:Q4)</f>
        <v>4000000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4000000</v>
      </c>
      <c r="C8" s="146">
        <f t="shared" ref="C8:Q8" si="0">SUM(C4:C7)</f>
        <v>4000000</v>
      </c>
      <c r="D8" s="146">
        <f t="shared" si="0"/>
        <v>0</v>
      </c>
      <c r="E8" s="146">
        <f t="shared" si="0"/>
        <v>0</v>
      </c>
      <c r="F8" s="146">
        <f t="shared" si="0"/>
        <v>1850000</v>
      </c>
      <c r="G8" s="146">
        <f t="shared" si="0"/>
        <v>0</v>
      </c>
      <c r="H8" s="146">
        <f t="shared" si="0"/>
        <v>2150000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4000000</v>
      </c>
      <c r="C12" s="146">
        <f t="shared" si="2"/>
        <v>4000000</v>
      </c>
      <c r="D12" s="146">
        <f t="shared" si="2"/>
        <v>0</v>
      </c>
      <c r="E12" s="146">
        <f t="shared" si="2"/>
        <v>0</v>
      </c>
      <c r="F12" s="146">
        <f t="shared" si="2"/>
        <v>1850000</v>
      </c>
      <c r="G12" s="146">
        <f t="shared" si="2"/>
        <v>0</v>
      </c>
      <c r="H12" s="146">
        <f t="shared" si="2"/>
        <v>2150000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4000000</v>
      </c>
      <c r="S12" s="148"/>
      <c r="T12" s="148"/>
      <c r="U12" s="143"/>
    </row>
    <row r="13" spans="1:21" s="144" customFormat="1">
      <c r="A13" s="309" t="s">
        <v>918</v>
      </c>
      <c r="B13" s="146">
        <f>SUM(C13+D13)</f>
        <v>2560288</v>
      </c>
      <c r="C13" s="147">
        <f>50000+2510288</f>
        <v>2560288</v>
      </c>
      <c r="D13" s="147"/>
      <c r="E13" s="147"/>
      <c r="F13" s="147">
        <f>C13-E13-860288</f>
        <v>1700000</v>
      </c>
      <c r="G13" s="147"/>
      <c r="H13" s="147">
        <f>C13-F13</f>
        <v>860288</v>
      </c>
      <c r="I13" s="147"/>
      <c r="J13" s="147"/>
      <c r="K13" s="147"/>
      <c r="L13" s="147"/>
      <c r="M13" s="147"/>
      <c r="N13" s="147"/>
      <c r="O13" s="147"/>
      <c r="P13" s="147"/>
      <c r="Q13" s="147"/>
      <c r="R13" s="550">
        <f>SUM(E13:Q13)</f>
        <v>2560288</v>
      </c>
      <c r="S13" s="147"/>
      <c r="T13" s="147"/>
      <c r="U13" s="143"/>
    </row>
    <row r="14" spans="1:21" s="144" customFormat="1" ht="24">
      <c r="A14" s="310" t="s">
        <v>1757</v>
      </c>
      <c r="B14" s="146">
        <f>SUM(C14+D14)</f>
        <v>0</v>
      </c>
      <c r="C14" s="147">
        <v>0</v>
      </c>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1288604</v>
      </c>
      <c r="C29" s="147">
        <v>1288604</v>
      </c>
      <c r="D29" s="147"/>
      <c r="E29" s="147"/>
      <c r="F29" s="147"/>
      <c r="G29" s="147">
        <f>C29</f>
        <v>1288604</v>
      </c>
      <c r="H29" s="147"/>
      <c r="I29" s="147"/>
      <c r="J29" s="147"/>
      <c r="K29" s="147"/>
      <c r="L29" s="147"/>
      <c r="M29" s="147"/>
      <c r="N29" s="147"/>
      <c r="O29" s="147"/>
      <c r="P29" s="147"/>
      <c r="Q29" s="147"/>
      <c r="R29" s="550">
        <f t="shared" ref="R29:R37" si="7">SUM(E29:Q29)</f>
        <v>1288604</v>
      </c>
      <c r="S29" s="147">
        <f>C29</f>
        <v>1288604</v>
      </c>
      <c r="T29" s="147"/>
      <c r="U29" s="143"/>
    </row>
    <row r="30" spans="1:21" s="144" customFormat="1">
      <c r="A30" s="145" t="s">
        <v>608</v>
      </c>
      <c r="B30" s="146">
        <f t="shared" si="6"/>
        <v>39887078</v>
      </c>
      <c r="C30" s="147">
        <f>36789578+3097500</f>
        <v>39887078</v>
      </c>
      <c r="D30" s="147"/>
      <c r="E30" s="147">
        <f>C30</f>
        <v>39887078</v>
      </c>
      <c r="F30" s="147"/>
      <c r="G30" s="147"/>
      <c r="H30" s="147"/>
      <c r="I30" s="147"/>
      <c r="J30" s="147"/>
      <c r="K30" s="147"/>
      <c r="L30" s="147"/>
      <c r="M30" s="147"/>
      <c r="N30" s="147"/>
      <c r="O30" s="147"/>
      <c r="P30" s="147"/>
      <c r="Q30" s="147"/>
      <c r="R30" s="550">
        <f t="shared" si="7"/>
        <v>39887078</v>
      </c>
      <c r="S30" s="147">
        <f t="shared" ref="S30:S32" si="8">C30</f>
        <v>39887078</v>
      </c>
      <c r="T30" s="147"/>
      <c r="U30" s="143"/>
    </row>
    <row r="31" spans="1:21" s="144" customFormat="1">
      <c r="A31" s="145" t="s">
        <v>609</v>
      </c>
      <c r="B31" s="146">
        <f t="shared" si="6"/>
        <v>4005000</v>
      </c>
      <c r="C31" s="147">
        <v>4005000</v>
      </c>
      <c r="D31" s="147"/>
      <c r="E31" s="147">
        <v>735118</v>
      </c>
      <c r="F31" s="147"/>
      <c r="G31" s="147">
        <f>3000000-G29-G30</f>
        <v>1711396</v>
      </c>
      <c r="H31" s="147">
        <f>+C31-G31-E31</f>
        <v>1558486</v>
      </c>
      <c r="I31" s="147"/>
      <c r="J31" s="147"/>
      <c r="K31" s="147"/>
      <c r="L31" s="147"/>
      <c r="M31" s="147"/>
      <c r="N31" s="147"/>
      <c r="O31" s="147"/>
      <c r="P31" s="147"/>
      <c r="Q31" s="147"/>
      <c r="R31" s="550">
        <f t="shared" si="7"/>
        <v>4005000</v>
      </c>
      <c r="S31" s="147">
        <f t="shared" si="8"/>
        <v>4005000</v>
      </c>
      <c r="T31" s="147"/>
      <c r="U31" s="143"/>
    </row>
    <row r="32" spans="1:21" s="144" customFormat="1">
      <c r="A32" s="145" t="s">
        <v>137</v>
      </c>
      <c r="B32" s="146">
        <f t="shared" si="6"/>
        <v>1945054</v>
      </c>
      <c r="C32" s="147">
        <v>1945054</v>
      </c>
      <c r="D32" s="147"/>
      <c r="E32" s="147"/>
      <c r="F32" s="147"/>
      <c r="G32" s="147"/>
      <c r="H32" s="147">
        <f>+C32</f>
        <v>1945054</v>
      </c>
      <c r="I32" s="147"/>
      <c r="J32" s="147"/>
      <c r="K32" s="147"/>
      <c r="L32" s="147"/>
      <c r="M32" s="147"/>
      <c r="N32" s="147"/>
      <c r="O32" s="147"/>
      <c r="P32" s="147"/>
      <c r="Q32" s="147"/>
      <c r="R32" s="550">
        <f t="shared" si="7"/>
        <v>1945054</v>
      </c>
      <c r="S32" s="147">
        <f t="shared" si="8"/>
        <v>1945054</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1350000</v>
      </c>
      <c r="C35" s="147">
        <v>1350000</v>
      </c>
      <c r="D35" s="147"/>
      <c r="E35" s="147"/>
      <c r="F35" s="147"/>
      <c r="G35" s="147"/>
      <c r="H35" s="147">
        <f>+C35</f>
        <v>1350000</v>
      </c>
      <c r="I35" s="147"/>
      <c r="J35" s="147"/>
      <c r="K35" s="147"/>
      <c r="L35" s="147"/>
      <c r="M35" s="147"/>
      <c r="N35" s="147"/>
      <c r="O35" s="147"/>
      <c r="P35" s="147"/>
      <c r="Q35" s="147"/>
      <c r="R35" s="550">
        <f t="shared" si="7"/>
        <v>1350000</v>
      </c>
      <c r="S35" s="147">
        <f t="shared" ref="S35" si="9">C35</f>
        <v>1350000</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2661</v>
      </c>
      <c r="B37" s="146">
        <f t="shared" si="6"/>
        <v>1090826</v>
      </c>
      <c r="C37" s="147">
        <v>1090826</v>
      </c>
      <c r="D37" s="147"/>
      <c r="E37" s="147"/>
      <c r="F37" s="147"/>
      <c r="G37" s="147"/>
      <c r="H37" s="147">
        <f>+C37</f>
        <v>1090826</v>
      </c>
      <c r="I37" s="147"/>
      <c r="J37" s="147"/>
      <c r="K37" s="147"/>
      <c r="L37" s="147"/>
      <c r="M37" s="147"/>
      <c r="N37" s="147"/>
      <c r="O37" s="147"/>
      <c r="P37" s="147"/>
      <c r="Q37" s="147"/>
      <c r="R37" s="550">
        <f t="shared" si="7"/>
        <v>1090826</v>
      </c>
      <c r="S37" s="147">
        <f t="shared" ref="S37" si="10">C37</f>
        <v>1090826</v>
      </c>
      <c r="T37" s="147"/>
      <c r="U37" s="143"/>
    </row>
    <row r="38" spans="1:21" s="144" customFormat="1">
      <c r="A38" s="149" t="s">
        <v>143</v>
      </c>
      <c r="B38" s="146">
        <f t="shared" si="6"/>
        <v>49566562</v>
      </c>
      <c r="C38" s="146">
        <f>SUM(C29:C37)</f>
        <v>49566562</v>
      </c>
      <c r="D38" s="146">
        <f t="shared" ref="D38:Q38" si="11">SUM(D29:D37)</f>
        <v>0</v>
      </c>
      <c r="E38" s="146">
        <f t="shared" si="11"/>
        <v>40622196</v>
      </c>
      <c r="F38" s="146">
        <f t="shared" si="11"/>
        <v>0</v>
      </c>
      <c r="G38" s="146">
        <f t="shared" si="11"/>
        <v>3000000</v>
      </c>
      <c r="H38" s="146">
        <f t="shared" si="11"/>
        <v>5944366</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49566562</v>
      </c>
      <c r="S38" s="150">
        <f>SUM(S29:S37)</f>
        <v>49566562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1888998</v>
      </c>
      <c r="C40" s="147">
        <v>1888998</v>
      </c>
      <c r="D40" s="147"/>
      <c r="E40" s="147"/>
      <c r="F40" s="147"/>
      <c r="G40" s="147"/>
      <c r="H40" s="147">
        <f>+C40</f>
        <v>1888998</v>
      </c>
      <c r="I40" s="147"/>
      <c r="J40" s="147"/>
      <c r="K40" s="147"/>
      <c r="L40" s="147"/>
      <c r="M40" s="147"/>
      <c r="N40" s="147"/>
      <c r="O40" s="147"/>
      <c r="P40" s="147"/>
      <c r="Q40" s="147"/>
      <c r="R40" s="550">
        <f>SUM(E40:Q40)</f>
        <v>1888998</v>
      </c>
      <c r="S40" s="147">
        <f t="shared" ref="S40:S43" si="12">C40</f>
        <v>1888998</v>
      </c>
      <c r="T40" s="147"/>
      <c r="U40" s="143"/>
    </row>
    <row r="41" spans="1:21" s="144" customFormat="1">
      <c r="A41" s="145" t="s">
        <v>146</v>
      </c>
      <c r="B41" s="146">
        <f>SUM(C41+D41)</f>
        <v>354491</v>
      </c>
      <c r="C41" s="147">
        <v>354491</v>
      </c>
      <c r="D41" s="147"/>
      <c r="E41" s="147"/>
      <c r="F41" s="147"/>
      <c r="G41" s="147"/>
      <c r="H41" s="147">
        <f>+C41</f>
        <v>354491</v>
      </c>
      <c r="I41" s="147"/>
      <c r="J41" s="147"/>
      <c r="K41" s="147"/>
      <c r="L41" s="147"/>
      <c r="M41" s="147"/>
      <c r="N41" s="147"/>
      <c r="O41" s="147"/>
      <c r="P41" s="147"/>
      <c r="Q41" s="147"/>
      <c r="R41" s="550">
        <f>SUM(E41:Q41)</f>
        <v>354491</v>
      </c>
      <c r="S41" s="147">
        <f t="shared" si="12"/>
        <v>354491</v>
      </c>
      <c r="T41" s="147"/>
      <c r="U41" s="143"/>
    </row>
    <row r="42" spans="1:21" s="144" customFormat="1">
      <c r="A42" s="149" t="s">
        <v>147</v>
      </c>
      <c r="B42" s="146">
        <f>SUM(C42:D42)</f>
        <v>2243489</v>
      </c>
      <c r="C42" s="146">
        <f>SUM(C39:C41)</f>
        <v>2243489</v>
      </c>
      <c r="D42" s="146">
        <f>SUM(D39:D41)</f>
        <v>0</v>
      </c>
      <c r="E42" s="146">
        <f t="shared" ref="E42:T42" si="13">SUM(E40:E41)</f>
        <v>0</v>
      </c>
      <c r="F42" s="146">
        <f t="shared" si="13"/>
        <v>0</v>
      </c>
      <c r="G42" s="146">
        <f t="shared" si="13"/>
        <v>0</v>
      </c>
      <c r="H42" s="146">
        <f t="shared" si="13"/>
        <v>2243489</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2243489</v>
      </c>
      <c r="S42" s="150">
        <f t="shared" si="13"/>
        <v>2243489</v>
      </c>
      <c r="T42" s="150">
        <f t="shared" si="13"/>
        <v>0</v>
      </c>
      <c r="U42" s="143"/>
    </row>
    <row r="43" spans="1:21" s="144" customFormat="1">
      <c r="A43" s="149" t="s">
        <v>148</v>
      </c>
      <c r="B43" s="146">
        <f>SUM(C43:D43)</f>
        <v>58000</v>
      </c>
      <c r="C43" s="147">
        <v>58000</v>
      </c>
      <c r="D43" s="147"/>
      <c r="E43" s="147"/>
      <c r="F43" s="147"/>
      <c r="G43" s="147"/>
      <c r="H43" s="147">
        <f>+C43</f>
        <v>58000</v>
      </c>
      <c r="I43" s="147"/>
      <c r="J43" s="147"/>
      <c r="K43" s="147"/>
      <c r="L43" s="147"/>
      <c r="M43" s="147"/>
      <c r="N43" s="147"/>
      <c r="O43" s="147"/>
      <c r="P43" s="147"/>
      <c r="Q43" s="147"/>
      <c r="R43" s="550">
        <f>SUM(E43:Q43)</f>
        <v>58000</v>
      </c>
      <c r="S43" s="147">
        <f t="shared" si="12"/>
        <v>58000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3500000</v>
      </c>
      <c r="C45" s="147">
        <v>3500000</v>
      </c>
      <c r="D45" s="147"/>
      <c r="E45" s="147"/>
      <c r="F45" s="147">
        <f>C45-E45</f>
        <v>3500000</v>
      </c>
      <c r="G45" s="147"/>
      <c r="H45" s="147"/>
      <c r="I45" s="147"/>
      <c r="J45" s="147"/>
      <c r="K45" s="147"/>
      <c r="L45" s="147"/>
      <c r="M45" s="147"/>
      <c r="N45" s="147"/>
      <c r="O45" s="147"/>
      <c r="P45" s="147"/>
      <c r="Q45" s="147"/>
      <c r="R45" s="550">
        <f t="shared" ref="R45:R53" si="15">SUM(E45:Q45)</f>
        <v>3500000</v>
      </c>
      <c r="S45" s="147">
        <v>2000000</v>
      </c>
      <c r="T45" s="147"/>
      <c r="U45" s="143"/>
    </row>
    <row r="46" spans="1:21" s="144" customFormat="1">
      <c r="A46" s="145" t="s">
        <v>151</v>
      </c>
      <c r="B46" s="146">
        <f t="shared" si="14"/>
        <v>470000</v>
      </c>
      <c r="C46" s="147">
        <f>385000+85000</f>
        <v>470000</v>
      </c>
      <c r="D46" s="147"/>
      <c r="E46" s="147"/>
      <c r="F46" s="147"/>
      <c r="G46" s="147"/>
      <c r="H46" s="147">
        <f>+C46</f>
        <v>470000</v>
      </c>
      <c r="I46" s="147"/>
      <c r="J46" s="147"/>
      <c r="K46" s="147"/>
      <c r="L46" s="147"/>
      <c r="M46" s="147"/>
      <c r="N46" s="147"/>
      <c r="O46" s="147"/>
      <c r="P46" s="147"/>
      <c r="Q46" s="147"/>
      <c r="R46" s="550">
        <f t="shared" si="15"/>
        <v>470000</v>
      </c>
      <c r="S46" s="147"/>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5"/>
        <v>0</v>
      </c>
      <c r="S47" s="147"/>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50">
        <f t="shared" si="15"/>
        <v>0</v>
      </c>
      <c r="S48" s="147"/>
      <c r="T48" s="147"/>
      <c r="U48" s="143"/>
    </row>
    <row r="49" spans="1:21" s="144" customFormat="1">
      <c r="A49" s="145" t="s">
        <v>57</v>
      </c>
      <c r="B49" s="146">
        <f t="shared" si="14"/>
        <v>171600</v>
      </c>
      <c r="C49" s="147">
        <f>841600-C46-C66</f>
        <v>171600</v>
      </c>
      <c r="D49" s="147"/>
      <c r="E49" s="147"/>
      <c r="F49" s="147"/>
      <c r="G49" s="147"/>
      <c r="H49" s="147">
        <f>+C49</f>
        <v>171600</v>
      </c>
      <c r="I49" s="147"/>
      <c r="J49" s="147"/>
      <c r="K49" s="147"/>
      <c r="L49" s="147"/>
      <c r="M49" s="147"/>
      <c r="N49" s="147"/>
      <c r="O49" s="147"/>
      <c r="P49" s="147"/>
      <c r="Q49" s="147"/>
      <c r="R49" s="550">
        <f t="shared" si="15"/>
        <v>171600</v>
      </c>
      <c r="S49" s="147"/>
      <c r="T49" s="147"/>
      <c r="U49" s="143"/>
    </row>
    <row r="50" spans="1:21" s="144" customFormat="1">
      <c r="A50" s="145" t="s">
        <v>156</v>
      </c>
      <c r="B50" s="146">
        <f t="shared" si="14"/>
        <v>13000</v>
      </c>
      <c r="C50" s="147">
        <v>13000</v>
      </c>
      <c r="D50" s="147"/>
      <c r="E50" s="147"/>
      <c r="F50" s="147"/>
      <c r="G50" s="147"/>
      <c r="H50" s="147">
        <f t="shared" ref="H50:H51" si="16">+C50</f>
        <v>13000</v>
      </c>
      <c r="I50" s="147"/>
      <c r="J50" s="147"/>
      <c r="K50" s="147"/>
      <c r="L50" s="147"/>
      <c r="M50" s="147"/>
      <c r="N50" s="147"/>
      <c r="O50" s="147"/>
      <c r="P50" s="147"/>
      <c r="Q50" s="147"/>
      <c r="R50" s="550">
        <f t="shared" si="15"/>
        <v>13000</v>
      </c>
      <c r="S50" s="147">
        <f t="shared" ref="S50:S51" si="17">C50</f>
        <v>13000</v>
      </c>
      <c r="T50" s="147"/>
      <c r="U50" s="143"/>
    </row>
    <row r="51" spans="1:21" s="144" customFormat="1">
      <c r="A51" s="304" t="s">
        <v>154</v>
      </c>
      <c r="B51" s="146">
        <f t="shared" si="14"/>
        <v>125000</v>
      </c>
      <c r="C51" s="147">
        <v>125000</v>
      </c>
      <c r="D51" s="147"/>
      <c r="E51" s="147"/>
      <c r="F51" s="147"/>
      <c r="G51" s="147"/>
      <c r="H51" s="147">
        <f t="shared" si="16"/>
        <v>125000</v>
      </c>
      <c r="I51" s="147"/>
      <c r="J51" s="147"/>
      <c r="K51" s="147"/>
      <c r="L51" s="147"/>
      <c r="M51" s="147"/>
      <c r="N51" s="147"/>
      <c r="O51" s="147"/>
      <c r="P51" s="147"/>
      <c r="Q51" s="147"/>
      <c r="R51" s="550">
        <f t="shared" si="15"/>
        <v>125000</v>
      </c>
      <c r="S51" s="147">
        <f t="shared" si="17"/>
        <v>125000</v>
      </c>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50">
        <f t="shared" si="15"/>
        <v>0</v>
      </c>
      <c r="S52" s="147"/>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5"/>
        <v>0</v>
      </c>
      <c r="S53" s="147">
        <f t="shared" ref="S53" si="18">C53</f>
        <v>0</v>
      </c>
      <c r="T53" s="147"/>
      <c r="U53" s="143"/>
    </row>
    <row r="54" spans="1:21" s="153" customFormat="1">
      <c r="A54" s="149" t="s">
        <v>157</v>
      </c>
      <c r="B54" s="150">
        <f>SUM(C54:D54)</f>
        <v>4279600</v>
      </c>
      <c r="C54" s="150">
        <f t="shared" ref="C54:T54" si="19">SUM(C45:C53)</f>
        <v>4279600</v>
      </c>
      <c r="D54" s="150">
        <f t="shared" si="19"/>
        <v>0</v>
      </c>
      <c r="E54" s="150">
        <f t="shared" si="19"/>
        <v>0</v>
      </c>
      <c r="F54" s="150">
        <f t="shared" si="19"/>
        <v>3500000</v>
      </c>
      <c r="G54" s="150">
        <f t="shared" si="19"/>
        <v>0</v>
      </c>
      <c r="H54" s="150">
        <f>SUM(H45:H53)</f>
        <v>779600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4279600</v>
      </c>
      <c r="S54" s="150">
        <f t="shared" si="19"/>
        <v>2138000</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76841</v>
      </c>
      <c r="C56" s="147">
        <f>106341+70500-100000</f>
        <v>76841</v>
      </c>
      <c r="D56" s="147"/>
      <c r="E56" s="147"/>
      <c r="F56" s="147"/>
      <c r="G56" s="147"/>
      <c r="H56" s="147">
        <f>+C56</f>
        <v>76841</v>
      </c>
      <c r="I56" s="147"/>
      <c r="J56" s="147"/>
      <c r="K56" s="147"/>
      <c r="L56" s="147"/>
      <c r="M56" s="147"/>
      <c r="N56" s="147"/>
      <c r="O56" s="147"/>
      <c r="P56" s="147"/>
      <c r="Q56" s="147"/>
      <c r="R56" s="550">
        <f t="shared" ref="R56:R61" si="21">SUM(E56:Q56)</f>
        <v>76841</v>
      </c>
      <c r="S56" s="148"/>
      <c r="T56" s="148"/>
      <c r="U56" s="143"/>
    </row>
    <row r="57" spans="1:21" s="204" customFormat="1">
      <c r="A57" s="198" t="s">
        <v>152</v>
      </c>
      <c r="B57" s="205">
        <f t="shared" si="20"/>
        <v>0</v>
      </c>
      <c r="C57" s="202"/>
      <c r="D57" s="202"/>
      <c r="E57" s="202"/>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20"/>
        <v>0</v>
      </c>
      <c r="C58" s="147"/>
      <c r="D58" s="147"/>
      <c r="E58" s="147"/>
      <c r="F58" s="147"/>
      <c r="G58" s="147"/>
      <c r="H58" s="147"/>
      <c r="I58" s="147"/>
      <c r="J58" s="147"/>
      <c r="K58" s="147"/>
      <c r="L58" s="147"/>
      <c r="M58" s="147"/>
      <c r="N58" s="147"/>
      <c r="O58" s="147"/>
      <c r="P58" s="147"/>
      <c r="Q58" s="147"/>
      <c r="R58" s="550">
        <f t="shared" si="21"/>
        <v>0</v>
      </c>
      <c r="S58" s="148"/>
      <c r="T58" s="148"/>
      <c r="U58" s="143"/>
    </row>
    <row r="59" spans="1:21" s="144" customFormat="1">
      <c r="A59" s="304" t="s">
        <v>154</v>
      </c>
      <c r="B59" s="146">
        <f t="shared" si="20"/>
        <v>0</v>
      </c>
      <c r="C59" s="147"/>
      <c r="D59" s="147"/>
      <c r="E59" s="147"/>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50">
        <f t="shared" si="21"/>
        <v>0</v>
      </c>
      <c r="S60" s="148"/>
      <c r="T60" s="148"/>
      <c r="U60" s="143"/>
    </row>
    <row r="61" spans="1:21" s="144" customFormat="1" ht="24">
      <c r="A61" s="1193" t="s">
        <v>2658</v>
      </c>
      <c r="B61" s="146">
        <f t="shared" si="20"/>
        <v>37500</v>
      </c>
      <c r="C61" s="147">
        <f>10000+27500</f>
        <v>37500</v>
      </c>
      <c r="D61" s="147"/>
      <c r="E61" s="147"/>
      <c r="F61" s="147"/>
      <c r="G61" s="147"/>
      <c r="H61" s="147">
        <f>+C61</f>
        <v>37500</v>
      </c>
      <c r="I61" s="147"/>
      <c r="J61" s="147"/>
      <c r="K61" s="147"/>
      <c r="L61" s="147"/>
      <c r="M61" s="147"/>
      <c r="N61" s="147"/>
      <c r="O61" s="147"/>
      <c r="P61" s="147"/>
      <c r="Q61" s="147"/>
      <c r="R61" s="550">
        <f t="shared" si="21"/>
        <v>37500</v>
      </c>
      <c r="S61" s="148"/>
      <c r="T61" s="148"/>
      <c r="U61" s="143"/>
    </row>
    <row r="62" spans="1:21" s="144" customFormat="1" ht="13.7" customHeight="1">
      <c r="A62" s="149" t="s">
        <v>302</v>
      </c>
      <c r="B62" s="146">
        <f>SUM(C62:D62)</f>
        <v>114341</v>
      </c>
      <c r="C62" s="146">
        <f t="shared" ref="C62:R62" si="22">SUM(C56:C61)</f>
        <v>114341</v>
      </c>
      <c r="D62" s="146">
        <f t="shared" si="22"/>
        <v>0</v>
      </c>
      <c r="E62" s="146">
        <f t="shared" si="22"/>
        <v>0</v>
      </c>
      <c r="F62" s="146">
        <f t="shared" si="22"/>
        <v>0</v>
      </c>
      <c r="G62" s="146">
        <f t="shared" si="22"/>
        <v>0</v>
      </c>
      <c r="H62" s="146">
        <f t="shared" si="22"/>
        <v>114341</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114341</v>
      </c>
      <c r="S62" s="148"/>
      <c r="T62" s="148"/>
      <c r="U62" s="143"/>
    </row>
    <row r="63" spans="1:21" s="144" customFormat="1">
      <c r="A63" s="154" t="s">
        <v>303</v>
      </c>
      <c r="B63" s="146">
        <f t="shared" ref="B63:R63" si="23">SUM(B8+B11+B13+B14+B15+B26+B27+B38+B42+B43+B54+B62)</f>
        <v>62822280</v>
      </c>
      <c r="C63" s="146">
        <f t="shared" si="23"/>
        <v>62822280</v>
      </c>
      <c r="D63" s="146">
        <f t="shared" si="23"/>
        <v>0</v>
      </c>
      <c r="E63" s="146">
        <f t="shared" si="23"/>
        <v>40622196</v>
      </c>
      <c r="F63" s="146">
        <f t="shared" si="23"/>
        <v>7050000</v>
      </c>
      <c r="G63" s="146">
        <f t="shared" si="23"/>
        <v>3000000</v>
      </c>
      <c r="H63" s="146">
        <f t="shared" si="23"/>
        <v>12150084</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62822280</v>
      </c>
      <c r="S63" s="146">
        <f>SUM(S10+S13+S14+S15+S26+S27+S38+S42+S43+S54)</f>
        <v>54006051</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150500</v>
      </c>
      <c r="C65" s="147">
        <f>40500+25000+85000</f>
        <v>150500</v>
      </c>
      <c r="D65" s="147"/>
      <c r="E65" s="147"/>
      <c r="F65" s="147"/>
      <c r="G65" s="147"/>
      <c r="H65" s="147">
        <f>+C65</f>
        <v>150500</v>
      </c>
      <c r="I65" s="147"/>
      <c r="J65" s="147"/>
      <c r="K65" s="147"/>
      <c r="L65" s="147"/>
      <c r="M65" s="147"/>
      <c r="N65" s="147"/>
      <c r="O65" s="147"/>
      <c r="P65" s="147"/>
      <c r="Q65" s="147"/>
      <c r="R65" s="550">
        <f>SUM(E65:Q65)</f>
        <v>150500</v>
      </c>
      <c r="S65" s="147">
        <f>C65-100000</f>
        <v>50500</v>
      </c>
      <c r="T65" s="147"/>
      <c r="U65" s="143"/>
    </row>
    <row r="66" spans="1:21" s="144" customFormat="1" ht="24" customHeight="1">
      <c r="A66" s="304" t="s">
        <v>1755</v>
      </c>
      <c r="B66" s="146">
        <f>SUM(C66+D66)</f>
        <v>200000</v>
      </c>
      <c r="C66" s="147">
        <v>200000</v>
      </c>
      <c r="D66" s="147"/>
      <c r="E66" s="147"/>
      <c r="F66" s="147"/>
      <c r="G66" s="147"/>
      <c r="H66" s="147">
        <f>C66-2749</f>
        <v>197251</v>
      </c>
      <c r="I66" s="147">
        <f>C66-H66</f>
        <v>2749</v>
      </c>
      <c r="J66" s="147"/>
      <c r="K66" s="147"/>
      <c r="L66" s="147"/>
      <c r="M66" s="147"/>
      <c r="N66" s="147"/>
      <c r="O66" s="147"/>
      <c r="P66" s="147"/>
      <c r="Q66" s="147"/>
      <c r="R66" s="550">
        <f>SUM(E66:Q66)</f>
        <v>200000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2659</v>
      </c>
      <c r="B69" s="146">
        <f>SUM(C69+D69)</f>
        <v>325000</v>
      </c>
      <c r="C69" s="147">
        <f>250000+75000</f>
        <v>325000</v>
      </c>
      <c r="D69" s="147"/>
      <c r="E69" s="147"/>
      <c r="F69" s="147"/>
      <c r="G69" s="147"/>
      <c r="H69" s="147"/>
      <c r="I69" s="147">
        <f>C69-H69</f>
        <v>325000</v>
      </c>
      <c r="J69" s="147"/>
      <c r="K69" s="147"/>
      <c r="L69" s="147"/>
      <c r="M69" s="147"/>
      <c r="N69" s="147"/>
      <c r="O69" s="147"/>
      <c r="P69" s="147"/>
      <c r="Q69" s="147"/>
      <c r="R69" s="550">
        <f>SUM(E69:Q69)</f>
        <v>325000</v>
      </c>
      <c r="S69" s="147">
        <f>C69-75000</f>
        <v>250000</v>
      </c>
      <c r="T69" s="147"/>
      <c r="U69" s="143"/>
    </row>
    <row r="70" spans="1:21" s="144" customFormat="1">
      <c r="A70" s="149" t="s">
        <v>1759</v>
      </c>
      <c r="B70" s="146">
        <f>SUM(C70:D70)</f>
        <v>675500</v>
      </c>
      <c r="C70" s="146">
        <f>SUM(C65:C69)</f>
        <v>675500</v>
      </c>
      <c r="D70" s="146">
        <f>SUM(D65:D69)</f>
        <v>0</v>
      </c>
      <c r="E70" s="146">
        <f t="shared" ref="E70:T70" si="24">SUM(E65:E69)</f>
        <v>0</v>
      </c>
      <c r="F70" s="146">
        <f t="shared" si="24"/>
        <v>0</v>
      </c>
      <c r="G70" s="146">
        <f t="shared" si="24"/>
        <v>0</v>
      </c>
      <c r="H70" s="146">
        <f t="shared" si="24"/>
        <v>347751</v>
      </c>
      <c r="I70" s="146">
        <f t="shared" si="24"/>
        <v>327749</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675500</v>
      </c>
      <c r="S70" s="150">
        <f t="shared" si="24"/>
        <v>300500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75000</v>
      </c>
      <c r="C72" s="147">
        <v>75000</v>
      </c>
      <c r="D72" s="147"/>
      <c r="E72" s="147"/>
      <c r="F72" s="147"/>
      <c r="G72" s="147"/>
      <c r="H72" s="147"/>
      <c r="I72" s="147">
        <f>C72-H72</f>
        <v>75000</v>
      </c>
      <c r="J72" s="147"/>
      <c r="K72" s="147"/>
      <c r="L72" s="147"/>
      <c r="M72" s="147"/>
      <c r="N72" s="147"/>
      <c r="O72" s="147"/>
      <c r="P72" s="147"/>
      <c r="Q72" s="147"/>
      <c r="R72" s="550">
        <f>SUM(E72:Q72)</f>
        <v>75000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750872</v>
      </c>
      <c r="C75" s="147">
        <v>750872</v>
      </c>
      <c r="D75" s="147"/>
      <c r="E75" s="147"/>
      <c r="F75" s="147"/>
      <c r="G75" s="147"/>
      <c r="H75" s="147"/>
      <c r="I75" s="147">
        <f t="shared" ref="I75:I76" si="25">C75-H75</f>
        <v>750872</v>
      </c>
      <c r="J75" s="147"/>
      <c r="K75" s="147"/>
      <c r="L75" s="147"/>
      <c r="M75" s="147"/>
      <c r="N75" s="147"/>
      <c r="O75" s="147"/>
      <c r="P75" s="147"/>
      <c r="Q75" s="147"/>
      <c r="R75" s="550">
        <f>SUM(E75:Q75)</f>
        <v>750872</v>
      </c>
      <c r="S75" s="148"/>
      <c r="T75" s="148"/>
      <c r="U75" s="143"/>
    </row>
    <row r="76" spans="1:21" s="144" customFormat="1" ht="24">
      <c r="A76" s="1193" t="s">
        <v>2660</v>
      </c>
      <c r="B76" s="146">
        <f>SUM(C76+D76)</f>
        <v>66871</v>
      </c>
      <c r="C76" s="147">
        <v>66871</v>
      </c>
      <c r="D76" s="147"/>
      <c r="E76" s="147"/>
      <c r="F76" s="147"/>
      <c r="G76" s="147"/>
      <c r="H76" s="147"/>
      <c r="I76" s="147">
        <f t="shared" si="25"/>
        <v>66871</v>
      </c>
      <c r="J76" s="147"/>
      <c r="K76" s="147"/>
      <c r="L76" s="147"/>
      <c r="M76" s="147"/>
      <c r="N76" s="147"/>
      <c r="O76" s="147"/>
      <c r="P76" s="147"/>
      <c r="Q76" s="147"/>
      <c r="R76" s="550">
        <f>SUM(E76:Q76)</f>
        <v>66871</v>
      </c>
      <c r="S76" s="148"/>
      <c r="T76" s="148"/>
      <c r="U76" s="143"/>
    </row>
    <row r="77" spans="1:21" s="144" customFormat="1">
      <c r="A77" s="149" t="s">
        <v>615</v>
      </c>
      <c r="B77" s="146">
        <f>SUM(C77:D77)</f>
        <v>892743</v>
      </c>
      <c r="C77" s="146">
        <f>SUM(C72:C76)</f>
        <v>892743</v>
      </c>
      <c r="D77" s="146">
        <f>SUM(D72:D76)</f>
        <v>0</v>
      </c>
      <c r="E77" s="146">
        <f t="shared" ref="E77:Q77" si="26">SUM(E72:E76)</f>
        <v>0</v>
      </c>
      <c r="F77" s="146">
        <f t="shared" si="26"/>
        <v>0</v>
      </c>
      <c r="G77" s="146">
        <f t="shared" si="26"/>
        <v>0</v>
      </c>
      <c r="H77" s="146">
        <f t="shared" si="26"/>
        <v>0</v>
      </c>
      <c r="I77" s="146">
        <f t="shared" si="26"/>
        <v>892743</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892743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3916477</v>
      </c>
      <c r="C79" s="147">
        <f>2424058+1492419</f>
        <v>3916477</v>
      </c>
      <c r="D79" s="147"/>
      <c r="E79" s="147"/>
      <c r="F79" s="147"/>
      <c r="G79" s="147"/>
      <c r="H79" s="147"/>
      <c r="I79" s="147">
        <f t="shared" ref="I79:I80" si="27">C79-H79</f>
        <v>3916477</v>
      </c>
      <c r="J79" s="147"/>
      <c r="K79" s="147"/>
      <c r="L79" s="147"/>
      <c r="M79" s="147"/>
      <c r="N79" s="147"/>
      <c r="O79" s="147"/>
      <c r="P79" s="147"/>
      <c r="Q79" s="147"/>
      <c r="R79" s="550">
        <f>SUM(E79:Q79)</f>
        <v>3916477</v>
      </c>
      <c r="S79" s="147">
        <f t="shared" ref="S79" si="28">C79</f>
        <v>3916477</v>
      </c>
      <c r="T79" s="147"/>
      <c r="U79" s="143"/>
    </row>
    <row r="80" spans="1:21" s="144" customFormat="1">
      <c r="A80" s="304" t="s">
        <v>58</v>
      </c>
      <c r="B80" s="146">
        <f>SUM(C80:D80)</f>
        <v>618378</v>
      </c>
      <c r="C80" s="147">
        <f>63072+555306</f>
        <v>618378</v>
      </c>
      <c r="D80" s="147"/>
      <c r="E80" s="147"/>
      <c r="F80" s="147"/>
      <c r="G80" s="147"/>
      <c r="H80" s="147"/>
      <c r="I80" s="147">
        <f t="shared" si="27"/>
        <v>618378</v>
      </c>
      <c r="J80" s="147"/>
      <c r="K80" s="147"/>
      <c r="L80" s="147"/>
      <c r="M80" s="147"/>
      <c r="N80" s="147"/>
      <c r="O80" s="147"/>
      <c r="P80" s="147"/>
      <c r="Q80" s="147"/>
      <c r="R80" s="550">
        <f>SUM(E80:Q80)</f>
        <v>618378</v>
      </c>
      <c r="S80" s="147">
        <f>C80-5305</f>
        <v>613073</v>
      </c>
      <c r="T80" s="147"/>
      <c r="U80" s="143"/>
    </row>
    <row r="81" spans="1:21" s="144" customFormat="1">
      <c r="A81" s="149" t="s">
        <v>1316</v>
      </c>
      <c r="B81" s="146">
        <f>SUM(C81:D81)</f>
        <v>4534855</v>
      </c>
      <c r="C81" s="543">
        <f>SUM(C79:C80)</f>
        <v>4534855</v>
      </c>
      <c r="D81" s="543">
        <f t="shared" ref="D81:T81" si="29">SUM(D79:D80)</f>
        <v>0</v>
      </c>
      <c r="E81" s="543">
        <f t="shared" si="29"/>
        <v>0</v>
      </c>
      <c r="F81" s="543">
        <f t="shared" si="29"/>
        <v>0</v>
      </c>
      <c r="G81" s="543">
        <f t="shared" si="29"/>
        <v>0</v>
      </c>
      <c r="H81" s="543">
        <f t="shared" si="29"/>
        <v>0</v>
      </c>
      <c r="I81" s="543">
        <f t="shared" si="29"/>
        <v>4534855</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4534855</v>
      </c>
      <c r="S81" s="543">
        <f t="shared" si="29"/>
        <v>4529550</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0">SUM(C83+D83)</f>
        <v>75312</v>
      </c>
      <c r="C83" s="147">
        <v>75312</v>
      </c>
      <c r="D83" s="147"/>
      <c r="E83" s="147"/>
      <c r="F83" s="147"/>
      <c r="G83" s="147"/>
      <c r="H83" s="147"/>
      <c r="I83" s="147">
        <f>C83-H83</f>
        <v>75312</v>
      </c>
      <c r="J83" s="147"/>
      <c r="K83" s="147"/>
      <c r="L83" s="147"/>
      <c r="M83" s="147"/>
      <c r="N83" s="147"/>
      <c r="O83" s="147"/>
      <c r="P83" s="147"/>
      <c r="Q83" s="147"/>
      <c r="R83" s="550">
        <f t="shared" ref="R83:R95" si="31">SUM(E83:Q83)</f>
        <v>75312</v>
      </c>
      <c r="S83" s="148"/>
      <c r="T83" s="148"/>
      <c r="U83" s="143"/>
    </row>
    <row r="84" spans="1:21" s="144" customFormat="1">
      <c r="A84" s="145" t="s">
        <v>777</v>
      </c>
      <c r="B84" s="146">
        <f t="shared" si="30"/>
        <v>0</v>
      </c>
      <c r="C84" s="147"/>
      <c r="D84" s="147"/>
      <c r="E84" s="147"/>
      <c r="F84" s="147"/>
      <c r="G84" s="147"/>
      <c r="H84" s="147"/>
      <c r="I84" s="147"/>
      <c r="J84" s="147"/>
      <c r="K84" s="147"/>
      <c r="L84" s="147"/>
      <c r="M84" s="147"/>
      <c r="N84" s="147"/>
      <c r="O84" s="147"/>
      <c r="P84" s="147"/>
      <c r="Q84" s="147"/>
      <c r="R84" s="550">
        <f t="shared" si="31"/>
        <v>0</v>
      </c>
      <c r="S84" s="147"/>
      <c r="T84" s="147"/>
      <c r="U84" s="143"/>
    </row>
    <row r="85" spans="1:21" s="144" customFormat="1">
      <c r="A85" s="145" t="s">
        <v>778</v>
      </c>
      <c r="B85" s="146">
        <f t="shared" si="30"/>
        <v>1064193</v>
      </c>
      <c r="C85" s="147">
        <v>1064193</v>
      </c>
      <c r="D85" s="147"/>
      <c r="E85" s="147"/>
      <c r="F85" s="147"/>
      <c r="G85" s="147"/>
      <c r="H85" s="147"/>
      <c r="I85" s="147">
        <f>C85-H85</f>
        <v>1064193</v>
      </c>
      <c r="J85" s="147"/>
      <c r="K85" s="147"/>
      <c r="L85" s="147"/>
      <c r="M85" s="147"/>
      <c r="N85" s="147"/>
      <c r="O85" s="147"/>
      <c r="P85" s="147"/>
      <c r="Q85" s="147"/>
      <c r="R85" s="550">
        <f t="shared" si="31"/>
        <v>1064193</v>
      </c>
      <c r="S85" s="147">
        <f t="shared" ref="S85" si="32">C85</f>
        <v>1064193</v>
      </c>
      <c r="T85" s="147"/>
      <c r="U85" s="143"/>
    </row>
    <row r="86" spans="1:21" s="144" customFormat="1">
      <c r="A86" s="145" t="s">
        <v>779</v>
      </c>
      <c r="B86" s="146">
        <f>SUM(C86+D86)</f>
        <v>357735</v>
      </c>
      <c r="C86" s="147">
        <f>1421928-C85</f>
        <v>357735</v>
      </c>
      <c r="D86" s="147"/>
      <c r="E86" s="147"/>
      <c r="F86" s="147"/>
      <c r="G86" s="147"/>
      <c r="H86" s="147"/>
      <c r="I86" s="147">
        <f>C86-H86</f>
        <v>357735</v>
      </c>
      <c r="J86" s="147"/>
      <c r="K86" s="147"/>
      <c r="L86" s="147"/>
      <c r="M86" s="147"/>
      <c r="N86" s="147"/>
      <c r="O86" s="147"/>
      <c r="P86" s="147"/>
      <c r="Q86" s="147"/>
      <c r="R86" s="550">
        <f t="shared" si="31"/>
        <v>357735</v>
      </c>
      <c r="S86" s="147">
        <f>C86</f>
        <v>357735</v>
      </c>
      <c r="T86" s="147"/>
      <c r="U86" s="143"/>
    </row>
    <row r="87" spans="1:21" s="144" customFormat="1">
      <c r="A87" s="145" t="s">
        <v>780</v>
      </c>
      <c r="B87" s="146">
        <f>SUM(C87+D87)</f>
        <v>0</v>
      </c>
      <c r="C87" s="147"/>
      <c r="D87" s="147"/>
      <c r="E87" s="147"/>
      <c r="F87" s="147"/>
      <c r="G87" s="147"/>
      <c r="H87" s="147"/>
      <c r="I87" s="147"/>
      <c r="J87" s="147"/>
      <c r="K87" s="147"/>
      <c r="L87" s="147"/>
      <c r="M87" s="147"/>
      <c r="N87" s="147"/>
      <c r="O87" s="147"/>
      <c r="P87" s="147"/>
      <c r="Q87" s="147"/>
      <c r="R87" s="550">
        <f t="shared" si="31"/>
        <v>0</v>
      </c>
      <c r="S87" s="147"/>
      <c r="T87" s="147"/>
      <c r="U87" s="143"/>
    </row>
    <row r="88" spans="1:21" s="144" customFormat="1">
      <c r="A88" s="145" t="s">
        <v>781</v>
      </c>
      <c r="B88" s="146">
        <f t="shared" si="30"/>
        <v>104100</v>
      </c>
      <c r="C88" s="147">
        <v>104100</v>
      </c>
      <c r="D88" s="147"/>
      <c r="E88" s="147"/>
      <c r="F88" s="147"/>
      <c r="G88" s="147"/>
      <c r="H88" s="147"/>
      <c r="I88" s="147">
        <f t="shared" ref="I88:I91" si="33">C88-H88</f>
        <v>104100</v>
      </c>
      <c r="J88" s="147"/>
      <c r="K88" s="147"/>
      <c r="L88" s="147"/>
      <c r="M88" s="147"/>
      <c r="N88" s="147"/>
      <c r="O88" s="147"/>
      <c r="P88" s="147"/>
      <c r="Q88" s="147"/>
      <c r="R88" s="550">
        <f t="shared" si="31"/>
        <v>104100</v>
      </c>
      <c r="S88" s="148"/>
      <c r="T88" s="148"/>
      <c r="U88" s="143"/>
    </row>
    <row r="89" spans="1:21" s="144" customFormat="1">
      <c r="A89" s="145" t="s">
        <v>782</v>
      </c>
      <c r="B89" s="146">
        <f t="shared" si="30"/>
        <v>250000</v>
      </c>
      <c r="C89" s="147">
        <v>250000</v>
      </c>
      <c r="D89" s="147"/>
      <c r="E89" s="147"/>
      <c r="F89" s="147"/>
      <c r="G89" s="147"/>
      <c r="H89" s="147"/>
      <c r="I89" s="147">
        <f t="shared" si="33"/>
        <v>250000</v>
      </c>
      <c r="J89" s="147"/>
      <c r="K89" s="147"/>
      <c r="L89" s="147"/>
      <c r="M89" s="147"/>
      <c r="N89" s="147"/>
      <c r="O89" s="147"/>
      <c r="P89" s="147"/>
      <c r="Q89" s="147"/>
      <c r="R89" s="550">
        <f t="shared" si="31"/>
        <v>250000</v>
      </c>
      <c r="S89" s="147">
        <f t="shared" ref="S89:S92" si="34">C89</f>
        <v>250000</v>
      </c>
      <c r="T89" s="147"/>
      <c r="U89" s="143"/>
    </row>
    <row r="90" spans="1:21" s="144" customFormat="1">
      <c r="A90" s="145" t="s">
        <v>783</v>
      </c>
      <c r="B90" s="146">
        <f t="shared" si="30"/>
        <v>10000</v>
      </c>
      <c r="C90" s="147">
        <v>10000</v>
      </c>
      <c r="D90" s="147"/>
      <c r="E90" s="147"/>
      <c r="F90" s="147"/>
      <c r="G90" s="147"/>
      <c r="H90" s="147"/>
      <c r="I90" s="147">
        <f t="shared" si="33"/>
        <v>10000</v>
      </c>
      <c r="J90" s="147"/>
      <c r="K90" s="147"/>
      <c r="L90" s="147"/>
      <c r="M90" s="147"/>
      <c r="N90" s="147"/>
      <c r="O90" s="147"/>
      <c r="P90" s="147"/>
      <c r="Q90" s="147"/>
      <c r="R90" s="550">
        <f t="shared" si="31"/>
        <v>10000</v>
      </c>
      <c r="S90" s="147">
        <f t="shared" si="34"/>
        <v>10000</v>
      </c>
      <c r="T90" s="147"/>
      <c r="U90" s="143"/>
    </row>
    <row r="91" spans="1:21" s="144" customFormat="1">
      <c r="A91" s="145" t="s">
        <v>373</v>
      </c>
      <c r="B91" s="146">
        <f t="shared" si="30"/>
        <v>100000</v>
      </c>
      <c r="C91" s="147">
        <v>100000</v>
      </c>
      <c r="D91" s="147"/>
      <c r="E91" s="147"/>
      <c r="F91" s="147"/>
      <c r="G91" s="147"/>
      <c r="H91" s="147"/>
      <c r="I91" s="147">
        <f t="shared" si="33"/>
        <v>100000</v>
      </c>
      <c r="J91" s="147"/>
      <c r="K91" s="147"/>
      <c r="L91" s="147"/>
      <c r="M91" s="147"/>
      <c r="N91" s="147"/>
      <c r="O91" s="147"/>
      <c r="P91" s="147"/>
      <c r="Q91" s="147"/>
      <c r="R91" s="550">
        <f t="shared" si="31"/>
        <v>100000</v>
      </c>
      <c r="S91" s="147">
        <f t="shared" si="34"/>
        <v>100000</v>
      </c>
      <c r="T91" s="147"/>
      <c r="U91" s="143"/>
    </row>
    <row r="92" spans="1:21" s="144" customFormat="1">
      <c r="A92" s="304" t="s">
        <v>1318</v>
      </c>
      <c r="B92" s="146">
        <f t="shared" si="30"/>
        <v>0</v>
      </c>
      <c r="C92" s="147"/>
      <c r="D92" s="147"/>
      <c r="E92" s="147"/>
      <c r="F92" s="147"/>
      <c r="G92" s="147"/>
      <c r="H92" s="147"/>
      <c r="I92" s="147"/>
      <c r="J92" s="147"/>
      <c r="K92" s="147"/>
      <c r="L92" s="147"/>
      <c r="M92" s="147"/>
      <c r="N92" s="147"/>
      <c r="O92" s="147"/>
      <c r="P92" s="147"/>
      <c r="Q92" s="147"/>
      <c r="R92" s="550">
        <f t="shared" si="31"/>
        <v>0</v>
      </c>
      <c r="S92" s="147">
        <f t="shared" si="34"/>
        <v>0</v>
      </c>
      <c r="T92" s="147"/>
      <c r="U92" s="143"/>
    </row>
    <row r="93" spans="1:21" s="144" customFormat="1">
      <c r="A93" s="1193" t="s">
        <v>34</v>
      </c>
      <c r="B93" s="146">
        <f t="shared" si="30"/>
        <v>0</v>
      </c>
      <c r="C93" s="147"/>
      <c r="D93" s="147"/>
      <c r="E93" s="147"/>
      <c r="F93" s="147"/>
      <c r="G93" s="147"/>
      <c r="H93" s="147"/>
      <c r="I93" s="147"/>
      <c r="J93" s="147"/>
      <c r="K93" s="147"/>
      <c r="L93" s="147"/>
      <c r="M93" s="147"/>
      <c r="N93" s="147"/>
      <c r="O93" s="147"/>
      <c r="P93" s="147"/>
      <c r="Q93" s="147"/>
      <c r="R93" s="550">
        <f t="shared" si="31"/>
        <v>0</v>
      </c>
      <c r="S93" s="147"/>
      <c r="T93" s="147"/>
      <c r="U93" s="143"/>
    </row>
    <row r="94" spans="1:21" s="144" customFormat="1">
      <c r="A94" s="1193" t="s">
        <v>34</v>
      </c>
      <c r="B94" s="146">
        <f t="shared" si="30"/>
        <v>0</v>
      </c>
      <c r="C94" s="147"/>
      <c r="D94" s="147"/>
      <c r="E94" s="147"/>
      <c r="F94" s="147"/>
      <c r="G94" s="147"/>
      <c r="H94" s="147"/>
      <c r="I94" s="147"/>
      <c r="J94" s="147"/>
      <c r="K94" s="147"/>
      <c r="L94" s="147"/>
      <c r="M94" s="147"/>
      <c r="N94" s="147"/>
      <c r="O94" s="147"/>
      <c r="P94" s="147"/>
      <c r="Q94" s="147"/>
      <c r="R94" s="550">
        <f t="shared" si="31"/>
        <v>0</v>
      </c>
      <c r="S94" s="147"/>
      <c r="T94" s="147"/>
      <c r="U94" s="143"/>
    </row>
    <row r="95" spans="1:21" s="144" customFormat="1">
      <c r="A95" s="1193" t="s">
        <v>34</v>
      </c>
      <c r="B95" s="146">
        <f t="shared" si="30"/>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c r="A96" s="149" t="s">
        <v>784</v>
      </c>
      <c r="B96" s="146">
        <f>SUM(C96:D96)</f>
        <v>1961340</v>
      </c>
      <c r="C96" s="146">
        <f t="shared" ref="C96:R96" si="35">SUM(C83:C95)</f>
        <v>1961340</v>
      </c>
      <c r="D96" s="146">
        <f t="shared" si="35"/>
        <v>0</v>
      </c>
      <c r="E96" s="146">
        <f t="shared" si="35"/>
        <v>0</v>
      </c>
      <c r="F96" s="146">
        <f t="shared" si="35"/>
        <v>0</v>
      </c>
      <c r="G96" s="146">
        <f t="shared" si="35"/>
        <v>0</v>
      </c>
      <c r="H96" s="146">
        <f t="shared" si="35"/>
        <v>0</v>
      </c>
      <c r="I96" s="146">
        <f t="shared" si="35"/>
        <v>1961340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1961340</v>
      </c>
      <c r="S96" s="150">
        <f>SUM(S84:S87,S89:S95)</f>
        <v>1781928</v>
      </c>
      <c r="T96" s="146">
        <f>SUM(T84:T87,T89:T95)</f>
        <v>0</v>
      </c>
      <c r="U96" s="143"/>
    </row>
    <row r="97" spans="1:21" s="144" customFormat="1">
      <c r="A97" s="149" t="s">
        <v>785</v>
      </c>
      <c r="B97" s="146">
        <f>SUM(C97:D97)</f>
        <v>70886718</v>
      </c>
      <c r="C97" s="146">
        <f t="shared" ref="C97:R97" si="36">SUM(C63+C70+C77+C81+C96)</f>
        <v>70886718</v>
      </c>
      <c r="D97" s="146">
        <f t="shared" si="36"/>
        <v>0</v>
      </c>
      <c r="E97" s="146">
        <f t="shared" si="36"/>
        <v>40622196</v>
      </c>
      <c r="F97" s="146">
        <f t="shared" si="36"/>
        <v>7050000</v>
      </c>
      <c r="G97" s="146">
        <f t="shared" si="36"/>
        <v>3000000</v>
      </c>
      <c r="H97" s="146">
        <f t="shared" si="36"/>
        <v>12497835</v>
      </c>
      <c r="I97" s="146">
        <f t="shared" si="36"/>
        <v>7716687</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70886718</v>
      </c>
      <c r="S97" s="146">
        <f>SUM(S63+S70+S81+S96)</f>
        <v>60618029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6000000</v>
      </c>
      <c r="C99" s="1014">
        <v>6000000</v>
      </c>
      <c r="D99" s="1014"/>
      <c r="E99" s="1014">
        <f>C99-J99-K99</f>
        <v>3227046</v>
      </c>
      <c r="F99" s="147"/>
      <c r="G99" s="147"/>
      <c r="H99" s="147"/>
      <c r="I99" s="147"/>
      <c r="J99" s="147">
        <f>J108</f>
        <v>1272954</v>
      </c>
      <c r="K99" s="147">
        <f>K108</f>
        <v>1500000</v>
      </c>
      <c r="L99" s="147"/>
      <c r="M99" s="147"/>
      <c r="N99" s="147"/>
      <c r="O99" s="147"/>
      <c r="P99" s="147"/>
      <c r="Q99" s="147"/>
      <c r="R99" s="550">
        <f>SUM(E99:Q99)</f>
        <v>6000000</v>
      </c>
      <c r="S99" s="147">
        <f t="shared" ref="S99" si="37">C99</f>
        <v>6000000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6000000</v>
      </c>
      <c r="C104" s="146">
        <f>SUM(C99:C103)</f>
        <v>6000000</v>
      </c>
      <c r="D104" s="146">
        <f t="shared" ref="D104:T104" si="38">SUM(D99:D103)</f>
        <v>0</v>
      </c>
      <c r="E104" s="146">
        <f t="shared" si="38"/>
        <v>3227046</v>
      </c>
      <c r="F104" s="146">
        <f t="shared" si="38"/>
        <v>0</v>
      </c>
      <c r="G104" s="146">
        <f t="shared" si="38"/>
        <v>0</v>
      </c>
      <c r="H104" s="146">
        <f t="shared" si="38"/>
        <v>0</v>
      </c>
      <c r="I104" s="146">
        <f t="shared" si="38"/>
        <v>0</v>
      </c>
      <c r="J104" s="146">
        <f t="shared" si="38"/>
        <v>1272954</v>
      </c>
      <c r="K104" s="146">
        <f t="shared" si="38"/>
        <v>1500000</v>
      </c>
      <c r="L104" s="146">
        <f t="shared" si="38"/>
        <v>0</v>
      </c>
      <c r="M104" s="146">
        <f t="shared" si="38"/>
        <v>0</v>
      </c>
      <c r="N104" s="146">
        <f t="shared" si="38"/>
        <v>0</v>
      </c>
      <c r="O104" s="146">
        <f t="shared" si="38"/>
        <v>0</v>
      </c>
      <c r="P104" s="146">
        <f t="shared" si="38"/>
        <v>0</v>
      </c>
      <c r="Q104" s="146">
        <f t="shared" si="38"/>
        <v>0</v>
      </c>
      <c r="R104" s="370">
        <f t="shared" si="38"/>
        <v>6000000</v>
      </c>
      <c r="S104" s="150">
        <f t="shared" si="38"/>
        <v>6000000</v>
      </c>
      <c r="T104" s="150">
        <f t="shared" si="38"/>
        <v>0</v>
      </c>
      <c r="U104" s="143"/>
    </row>
    <row r="105" spans="1:21" s="144" customFormat="1">
      <c r="A105" s="149" t="s">
        <v>790</v>
      </c>
      <c r="B105" s="150">
        <f>SUM(C105:D105)</f>
        <v>76886718</v>
      </c>
      <c r="C105" s="150">
        <f t="shared" ref="C105:R105" si="39">SUM(C97+C104)</f>
        <v>76886718</v>
      </c>
      <c r="D105" s="150">
        <f t="shared" si="39"/>
        <v>0</v>
      </c>
      <c r="E105" s="150">
        <f t="shared" si="39"/>
        <v>43849242</v>
      </c>
      <c r="F105" s="150">
        <f t="shared" si="39"/>
        <v>7050000</v>
      </c>
      <c r="G105" s="150">
        <f t="shared" si="39"/>
        <v>3000000</v>
      </c>
      <c r="H105" s="150">
        <f t="shared" si="39"/>
        <v>12497835</v>
      </c>
      <c r="I105" s="150">
        <f t="shared" si="39"/>
        <v>7716687</v>
      </c>
      <c r="J105" s="150">
        <f t="shared" si="39"/>
        <v>1272954</v>
      </c>
      <c r="K105" s="150">
        <f t="shared" si="39"/>
        <v>1500000</v>
      </c>
      <c r="L105" s="150">
        <f t="shared" si="39"/>
        <v>0</v>
      </c>
      <c r="M105" s="150">
        <f t="shared" si="39"/>
        <v>0</v>
      </c>
      <c r="N105" s="150">
        <f t="shared" si="39"/>
        <v>0</v>
      </c>
      <c r="O105" s="150">
        <f t="shared" si="39"/>
        <v>0</v>
      </c>
      <c r="P105" s="150">
        <f t="shared" si="39"/>
        <v>0</v>
      </c>
      <c r="Q105" s="150">
        <f t="shared" si="39"/>
        <v>0</v>
      </c>
      <c r="R105" s="370">
        <f t="shared" si="39"/>
        <v>76886718</v>
      </c>
      <c r="S105" s="150">
        <f>S97+S104</f>
        <v>66618029</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66618029</v>
      </c>
      <c r="T107" s="150">
        <f>T105+T106</f>
        <v>0</v>
      </c>
    </row>
    <row r="108" spans="1:21" s="201" customFormat="1">
      <c r="A108" s="162" t="s">
        <v>892</v>
      </c>
      <c r="B108" s="157"/>
      <c r="C108" s="157"/>
      <c r="D108" s="157"/>
      <c r="E108" s="323">
        <f>Application!AO640</f>
        <v>43849242</v>
      </c>
      <c r="F108" s="323">
        <f>Application!AO627</f>
        <v>7050000</v>
      </c>
      <c r="G108" s="323">
        <f>Application!AO628</f>
        <v>3000000</v>
      </c>
      <c r="H108" s="323">
        <f>Application!AO629</f>
        <v>12497835</v>
      </c>
      <c r="I108" s="323">
        <f>Application!AO630</f>
        <v>7716687</v>
      </c>
      <c r="J108" s="323">
        <f>Application!AO631</f>
        <v>1272954</v>
      </c>
      <c r="K108" s="323">
        <f>Application!AO632</f>
        <v>1500000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1" t="s">
        <v>1015</v>
      </c>
      <c r="E122" s="1881"/>
      <c r="F122" s="188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562"/>
      <c r="F123" s="1562"/>
      <c r="G123" s="1562"/>
      <c r="H123" s="1562"/>
      <c r="I123" s="1562"/>
      <c r="J123" s="1562"/>
      <c r="K123" s="1562"/>
      <c r="L123" s="1562"/>
      <c r="M123" s="1562"/>
      <c r="N123" s="1562"/>
      <c r="O123" s="1562"/>
      <c r="P123" s="1562"/>
      <c r="Q123" s="1562"/>
      <c r="R123" s="1562"/>
      <c r="S123" s="1562"/>
      <c r="T123" s="352"/>
      <c r="U123" s="354"/>
    </row>
    <row r="124" spans="1:21" ht="12.75">
      <c r="A124" s="117" t="s">
        <v>1017</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75">
      <c r="A125" s="117" t="s">
        <v>1018</v>
      </c>
      <c r="B125" s="361">
        <v>75000</v>
      </c>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1022</v>
      </c>
      <c r="E129" s="1880"/>
      <c r="F129" s="1880"/>
      <c r="G129" s="1880"/>
      <c r="H129" s="188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75000</v>
      </c>
      <c r="C131" s="117"/>
      <c r="D131" s="1533"/>
      <c r="E131" s="1533"/>
      <c r="F131" s="1533"/>
      <c r="G131" s="1533"/>
      <c r="H131" s="1533"/>
      <c r="I131" s="117"/>
      <c r="J131" s="1533"/>
      <c r="K131" s="1533"/>
      <c r="L131" s="1533"/>
      <c r="M131" s="1533"/>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f>+Application!AM554/('Sources and Uses Budget'!S107+'Sources and Uses Budget'!C12)</f>
        <v>0.54518655568820817</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1335</v>
      </c>
      <c r="B1" s="1885"/>
      <c r="C1" s="1885"/>
      <c r="D1" s="1885"/>
      <c r="E1" s="1885"/>
      <c r="F1" s="1885"/>
      <c r="G1" s="1885"/>
      <c r="H1" s="1885"/>
      <c r="I1" s="1885"/>
      <c r="J1" s="1886"/>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4000000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4000000</v>
      </c>
      <c r="C12" s="392">
        <f>SUM(C8+C11)</f>
        <v>0</v>
      </c>
      <c r="D12" s="392">
        <f>SUM(D8+D11)</f>
        <v>0</v>
      </c>
      <c r="E12" s="394"/>
      <c r="F12" s="394"/>
      <c r="G12" s="394"/>
      <c r="H12" s="394"/>
      <c r="I12" s="394"/>
      <c r="J12" s="394"/>
      <c r="K12" s="390"/>
    </row>
    <row r="13" spans="1:11" s="391" customFormat="1">
      <c r="A13" s="397" t="s">
        <v>918</v>
      </c>
      <c r="B13" s="392">
        <f>'Sources and Uses Budget'!C13</f>
        <v>2560288</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1288604</v>
      </c>
      <c r="C29" s="393"/>
      <c r="D29" s="393"/>
      <c r="E29" s="392">
        <f>'Sources and Uses Budget'!S29</f>
        <v>1288604</v>
      </c>
      <c r="F29" s="393"/>
      <c r="G29" s="393"/>
      <c r="H29" s="392">
        <f>'Sources and Uses Budget'!T29</f>
        <v>0</v>
      </c>
      <c r="I29" s="393"/>
      <c r="J29" s="393"/>
      <c r="K29" s="390"/>
    </row>
    <row r="30" spans="1:11" s="391" customFormat="1">
      <c r="A30" s="145" t="s">
        <v>608</v>
      </c>
      <c r="B30" s="392">
        <f>'Sources and Uses Budget'!C30</f>
        <v>39887078</v>
      </c>
      <c r="C30" s="393"/>
      <c r="D30" s="393"/>
      <c r="E30" s="392">
        <f>'Sources and Uses Budget'!S30</f>
        <v>39887078</v>
      </c>
      <c r="F30" s="393"/>
      <c r="G30" s="393"/>
      <c r="H30" s="392">
        <f>'Sources and Uses Budget'!T30</f>
        <v>0</v>
      </c>
      <c r="I30" s="393"/>
      <c r="J30" s="393"/>
      <c r="K30" s="390"/>
    </row>
    <row r="31" spans="1:11" s="391" customFormat="1">
      <c r="A31" s="145" t="s">
        <v>609</v>
      </c>
      <c r="B31" s="392">
        <f>'Sources and Uses Budget'!C31</f>
        <v>4005000</v>
      </c>
      <c r="C31" s="393"/>
      <c r="D31" s="393"/>
      <c r="E31" s="392">
        <f>'Sources and Uses Budget'!S31</f>
        <v>4005000</v>
      </c>
      <c r="F31" s="393"/>
      <c r="G31" s="393"/>
      <c r="H31" s="392">
        <f>'Sources and Uses Budget'!T31</f>
        <v>0</v>
      </c>
      <c r="I31" s="393"/>
      <c r="J31" s="393"/>
      <c r="K31" s="390"/>
    </row>
    <row r="32" spans="1:11" s="391" customFormat="1">
      <c r="A32" s="145" t="s">
        <v>137</v>
      </c>
      <c r="B32" s="392">
        <f>'Sources and Uses Budget'!C32</f>
        <v>1945054</v>
      </c>
      <c r="C32" s="393"/>
      <c r="D32" s="393"/>
      <c r="E32" s="392">
        <f>'Sources and Uses Budget'!S32</f>
        <v>1945054</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1350000</v>
      </c>
      <c r="C35" s="393"/>
      <c r="D35" s="393"/>
      <c r="E35" s="392">
        <f>'Sources and Uses Budget'!S35</f>
        <v>1350000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SDI &amp; Bond</v>
      </c>
      <c r="B37" s="392">
        <f>'Sources and Uses Budget'!C37</f>
        <v>1090826</v>
      </c>
      <c r="C37" s="393"/>
      <c r="D37" s="393"/>
      <c r="E37" s="392">
        <f>'Sources and Uses Budget'!S37</f>
        <v>1090826</v>
      </c>
      <c r="F37" s="393"/>
      <c r="G37" s="393"/>
      <c r="H37" s="392">
        <f>'Sources and Uses Budget'!T37</f>
        <v>0</v>
      </c>
      <c r="I37" s="393"/>
      <c r="J37" s="393"/>
      <c r="K37" s="390"/>
    </row>
    <row r="38" spans="1:11" s="391" customFormat="1">
      <c r="A38" s="396" t="s">
        <v>143</v>
      </c>
      <c r="B38" s="392">
        <f>'Sources and Uses Budget'!C38</f>
        <v>49566562</v>
      </c>
      <c r="C38" s="392">
        <f>SUM(C29:C37)</f>
        <v>0</v>
      </c>
      <c r="D38" s="392">
        <f>SUM(D29:D37)</f>
        <v>0</v>
      </c>
      <c r="E38" s="392">
        <f>'Sources and Uses Budget'!S38</f>
        <v>49566562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1888998</v>
      </c>
      <c r="C40" s="393"/>
      <c r="D40" s="393"/>
      <c r="E40" s="392">
        <f>'Sources and Uses Budget'!S40</f>
        <v>1888998</v>
      </c>
      <c r="F40" s="393"/>
      <c r="G40" s="393"/>
      <c r="H40" s="392">
        <f>'Sources and Uses Budget'!T40</f>
        <v>0</v>
      </c>
      <c r="I40" s="393"/>
      <c r="J40" s="393"/>
      <c r="K40" s="390"/>
    </row>
    <row r="41" spans="1:11" s="391" customFormat="1">
      <c r="A41" s="395" t="s">
        <v>146</v>
      </c>
      <c r="B41" s="392">
        <f>'Sources and Uses Budget'!C41</f>
        <v>354491</v>
      </c>
      <c r="C41" s="393"/>
      <c r="D41" s="393"/>
      <c r="E41" s="392">
        <f>'Sources and Uses Budget'!S41</f>
        <v>354491</v>
      </c>
      <c r="F41" s="393"/>
      <c r="G41" s="393"/>
      <c r="H41" s="392">
        <f>'Sources and Uses Budget'!T41</f>
        <v>0</v>
      </c>
      <c r="I41" s="393"/>
      <c r="J41" s="393"/>
      <c r="K41" s="390"/>
    </row>
    <row r="42" spans="1:11" s="391" customFormat="1">
      <c r="A42" s="396" t="s">
        <v>147</v>
      </c>
      <c r="B42" s="392">
        <f>'Sources and Uses Budget'!C42</f>
        <v>2243489</v>
      </c>
      <c r="C42" s="392">
        <f>SUM(C39:C41)</f>
        <v>0</v>
      </c>
      <c r="D42" s="392">
        <f>SUM(D39:D41)</f>
        <v>0</v>
      </c>
      <c r="E42" s="392">
        <f>'Sources and Uses Budget'!S42</f>
        <v>2243489</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58000</v>
      </c>
      <c r="C43" s="393"/>
      <c r="D43" s="393"/>
      <c r="E43" s="392">
        <f>'Sources and Uses Budget'!S43</f>
        <v>58000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3500000</v>
      </c>
      <c r="C45" s="393"/>
      <c r="D45" s="393"/>
      <c r="E45" s="392">
        <f>'Sources and Uses Budget'!S45</f>
        <v>2000000</v>
      </c>
      <c r="F45" s="393"/>
      <c r="G45" s="393"/>
      <c r="H45" s="392">
        <f>'Sources and Uses Budget'!T45</f>
        <v>0</v>
      </c>
      <c r="I45" s="393"/>
      <c r="J45" s="393"/>
      <c r="K45" s="390"/>
    </row>
    <row r="46" spans="1:11" s="391" customFormat="1">
      <c r="A46" s="395" t="s">
        <v>151</v>
      </c>
      <c r="B46" s="392">
        <f>'Sources and Uses Budget'!C46</f>
        <v>470000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171600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13000</v>
      </c>
      <c r="C50" s="393"/>
      <c r="D50" s="393"/>
      <c r="E50" s="392">
        <f>'Sources and Uses Budget'!S50</f>
        <v>13000</v>
      </c>
      <c r="F50" s="393"/>
      <c r="G50" s="393"/>
      <c r="H50" s="392">
        <f>'Sources and Uses Budget'!T50</f>
        <v>0</v>
      </c>
      <c r="I50" s="393"/>
      <c r="J50" s="393"/>
      <c r="K50" s="390"/>
    </row>
    <row r="51" spans="1:11" s="391" customFormat="1">
      <c r="A51" s="395" t="s">
        <v>154</v>
      </c>
      <c r="B51" s="392">
        <f>'Sources and Uses Budget'!C51</f>
        <v>125000</v>
      </c>
      <c r="C51" s="393"/>
      <c r="D51" s="393"/>
      <c r="E51" s="392">
        <f>'Sources and Uses Budget'!S51</f>
        <v>125000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4279600</v>
      </c>
      <c r="C54" s="398">
        <f>SUM(C45:C53)</f>
        <v>0</v>
      </c>
      <c r="D54" s="398">
        <f>SUM(D45:D53)</f>
        <v>0</v>
      </c>
      <c r="E54" s="392">
        <f>'Sources and Uses Budget'!S54</f>
        <v>2138000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76841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ht="24">
      <c r="A61" s="395" t="str">
        <f>'Sources and Uses Budget'!$A61</f>
        <v>Conversion Fee and Perm Lender Due Diligence</v>
      </c>
      <c r="B61" s="392">
        <f>'Sources and Uses Budget'!C61</f>
        <v>37500</v>
      </c>
      <c r="C61" s="393"/>
      <c r="D61" s="393"/>
      <c r="E61" s="394"/>
      <c r="F61" s="394"/>
      <c r="G61" s="394"/>
      <c r="H61" s="394"/>
      <c r="I61" s="394"/>
      <c r="J61" s="394"/>
      <c r="K61" s="390"/>
    </row>
    <row r="62" spans="1:11" s="391" customFormat="1" ht="13.7" customHeight="1">
      <c r="A62" s="396" t="s">
        <v>302</v>
      </c>
      <c r="B62" s="392">
        <f>'Sources and Uses Budget'!C62</f>
        <v>114341</v>
      </c>
      <c r="C62" s="392">
        <f>SUM(C56:C61)</f>
        <v>0</v>
      </c>
      <c r="D62" s="392">
        <f>SUM(D56:D61)</f>
        <v>0</v>
      </c>
      <c r="E62" s="394"/>
      <c r="F62" s="394"/>
      <c r="G62" s="394"/>
      <c r="H62" s="394"/>
      <c r="I62" s="394"/>
      <c r="J62" s="394"/>
      <c r="K62" s="390"/>
    </row>
    <row r="63" spans="1:11" s="391" customFormat="1">
      <c r="A63" s="401" t="s">
        <v>303</v>
      </c>
      <c r="B63" s="392">
        <f>'Sources and Uses Budget'!C63</f>
        <v>62822280</v>
      </c>
      <c r="C63" s="392">
        <f>SUM(C8+C11+C13+C14+C15+C26+C27+C38+C42+C43+C54+C62)</f>
        <v>0</v>
      </c>
      <c r="D63" s="392">
        <f>SUM(D8+D11+D13+D14+D15+D26+D27+D38+D42+D43+D54+D62)</f>
        <v>0</v>
      </c>
      <c r="E63" s="392">
        <f>'Sources and Uses Budget'!S63</f>
        <v>54006051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150500</v>
      </c>
      <c r="C65" s="393"/>
      <c r="D65" s="393"/>
      <c r="E65" s="392">
        <f>'Sources and Uses Budget'!S65</f>
        <v>50500</v>
      </c>
      <c r="F65" s="393"/>
      <c r="G65" s="393"/>
      <c r="H65" s="392">
        <f>'Sources and Uses Budget'!T65</f>
        <v>0</v>
      </c>
      <c r="I65" s="393"/>
      <c r="J65" s="393"/>
      <c r="K65" s="390"/>
    </row>
    <row r="66" spans="1:11" s="391" customFormat="1" ht="24">
      <c r="A66" s="304" t="s">
        <v>1755</v>
      </c>
      <c r="B66" s="392">
        <f>'Sources and Uses Budget'!C66</f>
        <v>200000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Partnership Legal</v>
      </c>
      <c r="B69" s="392">
        <f>'Sources and Uses Budget'!C69</f>
        <v>325000</v>
      </c>
      <c r="C69" s="393"/>
      <c r="D69" s="393"/>
      <c r="E69" s="392">
        <f>'Sources and Uses Budget'!S69</f>
        <v>250000</v>
      </c>
      <c r="F69" s="393"/>
      <c r="G69" s="393"/>
      <c r="H69" s="392">
        <f>'Sources and Uses Budget'!T69</f>
        <v>0</v>
      </c>
      <c r="I69" s="393"/>
      <c r="J69" s="393"/>
      <c r="K69" s="390"/>
    </row>
    <row r="70" spans="1:11" s="391" customFormat="1">
      <c r="A70" s="396" t="s">
        <v>610</v>
      </c>
      <c r="B70" s="392">
        <f>'Sources and Uses Budget'!C70</f>
        <v>675500</v>
      </c>
      <c r="C70" s="392">
        <f>SUM(C64:C69)</f>
        <v>0</v>
      </c>
      <c r="D70" s="392">
        <f>SUM(D64:D69)</f>
        <v>0</v>
      </c>
      <c r="E70" s="392">
        <f>'Sources and Uses Budget'!S70</f>
        <v>300500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75000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750872</v>
      </c>
      <c r="C75" s="393"/>
      <c r="D75" s="393"/>
      <c r="E75" s="394"/>
      <c r="F75" s="394"/>
      <c r="G75" s="394"/>
      <c r="H75" s="394"/>
      <c r="I75" s="394"/>
      <c r="J75" s="394"/>
      <c r="K75" s="390"/>
    </row>
    <row r="76" spans="1:11" s="391" customFormat="1" ht="24">
      <c r="A76" s="395" t="str">
        <f>'Sources and Uses Budget'!$A76</f>
        <v>Services and Additional Operating Reserves</v>
      </c>
      <c r="B76" s="392">
        <f>'Sources and Uses Budget'!C76</f>
        <v>66871</v>
      </c>
      <c r="C76" s="393"/>
      <c r="D76" s="393"/>
      <c r="E76" s="394"/>
      <c r="F76" s="394"/>
      <c r="G76" s="394"/>
      <c r="H76" s="394"/>
      <c r="I76" s="394"/>
      <c r="J76" s="394"/>
      <c r="K76" s="390"/>
    </row>
    <row r="77" spans="1:11" s="391" customFormat="1">
      <c r="A77" s="396" t="s">
        <v>615</v>
      </c>
      <c r="B77" s="392">
        <f>'Sources and Uses Budget'!C77</f>
        <v>892743</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3916477</v>
      </c>
      <c r="C79" s="393"/>
      <c r="D79" s="393"/>
      <c r="E79" s="392">
        <f>'Sources and Uses Budget'!S79</f>
        <v>3916477</v>
      </c>
      <c r="F79" s="393"/>
      <c r="G79" s="393"/>
      <c r="H79" s="392">
        <f>'Sources and Uses Budget'!T79</f>
        <v>0</v>
      </c>
      <c r="I79" s="393"/>
      <c r="J79" s="393"/>
      <c r="K79" s="390"/>
    </row>
    <row r="80" spans="1:11" s="391" customFormat="1">
      <c r="A80" s="395" t="s">
        <v>58</v>
      </c>
      <c r="B80" s="392">
        <f>'Sources and Uses Budget'!C80</f>
        <v>618378</v>
      </c>
      <c r="C80" s="393"/>
      <c r="D80" s="393"/>
      <c r="E80" s="392">
        <f>'Sources and Uses Budget'!S80</f>
        <v>613073</v>
      </c>
      <c r="F80" s="393"/>
      <c r="G80" s="393"/>
      <c r="H80" s="392">
        <f>'Sources and Uses Budget'!T80</f>
        <v>0</v>
      </c>
      <c r="I80" s="393"/>
      <c r="J80" s="393"/>
      <c r="K80" s="390"/>
    </row>
    <row r="81" spans="1:11" s="391" customFormat="1">
      <c r="A81" s="396" t="s">
        <v>1316</v>
      </c>
      <c r="B81" s="392">
        <f>'Sources and Uses Budget'!C81</f>
        <v>4534855</v>
      </c>
      <c r="C81" s="392">
        <f>SUM(C79:C80)</f>
        <v>0</v>
      </c>
      <c r="D81" s="392">
        <f>SUM(D79:D80)</f>
        <v>0</v>
      </c>
      <c r="E81" s="392">
        <f>'Sources and Uses Budget'!S81</f>
        <v>4529550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75312</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1064193</v>
      </c>
      <c r="C85" s="393"/>
      <c r="D85" s="393"/>
      <c r="E85" s="392">
        <f>'Sources and Uses Budget'!S85</f>
        <v>1064193</v>
      </c>
      <c r="F85" s="393"/>
      <c r="G85" s="393"/>
      <c r="H85" s="392">
        <f>'Sources and Uses Budget'!T85</f>
        <v>0</v>
      </c>
      <c r="I85" s="393"/>
      <c r="J85" s="393"/>
      <c r="K85" s="390"/>
    </row>
    <row r="86" spans="1:11" s="391" customFormat="1">
      <c r="A86" s="145" t="s">
        <v>779</v>
      </c>
      <c r="B86" s="392">
        <f>'Sources and Uses Budget'!C86</f>
        <v>357735</v>
      </c>
      <c r="C86" s="393"/>
      <c r="D86" s="393"/>
      <c r="E86" s="392">
        <f>'Sources and Uses Budget'!S86</f>
        <v>357735</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104100</v>
      </c>
      <c r="C88" s="393"/>
      <c r="D88" s="393"/>
      <c r="E88" s="394"/>
      <c r="F88" s="394"/>
      <c r="G88" s="394"/>
      <c r="H88" s="394"/>
      <c r="I88" s="394"/>
      <c r="J88" s="394"/>
      <c r="K88" s="390"/>
    </row>
    <row r="89" spans="1:11" s="391" customFormat="1">
      <c r="A89" s="145" t="s">
        <v>782</v>
      </c>
      <c r="B89" s="392">
        <f>'Sources and Uses Budget'!C89</f>
        <v>250000</v>
      </c>
      <c r="C89" s="393"/>
      <c r="D89" s="393"/>
      <c r="E89" s="392">
        <f>'Sources and Uses Budget'!S89</f>
        <v>250000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100000</v>
      </c>
      <c r="C91" s="393"/>
      <c r="D91" s="393"/>
      <c r="E91" s="392">
        <f>'Sources and Uses Budget'!S91</f>
        <v>100000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1961340</v>
      </c>
      <c r="C96" s="392">
        <f>SUM(C83:C95)</f>
        <v>0</v>
      </c>
      <c r="D96" s="392">
        <f>SUM(D83:D95)</f>
        <v>0</v>
      </c>
      <c r="E96" s="392">
        <f>'Sources and Uses Budget'!S96</f>
        <v>1781928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70886718</v>
      </c>
      <c r="C97" s="392">
        <f>SUM(C63+C70+C77+C81+C96)</f>
        <v>0</v>
      </c>
      <c r="D97" s="392">
        <f>SUM(D63+D70+D77+D81+D96)</f>
        <v>0</v>
      </c>
      <c r="E97" s="392">
        <f>'Sources and Uses Budget'!S97</f>
        <v>60618029</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6000000</v>
      </c>
      <c r="C99" s="393"/>
      <c r="D99" s="393"/>
      <c r="E99" s="392">
        <f>'Sources and Uses Budget'!S99</f>
        <v>6000000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6000000</v>
      </c>
      <c r="C104" s="392">
        <f>SUM(C99:C103)</f>
        <v>0</v>
      </c>
      <c r="D104" s="392">
        <f>SUM(D99:D103)</f>
        <v>0</v>
      </c>
      <c r="E104" s="392">
        <f>'Sources and Uses Budget'!S104</f>
        <v>6000000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76886718</v>
      </c>
      <c r="C105" s="398">
        <f>SUM(C97+C104)</f>
        <v>0</v>
      </c>
      <c r="D105" s="398">
        <f>SUM(D97+D104)</f>
        <v>0</v>
      </c>
      <c r="E105" s="392">
        <f>'Sources and Uses Budget'!S105</f>
        <v>66618029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66618029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36" workbookViewId="0">
      <selection activeCell="N128" sqref="N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1412</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1417</v>
      </c>
      <c r="AF7" s="1927"/>
      <c r="AG7" s="1927"/>
      <c r="AH7" s="1927"/>
      <c r="AI7" s="1927"/>
      <c r="AJ7" s="1927"/>
      <c r="AK7" s="1927"/>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1419</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1420</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1422</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1420</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7" t="s">
        <v>2349</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1420</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09" t="s">
        <v>600</v>
      </c>
      <c r="C30" s="2109"/>
      <c r="D30" s="581"/>
      <c r="E30" s="2119" t="s">
        <v>2321</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7" t="s">
        <v>2322</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7" t="s">
        <v>2323</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7" t="s">
        <v>2328</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2329</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7" t="s">
        <v>2330</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1426</v>
      </c>
      <c r="AF59" s="1927"/>
      <c r="AG59" s="1927"/>
      <c r="AH59" s="1927"/>
      <c r="AI59" s="1927"/>
      <c r="AJ59" s="1927"/>
      <c r="AK59" s="1927"/>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600</v>
      </c>
      <c r="C62" s="2109"/>
      <c r="D62" s="581" t="s">
        <v>1427</v>
      </c>
      <c r="E62" s="2101" t="s">
        <v>2331</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1428</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600</v>
      </c>
      <c r="F69" s="2109"/>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600</v>
      </c>
      <c r="F71" s="213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554</v>
      </c>
      <c r="F73" s="2109"/>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1432</v>
      </c>
      <c r="E75" s="2037" t="s">
        <v>1931</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1417</v>
      </c>
      <c r="AF81" s="1927"/>
      <c r="AG81" s="1927"/>
      <c r="AH81" s="1927"/>
      <c r="AI81" s="1927"/>
      <c r="AJ81" s="1927"/>
      <c r="AK81" s="1927"/>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554</v>
      </c>
      <c r="C84" s="2109"/>
      <c r="D84" s="581" t="s">
        <v>1427</v>
      </c>
      <c r="E84" s="2101" t="s">
        <v>1437</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0.3464788732394366</v>
      </c>
      <c r="F87" s="2098"/>
      <c r="G87" s="2098"/>
      <c r="H87" s="2098"/>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0.24999999999999994</v>
      </c>
      <c r="F88" s="1901"/>
      <c r="G88" s="1901"/>
      <c r="H88" s="1901"/>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20</v>
      </c>
      <c r="F89" s="2114"/>
      <c r="G89" s="2114"/>
      <c r="H89" s="2114"/>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600</v>
      </c>
      <c r="C92" s="2109"/>
      <c r="D92" s="581" t="s">
        <v>1429</v>
      </c>
      <c r="E92" s="2101" t="s">
        <v>1916</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0.3464788732394366</v>
      </c>
      <c r="F97" s="2098"/>
      <c r="G97" s="2098"/>
      <c r="H97" s="2098"/>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0.76056338028169013</v>
      </c>
      <c r="F98" s="2098"/>
      <c r="G98" s="2098"/>
      <c r="H98" s="2098"/>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0.23943661971830985</v>
      </c>
      <c r="F99" s="2098"/>
      <c r="G99" s="2098"/>
      <c r="H99" s="2098"/>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3">
        <f>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1426</v>
      </c>
      <c r="AF106" s="1927"/>
      <c r="AG106" s="1927"/>
      <c r="AH106" s="1927"/>
      <c r="AI106" s="1927"/>
      <c r="AJ106" s="1927"/>
      <c r="AK106" s="1927"/>
      <c r="AL106" s="574"/>
      <c r="AM106" s="574"/>
      <c r="AN106" s="569"/>
      <c r="AO106" s="570" t="str">
        <f>Application!B718</f>
        <v>SRO/Studio</v>
      </c>
      <c r="AQ106" s="570">
        <f>Application!O718</f>
        <v>913</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913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588</v>
      </c>
    </row>
    <row r="109" spans="1:49" s="570" customFormat="1" ht="12.75" customHeight="1">
      <c r="A109" s="574"/>
      <c r="B109" s="2109" t="s">
        <v>600</v>
      </c>
      <c r="C109" s="2109"/>
      <c r="D109" s="581" t="s">
        <v>1427</v>
      </c>
      <c r="E109" s="2101" t="s">
        <v>2050</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SRO/Studio</v>
      </c>
      <c r="AQ109" s="570">
        <f>Application!O721</f>
        <v>1564</v>
      </c>
      <c r="AU109" s="570" t="s">
        <v>2032</v>
      </c>
      <c r="AV109" s="629" t="s">
        <v>2033</v>
      </c>
      <c r="AW109" s="570" t="s">
        <v>2034</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SRO/Studio</v>
      </c>
      <c r="AQ110" s="570">
        <f>Application!O722</f>
        <v>0</v>
      </c>
      <c r="AU110" s="890" t="str">
        <f>E118</f>
        <v>Studio/SRO</v>
      </c>
      <c r="AV110" s="570">
        <f t="array" ref="AV110">SUM(IF(Application!B718:F752="SRO/Studio",Application!G718:J752))</f>
        <v>35</v>
      </c>
      <c r="AW110" s="1046">
        <f>AV110/AV116</f>
        <v>0.49295774647887325</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1 Bedroom</v>
      </c>
      <c r="AQ111" s="570">
        <f>Application!O723</f>
        <v>971</v>
      </c>
      <c r="AU111" s="890" t="str">
        <f>J118</f>
        <v>1-bedroom</v>
      </c>
      <c r="AV111" s="570">
        <f t="array" ref="AV111">SUM(IF(Application!B718:F752="1 Bedroom",Application!G718:J752))</f>
        <v>36</v>
      </c>
      <c r="AW111" s="1046">
        <f>AV111/AV116</f>
        <v>0.50704225352112675</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1 Bedroom</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1 Bedroom</v>
      </c>
      <c r="AQ113" s="570">
        <f>Application!O725</f>
        <v>623</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t="str">
        <f>Application!B726</f>
        <v>1 Bedroom</v>
      </c>
      <c r="AQ114" s="570">
        <f>Application!O726</f>
        <v>1668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t="str">
        <f>Application!B727</f>
        <v>1 Bedroom</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71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1701</v>
      </c>
      <c r="F118" s="2098"/>
      <c r="G118" s="2098"/>
      <c r="H118" s="2098"/>
      <c r="I118" s="611"/>
      <c r="J118" s="2098" t="s">
        <v>1745</v>
      </c>
      <c r="K118" s="2098"/>
      <c r="L118" s="2098"/>
      <c r="M118" s="2098"/>
      <c r="N118" s="611"/>
      <c r="O118" s="2098" t="s">
        <v>1746</v>
      </c>
      <c r="P118" s="2098"/>
      <c r="Q118" s="2098"/>
      <c r="R118" s="2098"/>
      <c r="S118" s="611"/>
      <c r="T118" s="2098" t="s">
        <v>1446</v>
      </c>
      <c r="U118" s="2098"/>
      <c r="V118" s="2098"/>
      <c r="W118" s="2098"/>
      <c r="X118" s="611"/>
      <c r="Y118" s="2098" t="s">
        <v>1747</v>
      </c>
      <c r="Z118" s="2098"/>
      <c r="AA118" s="2098"/>
      <c r="AB118" s="2098"/>
      <c r="AC118" s="611"/>
      <c r="AD118" s="2098" t="s">
        <v>1748</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v>2434</v>
      </c>
      <c r="F121" s="2100"/>
      <c r="G121" s="2100"/>
      <c r="H121" s="2100"/>
      <c r="I121" s="898"/>
      <c r="J121" s="2100">
        <v>2699</v>
      </c>
      <c r="K121" s="2100"/>
      <c r="L121" s="2100"/>
      <c r="M121" s="2100"/>
      <c r="N121" s="898"/>
      <c r="O121" s="2100"/>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922.31428571428569</v>
      </c>
      <c r="F124" s="2108"/>
      <c r="G124" s="2108"/>
      <c r="H124" s="2108"/>
      <c r="I124" s="898"/>
      <c r="J124" s="2108">
        <f>Application!EC670</f>
        <v>1174.4444444444443</v>
      </c>
      <c r="K124" s="2108"/>
      <c r="L124" s="2108"/>
      <c r="M124" s="2108"/>
      <c r="N124" s="898"/>
      <c r="O124" s="2108">
        <f>Application!EH670</f>
        <v>0</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f>(E121-E124)/E121</f>
        <v>0.62107054818640683</v>
      </c>
      <c r="F127" s="1901"/>
      <c r="G127" s="1901"/>
      <c r="H127" s="1902"/>
      <c r="I127" s="611"/>
      <c r="J127" s="1900">
        <f>(J121-J124)/J121</f>
        <v>0.56485941295129882</v>
      </c>
      <c r="K127" s="1901"/>
      <c r="L127" s="1901"/>
      <c r="M127" s="1902"/>
      <c r="N127" s="611"/>
      <c r="O127" s="1900" t="e">
        <f>(O121-O124)/O121</f>
        <v>#DIV/0!</v>
      </c>
      <c r="P127" s="1901"/>
      <c r="Q127" s="1901"/>
      <c r="R127" s="1902"/>
      <c r="S127" s="611"/>
      <c r="T127" s="1900" t="e">
        <f>(T121-T124)/T121</f>
        <v>#DIV/0!</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f>IF(((E127-0.1)*AW110)&gt;0,((E127-0.1)*AW110),0)</f>
        <v>0.25686576319048227</v>
      </c>
      <c r="F130" s="2111"/>
      <c r="G130" s="2111"/>
      <c r="H130" s="2112"/>
      <c r="I130" s="611"/>
      <c r="J130" s="2110">
        <f>IF(((J127-0.1)*AW111)&gt;0,((J127-0.1)*AW111),0)</f>
        <v>0.23570336431333463</v>
      </c>
      <c r="K130" s="2111"/>
      <c r="L130" s="2111"/>
      <c r="M130" s="2112"/>
      <c r="N130" s="611"/>
      <c r="O130" s="2110" t="e">
        <f>IF(((O127-0.1)*AW112)&gt;0,((O127-0.1)*AW112),0)</f>
        <v>#DIV/0!</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0.49</v>
      </c>
      <c r="F132" s="1901"/>
      <c r="G132" s="1901"/>
      <c r="H132" s="1902"/>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7" t="s">
        <v>1426</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1450</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2662</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89" t="s">
        <v>1453</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89" t="s">
        <v>1455</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1464</v>
      </c>
      <c r="AG157" s="1994"/>
      <c r="AH157" s="1994"/>
      <c r="AI157" s="1994"/>
      <c r="AJ157" s="1994"/>
      <c r="AK157" s="1994"/>
      <c r="AL157" s="199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1462</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89" t="s">
        <v>1455</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8"/>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1426</v>
      </c>
      <c r="AF175" s="1927"/>
      <c r="AG175" s="1927"/>
      <c r="AH175" s="1927"/>
      <c r="AI175" s="1927"/>
      <c r="AJ175" s="1927"/>
      <c r="AK175" s="192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6" t="s">
        <v>1481</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1475</v>
      </c>
      <c r="AG177" s="1994"/>
      <c r="AH177" s="1994"/>
      <c r="AI177" s="1994"/>
      <c r="AJ177" s="1994"/>
      <c r="AK177" s="1994"/>
      <c r="AL177" s="1994"/>
      <c r="AN177" s="631"/>
      <c r="AP177" s="584" t="s">
        <v>1068</v>
      </c>
      <c r="AQ177" s="584">
        <v>10</v>
      </c>
    </row>
    <row r="178" spans="1:45" s="584" customFormat="1" ht="12.75" customHeight="1">
      <c r="A178" s="570"/>
      <c r="B178" s="2087" t="s">
        <v>1917</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1">
        <f>IF(AK78&gt;0,VLOOKUP($B$177,AP174:AQ180,2,FALSE),0)</f>
        <v>10</v>
      </c>
      <c r="AL180" s="1922"/>
      <c r="AM180" s="192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1484</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tr">
        <f>Application!C628</f>
        <v>AHCDC - HCD - IIG Loan</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f>Application!AO628</f>
        <v>3000000</v>
      </c>
      <c r="AE188" s="2070"/>
      <c r="AF188" s="2070"/>
      <c r="AG188" s="2070"/>
      <c r="AH188" s="2070"/>
      <c r="AI188" s="2070"/>
      <c r="AJ188" s="2070"/>
      <c r="AK188" s="644"/>
    </row>
    <row r="189" spans="1:45">
      <c r="A189" s="639"/>
      <c r="B189" s="2080" t="str">
        <f>Application!C629</f>
        <v>County of San Mateo</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f>Application!AO629</f>
        <v>12497835</v>
      </c>
      <c r="AE189" s="2070"/>
      <c r="AF189" s="2070"/>
      <c r="AG189" s="2070"/>
      <c r="AH189" s="2070"/>
      <c r="AI189" s="2070"/>
      <c r="AJ189" s="2070"/>
      <c r="AK189" s="644"/>
    </row>
    <row r="190" spans="1:45">
      <c r="A190" s="639"/>
      <c r="B190" s="2080" t="str">
        <f>Application!C630</f>
        <v>City of Daly City (including HEART of San Mateo)</v>
      </c>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f>Application!AO630</f>
        <v>7716687</v>
      </c>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1740</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6711102.8411632618</v>
      </c>
      <c r="AE198" s="2068"/>
      <c r="AF198" s="2068"/>
      <c r="AG198" s="2068"/>
      <c r="AH198" s="2068"/>
      <c r="AI198" s="2068"/>
      <c r="AJ198" s="2068"/>
      <c r="AK198" s="644"/>
    </row>
    <row r="199" spans="1:37">
      <c r="A199" s="639"/>
      <c r="B199" s="1939" t="s">
        <v>1703</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29925624.841163263</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1720</v>
      </c>
      <c r="J211" s="2093"/>
      <c r="K211" s="2093"/>
      <c r="L211" s="570"/>
      <c r="M211" s="570"/>
      <c r="N211" s="570"/>
      <c r="O211" s="570"/>
      <c r="P211" s="570"/>
      <c r="Q211" s="570"/>
      <c r="R211" s="570"/>
      <c r="S211" s="570"/>
      <c r="T211" s="1905" t="s">
        <v>1714</v>
      </c>
      <c r="U211" s="1905"/>
      <c r="V211" s="1905"/>
      <c r="W211" s="1905"/>
      <c r="X211" s="1905"/>
      <c r="Y211" s="1905"/>
      <c r="Z211" s="883"/>
      <c r="AA211" s="523"/>
      <c r="AB211" s="2090" t="s">
        <v>1715</v>
      </c>
      <c r="AC211" s="2090"/>
      <c r="AD211" s="2090"/>
      <c r="AE211" s="2090"/>
      <c r="AF211" s="2090"/>
      <c r="AG211" s="2090"/>
      <c r="AH211" s="861"/>
      <c r="AI211" s="861"/>
      <c r="AJ211" s="861"/>
      <c r="AK211" s="644"/>
    </row>
    <row r="212" spans="1:37">
      <c r="A212" s="639"/>
      <c r="B212" s="2091" t="s">
        <v>1700</v>
      </c>
      <c r="C212" s="2091"/>
      <c r="D212" s="2091"/>
      <c r="E212" s="2091"/>
      <c r="F212" s="2091"/>
      <c r="G212" s="2091"/>
      <c r="I212" s="2092" t="s">
        <v>1721</v>
      </c>
      <c r="J212" s="2092"/>
      <c r="K212" s="2092"/>
      <c r="L212" s="1043"/>
      <c r="N212" s="1940" t="s">
        <v>1716</v>
      </c>
      <c r="O212" s="1940"/>
      <c r="P212" s="1940"/>
      <c r="Q212" s="1940"/>
      <c r="R212" s="1940"/>
      <c r="T212" s="1940" t="s">
        <v>1717</v>
      </c>
      <c r="U212" s="1940"/>
      <c r="V212" s="1940"/>
      <c r="W212" s="1940"/>
      <c r="X212" s="1940"/>
      <c r="Y212" s="1940"/>
      <c r="Z212" s="884"/>
      <c r="AA212" s="523"/>
      <c r="AB212" s="1943" t="s">
        <v>1718</v>
      </c>
      <c r="AC212" s="1943"/>
      <c r="AD212" s="1943"/>
      <c r="AE212" s="1943"/>
      <c r="AF212" s="1943"/>
      <c r="AG212" s="1943"/>
      <c r="AH212" s="861"/>
      <c r="AI212" s="861"/>
      <c r="AJ212" s="861"/>
      <c r="AK212" s="644"/>
    </row>
    <row r="213" spans="1:37">
      <c r="A213" s="639"/>
      <c r="B213" s="1942" t="s">
        <v>325</v>
      </c>
      <c r="C213" s="1942"/>
      <c r="D213" s="1942"/>
      <c r="E213" s="1942"/>
      <c r="F213" s="1942"/>
      <c r="G213" s="1942"/>
      <c r="H213" s="886"/>
      <c r="I213" s="1910">
        <v>15</v>
      </c>
      <c r="J213" s="1910"/>
      <c r="K213" s="1910"/>
      <c r="L213" s="1043"/>
      <c r="N213" s="1907">
        <v>975</v>
      </c>
      <c r="O213" s="1907"/>
      <c r="P213" s="1907"/>
      <c r="Q213" s="1907"/>
      <c r="R213" s="1907"/>
      <c r="T213" s="1906">
        <v>2372</v>
      </c>
      <c r="U213" s="1906"/>
      <c r="V213" s="1906"/>
      <c r="W213" s="1906"/>
      <c r="X213" s="1906"/>
      <c r="Y213" s="1906"/>
      <c r="Z213" s="885"/>
      <c r="AA213" s="885"/>
      <c r="AB213" s="1904">
        <f t="shared" ref="AB213:AB222" si="0">MAX(($T213-$N213)*$I213*12,0)</f>
        <v>251460</v>
      </c>
      <c r="AC213" s="1904"/>
      <c r="AD213" s="1904"/>
      <c r="AE213" s="1904"/>
      <c r="AF213" s="1904"/>
      <c r="AG213" s="1904"/>
      <c r="AH213" s="861"/>
      <c r="AI213" s="861"/>
      <c r="AJ213" s="861"/>
      <c r="AK213" s="644"/>
    </row>
    <row r="214" spans="1:37">
      <c r="A214" s="639"/>
      <c r="B214" s="1942" t="s">
        <v>325</v>
      </c>
      <c r="C214" s="1942"/>
      <c r="D214" s="1942"/>
      <c r="E214" s="1942"/>
      <c r="F214" s="1942"/>
      <c r="G214" s="1942"/>
      <c r="I214" s="1910">
        <v>1</v>
      </c>
      <c r="J214" s="1910"/>
      <c r="K214" s="1910"/>
      <c r="L214" s="1043"/>
      <c r="N214" s="1907">
        <v>975</v>
      </c>
      <c r="O214" s="1907"/>
      <c r="P214" s="1907"/>
      <c r="Q214" s="1907"/>
      <c r="R214" s="1907"/>
      <c r="T214" s="1906">
        <v>2372</v>
      </c>
      <c r="U214" s="1906"/>
      <c r="V214" s="1906"/>
      <c r="W214" s="1906"/>
      <c r="X214" s="1906"/>
      <c r="Y214" s="1906"/>
      <c r="Z214" s="885"/>
      <c r="AA214" s="885"/>
      <c r="AB214" s="1904">
        <f t="shared" si="0"/>
        <v>16764</v>
      </c>
      <c r="AC214" s="1904"/>
      <c r="AD214" s="1904"/>
      <c r="AE214" s="1904"/>
      <c r="AF214" s="1904"/>
      <c r="AG214" s="1904"/>
      <c r="AH214" s="861"/>
      <c r="AI214" s="861"/>
      <c r="AJ214" s="861"/>
      <c r="AK214" s="644"/>
    </row>
    <row r="215" spans="1:37">
      <c r="A215" s="639"/>
      <c r="B215" s="1942" t="s">
        <v>2643</v>
      </c>
      <c r="C215" s="1942"/>
      <c r="D215" s="1942"/>
      <c r="E215" s="1942"/>
      <c r="F215" s="1942"/>
      <c r="G215" s="1942"/>
      <c r="I215" s="1910">
        <v>9</v>
      </c>
      <c r="J215" s="1910"/>
      <c r="K215" s="1910"/>
      <c r="L215" s="1043"/>
      <c r="N215" s="1907">
        <v>1045</v>
      </c>
      <c r="O215" s="1907"/>
      <c r="P215" s="1907"/>
      <c r="Q215" s="1907"/>
      <c r="R215" s="1907"/>
      <c r="T215" s="1906">
        <v>2932</v>
      </c>
      <c r="U215" s="1906"/>
      <c r="V215" s="1906"/>
      <c r="W215" s="1906"/>
      <c r="X215" s="1906"/>
      <c r="Y215" s="1906"/>
      <c r="Z215" s="885"/>
      <c r="AA215" s="885"/>
      <c r="AB215" s="1904">
        <f t="shared" si="0"/>
        <v>203796</v>
      </c>
      <c r="AC215" s="1904"/>
      <c r="AD215" s="1904"/>
      <c r="AE215" s="1904"/>
      <c r="AF215" s="1904"/>
      <c r="AG215" s="1904"/>
      <c r="AH215" s="861"/>
      <c r="AI215" s="861"/>
      <c r="AJ215" s="861"/>
      <c r="AK215" s="644"/>
    </row>
    <row r="216" spans="1:37">
      <c r="A216" s="639"/>
      <c r="B216" s="1942" t="s">
        <v>2643</v>
      </c>
      <c r="C216" s="1942"/>
      <c r="D216" s="1942"/>
      <c r="E216" s="1942"/>
      <c r="F216" s="1942"/>
      <c r="G216" s="1942"/>
      <c r="I216" s="1910">
        <v>11</v>
      </c>
      <c r="J216" s="1910"/>
      <c r="K216" s="1910"/>
      <c r="L216" s="1043"/>
      <c r="N216" s="1907">
        <v>1045</v>
      </c>
      <c r="O216" s="1907"/>
      <c r="P216" s="1907"/>
      <c r="Q216" s="1907"/>
      <c r="R216" s="1907"/>
      <c r="T216" s="1906">
        <v>2932</v>
      </c>
      <c r="U216" s="1906"/>
      <c r="V216" s="1906"/>
      <c r="W216" s="1906"/>
      <c r="X216" s="1906"/>
      <c r="Y216" s="1906"/>
      <c r="Z216" s="885"/>
      <c r="AA216" s="885"/>
      <c r="AB216" s="1904">
        <f t="shared" si="0"/>
        <v>249084</v>
      </c>
      <c r="AC216" s="1904"/>
      <c r="AD216" s="1904"/>
      <c r="AE216" s="1904"/>
      <c r="AF216" s="1904"/>
      <c r="AG216" s="1904"/>
      <c r="AH216" s="861"/>
      <c r="AI216" s="861"/>
      <c r="AJ216" s="861"/>
      <c r="AK216" s="644"/>
    </row>
    <row r="217" spans="1:37">
      <c r="A217" s="639"/>
      <c r="B217" s="1942" t="s">
        <v>1291</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1291</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1291</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1291</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1291</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1291</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4">
        <f>SUM(AB213:AB222)</f>
        <v>721104</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721104</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685048.8</v>
      </c>
      <c r="AC241" s="2079"/>
      <c r="AD241" s="2079"/>
      <c r="AE241" s="2079"/>
      <c r="AF241" s="2079"/>
      <c r="AG241" s="2079"/>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595694.60869565222</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6711102.8411632618</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29925624.841163263</v>
      </c>
      <c r="AH257" s="1918"/>
      <c r="AI257" s="1918"/>
      <c r="AJ257" s="1918"/>
      <c r="AK257" s="1918"/>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76886718</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0.38</v>
      </c>
      <c r="AH259" s="2067"/>
      <c r="AI259" s="2067"/>
      <c r="AJ259" s="2067"/>
      <c r="AK259" s="2067"/>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554</v>
      </c>
      <c r="D267" s="1936"/>
      <c r="E267" s="581"/>
      <c r="F267" s="1887" t="s">
        <v>2340</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1475</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1494</v>
      </c>
      <c r="B281" s="1635"/>
      <c r="C281" s="2030" t="s">
        <v>600</v>
      </c>
      <c r="D281" s="1936"/>
      <c r="E281" s="581"/>
      <c r="F281" s="2058" t="s">
        <v>1495</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2333</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2341</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1496</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1497</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1498</v>
      </c>
      <c r="B291" s="1635"/>
      <c r="C291" s="1936" t="s">
        <v>554</v>
      </c>
      <c r="D291" s="1936"/>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0" t="s">
        <v>2335</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1501</v>
      </c>
      <c r="B299" s="1635"/>
      <c r="C299" s="1936" t="s">
        <v>600</v>
      </c>
      <c r="D299" s="1936"/>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3" t="s">
        <v>2342</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1291</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9" t="s">
        <v>1291</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9" t="s">
        <v>1291</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35" t="s">
        <v>1504</v>
      </c>
      <c r="B322" s="1635"/>
      <c r="C322" s="1936" t="s">
        <v>600</v>
      </c>
      <c r="D322" s="1936"/>
      <c r="E322" s="581"/>
      <c r="F322" s="2037" t="s">
        <v>2343</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7" t="s">
        <v>1426</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1566</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2410</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2574</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1567</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5</v>
      </c>
      <c r="AS346" s="573" t="s">
        <v>1568</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5</v>
      </c>
      <c r="AS347" s="1896">
        <f>IF(Application!D211="Non-Targeted",(SUM(AQ355+AQ364)),AS351)</f>
        <v>20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1569</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10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2071</v>
      </c>
    </row>
    <row r="351" spans="1:46" s="584" customFormat="1" ht="12.75" customHeight="1">
      <c r="A351" s="637"/>
      <c r="B351" s="645"/>
      <c r="C351" s="2025" t="s">
        <v>1570</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1931" t="s">
        <v>1571</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5</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2">
        <f>Application!CS660-U363</f>
        <v>17</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3">
        <f>Application!AG756</f>
        <v>54</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4">
        <f>IF(AP364&gt;0,AP364,0)</f>
        <v>10</v>
      </c>
      <c r="AR364" s="1934"/>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5" t="s">
        <v>1573</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554</v>
      </c>
      <c r="D370" s="1936"/>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1575</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5" t="s">
        <v>1576</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554</v>
      </c>
      <c r="D378" s="1936"/>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1575</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5" t="s">
        <v>1578</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600</v>
      </c>
      <c r="D386" s="1936"/>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1580</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600</v>
      </c>
      <c r="D388" s="1936"/>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1575</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5" t="s">
        <v>1584</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1575</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600</v>
      </c>
      <c r="D398" s="1936"/>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1587</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1588</v>
      </c>
      <c r="F401" s="1925" t="s">
        <v>1589</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1575</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5" t="s">
        <v>1591</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600</v>
      </c>
      <c r="D410" s="1936"/>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1575</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1587</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5" t="s">
        <v>1595</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554</v>
      </c>
      <c r="D419" s="1936"/>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1575</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5" t="s">
        <v>1598</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554</v>
      </c>
      <c r="D431" s="1936"/>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1575</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5" t="s">
        <v>1601</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1575</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1610</v>
      </c>
      <c r="F442" s="1925" t="s">
        <v>1611</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1575</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1616</v>
      </c>
      <c r="F446" s="1925" t="s">
        <v>1617</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1575</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5" t="s">
        <v>1620</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1575</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1">
        <f>IF(Application!D214="N/A",AS347,AS349)</f>
        <v>20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4" t="s">
        <v>1624</v>
      </c>
      <c r="AF461" s="1924"/>
      <c r="AG461" s="1924"/>
      <c r="AH461" s="1924"/>
      <c r="AI461" s="1924"/>
      <c r="AJ461" s="1924"/>
      <c r="AK461" s="1924"/>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1" t="s">
        <v>600</v>
      </c>
      <c r="D467" s="2002"/>
      <c r="E467" s="795" t="s">
        <v>516</v>
      </c>
      <c r="F467" s="2022" t="s">
        <v>1630</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1630</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1652</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600</v>
      </c>
      <c r="D499" s="2002"/>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1660</v>
      </c>
      <c r="G508" s="1926" t="s">
        <v>1661</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1673</v>
      </c>
      <c r="AF527" s="1927"/>
      <c r="AG527" s="1927"/>
      <c r="AH527" s="1927"/>
      <c r="AI527" s="1927"/>
      <c r="AJ527" s="1927"/>
      <c r="AK527" s="1927"/>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554</v>
      </c>
      <c r="D530" s="1936"/>
      <c r="E530" s="585"/>
      <c r="F530" s="1995" t="s">
        <v>1674</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600</v>
      </c>
      <c r="D533" s="1936"/>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1676</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1677</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41446660</v>
      </c>
      <c r="AQ539" s="1908"/>
      <c r="AR539" s="190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66618029</v>
      </c>
      <c r="AG540" s="1918"/>
      <c r="AH540" s="1918"/>
      <c r="AI540" s="1918"/>
      <c r="AJ540" s="1918"/>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96391511</v>
      </c>
      <c r="AG541" s="1919"/>
      <c r="AH541" s="1919"/>
      <c r="AI541" s="1919"/>
      <c r="AJ541" s="1919"/>
      <c r="AK541" s="629"/>
      <c r="AL541" s="629"/>
      <c r="AM541" s="629"/>
      <c r="AN541" s="631"/>
      <c r="AP541" s="1908">
        <f>Application!AJ1044</f>
        <v>9532731.8000000007</v>
      </c>
      <c r="AQ541" s="1908"/>
      <c r="AR541" s="190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0.3</v>
      </c>
      <c r="AG542" s="1920"/>
      <c r="AH542" s="1920"/>
      <c r="AI542" s="1920"/>
      <c r="AJ542" s="1920"/>
      <c r="AK542" s="629"/>
      <c r="AL542" s="629"/>
      <c r="AM542" s="629"/>
      <c r="AN542" s="631"/>
      <c r="AP542" s="1909">
        <f>Application!AJ1048</f>
        <v>62998923.200000003</v>
      </c>
      <c r="AQ542" s="1909"/>
      <c r="AR542" s="1909"/>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2537</v>
      </c>
    </row>
    <row r="544" spans="1:49" s="584" customFormat="1" ht="12.75" customHeight="1">
      <c r="A544" s="658"/>
      <c r="B544" s="1974" t="s">
        <v>2347</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63234183</v>
      </c>
      <c r="AQ545" s="1929"/>
      <c r="AR545" s="1929"/>
      <c r="AS545" s="584" t="s">
        <v>2539</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135765838</v>
      </c>
      <c r="AQ546" s="1908"/>
      <c r="AR546" s="190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3">
        <f>IFERROR(IF(AND(C530="N/A",C533="N/A"),0,IF(AF542=0,0,IF((AF542*100)&gt;12,12,(AF542*100)))),0)</f>
        <v>12</v>
      </c>
      <c r="AL548" s="1983"/>
      <c r="AM548" s="1984"/>
      <c r="AN548" s="631"/>
      <c r="AP548" s="1897">
        <f>AP545+(AP539*AP543)</f>
        <v>96391511</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1426</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2338</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1450</v>
      </c>
      <c r="AG567" s="1994"/>
      <c r="AH567" s="1994"/>
      <c r="AI567" s="1994"/>
      <c r="AJ567" s="1994"/>
      <c r="AK567" s="1994"/>
      <c r="AL567" s="199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1508</v>
      </c>
      <c r="AG574" s="1994"/>
      <c r="AH574" s="1994"/>
      <c r="AI574" s="1994"/>
      <c r="AJ574" s="1994"/>
      <c r="AK574" s="1994"/>
      <c r="AL574" s="199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1490</v>
      </c>
      <c r="AG580" s="1994"/>
      <c r="AH580" s="1994"/>
      <c r="AI580" s="1994"/>
      <c r="AJ580" s="1994"/>
      <c r="AK580" s="1994"/>
      <c r="AL580" s="199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1511</v>
      </c>
      <c r="AG586" s="1994"/>
      <c r="AH586" s="1994"/>
      <c r="AI586" s="1994"/>
      <c r="AJ586" s="1994"/>
      <c r="AK586" s="1994"/>
      <c r="AL586" s="199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3" t="s">
        <v>1291</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1464</v>
      </c>
      <c r="AG592" s="1994"/>
      <c r="AH592" s="1994"/>
      <c r="AI592" s="1994"/>
      <c r="AJ592" s="1994"/>
      <c r="AK592" s="1994"/>
      <c r="AL592" s="199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8" t="s">
        <v>697</v>
      </c>
      <c r="I595" s="1938"/>
      <c r="J595" s="971"/>
      <c r="K595" s="971"/>
      <c r="L595" s="971"/>
      <c r="N595" s="22"/>
      <c r="O595" s="22"/>
      <c r="P595" s="22"/>
      <c r="Q595" s="1195" t="s">
        <v>2542</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0" t="s">
        <v>600</v>
      </c>
      <c r="C605" s="2030"/>
      <c r="D605" s="676"/>
      <c r="E605" s="1914" t="s">
        <v>1515</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1">
        <f>VLOOKUP($H$595,$AO$575:$AP$580,2,FALSE)+IF(R595=AO583,0,VLOOKUP($I$603,$AO$602:$AP$604,2,FALSE))</f>
        <v>7</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1885</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1464</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1520</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8" t="s">
        <v>600</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1">
        <f>VLOOKUP($H$627,$AO$594:$AP$596,2,FALSE)</f>
        <v>0</v>
      </c>
      <c r="AK629" s="192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2417</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1464</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1520</v>
      </c>
      <c r="AG636" s="1994"/>
      <c r="AH636" s="1994"/>
      <c r="AI636" s="1994"/>
      <c r="AJ636" s="1994"/>
      <c r="AK636" s="1994"/>
      <c r="AL636" s="199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8" t="s">
        <v>600</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1530</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1490</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1531</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1511</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1532</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1464</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4" t="s">
        <v>1533</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1511</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4" t="s">
        <v>1534</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1464</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4" t="s">
        <v>1535</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1520</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4" t="s">
        <v>1536</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1537</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8" t="s">
        <v>518</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1">
        <f>VLOOKUP($H$674,$AO$622:$AP$629,2,FALSE)</f>
        <v>4</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54</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71</v>
      </c>
    </row>
    <row r="680" spans="1:51" s="584" customFormat="1" ht="12.75" customHeight="1">
      <c r="A680" s="713"/>
      <c r="B680" s="570"/>
      <c r="C680" s="983"/>
      <c r="D680" s="697" t="s">
        <v>697</v>
      </c>
      <c r="E680" s="2029" t="s">
        <v>2555</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1464</v>
      </c>
      <c r="AG680" s="1994"/>
      <c r="AH680" s="1994"/>
      <c r="AI680" s="1994"/>
      <c r="AJ680" s="1994"/>
      <c r="AK680" s="1994"/>
      <c r="AL680" s="1994"/>
      <c r="AN680" s="631"/>
      <c r="AW680" s="22" t="s">
        <v>2550</v>
      </c>
      <c r="AX680" s="584">
        <f>Application!CC632</f>
        <v>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4" t="s">
        <v>2454</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1464</v>
      </c>
      <c r="AG683" s="1994"/>
      <c r="AH683" s="1994"/>
      <c r="AI683" s="1994"/>
      <c r="AJ683" s="1994"/>
      <c r="AK683" s="1994"/>
      <c r="AL683" s="1994"/>
      <c r="AN683" s="631"/>
      <c r="AW683" s="22" t="s">
        <v>2553</v>
      </c>
      <c r="AX683" s="584">
        <f>AX680+AX681+AX682</f>
        <v>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0</v>
      </c>
      <c r="AP684" s="1929"/>
      <c r="AW684" s="22" t="s">
        <v>2554</v>
      </c>
      <c r="AX684" s="584">
        <f>IFERROR(AX683/AX679,0)</f>
        <v>0</v>
      </c>
      <c r="AY684" s="584">
        <f>IFERROR(AX683/(AX679-AX678),0)</f>
        <v>0</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2455</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1520</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1884</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8" t="s">
        <v>600</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1">
        <f>VLOOKUP($H$698,$AO$692:$AP$694,2,FALSE)</f>
        <v>0</v>
      </c>
      <c r="AK700" s="192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7" t="s">
        <v>1886</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1464</v>
      </c>
      <c r="AG704" s="1994"/>
      <c r="AH704" s="1994"/>
      <c r="AI704" s="1994"/>
      <c r="AJ704" s="1994"/>
      <c r="AK704" s="1994"/>
      <c r="AL704" s="1994"/>
      <c r="AM704" s="584"/>
      <c r="AN704" s="718"/>
      <c r="AP704" s="604" t="s">
        <v>1544</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8" t="s">
        <v>1547</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1520</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4" t="s">
        <v>1887</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1464</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1551</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1520</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4" t="s">
        <v>1554</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1464</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4" t="s">
        <v>1555</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1520</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8" t="s">
        <v>697</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1">
        <f>VLOOKUP($H$740,$AO$669:$AP$671,2,FALSE)</f>
        <v>3</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4" t="s">
        <v>1557</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1520</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4" t="s">
        <v>1558</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1537</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8" t="s">
        <v>697</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1">
        <f>VLOOKUP($H$752,$AO$686:$AP$688,2,FALSE)</f>
        <v>2</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4" t="s">
        <v>1883</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1520</v>
      </c>
      <c r="AG758" s="1994"/>
      <c r="AH758" s="1994"/>
      <c r="AI758" s="1994"/>
      <c r="AJ758" s="1994"/>
      <c r="AK758" s="1994"/>
      <c r="AL758" s="1994"/>
      <c r="AM758" s="647"/>
      <c r="AN758" s="718"/>
      <c r="AO758" s="584" t="s">
        <v>600</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1888</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1464</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4" t="s">
        <v>2348</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1464</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8" t="s">
        <v>600</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1681</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1682</v>
      </c>
      <c r="U791" s="1989"/>
      <c r="V791" s="1989"/>
      <c r="W791" s="1989"/>
      <c r="X791" s="1989"/>
      <c r="Y791" s="1990"/>
      <c r="Z791" s="1988" t="s">
        <v>1683</v>
      </c>
      <c r="AA791" s="1989"/>
      <c r="AB791" s="1989"/>
      <c r="AC791" s="1989"/>
      <c r="AD791" s="1989"/>
      <c r="AE791" s="1990"/>
      <c r="AF791" s="1988" t="s">
        <v>1684</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767</v>
      </c>
      <c r="B793" s="1945" t="s">
        <v>1416</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1654</v>
      </c>
      <c r="B794" s="1945" t="s">
        <v>1425</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1663</v>
      </c>
      <c r="B795" s="1945" t="s">
        <v>1435</v>
      </c>
      <c r="C795" s="1945"/>
      <c r="D795" s="1945"/>
      <c r="E795" s="1945"/>
      <c r="F795" s="1945"/>
      <c r="G795" s="1945"/>
      <c r="H795" s="1945"/>
      <c r="I795" s="1945"/>
      <c r="J795" s="1945"/>
      <c r="K795" s="1945"/>
      <c r="L795" s="1945"/>
      <c r="M795" s="1945"/>
      <c r="N795" s="1945"/>
      <c r="O795" s="1945"/>
      <c r="P795" s="1945"/>
      <c r="Q795" s="1945"/>
      <c r="R795" s="1945"/>
      <c r="S795" s="1946"/>
      <c r="T795" s="1973">
        <f>AK103</f>
        <v>20</v>
      </c>
      <c r="U795" s="1949"/>
      <c r="V795" s="1949"/>
      <c r="W795" s="1949"/>
      <c r="X795" s="1949"/>
      <c r="Y795" s="1950"/>
      <c r="Z795" s="1948">
        <v>20</v>
      </c>
      <c r="AA795" s="1949"/>
      <c r="AB795" s="1949"/>
      <c r="AC795" s="1949"/>
      <c r="AD795" s="1949"/>
      <c r="AE795" s="1950"/>
      <c r="AF795" s="1934">
        <f>IF(T795&gt;Z795,Z795,T795)</f>
        <v>20</v>
      </c>
      <c r="AG795" s="1934"/>
      <c r="AH795" s="1934"/>
      <c r="AI795" s="1934"/>
      <c r="AJ795" s="1934"/>
      <c r="AK795" s="1934"/>
      <c r="AL795" s="852"/>
      <c r="AM795" s="630"/>
      <c r="AO795" s="850"/>
      <c r="AP795" s="850"/>
      <c r="AQ795" s="850"/>
    </row>
    <row r="796" spans="1:43">
      <c r="A796" s="853" t="s">
        <v>1685</v>
      </c>
      <c r="B796" s="1945" t="s">
        <v>1445</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1686</v>
      </c>
      <c r="B797" s="1945" t="s">
        <v>1687</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1688</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1689</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1473</v>
      </c>
      <c r="B800" s="1945" t="s">
        <v>1690</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1482</v>
      </c>
      <c r="B801" s="1945" t="s">
        <v>1483</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598</v>
      </c>
      <c r="B802" s="1945" t="s">
        <v>1691</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5" t="s">
        <v>1692</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5" t="s">
        <v>1493</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20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5" t="s">
        <v>1672</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5" t="s">
        <v>1694</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1695</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1696</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1697</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disablePrompts="1"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sqref="A1:J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1698</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25034748</v>
      </c>
      <c r="I3" s="1145"/>
    </row>
    <row r="4" spans="1:13" s="1086" customFormat="1" ht="20.100000000000001" customHeight="1">
      <c r="B4" s="1134"/>
      <c r="D4" s="1148"/>
      <c r="F4" s="1132" t="s">
        <v>2303</v>
      </c>
      <c r="G4" s="1131" t="s">
        <v>2302</v>
      </c>
      <c r="H4" s="1133">
        <f>I16</f>
        <v>35556233.660130724</v>
      </c>
      <c r="I4" s="1135"/>
      <c r="K4" s="1090"/>
    </row>
    <row r="5" spans="1:13" s="1086" customFormat="1" ht="20.100000000000001" customHeight="1" thickBot="1">
      <c r="B5" s="1136"/>
      <c r="C5" s="1137"/>
      <c r="D5" s="1149"/>
      <c r="E5" s="1138"/>
      <c r="F5" s="1149" t="s">
        <v>2243</v>
      </c>
      <c r="G5" s="1150"/>
      <c r="H5" s="1146">
        <f>H3/H4</f>
        <v>0.70408885933471388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2241</v>
      </c>
      <c r="C8" s="2149"/>
      <c r="D8" s="2149"/>
      <c r="E8" s="2150"/>
      <c r="G8" s="2151" t="s">
        <v>2242</v>
      </c>
      <c r="H8" s="2152"/>
      <c r="I8" s="2153"/>
      <c r="K8" s="1092"/>
    </row>
    <row r="9" spans="1:13" ht="15" customHeight="1">
      <c r="A9" s="1081"/>
      <c r="B9" s="2142" t="s">
        <v>2280</v>
      </c>
      <c r="C9" s="2142"/>
      <c r="D9" s="2142"/>
      <c r="E9" s="1094">
        <f>G31</f>
        <v>3375000</v>
      </c>
      <c r="G9" s="2145" t="s">
        <v>2278</v>
      </c>
      <c r="H9" s="2145"/>
      <c r="I9" s="1095">
        <f>Application!AM554</f>
        <v>38500000</v>
      </c>
      <c r="K9" s="1096"/>
      <c r="M9" s="1097"/>
    </row>
    <row r="10" spans="1:13" ht="15" customHeight="1" thickBot="1">
      <c r="A10" s="1081"/>
      <c r="B10" s="2142" t="s">
        <v>2281</v>
      </c>
      <c r="C10" s="2142"/>
      <c r="D10" s="2142"/>
      <c r="E10" s="1095">
        <f>G40</f>
        <v>15817247.999999998</v>
      </c>
      <c r="G10" s="2145" t="s">
        <v>2244</v>
      </c>
      <c r="H10" s="2145"/>
      <c r="I10" s="1182">
        <f>'Basis &amp; Credits'!AB77</f>
        <v>14400000</v>
      </c>
      <c r="M10" s="1097"/>
    </row>
    <row r="11" spans="1:13" ht="15" customHeight="1">
      <c r="A11" s="1098"/>
      <c r="B11" s="2142" t="s">
        <v>2282</v>
      </c>
      <c r="C11" s="2142"/>
      <c r="D11" s="2142"/>
      <c r="E11" s="1095">
        <f>G49</f>
        <v>350000</v>
      </c>
      <c r="G11" s="2145" t="s">
        <v>2293</v>
      </c>
      <c r="H11" s="2145"/>
      <c r="I11" s="1181">
        <f>I9+I10</f>
        <v>52900000</v>
      </c>
      <c r="M11" s="1097"/>
    </row>
    <row r="12" spans="1:13" ht="15" customHeight="1">
      <c r="A12" s="1084"/>
      <c r="B12" s="2142" t="s">
        <v>2283</v>
      </c>
      <c r="C12" s="2142"/>
      <c r="D12" s="2142"/>
      <c r="E12" s="1095">
        <f>G58</f>
        <v>700000</v>
      </c>
      <c r="G12" s="1183" t="s">
        <v>2318</v>
      </c>
      <c r="H12" s="1184"/>
      <c r="M12" s="1097"/>
    </row>
    <row r="13" spans="1:13" ht="15" customHeight="1">
      <c r="A13" s="1081"/>
      <c r="B13" s="2142" t="s">
        <v>2284</v>
      </c>
      <c r="C13" s="2142"/>
      <c r="D13" s="2142"/>
      <c r="E13" s="1100">
        <f>G83</f>
        <v>4117500</v>
      </c>
      <c r="G13" s="2146" t="s">
        <v>139</v>
      </c>
      <c r="H13" s="2146"/>
      <c r="I13" s="1099">
        <f>15%*(Application!AJ993&gt;0)</f>
        <v>0.15</v>
      </c>
      <c r="M13" s="1097"/>
    </row>
    <row r="14" spans="1:13" ht="15" customHeight="1">
      <c r="A14" s="1081"/>
      <c r="B14" s="2142" t="s">
        <v>2285</v>
      </c>
      <c r="C14" s="2142"/>
      <c r="D14" s="2142"/>
      <c r="E14" s="1095">
        <f>IF(G96&gt;G106,G96,0)</f>
        <v>675000</v>
      </c>
      <c r="G14" s="1179" t="s">
        <v>2294</v>
      </c>
      <c r="H14" s="1179"/>
      <c r="I14" s="1099">
        <f>IF(Application!AJ1031&gt;0,10%,IF(Application!AJ1035&gt;0,5%,0))</f>
        <v>0.05</v>
      </c>
      <c r="M14" s="1097"/>
    </row>
    <row r="15" spans="1:13" ht="15" customHeight="1" thickBot="1">
      <c r="A15" s="1081"/>
      <c r="B15" s="2143" t="s">
        <v>2304</v>
      </c>
      <c r="C15" s="2143"/>
      <c r="D15" s="2143"/>
      <c r="E15" s="1151">
        <f>IF(E14&gt;0,0,G106)</f>
        <v>0</v>
      </c>
      <c r="G15" s="2140" t="s">
        <v>2295</v>
      </c>
      <c r="H15" s="2141"/>
      <c r="I15" s="1153">
        <f>G114</f>
        <v>0.127859477124183</v>
      </c>
      <c r="M15" s="1097"/>
    </row>
    <row r="16" spans="1:13" ht="15" customHeight="1">
      <c r="A16" s="1081"/>
      <c r="B16" s="2144" t="s">
        <v>2240</v>
      </c>
      <c r="C16" s="2144"/>
      <c r="D16" s="2144"/>
      <c r="E16" s="1152">
        <f>SUM(E9:E15)</f>
        <v>25034748</v>
      </c>
      <c r="G16" s="1180" t="s">
        <v>2279</v>
      </c>
      <c r="H16" s="1180"/>
      <c r="I16" s="1154">
        <f>I11-((I11*I13)+(I11*I14)+(I11*I15))</f>
        <v>35556233.660130724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71</v>
      </c>
      <c r="O18" s="1124" t="s">
        <v>591</v>
      </c>
      <c r="P18" s="1079">
        <f>MATCH(Application!T189,Application!BV490:BV547,0)</f>
        <v>41</v>
      </c>
      <c r="S18" s="1101">
        <f>SUM(Cdlac[Population])</f>
        <v>36</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38" t="s">
        <v>2297</v>
      </c>
      <c r="D20" s="2138" t="s">
        <v>2298</v>
      </c>
      <c r="E20" s="2138" t="s">
        <v>2299</v>
      </c>
      <c r="F20" s="2138" t="s">
        <v>2300</v>
      </c>
      <c r="G20" s="2138" t="s">
        <v>2296</v>
      </c>
      <c r="H20" s="1108"/>
      <c r="I20" s="1107"/>
      <c r="L20" s="1079">
        <f>IFERROR(MIN(4,MATCH(Application!B718,UnitSizes,0)-1),"")</f>
        <v>0</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975.59999999999991</v>
      </c>
      <c r="Q20" s="1101" cm="1">
        <f t="array" ref="Q20">IF(Cdlac[[#This Row],[Quantity]]&gt;0,INDEX(HudFmrs,$P$18,Cdlac[[#This Row],[Bedrooms]]+1),"")</f>
        <v>2156</v>
      </c>
      <c r="R20" s="1101">
        <f>IF(Cdlac[[#This Row],[Quantity]]&gt;0,MAX(0,Cdlac[[#This Row],[Fair Market Rent]]-Cdlac[[#This Row],[Restricted Rent]]),"")</f>
        <v>1180.4000000000001</v>
      </c>
      <c r="S20" s="1079">
        <f>IF(Cdlac[[#This Row],[Quantity]]&gt;0,AND(Application!AK718&lt;&gt;"N/A",Application!AK718&lt;&gt;"")*Cdlac[[#This Row],[Quantity]],"")</f>
        <v>15</v>
      </c>
      <c r="T20" s="1079" t="b">
        <f>AND('Subsidy Contract Calculation'!F4&gt;0,'Subsidy Contract Calculation'!C4="Federal",Cdlac[[#This Row],[Quantity]]&gt;0)</f>
        <v>1</v>
      </c>
    </row>
    <row r="21" spans="1:20" ht="15" customHeight="1">
      <c r="A21" s="1084"/>
      <c r="C21" s="2139"/>
      <c r="D21" s="2139"/>
      <c r="E21" s="2139"/>
      <c r="F21" s="2139"/>
      <c r="G21" s="2139"/>
      <c r="H21" s="1108"/>
      <c r="I21" s="1107"/>
      <c r="L21" s="1079">
        <f>IFERROR(MIN(4,MATCH(Application!B719,UnitSizes,0)-1),"")</f>
        <v>0</v>
      </c>
      <c r="M21" s="1101">
        <f>Application!G719</f>
        <v>18</v>
      </c>
      <c r="N21" s="1109">
        <f>Application!AC719</f>
        <v>0.3</v>
      </c>
      <c r="O21" s="1109">
        <f>IF(Cdlac[[#This Row],[Quantity]]&gt;0,IF(Cdlac[[#This Row],[Federal]],30%,IF($G$36,40%,Cdlac[[#This Row],[iAMI]])),"")</f>
        <v>0.4</v>
      </c>
      <c r="P21" s="1101" cm="1">
        <f t="array" ref="P21">IF(Cdlac[[#This Row],[Quantity]]&gt;0,INDEX(TcacRents,$P$18,Cdlac[[#This Row],[Bedrooms]]+1)*Cdlac[[#This Row],[AMI]],"")</f>
        <v>1300.8000000000002</v>
      </c>
      <c r="Q21" s="1101" cm="1">
        <f t="array" ref="Q21">IF(Cdlac[[#This Row],[Quantity]]&gt;0,INDEX(HudFmrs,$P$18,Cdlac[[#This Row],[Bedrooms]]+1),"")</f>
        <v>2156</v>
      </c>
      <c r="R21" s="1101">
        <f>IF(Cdlac[[#This Row],[Quantity]]&gt;0,MAX(0,Cdlac[[#This Row],[Fair Market Rent]]-Cdlac[[#This Row],[Restricted Rent]]),"")</f>
        <v>855.19999999999982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35</v>
      </c>
      <c r="F22" s="1110">
        <f>E22</f>
        <v>35</v>
      </c>
      <c r="G22" s="1110">
        <f>D22*F22</f>
        <v>31.5</v>
      </c>
      <c r="L22" s="1079">
        <f>IFERROR(MIN(4,MATCH(Application!B720,UnitSizes,0)-1),"")</f>
        <v>0</v>
      </c>
      <c r="M22" s="1101">
        <f>Application!G720</f>
        <v>1</v>
      </c>
      <c r="N22" s="1109">
        <f>Application!AC720</f>
        <v>0.2</v>
      </c>
      <c r="O22" s="1109">
        <f>IF(Cdlac[[#This Row],[Quantity]]&gt;0,IF(Cdlac[[#This Row],[Federal]],30%,IF($G$36,40%,Cdlac[[#This Row],[iAMI]])),"")</f>
        <v>0.3</v>
      </c>
      <c r="P22" s="1101" cm="1">
        <f t="array" ref="P22">IF(Cdlac[[#This Row],[Quantity]]&gt;0,INDEX(TcacRents,$P$18,Cdlac[[#This Row],[Bedrooms]]+1)*Cdlac[[#This Row],[AMI]],"")</f>
        <v>975.59999999999991</v>
      </c>
      <c r="Q22" s="1101" cm="1">
        <f t="array" ref="Q22">IF(Cdlac[[#This Row],[Quantity]]&gt;0,INDEX(HudFmrs,$P$18,Cdlac[[#This Row],[Bedrooms]]+1),"")</f>
        <v>2156</v>
      </c>
      <c r="R22" s="1101">
        <f>IF(Cdlac[[#This Row],[Quantity]]&gt;0,MAX(0,Cdlac[[#This Row],[Fair Market Rent]]-Cdlac[[#This Row],[Restricted Rent]]),"")</f>
        <v>1180.4000000000001</v>
      </c>
      <c r="S22" s="1079">
        <f>IF(Cdlac[[#This Row],[Quantity]]&gt;0,AND(Application!AK720&lt;&gt;"N/A",Application!AK720&lt;&gt;"")*Cdlac[[#This Row],[Quantity]],"")</f>
        <v>1</v>
      </c>
      <c r="T22" s="1079" t="b">
        <f>AND('Subsidy Contract Calculation'!F6&gt;0,'Subsidy Contract Calculation'!C6="Federal",Cdlac[[#This Row],[Quantity]]&gt;0)</f>
        <v>1</v>
      </c>
    </row>
    <row r="23" spans="1:20" ht="15" customHeight="1">
      <c r="C23" s="1110">
        <v>1</v>
      </c>
      <c r="D23" s="1111">
        <v>1</v>
      </c>
      <c r="E23" s="1110">
        <f>SUMIFS(Cdlac[Quantity],Cdlac[Bedrooms],C23)</f>
        <v>36</v>
      </c>
      <c r="F23" s="1110">
        <f>E23</f>
        <v>36</v>
      </c>
      <c r="G23" s="1110">
        <f>D23*F23</f>
        <v>36</v>
      </c>
      <c r="L23" s="1079">
        <f>IFERROR(MIN(4,MATCH(Application!B721,UnitSizes,0)-1),"")</f>
        <v>0</v>
      </c>
      <c r="M23" s="1101">
        <f>Application!G721</f>
        <v>1</v>
      </c>
      <c r="N23" s="1109">
        <f>Application!AC721</f>
        <v>0.5</v>
      </c>
      <c r="O23" s="1109">
        <f>IF(Cdlac[[#This Row],[Quantity]]&gt;0,IF(Cdlac[[#This Row],[Federal]],30%,IF($G$36,40%,Cdlac[[#This Row],[iAMI]])),"")</f>
        <v>0.4</v>
      </c>
      <c r="P23" s="1101" cm="1">
        <f t="array" ref="P23">IF(Cdlac[[#This Row],[Quantity]]&gt;0,INDEX(TcacRents,$P$18,Cdlac[[#This Row],[Bedrooms]]+1)*Cdlac[[#This Row],[AMI]],"")</f>
        <v>1300.8000000000002</v>
      </c>
      <c r="Q23" s="1101" cm="1">
        <f t="array" ref="Q23">IF(Cdlac[[#This Row],[Quantity]]&gt;0,INDEX(HudFmrs,$P$18,Cdlac[[#This Row],[Bedrooms]]+1),"")</f>
        <v>2156</v>
      </c>
      <c r="R23" s="1101">
        <f>IF(Cdlac[[#This Row],[Quantity]]&gt;0,MAX(0,Cdlac[[#This Row],[Fair Market Rent]]-Cdlac[[#This Row],[Restricted Rent]]),"")</f>
        <v>855.19999999999982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9</v>
      </c>
      <c r="N25" s="1109">
        <f>Application!AC723</f>
        <v>0.3</v>
      </c>
      <c r="O25" s="1109">
        <f>IF(Cdlac[[#This Row],[Quantity]]&gt;0,IF(Cdlac[[#This Row],[Federal]],30%,IF($G$36,40%,Cdlac[[#This Row],[iAMI]])),"")</f>
        <v>0.3</v>
      </c>
      <c r="P25" s="1101" cm="1">
        <f t="array" ref="P25">IF(Cdlac[[#This Row],[Quantity]]&gt;0,INDEX(TcacRents,$P$18,Cdlac[[#This Row],[Bedrooms]]+1)*Cdlac[[#This Row],[AMI]],"")</f>
        <v>1045.2</v>
      </c>
      <c r="Q25" s="1101" cm="1">
        <f t="array" ref="Q25">IF(Cdlac[[#This Row],[Quantity]]&gt;0,INDEX(HudFmrs,$P$18,Cdlac[[#This Row],[Bedrooms]]+1),"")</f>
        <v>2665</v>
      </c>
      <c r="R25" s="1101">
        <f>IF(Cdlac[[#This Row],[Quantity]]&gt;0,MAX(0,Cdlac[[#This Row],[Fair Market Rent]]-Cdlac[[#This Row],[Restricted Rent]]),"")</f>
        <v>1619.8</v>
      </c>
      <c r="S25" s="1079">
        <f>IF(Cdlac[[#This Row],[Quantity]]&gt;0,AND(Application!AK723&lt;&gt;"N/A",Application!AK723&lt;&gt;"")*Cdlac[[#This Row],[Quantity]],"")</f>
        <v>9</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4" t="s">
        <v>1699</v>
      </c>
      <c r="D27" s="2155"/>
      <c r="E27" s="1129">
        <f>SUM(E22:E26)</f>
        <v>71</v>
      </c>
      <c r="F27" s="1129">
        <f>SUM(F22:F26)</f>
        <v>71</v>
      </c>
      <c r="G27" s="1130">
        <f>SUMPRODUCT(D22:D26,F22:F26)</f>
        <v>67.5</v>
      </c>
      <c r="H27" s="1112"/>
      <c r="I27" s="1112"/>
      <c r="L27" s="1079">
        <f>IFERROR(MIN(4,MATCH(Application!B725,UnitSizes,0)-1),"")</f>
        <v>1</v>
      </c>
      <c r="M27" s="1101">
        <f>Application!G725</f>
        <v>11</v>
      </c>
      <c r="N27" s="1109">
        <f>Application!AC725</f>
        <v>0.3</v>
      </c>
      <c r="O27" s="1109">
        <f>IF(Cdlac[[#This Row],[Quantity]]&gt;0,IF(Cdlac[[#This Row],[Federal]],30%,IF($G$36,40%,Cdlac[[#This Row],[iAMI]])),"")</f>
        <v>0.3</v>
      </c>
      <c r="P27" s="1101" cm="1">
        <f t="array" ref="P27">IF(Cdlac[[#This Row],[Quantity]]&gt;0,INDEX(TcacRents,$P$18,Cdlac[[#This Row],[Bedrooms]]+1)*Cdlac[[#This Row],[AMI]],"")</f>
        <v>1045.2</v>
      </c>
      <c r="Q27" s="1101" cm="1">
        <f t="array" ref="Q27">IF(Cdlac[[#This Row],[Quantity]]&gt;0,INDEX(HudFmrs,$P$18,Cdlac[[#This Row],[Bedrooms]]+1),"")</f>
        <v>2665</v>
      </c>
      <c r="R27" s="1101">
        <f>IF(Cdlac[[#This Row],[Quantity]]&gt;0,MAX(0,Cdlac[[#This Row],[Fair Market Rent]]-Cdlac[[#This Row],[Restricted Rent]]),"")</f>
        <v>1619.8</v>
      </c>
      <c r="S27" s="1079">
        <f>IF(Cdlac[[#This Row],[Quantity]]&gt;0,AND(Application!AK725&lt;&gt;"N/A",Application!AK725&lt;&gt;"")*Cdlac[[#This Row],[Quantity]],"")</f>
        <v>11</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1</v>
      </c>
      <c r="M28" s="1101">
        <f>Application!G726</f>
        <v>16</v>
      </c>
      <c r="N28" s="1109">
        <f>Application!AC726</f>
        <v>0.5</v>
      </c>
      <c r="O28" s="1109">
        <f>IF(Cdlac[[#This Row],[Quantity]]&gt;0,IF(Cdlac[[#This Row],[Federal]],30%,IF($G$36,40%,Cdlac[[#This Row],[iAMI]])),"")</f>
        <v>0.4</v>
      </c>
      <c r="P28" s="1101" cm="1">
        <f t="array" ref="P28">IF(Cdlac[[#This Row],[Quantity]]&gt;0,INDEX(TcacRents,$P$18,Cdlac[[#This Row],[Bedrooms]]+1)*Cdlac[[#This Row],[AMI]],"")</f>
        <v>1393.6000000000001</v>
      </c>
      <c r="Q28" s="1101" cm="1">
        <f t="array" ref="Q28">IF(Cdlac[[#This Row],[Quantity]]&gt;0,INDEX(HudFmrs,$P$18,Cdlac[[#This Row],[Bedrooms]]+1),"")</f>
        <v>2665</v>
      </c>
      <c r="R28" s="1101">
        <f>IF(Cdlac[[#This Row],[Quantity]]&gt;0,MAX(0,Cdlac[[#This Row],[Fair Market Rent]]-Cdlac[[#This Row],[Restricted Rent]]),"")</f>
        <v>1271.3999999999999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2296</v>
      </c>
      <c r="G29" s="1156">
        <f>G27</f>
        <v>67.5</v>
      </c>
      <c r="H29" s="1112"/>
      <c r="I29" s="1112"/>
      <c r="L29" s="1079">
        <f>IFERROR(MIN(4,MATCH(Application!B727,UnitSizes,0)-1),"")</f>
        <v>1</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3375000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0.39714285714285708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87873.599999999991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15817247.999999998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35</v>
      </c>
    </row>
    <row r="46" spans="2:20" ht="15" customHeight="1">
      <c r="E46" s="1159"/>
      <c r="G46" s="1167"/>
    </row>
    <row r="47" spans="2:20" ht="15" customHeight="1">
      <c r="E47" s="1159" t="s">
        <v>2258</v>
      </c>
      <c r="G47" s="1156">
        <f>MIN(G44:G45)</f>
        <v>35</v>
      </c>
    </row>
    <row r="48" spans="2:20" ht="15" customHeight="1">
      <c r="E48" s="1159" t="s">
        <v>2248</v>
      </c>
      <c r="F48" s="1155" t="s">
        <v>2305</v>
      </c>
      <c r="G48" s="1166">
        <v>10000</v>
      </c>
    </row>
    <row r="49" spans="2:14" ht="15" customHeight="1">
      <c r="E49" s="1160" t="s">
        <v>2288</v>
      </c>
      <c r="F49" s="1081"/>
      <c r="G49" s="1165">
        <f>G47*G48</f>
        <v>350000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54</v>
      </c>
    </row>
    <row r="54" spans="2:14" ht="15" customHeight="1">
      <c r="E54" s="1159" t="s">
        <v>2307</v>
      </c>
      <c r="G54" s="1117">
        <f>ROUNDDOWN(E27*50%,0)</f>
        <v>35</v>
      </c>
    </row>
    <row r="55" spans="2:14" ht="15" customHeight="1">
      <c r="E55" s="1159"/>
      <c r="G55" s="1117"/>
    </row>
    <row r="56" spans="2:14" ht="15" customHeight="1">
      <c r="E56" s="1159" t="s">
        <v>2258</v>
      </c>
      <c r="G56" s="1156">
        <f>MIN(G53:G54)</f>
        <v>35</v>
      </c>
    </row>
    <row r="57" spans="2:14" ht="15" customHeight="1">
      <c r="E57" s="1159" t="s">
        <v>2248</v>
      </c>
      <c r="F57" s="1155" t="s">
        <v>2305</v>
      </c>
      <c r="G57" s="1166">
        <v>20000</v>
      </c>
    </row>
    <row r="58" spans="2:14" ht="15" customHeight="1">
      <c r="E58" s="1160" t="s">
        <v>2287</v>
      </c>
      <c r="F58" s="1081"/>
      <c r="G58" s="1165">
        <f>G56*G57</f>
        <v>700000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N/A</v>
      </c>
      <c r="M62" s="2156" t="s">
        <v>1517</v>
      </c>
      <c r="N62" s="2157"/>
    </row>
    <row r="63" spans="2:14" ht="15" customHeight="1">
      <c r="E63" s="1124" t="s">
        <v>2248</v>
      </c>
      <c r="F63" s="1155" t="s">
        <v>2305</v>
      </c>
      <c r="G63" s="1114">
        <v>4000</v>
      </c>
      <c r="L63" s="1170" t="str">
        <f>'Points System'!H639</f>
        <v>N/A</v>
      </c>
      <c r="M63" s="2158" t="s">
        <v>2262</v>
      </c>
      <c r="N63" s="2159"/>
    </row>
    <row r="64" spans="2:14" ht="15" customHeight="1">
      <c r="E64" s="1124" t="s">
        <v>2309</v>
      </c>
      <c r="F64" s="1155" t="s">
        <v>2305</v>
      </c>
      <c r="G64" s="1168">
        <f>G27</f>
        <v>67.5</v>
      </c>
      <c r="L64" s="1170" t="str">
        <f>'Points System'!H674</f>
        <v>(ii)</v>
      </c>
      <c r="M64" s="2158" t="s">
        <v>2263</v>
      </c>
      <c r="N64" s="2159"/>
    </row>
    <row r="65" spans="2:14" ht="15" customHeight="1">
      <c r="E65" s="1160" t="s">
        <v>2267</v>
      </c>
      <c r="F65" s="1081"/>
      <c r="G65" s="1165">
        <f>G62*G63*G64</f>
        <v>1890000</v>
      </c>
      <c r="L65" s="1170" t="str">
        <f>IF(OR('Points System'!H698="(ii)",'Points System'!H698="(i)"),"(i)","N/A")</f>
        <v>N/A</v>
      </c>
      <c r="M65" s="2158" t="s">
        <v>2264</v>
      </c>
      <c r="N65" s="2159"/>
    </row>
    <row r="66" spans="2:14" ht="15" customHeight="1">
      <c r="C66" s="1115"/>
      <c r="G66" s="1156"/>
      <c r="L66" s="1171" t="str">
        <f>'Points System'!H712</f>
        <v>N/A</v>
      </c>
      <c r="M66" s="2158" t="s">
        <v>1543</v>
      </c>
      <c r="N66" s="2159"/>
    </row>
    <row r="67" spans="2:14" ht="15" customHeight="1">
      <c r="E67" s="1124" t="s">
        <v>2310</v>
      </c>
      <c r="G67" s="1168">
        <f>COUNTIFS(L62:L69,"(i)")</f>
        <v>2</v>
      </c>
      <c r="L67" s="1170" t="str">
        <f>'Points System'!H724</f>
        <v>N/A</v>
      </c>
      <c r="M67" s="2158" t="s">
        <v>2265</v>
      </c>
      <c r="N67" s="2159"/>
    </row>
    <row r="68" spans="2:14" ht="15" customHeight="1">
      <c r="E68" s="1124" t="s">
        <v>2248</v>
      </c>
      <c r="F68" s="1155" t="s">
        <v>2305</v>
      </c>
      <c r="G68" s="1166">
        <v>4000</v>
      </c>
      <c r="L68" s="1170" t="str">
        <f>'Points System'!H740</f>
        <v>(i)</v>
      </c>
      <c r="M68" s="2158" t="s">
        <v>2266</v>
      </c>
      <c r="N68" s="2159"/>
    </row>
    <row r="69" spans="2:14" ht="15" customHeight="1" thickBot="1">
      <c r="E69" s="1160" t="s">
        <v>2268</v>
      </c>
      <c r="F69" s="1081"/>
      <c r="G69" s="1165">
        <f>G64*G67*G68</f>
        <v>540000</v>
      </c>
      <c r="L69" s="1172" t="str">
        <f>'Points System'!H752</f>
        <v>(i)</v>
      </c>
      <c r="M69" s="2164" t="s">
        <v>1546</v>
      </c>
      <c r="N69" s="2165"/>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67.5</v>
      </c>
    </row>
    <row r="80" spans="2:14" ht="15" customHeight="1">
      <c r="E80" s="1124" t="s">
        <v>2248</v>
      </c>
      <c r="F80" s="1155" t="s">
        <v>2305</v>
      </c>
      <c r="G80" s="1166">
        <v>25000</v>
      </c>
    </row>
    <row r="81" spans="2:14" ht="15" customHeight="1">
      <c r="E81" s="1160" t="s">
        <v>2269</v>
      </c>
      <c r="F81" s="1081"/>
      <c r="G81" s="1165">
        <f>G77*G80*G64</f>
        <v>1687500</v>
      </c>
    </row>
    <row r="82" spans="2:14" ht="15" customHeight="1">
      <c r="C82" s="1115"/>
      <c r="E82" s="1115"/>
    </row>
    <row r="83" spans="2:14" ht="15" customHeight="1">
      <c r="E83" s="1160" t="s">
        <v>2246</v>
      </c>
      <c r="G83" s="1165">
        <f>G81+G69+G65</f>
        <v>4117500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66" t="s">
        <v>2275</v>
      </c>
      <c r="M87" s="2167"/>
      <c r="N87" s="1173">
        <v>30000</v>
      </c>
    </row>
    <row r="88" spans="2:14" ht="15" customHeight="1">
      <c r="C88" s="1115" t="s">
        <v>2292</v>
      </c>
      <c r="G88" s="1119" t="str">
        <f>IF(Application!D211="Large Family","Yes","No")</f>
        <v>No</v>
      </c>
      <c r="L88" s="2160" t="s">
        <v>2239</v>
      </c>
      <c r="M88" s="2161"/>
      <c r="N88" s="1174">
        <v>20000</v>
      </c>
    </row>
    <row r="89" spans="2:14" ht="15" customHeight="1" thickBot="1">
      <c r="C89" s="1115" t="s">
        <v>2273</v>
      </c>
      <c r="G89" s="1078" t="s">
        <v>554</v>
      </c>
      <c r="L89" s="2162" t="s">
        <v>2276</v>
      </c>
      <c r="M89" s="2163"/>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67.5</v>
      </c>
    </row>
    <row r="96" spans="2:14" ht="15" customHeight="1">
      <c r="D96" s="1081"/>
      <c r="E96" s="1160" t="s">
        <v>2247</v>
      </c>
      <c r="F96" s="1081"/>
      <c r="G96" s="1165">
        <f>G95*G94*G92</f>
        <v>675000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67.5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 Mateo</v>
      </c>
    </row>
    <row r="111" spans="2:9" ht="15" customHeight="1">
      <c r="E111" s="1124"/>
      <c r="G111" s="1116"/>
    </row>
    <row r="112" spans="2:9" ht="15" customHeight="1">
      <c r="E112" s="1124" t="str">
        <f>"2-Bedroom "&amp;G110&amp;" County Basis Limit"</f>
        <v>2-Bedroom San Mateo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2024-04-19T19:42:20Z</cp:lastPrinted>
  <dcterms:created xsi:type="dcterms:W3CDTF">2007-12-27T18:26:28Z</dcterms:created>
  <dcterms:modified xsi:type="dcterms:W3CDTF">2024-04-23T19:22:10Z</dcterms:modified>
</cp:coreProperties>
</file>