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Users\kcarlson\Box\Public\AFFORDABLE HOUSING\26. Valentine Road fka La Quinta\Finance\Funding Sources\4% -April 23\Application Draft\TAB 40\"/>
    </mc:Choice>
  </mc:AlternateContent>
  <xr:revisionPtr revIDLastSave="0" documentId="13_ncr:1_{893D4AA8-E447-4A7F-BCBB-E9D88B228EF4}" xr6:coauthVersionLast="47" xr6:coauthVersionMax="47" xr10:uidLastSave="{00000000-0000-0000-0000-000000000000}"/>
  <bookViews>
    <workbookView xWindow="28680" yWindow="-6360" windowWidth="29040" windowHeight="15720"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9" i="4" l="1"/>
  <c r="AG10" i="7"/>
  <c r="AE10" i="7"/>
  <c r="C76" i="4" s="1"/>
  <c r="AC10" i="7"/>
  <c r="AA10" i="7"/>
  <c r="Y10" i="7"/>
  <c r="W10" i="7"/>
  <c r="U10" i="7"/>
  <c r="S10" i="7"/>
  <c r="Q10" i="7"/>
  <c r="O10" i="7"/>
  <c r="M10" i="7"/>
  <c r="K10" i="7"/>
  <c r="I10" i="7"/>
  <c r="G10" i="7"/>
  <c r="E10" i="7"/>
  <c r="AB71" i="15"/>
  <c r="S45" i="4"/>
  <c r="C30" i="4"/>
  <c r="C83" i="4"/>
  <c r="AD190" i="20"/>
  <c r="B190" i="20"/>
  <c r="AD189" i="20"/>
  <c r="B189" i="20"/>
  <c r="AD188" i="20"/>
  <c r="B188" i="20"/>
  <c r="C53" i="4" l="1"/>
  <c r="C45" i="4"/>
  <c r="AO640" i="3" l="1"/>
  <c r="AO635" i="3"/>
  <c r="AM564" i="3"/>
  <c r="W866" i="3" l="1"/>
  <c r="W857" i="3"/>
  <c r="W846" i="3"/>
  <c r="N53" i="4" l="1"/>
  <c r="S94" i="4"/>
  <c r="S95" i="4"/>
  <c r="S93" i="4"/>
  <c r="S89" i="4"/>
  <c r="S86" i="4"/>
  <c r="S84" i="4"/>
  <c r="S80" i="4"/>
  <c r="S69" i="4"/>
  <c r="S52" i="4"/>
  <c r="S43" i="4"/>
  <c r="S41" i="4"/>
  <c r="S40" i="4"/>
  <c r="S31" i="4" l="1"/>
  <c r="S32" i="4"/>
  <c r="S33" i="4"/>
  <c r="S34" i="4"/>
  <c r="S35" i="4"/>
  <c r="S36" i="4"/>
  <c r="S37" i="4"/>
  <c r="S29" i="4"/>
  <c r="C13" i="4"/>
  <c r="AC886" i="3"/>
  <c r="W560" i="3"/>
  <c r="W559" i="3"/>
  <c r="W557" i="3"/>
  <c r="W556" i="3"/>
  <c r="W555" i="3"/>
  <c r="AC888" i="3" l="1"/>
  <c r="M957" i="3"/>
  <c r="G679" i="3" l="1"/>
  <c r="G678" i="3"/>
  <c r="G677" i="3"/>
  <c r="G676" i="3"/>
  <c r="Z671" i="3"/>
  <c r="Z669" i="3"/>
  <c r="Z670" i="3"/>
  <c r="Z668" i="3"/>
  <c r="H672" i="3" l="1"/>
  <c r="G671" i="3"/>
  <c r="G669" i="3"/>
  <c r="G670" i="3"/>
  <c r="G668" i="3"/>
  <c r="AI581" i="3"/>
  <c r="Z581" i="3"/>
  <c r="Z579" i="3"/>
  <c r="Z580" i="3"/>
  <c r="Z578" i="3"/>
  <c r="Z663" i="3"/>
  <c r="Z661" i="3"/>
  <c r="Z662" i="3"/>
  <c r="Z660" i="3"/>
  <c r="H664" i="3"/>
  <c r="G663" i="3"/>
  <c r="G661" i="3"/>
  <c r="G662" i="3"/>
  <c r="G660" i="3"/>
  <c r="AA656" i="3"/>
  <c r="Z655" i="3"/>
  <c r="Z653" i="3"/>
  <c r="Z654" i="3"/>
  <c r="Z652" i="3"/>
  <c r="G655" i="3"/>
  <c r="G653" i="3"/>
  <c r="G654" i="3"/>
  <c r="G652" i="3"/>
  <c r="Z647" i="3"/>
  <c r="Z645" i="3"/>
  <c r="Z646" i="3"/>
  <c r="Z644" i="3"/>
  <c r="H648" i="3"/>
  <c r="G647" i="3"/>
  <c r="G645" i="3"/>
  <c r="G646" i="3"/>
  <c r="G644" i="3"/>
  <c r="G595" i="3"/>
  <c r="G596" i="3"/>
  <c r="G594" i="3"/>
  <c r="C95" i="4" l="1"/>
  <c r="C93" i="4"/>
  <c r="E93" i="4" s="1"/>
  <c r="E76" i="4"/>
  <c r="E80" i="4"/>
  <c r="E65" i="4"/>
  <c r="E49" i="4"/>
  <c r="G718" i="3"/>
  <c r="AF1026" i="3"/>
  <c r="Q391" i="3"/>
  <c r="E13" i="4"/>
  <c r="K30" i="4"/>
  <c r="E95" i="4"/>
  <c r="E94" i="4"/>
  <c r="E92" i="4"/>
  <c r="E91" i="4"/>
  <c r="E90" i="4"/>
  <c r="E89" i="4"/>
  <c r="E88" i="4"/>
  <c r="E87" i="4"/>
  <c r="E86" i="4"/>
  <c r="E85" i="4"/>
  <c r="E84" i="4"/>
  <c r="E83" i="4"/>
  <c r="E79" i="4"/>
  <c r="E75" i="4"/>
  <c r="E74" i="4"/>
  <c r="E73" i="4"/>
  <c r="E72" i="4"/>
  <c r="E69" i="4"/>
  <c r="E68" i="4"/>
  <c r="E67" i="4"/>
  <c r="E66" i="4"/>
  <c r="E60" i="4"/>
  <c r="E59" i="4"/>
  <c r="E58" i="4"/>
  <c r="E57" i="4"/>
  <c r="E56" i="4"/>
  <c r="E53" i="4"/>
  <c r="E52" i="4"/>
  <c r="E51" i="4"/>
  <c r="E50" i="4"/>
  <c r="E47" i="4"/>
  <c r="E46" i="4"/>
  <c r="E45" i="4"/>
  <c r="E43" i="4"/>
  <c r="E41" i="4"/>
  <c r="E40" i="4"/>
  <c r="E31" i="4"/>
  <c r="E32" i="4"/>
  <c r="E33" i="4"/>
  <c r="E34" i="4"/>
  <c r="E35" i="4"/>
  <c r="E36" i="4"/>
  <c r="E37" i="4"/>
  <c r="E29" i="4"/>
  <c r="E27" i="4"/>
  <c r="E5" i="4"/>
  <c r="E6" i="4"/>
  <c r="E7" i="4"/>
  <c r="E4" i="4"/>
  <c r="L76" i="4"/>
  <c r="J76" i="4"/>
  <c r="F4" i="4"/>
  <c r="C635" i="3"/>
  <c r="C9" i="4"/>
  <c r="C43" i="4"/>
  <c r="E61" i="4" l="1"/>
  <c r="C630" i="3" l="1"/>
  <c r="C631" i="3"/>
  <c r="C632" i="3"/>
  <c r="C633" i="3"/>
  <c r="C629" i="3"/>
  <c r="C627"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I9" i="8"/>
  <c r="J9" i="8" s="1"/>
  <c r="J8" i="8"/>
  <c r="I8" i="8"/>
  <c r="I7" i="8"/>
  <c r="J7" i="8" s="1"/>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D102" i="11" s="1"/>
  <c r="C103" i="11"/>
  <c r="D103" i="11" s="1"/>
  <c r="C104" i="11"/>
  <c r="B101" i="11"/>
  <c r="B102" i="11"/>
  <c r="B103" i="11"/>
  <c r="B104" i="11"/>
  <c r="C85" i="11"/>
  <c r="D85" i="11" s="1"/>
  <c r="C86" i="11"/>
  <c r="C87" i="11"/>
  <c r="D87" i="11" s="1"/>
  <c r="C88" i="11"/>
  <c r="C89" i="11"/>
  <c r="C90" i="11"/>
  <c r="C91" i="11"/>
  <c r="C92" i="11"/>
  <c r="C93" i="11"/>
  <c r="D93" i="11" s="1"/>
  <c r="C94" i="11"/>
  <c r="C95" i="11"/>
  <c r="D95" i="11" s="1"/>
  <c r="C96" i="11"/>
  <c r="B85" i="11"/>
  <c r="B86" i="11"/>
  <c r="B87" i="11"/>
  <c r="B88" i="11"/>
  <c r="B89" i="11"/>
  <c r="D89" i="11" s="1"/>
  <c r="B90" i="11"/>
  <c r="D90" i="11" s="1"/>
  <c r="B91" i="11"/>
  <c r="D91" i="11" s="1"/>
  <c r="B92" i="11"/>
  <c r="B93" i="11"/>
  <c r="B94" i="11"/>
  <c r="B95" i="11"/>
  <c r="B96" i="11"/>
  <c r="A70" i="11"/>
  <c r="C67" i="11"/>
  <c r="C68" i="11"/>
  <c r="C69" i="11"/>
  <c r="C70" i="11"/>
  <c r="B67" i="11"/>
  <c r="B68" i="11"/>
  <c r="B69" i="11"/>
  <c r="B70" i="11"/>
  <c r="D70" i="11" s="1"/>
  <c r="A62" i="11"/>
  <c r="A54" i="11"/>
  <c r="A38" i="11"/>
  <c r="A26" i="11"/>
  <c r="C31" i="11"/>
  <c r="C32" i="11"/>
  <c r="C33" i="11"/>
  <c r="C34" i="11"/>
  <c r="D34" i="11" s="1"/>
  <c r="C35" i="11"/>
  <c r="C36" i="11"/>
  <c r="C37" i="11"/>
  <c r="C38" i="11"/>
  <c r="B31" i="11"/>
  <c r="B32" i="11"/>
  <c r="B33" i="11"/>
  <c r="B34" i="11"/>
  <c r="B35" i="11"/>
  <c r="B36" i="11"/>
  <c r="B37" i="11"/>
  <c r="B38" i="11"/>
  <c r="C24" i="11"/>
  <c r="C25" i="11"/>
  <c r="C26" i="11"/>
  <c r="B25" i="11"/>
  <c r="D25" i="11" s="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C80" i="11"/>
  <c r="C81" i="11"/>
  <c r="B80" i="11"/>
  <c r="D80" i="11" s="1"/>
  <c r="B81" i="11"/>
  <c r="I96" i="13"/>
  <c r="J96" i="13"/>
  <c r="J81" i="13"/>
  <c r="I81" i="13"/>
  <c r="G81" i="13"/>
  <c r="F81" i="13"/>
  <c r="D81" i="13"/>
  <c r="C81" i="13"/>
  <c r="H80" i="13"/>
  <c r="E80" i="13"/>
  <c r="B80" i="13"/>
  <c r="R80" i="4"/>
  <c r="R79" i="4"/>
  <c r="S79" i="4" s="1"/>
  <c r="S70" i="4"/>
  <c r="E70" i="13" s="1"/>
  <c r="D81" i="4"/>
  <c r="E81" i="4"/>
  <c r="F81" i="4"/>
  <c r="G81" i="4"/>
  <c r="H81" i="4"/>
  <c r="I81" i="4"/>
  <c r="J81" i="4"/>
  <c r="K81" i="4"/>
  <c r="L81" i="4"/>
  <c r="M81" i="4"/>
  <c r="N81" i="4"/>
  <c r="O81" i="4"/>
  <c r="P81" i="4"/>
  <c r="Q81" i="4"/>
  <c r="S81" i="4"/>
  <c r="E81" i="13" s="1"/>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63" i="13" s="1"/>
  <c r="F97" i="13" s="1"/>
  <c r="F105" i="13" s="1"/>
  <c r="F107" i="13" s="1"/>
  <c r="F26" i="13"/>
  <c r="F38" i="13"/>
  <c r="D42" i="13"/>
  <c r="C42" i="13"/>
  <c r="J38" i="13"/>
  <c r="I38" i="13"/>
  <c r="G38" i="13"/>
  <c r="G63" i="13" s="1"/>
  <c r="G97" i="13" s="1"/>
  <c r="G105" i="13" s="1"/>
  <c r="G107" i="13" s="1"/>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S85" i="4" s="1"/>
  <c r="R83" i="4"/>
  <c r="R76" i="4"/>
  <c r="R75" i="4"/>
  <c r="R72" i="4"/>
  <c r="R73" i="4"/>
  <c r="R74" i="4"/>
  <c r="R69" i="4"/>
  <c r="R65" i="4"/>
  <c r="R61" i="4"/>
  <c r="R60" i="4"/>
  <c r="R59" i="4"/>
  <c r="R58" i="4"/>
  <c r="R57" i="4"/>
  <c r="R56" i="4"/>
  <c r="R53" i="4"/>
  <c r="R52" i="4"/>
  <c r="R51" i="4"/>
  <c r="S51" i="4" s="1"/>
  <c r="R50" i="4"/>
  <c r="R49" i="4"/>
  <c r="R48" i="4"/>
  <c r="R47" i="4"/>
  <c r="R46" i="4"/>
  <c r="R45" i="4"/>
  <c r="R43" i="4"/>
  <c r="R41" i="4"/>
  <c r="R40" i="4"/>
  <c r="R37" i="4"/>
  <c r="R35" i="4"/>
  <c r="R34" i="4"/>
  <c r="R33" i="4"/>
  <c r="R32" i="4"/>
  <c r="R31" i="4"/>
  <c r="R29" i="4"/>
  <c r="R27" i="4"/>
  <c r="R25" i="4"/>
  <c r="R23" i="4"/>
  <c r="R22" i="4"/>
  <c r="R21" i="4"/>
  <c r="R20" i="4"/>
  <c r="R19" i="4"/>
  <c r="R18" i="4"/>
  <c r="R17" i="4"/>
  <c r="R26" i="4" s="1"/>
  <c r="R15" i="4"/>
  <c r="R14" i="4"/>
  <c r="R13" i="4"/>
  <c r="R7" i="4"/>
  <c r="R6" i="4"/>
  <c r="R5" i="4"/>
  <c r="R4" i="4"/>
  <c r="B5" i="11"/>
  <c r="C5" i="11"/>
  <c r="B6" i="11"/>
  <c r="C6" i="11"/>
  <c r="B7" i="11"/>
  <c r="C7" i="11"/>
  <c r="D7" i="11" s="1"/>
  <c r="C8" i="11"/>
  <c r="D8" i="11" s="1"/>
  <c r="B8" i="11"/>
  <c r="B10" i="11"/>
  <c r="B12" i="11" s="1"/>
  <c r="B11" i="11"/>
  <c r="C10" i="11"/>
  <c r="C12" i="11" s="1"/>
  <c r="C11" i="11"/>
  <c r="B14" i="11"/>
  <c r="C14" i="11"/>
  <c r="D14" i="11" s="1"/>
  <c r="B15" i="11"/>
  <c r="D15" i="11" s="1"/>
  <c r="C15" i="11"/>
  <c r="B16" i="11"/>
  <c r="C16" i="11"/>
  <c r="B18" i="11"/>
  <c r="C18" i="11"/>
  <c r="B19" i="11"/>
  <c r="C19" i="11"/>
  <c r="B20" i="11"/>
  <c r="D20" i="11" s="1"/>
  <c r="C20" i="11"/>
  <c r="B21" i="11"/>
  <c r="C21" i="11"/>
  <c r="D21" i="11" s="1"/>
  <c r="B22" i="11"/>
  <c r="C22" i="11"/>
  <c r="B23" i="11"/>
  <c r="C23" i="11"/>
  <c r="B24" i="11"/>
  <c r="D24" i="11" s="1"/>
  <c r="B28" i="11"/>
  <c r="C28" i="11"/>
  <c r="B30" i="11"/>
  <c r="C30" i="11"/>
  <c r="D33" i="11"/>
  <c r="B41" i="11"/>
  <c r="C41" i="11"/>
  <c r="C42" i="11"/>
  <c r="B42" i="11"/>
  <c r="B44" i="11"/>
  <c r="C44" i="11"/>
  <c r="B46" i="11"/>
  <c r="C46" i="11"/>
  <c r="B47" i="11"/>
  <c r="C47" i="11"/>
  <c r="D47" i="11" s="1"/>
  <c r="B48" i="11"/>
  <c r="B49" i="11"/>
  <c r="B50" i="11"/>
  <c r="B51" i="11"/>
  <c r="D51" i="11"/>
  <c r="B52" i="11"/>
  <c r="B53" i="11"/>
  <c r="D53" i="11" s="1"/>
  <c r="C48" i="11"/>
  <c r="D48" i="11" s="1"/>
  <c r="C49" i="11"/>
  <c r="C50" i="11"/>
  <c r="C51" i="11"/>
  <c r="C52" i="11"/>
  <c r="C53" i="11"/>
  <c r="B57" i="11"/>
  <c r="C57" i="11"/>
  <c r="B58" i="11"/>
  <c r="D58" i="11" s="1"/>
  <c r="C58" i="11"/>
  <c r="B59" i="11"/>
  <c r="C59" i="11"/>
  <c r="B60" i="11"/>
  <c r="C60" i="11"/>
  <c r="B61" i="11"/>
  <c r="C61" i="11"/>
  <c r="B62" i="11"/>
  <c r="C62" i="11"/>
  <c r="B66" i="11"/>
  <c r="C66" i="11"/>
  <c r="C71" i="11" s="1"/>
  <c r="B73" i="11"/>
  <c r="C73" i="11"/>
  <c r="B74" i="11"/>
  <c r="C74" i="11"/>
  <c r="B75" i="11"/>
  <c r="D75" i="11" s="1"/>
  <c r="C75" i="11"/>
  <c r="B76" i="11"/>
  <c r="C76" i="11"/>
  <c r="B77" i="11"/>
  <c r="C77" i="11"/>
  <c r="D77" i="11" s="1"/>
  <c r="B84" i="11"/>
  <c r="C84" i="1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s="1"/>
  <c r="T38" i="4"/>
  <c r="H38" i="13" s="1"/>
  <c r="T42" i="4"/>
  <c r="H42" i="13"/>
  <c r="T54" i="4"/>
  <c r="H54" i="13"/>
  <c r="T70" i="4"/>
  <c r="H70" i="13" s="1"/>
  <c r="T96" i="4"/>
  <c r="H96" i="13" s="1"/>
  <c r="C11" i="4"/>
  <c r="B11" i="4" s="1"/>
  <c r="C38" i="4"/>
  <c r="B38" i="13" s="1"/>
  <c r="C54" i="4"/>
  <c r="B54" i="13" s="1"/>
  <c r="C62" i="4"/>
  <c r="B62" i="13" s="1"/>
  <c r="C77" i="4"/>
  <c r="B77" i="13" s="1"/>
  <c r="C96" i="4"/>
  <c r="B96" i="13" s="1"/>
  <c r="D8" i="4"/>
  <c r="D11" i="4"/>
  <c r="D26" i="4"/>
  <c r="D38" i="4"/>
  <c r="D42" i="4"/>
  <c r="D54" i="4"/>
  <c r="D62" i="4"/>
  <c r="D77" i="4"/>
  <c r="D96" i="4"/>
  <c r="E26" i="13"/>
  <c r="S42" i="4"/>
  <c r="E42" i="13" s="1"/>
  <c r="S54" i="4"/>
  <c r="E54" i="13" s="1"/>
  <c r="S96" i="4"/>
  <c r="E96" i="13"/>
  <c r="S104" i="4"/>
  <c r="E104" i="13" s="1"/>
  <c r="F2" i="4"/>
  <c r="G2" i="4"/>
  <c r="H2" i="4"/>
  <c r="I2" i="4"/>
  <c r="J2" i="4"/>
  <c r="K2" i="4"/>
  <c r="L2" i="4"/>
  <c r="M2" i="4"/>
  <c r="N2" i="4"/>
  <c r="O2" i="4"/>
  <c r="P2" i="4"/>
  <c r="Q2" i="4"/>
  <c r="B4" i="4"/>
  <c r="B5" i="4"/>
  <c r="B6" i="4"/>
  <c r="B7" i="4"/>
  <c r="E8" i="4"/>
  <c r="F8" i="4"/>
  <c r="G8" i="4"/>
  <c r="H8" i="4"/>
  <c r="H11" i="4"/>
  <c r="H12" i="4" s="1"/>
  <c r="I8" i="4"/>
  <c r="I11" i="4"/>
  <c r="I12" i="4" s="1"/>
  <c r="J8" i="4"/>
  <c r="J11" i="4"/>
  <c r="J26" i="4"/>
  <c r="J38" i="4"/>
  <c r="J42" i="4"/>
  <c r="J54" i="4"/>
  <c r="J62" i="4"/>
  <c r="J70" i="4"/>
  <c r="J77" i="4"/>
  <c r="J96" i="4"/>
  <c r="J104" i="4"/>
  <c r="K8" i="4"/>
  <c r="K11" i="4"/>
  <c r="L8" i="4"/>
  <c r="L11" i="4"/>
  <c r="M8" i="4"/>
  <c r="M11" i="4"/>
  <c r="N8" i="4"/>
  <c r="O8" i="4"/>
  <c r="Q8" i="4"/>
  <c r="Q12" i="4" s="1"/>
  <c r="Q11" i="4"/>
  <c r="B9" i="4"/>
  <c r="B10"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I63" i="4" s="1"/>
  <c r="I97" i="4" s="1"/>
  <c r="I105" i="4" s="1"/>
  <c r="K26" i="4"/>
  <c r="L26" i="4"/>
  <c r="M26" i="4"/>
  <c r="M38" i="4"/>
  <c r="M42" i="4"/>
  <c r="M54" i="4"/>
  <c r="M62" i="4"/>
  <c r="M70" i="4"/>
  <c r="M77" i="4"/>
  <c r="M96" i="4"/>
  <c r="N26" i="4"/>
  <c r="N38" i="4"/>
  <c r="N42" i="4"/>
  <c r="N54" i="4"/>
  <c r="N62" i="4"/>
  <c r="N70" i="4"/>
  <c r="N77" i="4"/>
  <c r="N96" i="4"/>
  <c r="N104" i="4"/>
  <c r="O26" i="4"/>
  <c r="P26" i="4"/>
  <c r="Q26" i="4"/>
  <c r="B27" i="4"/>
  <c r="B29" i="4"/>
  <c r="B30" i="4"/>
  <c r="B31" i="4"/>
  <c r="B32" i="4"/>
  <c r="B33" i="4"/>
  <c r="B34" i="4"/>
  <c r="B35" i="4"/>
  <c r="B37" i="4"/>
  <c r="G38" i="4"/>
  <c r="H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2" i="4"/>
  <c r="B103" i="4"/>
  <c r="F104" i="4"/>
  <c r="G104" i="4"/>
  <c r="H104" i="4"/>
  <c r="I104" i="4"/>
  <c r="K104" i="4"/>
  <c r="L104" i="4"/>
  <c r="Q104" i="4"/>
  <c r="E108" i="4"/>
  <c r="F108" i="4"/>
  <c r="F9" i="4" s="1"/>
  <c r="G108" i="4"/>
  <c r="G9" i="4" s="1"/>
  <c r="G11" i="4" s="1"/>
  <c r="G12" i="4" s="1"/>
  <c r="H108" i="4"/>
  <c r="I108" i="4"/>
  <c r="J108" i="4"/>
  <c r="K108" i="4"/>
  <c r="L108" i="4"/>
  <c r="M108" i="4"/>
  <c r="M99" i="4" s="1"/>
  <c r="E99" i="4" s="1"/>
  <c r="R99" i="4" s="1"/>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AH720" i="3" s="1"/>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B81" i="13"/>
  <c r="D54" i="11"/>
  <c r="J63" i="13"/>
  <c r="J97" i="13"/>
  <c r="J105" i="13"/>
  <c r="J107" i="13"/>
  <c r="L12" i="4"/>
  <c r="D5" i="11"/>
  <c r="D6" i="11"/>
  <c r="D18" i="11"/>
  <c r="D57" i="11"/>
  <c r="C12" i="13"/>
  <c r="D22" i="11"/>
  <c r="D12" i="4"/>
  <c r="D73" i="11"/>
  <c r="D44" i="11"/>
  <c r="D76" i="11"/>
  <c r="D32" i="11"/>
  <c r="N12" i="4"/>
  <c r="D60" i="11"/>
  <c r="M12" i="4"/>
  <c r="D59" i="11"/>
  <c r="D38" i="11"/>
  <c r="D12" i="13"/>
  <c r="D101" i="11"/>
  <c r="D92" i="11"/>
  <c r="D28" i="11"/>
  <c r="D88" i="11"/>
  <c r="D42" i="11"/>
  <c r="D16" i="11"/>
  <c r="B42" i="4"/>
  <c r="D104" i="11"/>
  <c r="D11" i="11"/>
  <c r="K12" i="4" l="1"/>
  <c r="D31" i="11"/>
  <c r="B71" i="11"/>
  <c r="D71" i="11" s="1"/>
  <c r="D50" i="11"/>
  <c r="M104" i="4"/>
  <c r="C82" i="11"/>
  <c r="B38" i="4"/>
  <c r="D62" i="11"/>
  <c r="E104" i="4"/>
  <c r="R9" i="4"/>
  <c r="F11" i="4"/>
  <c r="F63" i="4" s="1"/>
  <c r="F97" i="4" s="1"/>
  <c r="F105" i="4" s="1"/>
  <c r="D96" i="11"/>
  <c r="B70" i="13"/>
  <c r="D66" i="11"/>
  <c r="D49" i="11"/>
  <c r="AH726" i="3"/>
  <c r="AH721" i="3"/>
  <c r="AH719" i="3"/>
  <c r="AH727" i="3"/>
  <c r="AH722" i="3"/>
  <c r="AH724" i="3"/>
  <c r="AH723" i="3"/>
  <c r="AH725" i="3"/>
  <c r="B62" i="4"/>
  <c r="R70" i="4"/>
  <c r="R81" i="4"/>
  <c r="G63" i="4"/>
  <c r="G97" i="4" s="1"/>
  <c r="G105" i="4" s="1"/>
  <c r="B96" i="4"/>
  <c r="C63" i="11"/>
  <c r="B97" i="11"/>
  <c r="D94" i="11"/>
  <c r="B8" i="4"/>
  <c r="B9" i="11"/>
  <c r="B13" i="11" s="1"/>
  <c r="D10" i="11"/>
  <c r="B11" i="13"/>
  <c r="C12" i="4"/>
  <c r="B12" i="13" s="1"/>
  <c r="D12" i="11"/>
  <c r="B77" i="4"/>
  <c r="D36" i="11"/>
  <c r="O63" i="4"/>
  <c r="O97" i="4" s="1"/>
  <c r="O105" i="4" s="1"/>
  <c r="R62" i="4"/>
  <c r="R77" i="4"/>
  <c r="C43" i="11"/>
  <c r="R8" i="4"/>
  <c r="R42" i="4"/>
  <c r="D63" i="13"/>
  <c r="D97" i="13" s="1"/>
  <c r="AB48" i="15"/>
  <c r="R96" i="4"/>
  <c r="O12" i="4"/>
  <c r="P63" i="4"/>
  <c r="P97" i="4" s="1"/>
  <c r="P105" i="4" s="1"/>
  <c r="N63" i="4"/>
  <c r="N97" i="4" s="1"/>
  <c r="N105" i="4" s="1"/>
  <c r="J63" i="4"/>
  <c r="J97" i="4" s="1"/>
  <c r="J105" i="4" s="1"/>
  <c r="C78" i="11"/>
  <c r="B43" i="11"/>
  <c r="R54" i="4"/>
  <c r="H63" i="4"/>
  <c r="H97" i="4" s="1"/>
  <c r="H105" i="4" s="1"/>
  <c r="L63" i="4"/>
  <c r="L97" i="4" s="1"/>
  <c r="L105" i="4" s="1"/>
  <c r="M63" i="4"/>
  <c r="M97" i="4" s="1"/>
  <c r="M105" i="4" s="1"/>
  <c r="D63" i="4"/>
  <c r="D97" i="4" s="1"/>
  <c r="B81" i="4"/>
  <c r="Q63" i="4"/>
  <c r="Q97" i="4" s="1"/>
  <c r="Q105" i="4" s="1"/>
  <c r="B39" i="11"/>
  <c r="R104" i="4"/>
  <c r="B82" i="11"/>
  <c r="D43" i="11"/>
  <c r="N187" i="27"/>
  <c r="N193" i="27" s="1"/>
  <c r="B12" i="4"/>
  <c r="B54" i="4"/>
  <c r="B26" i="4"/>
  <c r="D105" i="13"/>
  <c r="C97" i="11"/>
  <c r="D84" i="11"/>
  <c r="B78" i="11"/>
  <c r="D61" i="11"/>
  <c r="B63" i="11"/>
  <c r="D52" i="11"/>
  <c r="D46" i="11"/>
  <c r="C63" i="13"/>
  <c r="C97" i="13" s="1"/>
  <c r="C105" i="13" s="1"/>
  <c r="D41" i="11"/>
  <c r="D100" i="11"/>
  <c r="C105" i="11"/>
  <c r="D105" i="11" s="1"/>
  <c r="J12" i="4"/>
  <c r="D30" i="11"/>
  <c r="D35" i="11"/>
  <c r="C9" i="11"/>
  <c r="D9" i="11" s="1"/>
  <c r="C39" i="11"/>
  <c r="D23" i="11"/>
  <c r="D19" i="11"/>
  <c r="B55" i="11"/>
  <c r="D74" i="11"/>
  <c r="D81" i="11"/>
  <c r="C55" i="11"/>
  <c r="D86" i="11"/>
  <c r="C27" i="11"/>
  <c r="G67" i="21"/>
  <c r="C63" i="4"/>
  <c r="B63" i="13" s="1"/>
  <c r="AA29" i="7"/>
  <c r="R44" i="21"/>
  <c r="O29" i="7"/>
  <c r="AY1002" i="3"/>
  <c r="I1047" i="3" s="1"/>
  <c r="C798" i="3"/>
  <c r="G40" i="7"/>
  <c r="G43" i="7" s="1"/>
  <c r="AE28" i="7"/>
  <c r="Y29" i="7"/>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E30" i="7" s="1"/>
  <c r="G30" i="7" s="1"/>
  <c r="I30" i="7" s="1"/>
  <c r="K30" i="7" s="1"/>
  <c r="M30" i="7" s="1"/>
  <c r="O30" i="7" s="1"/>
  <c r="Q30" i="7" s="1"/>
  <c r="S30" i="7" s="1"/>
  <c r="U30" i="7" s="1"/>
  <c r="W30" i="7" s="1"/>
  <c r="Y30" i="7" s="1"/>
  <c r="AA30" i="7" s="1"/>
  <c r="AC30" i="7" s="1"/>
  <c r="AE30" i="7" s="1"/>
  <c r="AG30" i="7"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M959" i="3" s="1"/>
  <c r="M960" i="3" s="1"/>
  <c r="G53" i="21"/>
  <c r="E24" i="21"/>
  <c r="E22" i="21"/>
  <c r="F22" i="21" s="1"/>
  <c r="G40" i="8"/>
  <c r="I15" i="7"/>
  <c r="E26" i="21"/>
  <c r="E23" i="21"/>
  <c r="F23" i="21" s="1"/>
  <c r="G23" i="21" s="1"/>
  <c r="R11" i="4" l="1"/>
  <c r="R12" i="4" s="1"/>
  <c r="T9" i="4"/>
  <c r="D82" i="11"/>
  <c r="D63" i="11"/>
  <c r="E11" i="4"/>
  <c r="E12" i="4" s="1"/>
  <c r="F12" i="4"/>
  <c r="B63" i="4"/>
  <c r="D97" i="11"/>
  <c r="D55" i="11"/>
  <c r="D39" i="11"/>
  <c r="C13" i="11"/>
  <c r="D13" i="11" s="1"/>
  <c r="B64" i="11"/>
  <c r="B98" i="11" s="1"/>
  <c r="B106" i="11" s="1"/>
  <c r="D78" i="11"/>
  <c r="C64" i="11"/>
  <c r="C97" i="4"/>
  <c r="C105" i="4" s="1"/>
  <c r="AC455" i="3" s="1"/>
  <c r="AS349" i="20"/>
  <c r="AY1004" i="3"/>
  <c r="DX635" i="3"/>
  <c r="BH702" i="3"/>
  <c r="BI702" i="3" s="1"/>
  <c r="BH701" i="3"/>
  <c r="BI701" i="3" s="1"/>
  <c r="BU669" i="3"/>
  <c r="BU677" i="3"/>
  <c r="BV677" i="3" s="1"/>
  <c r="BU685" i="3"/>
  <c r="BV685" i="3" s="1"/>
  <c r="BU693" i="3"/>
  <c r="BV693" i="3" s="1"/>
  <c r="BU702" i="3"/>
  <c r="BV702" i="3" s="1"/>
  <c r="BU670" i="3"/>
  <c r="BV670" i="3" s="1"/>
  <c r="BU678" i="3"/>
  <c r="BV678" i="3" s="1"/>
  <c r="BU686" i="3"/>
  <c r="BV686" i="3" s="1"/>
  <c r="BU694" i="3"/>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BV694"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9" i="3"/>
  <c r="BV67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T11" i="4" l="1"/>
  <c r="H9" i="13"/>
  <c r="O27" i="21"/>
  <c r="P27" i="21" s="1" a="1"/>
  <c r="P27" i="21" s="1"/>
  <c r="R27" i="21" s="1"/>
  <c r="O28" i="21"/>
  <c r="P28" i="21" s="1" a="1"/>
  <c r="P28" i="21" s="1"/>
  <c r="R28" i="21" s="1"/>
  <c r="O29" i="21"/>
  <c r="P29" i="21" s="1" a="1"/>
  <c r="P29" i="21" s="1"/>
  <c r="R29" i="21" s="1"/>
  <c r="D64" i="11"/>
  <c r="C98" i="11"/>
  <c r="C106" i="11" s="1"/>
  <c r="D106" i="11" s="1"/>
  <c r="B105" i="13"/>
  <c r="B97" i="13"/>
  <c r="B97" i="4"/>
  <c r="AG258" i="20"/>
  <c r="O24" i="21"/>
  <c r="P24" i="21" s="1" a="1"/>
  <c r="P24" i="21" s="1"/>
  <c r="R24" i="21" s="1"/>
  <c r="O26" i="21"/>
  <c r="P26" i="21" s="1" a="1"/>
  <c r="P26" i="21" s="1"/>
  <c r="R26" i="21" s="1"/>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H11" i="13" l="1"/>
  <c r="T63" i="4"/>
  <c r="D98" i="1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H63" i="13" l="1"/>
  <c r="T97" i="4"/>
  <c r="AJ1028" i="3"/>
  <c r="AJ993" i="3"/>
  <c r="I13" i="21" s="1"/>
  <c r="AJ1035" i="3"/>
  <c r="I14" i="21" s="1"/>
  <c r="B1059" i="3"/>
  <c r="AJ1048" i="3"/>
  <c r="AP542" i="20" s="1"/>
  <c r="AJ1044" i="3"/>
  <c r="AP541" i="20" s="1"/>
  <c r="AP539" i="20"/>
  <c r="K4" i="7"/>
  <c r="M4" i="7" s="1"/>
  <c r="E45" i="7"/>
  <c r="E48" i="7" s="1"/>
  <c r="G45" i="7"/>
  <c r="G49" i="7"/>
  <c r="K6" i="7"/>
  <c r="I7" i="7"/>
  <c r="I11" i="7" s="1"/>
  <c r="I37" i="7" s="1"/>
  <c r="G24" i="21"/>
  <c r="F27" i="21"/>
  <c r="G27" i="21"/>
  <c r="O22" i="7"/>
  <c r="O35" i="7" s="1"/>
  <c r="Q15" i="7"/>
  <c r="O9" i="7"/>
  <c r="Q8" i="7"/>
  <c r="T105" i="4" l="1"/>
  <c r="H97" i="13"/>
  <c r="AZ846" i="3"/>
  <c r="AZ843" i="3"/>
  <c r="AZ851" i="3" s="1"/>
  <c r="AJ1052" i="3"/>
  <c r="T24"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107" i="4" l="1"/>
  <c r="H105" i="13"/>
  <c r="AP546" i="20"/>
  <c r="AP545" i="20" s="1"/>
  <c r="AP548" i="20" s="1"/>
  <c r="AF541"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H107" i="13" l="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D11" i="15" l="1"/>
  <c r="AD23" i="15" s="1"/>
  <c r="AI11" i="15"/>
  <c r="AI23" i="15" s="1"/>
  <c r="AI26" i="15" s="1"/>
  <c r="AI28" i="15" s="1"/>
  <c r="U4" i="7"/>
  <c r="S5" i="7"/>
  <c r="M48" i="7"/>
  <c r="M47" i="7"/>
  <c r="M60" i="7"/>
  <c r="O45" i="7"/>
  <c r="O49" i="7"/>
  <c r="K66" i="7"/>
  <c r="K67" i="7"/>
  <c r="K62" i="7"/>
  <c r="Q7" i="7"/>
  <c r="Q11" i="7" s="1"/>
  <c r="Q37" i="7" s="1"/>
  <c r="S6" i="7"/>
  <c r="I70" i="7"/>
  <c r="I72" i="7" s="1"/>
  <c r="W22" i="7"/>
  <c r="W35" i="7" s="1"/>
  <c r="Y15" i="7"/>
  <c r="W9" i="7"/>
  <c r="Y8" i="7"/>
  <c r="AD26" i="15" l="1"/>
  <c r="AD28" i="15" s="1"/>
  <c r="U5" i="7"/>
  <c r="W4" i="7"/>
  <c r="Q49" i="7"/>
  <c r="Q45" i="7"/>
  <c r="M62" i="7"/>
  <c r="M67" i="7"/>
  <c r="M66" i="7"/>
  <c r="O47" i="7"/>
  <c r="O48" i="7"/>
  <c r="O60" i="7"/>
  <c r="K70" i="7"/>
  <c r="K72" i="7" s="1"/>
  <c r="S7" i="7"/>
  <c r="S11" i="7" s="1"/>
  <c r="S37" i="7" s="1"/>
  <c r="U6" i="7"/>
  <c r="Y22" i="7"/>
  <c r="Y35" i="7" s="1"/>
  <c r="AA15" i="7"/>
  <c r="Y9" i="7"/>
  <c r="AA8" i="7"/>
  <c r="M70" i="7" l="1"/>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E97" i="20"/>
  <c r="E100" i="20" s="1"/>
  <c r="AP100" i="20" s="1"/>
  <c r="K38" i="4"/>
  <c r="K63" i="4"/>
  <c r="K97" i="4" s="1"/>
  <c r="K105" i="4" s="1"/>
  <c r="E30" i="4"/>
  <c r="E38" i="4" s="1"/>
  <c r="E63" i="4" s="1"/>
  <c r="E97" i="4" s="1"/>
  <c r="E105" i="4" s="1"/>
  <c r="D104" i="4" l="1"/>
  <c r="B101" i="4"/>
  <c r="AK103" i="20"/>
  <c r="T795" i="20" s="1"/>
  <c r="AF795" i="20" s="1"/>
  <c r="R30" i="4"/>
  <c r="R38" i="4" l="1"/>
  <c r="R63" i="4" s="1"/>
  <c r="R97" i="4" s="1"/>
  <c r="R105" i="4" s="1"/>
  <c r="S30" i="4"/>
  <c r="B104" i="4"/>
  <c r="D105" i="4"/>
  <c r="E30" i="13" l="1"/>
  <c r="S38" i="4"/>
  <c r="B105" i="4"/>
  <c r="AB255" i="20" s="1"/>
  <c r="AG257" i="20" s="1"/>
  <c r="AG259" i="20" s="1"/>
  <c r="AK262" i="20" s="1"/>
  <c r="T801" i="20" s="1"/>
  <c r="AF801" i="20" s="1"/>
  <c r="E38" i="13" l="1"/>
  <c r="S63" i="4"/>
  <c r="AC454" i="3"/>
  <c r="F457" i="3" s="1"/>
  <c r="N183" i="27"/>
  <c r="AB47" i="15"/>
  <c r="AB49" i="15" s="1"/>
  <c r="S97" i="4" l="1"/>
  <c r="E63" i="13"/>
  <c r="AB54" i="15"/>
  <c r="AB55" i="15" s="1"/>
  <c r="N194" i="27"/>
  <c r="N184" i="27"/>
  <c r="E97" i="13" l="1"/>
  <c r="S105" i="4"/>
  <c r="S107" i="4" l="1"/>
  <c r="E105" i="13"/>
  <c r="E107" i="13" l="1"/>
  <c r="AC456" i="3"/>
  <c r="AF540" i="20"/>
  <c r="AF542" i="20" s="1"/>
  <c r="AK548" i="20" s="1"/>
  <c r="T807" i="20" s="1"/>
  <c r="AF807" i="20" s="1"/>
  <c r="AF810" i="20" s="1"/>
  <c r="T11" i="15" l="1"/>
  <c r="T23" i="15" s="1"/>
  <c r="Y11" i="15"/>
  <c r="Y23" i="15" s="1"/>
  <c r="Y26" i="15" s="1"/>
  <c r="Y28" i="15" s="1"/>
  <c r="Y64" i="15" s="1"/>
  <c r="Y68" i="15" s="1"/>
  <c r="T26" i="15" l="1"/>
  <c r="T28" i="15" s="1"/>
  <c r="T29" i="15" s="1"/>
  <c r="Y38" i="15"/>
  <c r="Y40" i="15" s="1"/>
  <c r="AD38" i="15"/>
  <c r="AD40" i="15" s="1"/>
  <c r="Y41" i="15" l="1"/>
  <c r="AB56" i="15" s="1"/>
  <c r="M26" i="3" l="1"/>
  <c r="P204" i="3" s="1"/>
  <c r="AB57" i="15"/>
  <c r="AB59" i="15" s="1"/>
  <c r="AB76" i="15" s="1"/>
  <c r="AB77" i="15" s="1"/>
  <c r="AB78" i="15" l="1"/>
  <c r="AB80" i="15" s="1"/>
  <c r="J81" i="15" s="1"/>
  <c r="M27" i="3"/>
  <c r="P205"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<sst xmlns="http://schemas.openxmlformats.org/spreadsheetml/2006/main" count="5285" uniqueCount="2785">
  <si>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</si>
  <si>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</si>
  <si>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</si>
  <si>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</si>
  <si>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</si>
  <si>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</si>
  <si>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</si>
  <si>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</si>
  <si>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</si>
  <si>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</si>
  <si>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</si>
  <si>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</si>
  <si>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</si>
  <si>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</si>
  <si>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</si>
  <si>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</si>
  <si>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</si>
  <si>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</si>
  <si>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</si>
  <si>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</si>
  <si>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</si>
  <si>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</si>
  <si>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</si>
  <si>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</si>
  <si>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</si>
  <si>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</si>
  <si>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</si>
  <si>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</si>
  <si>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</si>
  <si>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</si>
  <si>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</si>
  <si>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</si>
  <si>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</si>
  <si>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</si>
  <si>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</si>
  <si>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</si>
  <si>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</si>
  <si>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</si>
  <si>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</si>
  <si>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</si>
  <si>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</si>
  <si>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</si>
  <si>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</si>
  <si>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</si>
  <si>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</si>
  <si>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</si>
  <si>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</si>
  <si>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</si>
  <si>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</si>
  <si>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</si>
  <si>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</si>
  <si>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</si>
  <si>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</si>
  <si>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</si>
  <si>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</si>
  <si>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</si>
  <si>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</si>
  <si>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</si>
  <si>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</si>
  <si>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</si>
  <si>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</si>
  <si>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</si>
  <si>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</si>
  <si>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</si>
  <si>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</si>
  <si>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</si>
  <si>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</si>
  <si>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</si>
  <si>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</si>
  <si>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</si>
  <si>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</si>
  <si>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</si>
  <si>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</si>
  <si>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</si>
  <si>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</si>
  <si>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</si>
  <si>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</si>
  <si>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</si>
  <si>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</si>
  <si>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</si>
  <si>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</si>
  <si>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</si>
  <si>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</si>
  <si>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</si>
  <si>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</si>
  <si>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</si>
  <si>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</si>
  <si>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</si>
  <si>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</si>
  <si>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</si>
  <si>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</si>
  <si>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</si>
  <si>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</si>
  <si>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</si>
  <si>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</si>
  <si>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</si>
  <si>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</si>
  <si>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</si>
  <si>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</si>
  <si>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</si>
  <si>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</si>
  <si>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</si>
  <si>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</si>
  <si>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</si>
  <si>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</si>
  <si>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</si>
  <si>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</si>
  <si>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</si>
  <si>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</si>
  <si>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</si>
  <si>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</si>
  <si>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</si>
  <si>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</si>
  <si>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</si>
  <si>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</si>
  <si>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</si>
  <si>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</si>
  <si>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</si>
  <si>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</si>
  <si>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</si>
  <si>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</si>
  <si>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</si>
  <si>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</si>
  <si>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</si>
  <si>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</si>
  <si>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</si>
  <si>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</si>
  <si>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</si>
  <si>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</si>
  <si>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</si>
  <si>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</si>
  <si>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</si>
  <si>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</si>
  <si>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</si>
  <si>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</si>
  <si>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</si>
  <si>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</si>
  <si>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</si>
  <si>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</si>
  <si>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</si>
  <si>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</si>
  <si>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</si>
  <si>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</si>
  <si>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</si>
  <si>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</si>
  <si>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</si>
  <si>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</si>
  <si>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</si>
  <si>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</si>
  <si>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</si>
  <si>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</si>
  <si>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</si>
  <si>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</si>
  <si>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</si>
  <si>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</si>
  <si>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</si>
  <si>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</si>
  <si>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</si>
  <si>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</si>
  <si>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</si>
  <si>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</si>
  <si>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</si>
  <si>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</si>
  <si>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</si>
  <si>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</si>
  <si>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</si>
  <si>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</si>
  <si>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</si>
  <si>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</si>
  <si>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</si>
  <si>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</si>
  <si>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</si>
  <si>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</si>
  <si>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</si>
  <si>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</si>
  <si>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</si>
  <si>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</si>
  <si>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</si>
  <si>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</si>
  <si>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</si>
  <si>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</si>
  <si>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</si>
  <si>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</si>
  <si>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</si>
  <si>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</si>
  <si>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</si>
  <si>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</si>
  <si>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</si>
  <si>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</si>
  <si>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</si>
  <si>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</si>
  <si>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</si>
  <si>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</si>
  <si>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</si>
  <si>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</si>
  <si>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</si>
  <si>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</si>
  <si>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</si>
  <si>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</si>
  <si>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</si>
  <si>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</si>
  <si>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</si>
  <si>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</si>
  <si>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</si>
  <si>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</si>
  <si>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</si>
  <si>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</si>
  <si>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</si>
  <si>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</si>
  <si>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</si>
  <si>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</si>
  <si>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</si>
  <si>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</si>
  <si>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</si>
  <si>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</si>
  <si>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</si>
  <si>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</si>
  <si>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</si>
  <si>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</si>
  <si>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</si>
  <si>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</si>
  <si>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</si>
  <si>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</si>
  <si>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</si>
  <si>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</si>
  <si>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</si>
  <si>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</si>
  <si>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</si>
  <si>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</si>
  <si>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</si>
  <si>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</si>
  <si>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</si>
  <si>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</si>
  <si>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</si>
  <si>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</si>
  <si>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</si>
  <si>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</si>
  <si>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</si>
  <si>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</si>
  <si>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</si>
  <si>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</si>
  <si>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</si>
  <si>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</si>
  <si>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</si>
  <si>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</si>
  <si>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</si>
  <si>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</si>
  <si>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</si>
  <si>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</si>
  <si>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</si>
  <si>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</si>
  <si>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</si>
  <si>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</si>
  <si>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</si>
  <si>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</si>
  <si>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</si>
  <si>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</si>
  <si>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</si>
  <si>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</si>
  <si>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</si>
  <si>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</si>
  <si>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</si>
  <si>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</si>
  <si>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</si>
  <si>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</si>
  <si>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</si>
  <si>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</si>
  <si>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</si>
  <si>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</si>
  <si>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</si>
  <si>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</si>
  <si>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</si>
  <si>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</si>
  <si>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</si>
  <si>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</si>
  <si>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</si>
  <si>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</si>
  <si>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</si>
  <si>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</si>
  <si>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</si>
  <si>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</si>
  <si>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</si>
  <si>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</si>
  <si>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</si>
  <si>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</si>
  <si>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</si>
  <si>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</si>
  <si>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</si>
  <si>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</si>
  <si>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</si>
  <si>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</si>
  <si>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</si>
  <si>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</si>
  <si>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</si>
  <si>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</si>
  <si>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</si>
  <si>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</si>
  <si>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</si>
  <si>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</si>
  <si>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</si>
  <si>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</si>
  <si>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</si>
  <si>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</si>
  <si>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</si>
  <si>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</si>
  <si>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</si>
  <si>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</si>
  <si>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</si>
  <si>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</si>
  <si>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</si>
  <si>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</si>
  <si>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</si>
  <si>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</si>
  <si>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</si>
  <si>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</si>
  <si>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</si>
  <si>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</si>
  <si>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</si>
  <si>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</si>
  <si>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</si>
  <si>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</si>
  <si>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</si>
  <si>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</si>
  <si>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</si>
  <si>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</si>
  <si>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</si>
  <si>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</si>
  <si>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</si>
  <si>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</si>
  <si>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</si>
  <si>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</si>
  <si>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</si>
  <si>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</si>
  <si>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</si>
  <si>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</si>
  <si>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</si>
  <si>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</si>
  <si>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</si>
  <si>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</si>
  <si>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</si>
  <si>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</si>
  <si>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</si>
  <si>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</si>
  <si>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</si>
  <si>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</si>
  <si>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</si>
  <si>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</si>
  <si>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</si>
  <si>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</si>
  <si>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</si>
  <si>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</si>
  <si>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</si>
  <si>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</si>
  <si>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</si>
  <si>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</si>
  <si>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</si>
  <si>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</si>
  <si>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</si>
  <si>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</si>
  <si>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</si>
  <si>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</si>
  <si>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</si>
  <si>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</si>
  <si>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</si>
  <si>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</si>
  <si>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</si>
  <si>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</si>
  <si>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</si>
  <si>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</si>
  <si>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</si>
  <si>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</si>
  <si>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</si>
  <si>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</si>
  <si>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</si>
  <si>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</si>
  <si>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</si>
  <si>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</si>
  <si>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</si>
  <si>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</si>
  <si>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</si>
  <si>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</si>
  <si>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</si>
  <si>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</si>
  <si>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</si>
  <si>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</si>
  <si>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</si>
  <si>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</si>
  <si>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</si>
  <si>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</si>
  <si>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</si>
  <si>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</si>
  <si>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</si>
  <si>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</si>
  <si>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</si>
  <si>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</si>
  <si>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</si>
  <si>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</si>
  <si>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</si>
  <si>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</si>
  <si>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</si>
  <si>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</si>
  <si>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</si>
  <si>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</si>
  <si>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</si>
  <si>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</si>
  <si>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</si>
  <si>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</si>
  <si>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</si>
  <si>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</si>
  <si>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</si>
  <si>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</si>
  <si>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</si>
  <si>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</si>
  <si>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</si>
  <si>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</si>
  <si>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</si>
  <si>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</si>
  <si>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</si>
  <si>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</si>
  <si>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</si>
  <si>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</si>
  <si>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</si>
  <si>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</si>
  <si>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</si>
  <si>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</si>
  <si>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</si>
  <si>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</si>
  <si>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</si>
  <si>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</si>
  <si>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</si>
  <si>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</si>
  <si>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</si>
  <si>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</si>
  <si>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</si>
  <si>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</si>
  <si>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</si>
  <si>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</si>
  <si>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</si>
  <si>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</si>
  <si>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</si>
  <si>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</si>
  <si>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</si>
  <si>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</si>
  <si>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</si>
  <si>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</si>
  <si>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</si>
  <si>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</si>
  <si>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</si>
  <si>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</si>
  <si>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</si>
  <si>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</si>
  <si>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</si>
  <si>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</si>
  <si>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</si>
  <si>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</si>
  <si>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</si>
  <si>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</si>
  <si>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</si>
  <si>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</si>
  <si>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</si>
  <si>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</si>
  <si>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</si>
  <si>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</si>
  <si>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</si>
  <si>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</si>
  <si>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</si>
  <si>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</si>
  <si>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</si>
  <si>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</si>
  <si>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</si>
  <si>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</si>
  <si>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</si>
  <si>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</si>
  <si>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</si>
  <si>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</si>
  <si>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</si>
  <si>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</si>
  <si>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</si>
  <si>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</si>
  <si>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</si>
  <si>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</si>
  <si>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</si>
  <si>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</si>
  <si>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</si>
  <si>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</si>
  <si>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</si>
  <si>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</si>
  <si>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</si>
  <si>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</si>
  <si>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</si>
  <si>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</si>
  <si>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</si>
  <si>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</si>
  <si>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</si>
  <si>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</si>
  <si>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</si>
  <si>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</si>
  <si>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</si>
  <si>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</si>
  <si>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</si>
  <si>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</si>
  <si>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</si>
  <si>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</si>
  <si>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</si>
  <si>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</si>
  <si>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</si>
  <si>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</si>
  <si>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</si>
  <si>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</si>
  <si>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</si>
  <si>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</si>
  <si>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</si>
  <si>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</si>
  <si>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</si>
  <si>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</si>
  <si>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</si>
  <si>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</si>
  <si>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</si>
  <si>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</si>
  <si>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</si>
  <si>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</si>
  <si>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</si>
  <si>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</si>
  <si>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</si>
  <si>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</si>
  <si>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</si>
  <si>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</si>
  <si>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</si>
  <si>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</si>
  <si>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</si>
  <si>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</si>
  <si>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</si>
  <si>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</si>
  <si>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</si>
  <si>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</si>
  <si>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</si>
  <si>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</si>
  <si>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</si>
  <si>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</si>
  <si>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</si>
  <si>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</si>
  <si>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</si>
  <si>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</si>
  <si>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</si>
  <si>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</si>
  <si>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</si>
  <si>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</si>
  <si>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</si>
  <si>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</si>
  <si>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</si>
  <si>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</si>
  <si>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</si>
  <si>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</si>
  <si>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</si>
  <si>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</si>
  <si>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</si>
  <si>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</si>
  <si>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</si>
  <si>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</si>
  <si>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</si>
  <si>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</si>
  <si>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</si>
  <si>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</si>
  <si>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</si>
  <si>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</si>
  <si>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</si>
  <si>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</si>
  <si>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</si>
  <si>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</si>
  <si>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</si>
  <si>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</si>
  <si>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</si>
  <si>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</si>
  <si>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</si>
  <si>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</si>
  <si>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</si>
  <si>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</si>
  <si>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</si>
  <si>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</si>
  <si>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</si>
  <si>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</si>
  <si>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</si>
  <si>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</si>
  <si>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</si>
  <si>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</si>
  <si>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</si>
  <si>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</si>
  <si>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</si>
  <si>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</si>
  <si>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</si>
  <si>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</si>
  <si>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</si>
  <si>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</si>
  <si>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</si>
  <si>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</si>
  <si>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</si>
  <si>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</si>
  <si>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</si>
  <si>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</si>
  <si>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</si>
  <si>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</si>
  <si>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</si>
  <si>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</si>
  <si>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</si>
  <si>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</si>
  <si>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</si>
  <si>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</si>
  <si>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</si>
  <si>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</si>
  <si>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</si>
  <si>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</si>
  <si>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</si>
  <si>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</si>
  <si>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</si>
  <si>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</si>
  <si>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</si>
  <si>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</si>
  <si>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</si>
  <si>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</si>
  <si>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</si>
  <si>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</si>
  <si>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</si>
  <si>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</si>
  <si>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</si>
  <si>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</si>
  <si>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</si>
  <si>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</si>
  <si>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</si>
  <si>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</si>
  <si>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</si>
  <si>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</si>
  <si>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</si>
  <si>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</si>
  <si>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</si>
  <si>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</si>
  <si>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</si>
  <si>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</si>
  <si>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</si>
  <si>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</si>
  <si>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</si>
  <si>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</si>
  <si>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</si>
  <si>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</si>
  <si>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</si>
  <si>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</si>
  <si>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</si>
  <si>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</si>
  <si>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</si>
  <si>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</si>
  <si>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</si>
  <si>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</si>
  <si>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</si>
  <si>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</si>
  <si>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</si>
  <si>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</si>
  <si>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</si>
  <si>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</si>
  <si>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</si>
  <si>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</si>
  <si>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</si>
  <si>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</si>
  <si>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</si>
  <si>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</si>
  <si>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</si>
  <si>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</si>
  <si>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</si>
  <si>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</si>
  <si>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</si>
  <si>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</si>
  <si>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</si>
  <si>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</si>
  <si>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</si>
  <si>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</si>
  <si>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</si>
  <si>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</si>
  <si>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</si>
  <si>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</si>
  <si>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</si>
  <si>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</si>
  <si>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</si>
  <si>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</si>
  <si>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</si>
  <si>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</si>
  <si>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</si>
  <si>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</si>
  <si>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</si>
  <si>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</si>
  <si>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</si>
  <si>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</si>
  <si>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</si>
  <si>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</si>
  <si>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</si>
  <si>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</si>
  <si>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</si>
  <si>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</si>
  <si>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</si>
  <si>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</si>
  <si>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</si>
  <si>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</si>
  <si>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</si>
  <si>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</si>
  <si>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</si>
  <si>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</si>
  <si>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</si>
  <si>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</si>
  <si>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</si>
  <si>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</si>
  <si>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</si>
  <si>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</si>
  <si>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</si>
  <si>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</si>
  <si>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</si>
  <si>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</si>
  <si>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</si>
  <si>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</si>
  <si>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</si>
  <si>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</si>
  <si>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</si>
  <si>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</si>
  <si>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</si>
  <si>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</si>
  <si>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</si>
  <si>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</si>
  <si>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</si>
  <si>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</si>
  <si>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</si>
  <si>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</si>
  <si>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</si>
  <si>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</si>
  <si>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</si>
  <si>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</si>
  <si>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</si>
  <si>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</si>
  <si>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</si>
  <si>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</si>
  <si>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</si>
  <si>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</si>
  <si>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</si>
  <si>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</si>
  <si>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</si>
  <si>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</si>
  <si>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</si>
  <si>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</si>
  <si>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</si>
  <si>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</si>
  <si>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</si>
  <si>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</si>
  <si>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</si>
  <si>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</si>
  <si>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</si>
  <si>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</si>
  <si>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</si>
  <si>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</si>
  <si>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</si>
  <si>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</si>
  <si>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</si>
  <si>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</si>
  <si>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</si>
  <si>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</si>
  <si>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</si>
  <si>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</si>
  <si>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</si>
  <si>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</si>
  <si>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</si>
  <si>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</si>
  <si>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</si>
  <si>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</si>
  <si>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</si>
  <si>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</si>
  <si>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</si>
  <si>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</si>
  <si>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</si>
  <si>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</si>
  <si>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</si>
  <si>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</si>
  <si>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</si>
  <si>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</si>
  <si>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</si>
  <si>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</si>
  <si>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</si>
  <si>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</si>
  <si>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</si>
  <si>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</si>
  <si>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</si>
  <si>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</si>
  <si>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</si>
  <si>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</si>
  <si>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</si>
  <si>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</si>
  <si>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</si>
  <si>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</si>
  <si>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</si>
  <si>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</si>
  <si>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</si>
  <si>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</si>
  <si>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</si>
  <si>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</si>
  <si>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</si>
  <si>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</si>
  <si>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</si>
  <si>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</si>
  <si>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</si>
  <si>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</si>
  <si>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</si>
  <si>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</si>
  <si>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</si>
  <si>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</si>
  <si>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</si>
  <si>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</si>
  <si>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</si>
  <si>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</si>
  <si>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</si>
  <si>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</si>
  <si>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</si>
  <si>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</si>
  <si>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</si>
  <si>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</si>
  <si>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</si>
  <si>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</si>
  <si>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</si>
  <si>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</si>
  <si>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</si>
  <si>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</si>
  <si>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</si>
  <si>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</si>
  <si>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</si>
  <si>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</si>
  <si>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</si>
  <si>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</si>
  <si>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</si>
  <si>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</si>
  <si>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</si>
  <si>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</si>
  <si>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</si>
  <si>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</si>
  <si>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</si>
  <si>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</si>
  <si>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</si>
  <si>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</si>
  <si>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</si>
  <si>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</si>
  <si>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</si>
  <si>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</si>
  <si>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</si>
  <si>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</si>
  <si>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</si>
  <si>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</si>
  <si>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</si>
  <si>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</si>
  <si>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</si>
  <si>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</si>
  <si>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</si>
  <si>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</si>
  <si>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</si>
  <si>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</si>
  <si>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</si>
  <si>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</si>
  <si>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</si>
  <si>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</si>
  <si>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</si>
  <si>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</si>
  <si>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</si>
  <si>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</si>
  <si>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</si>
  <si>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</si>
  <si>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</si>
  <si>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</si>
  <si>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</si>
  <si>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</si>
  <si>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</si>
  <si>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</si>
  <si>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</si>
  <si>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</si>
  <si>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</si>
  <si>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</si>
  <si>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</si>
  <si>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</si>
  <si>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</si>
  <si>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</si>
  <si>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</si>
  <si>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</si>
  <si>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</si>
  <si>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</si>
  <si>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</si>
  <si>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</si>
  <si>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</si>
  <si>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</si>
  <si>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</si>
  <si>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</si>
  <si>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</si>
  <si>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</si>
  <si>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</si>
  <si>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</si>
  <si>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</si>
  <si>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</si>
  <si>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</si>
  <si>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</si>
  <si>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</si>
  <si>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</si>
  <si>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</si>
  <si>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</si>
  <si>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</si>
  <si>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</si>
  <si>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</si>
  <si>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</si>
  <si>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</si>
  <si>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</si>
  <si>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</si>
  <si>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</si>
  <si>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</si>
  <si>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</si>
  <si>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</si>
  <si>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</si>
  <si>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</si>
  <si>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</si>
  <si>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</si>
  <si>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</si>
  <si>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</si>
  <si>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</si>
  <si>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</si>
  <si>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</si>
  <si>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</si>
  <si>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</si>
  <si>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</si>
  <si>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</si>
  <si>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</si>
  <si>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</si>
  <si>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</si>
  <si>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</si>
  <si>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</si>
  <si>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</si>
  <si>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</si>
  <si>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</si>
  <si>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</si>
  <si>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</si>
  <si>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</si>
  <si>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</si>
  <si>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</si>
  <si>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</si>
  <si>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</si>
  <si>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</si>
  <si>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</si>
  <si>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</si>
  <si>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</si>
  <si>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</si>
  <si>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</si>
  <si>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</si>
  <si>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</si>
  <si>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</si>
  <si>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</si>
  <si>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</si>
  <si>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</si>
  <si>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</si>
  <si>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</si>
  <si>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</si>
  <si>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</si>
  <si>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</si>
  <si>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</si>
  <si>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</si>
  <si>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</si>
  <si>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</si>
  <si>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</si>
  <si>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</si>
  <si>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</si>
  <si>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</si>
  <si>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</si>
  <si>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</si>
  <si>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</si>
  <si>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</si>
  <si>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</si>
  <si>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</si>
  <si>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</si>
  <si>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</si>
  <si>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</si>
  <si>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</si>
  <si>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</si>
  <si>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</si>
  <si>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</si>
  <si>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</si>
  <si>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</si>
  <si>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</si>
  <si>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</si>
  <si>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</si>
  <si>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</si>
  <si>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</si>
  <si>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</si>
  <si>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</si>
  <si>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</si>
  <si>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</si>
  <si>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</si>
  <si>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</si>
  <si>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</si>
  <si>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</si>
  <si>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</si>
  <si>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</si>
  <si>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</si>
  <si>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</si>
  <si>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</si>
  <si>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</si>
  <si>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</si>
  <si>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</si>
  <si>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</si>
  <si>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</si>
  <si>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</si>
  <si>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</si>
  <si>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</si>
  <si>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</si>
  <si>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</si>
  <si>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</si>
  <si>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</si>
  <si>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</si>
  <si>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</si>
  <si>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</si>
  <si>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</si>
  <si>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</si>
  <si>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</si>
  <si>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</si>
  <si>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</si>
  <si>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</si>
  <si>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</si>
  <si>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</si>
  <si>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</si>
  <si>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</si>
  <si>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</si>
  <si>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</si>
  <si>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</si>
  <si>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</si>
  <si>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</si>
  <si>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</si>
  <si>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</si>
  <si>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</si>
  <si>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</si>
  <si>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</si>
  <si>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</si>
  <si>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</si>
  <si>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</si>
  <si>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</si>
  <si>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</si>
  <si>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</si>
  <si>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</si>
  <si>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</si>
  <si>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</si>
  <si>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</si>
  <si>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</si>
  <si>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</si>
  <si>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</si>
  <si>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</si>
  <si>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</si>
  <si>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</si>
  <si>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</si>
  <si>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</si>
  <si>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</si>
  <si>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</si>
  <si>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</si>
  <si>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</si>
  <si>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</si>
  <si>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</si>
  <si>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</si>
  <si>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</si>
  <si>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</si>
  <si>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</si>
  <si>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</si>
  <si>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</si>
  <si>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</si>
  <si>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</si>
  <si>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</si>
  <si>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</si>
  <si>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</si>
  <si>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</si>
  <si>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</si>
  <si>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</si>
  <si>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</si>
  <si>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</si>
  <si>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</si>
  <si>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</si>
  <si>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</si>
  <si>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</si>
  <si>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</si>
  <si>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</si>
  <si>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</si>
  <si>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</si>
  <si>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</si>
  <si>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</si>
  <si>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</si>
  <si>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</si>
  <si>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</si>
  <si>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</si>
  <si>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</si>
  <si>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</si>
  <si>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</si>
  <si>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</si>
  <si>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</si>
  <si>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</si>
  <si>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</si>
  <si>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</si>
  <si>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</si>
  <si>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</si>
  <si>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</si>
  <si>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</si>
  <si>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</si>
  <si>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</si>
  <si>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</si>
  <si>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</si>
  <si>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</si>
  <si>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</si>
  <si>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</si>
  <si>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</si>
  <si>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</si>
  <si>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</si>
  <si>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</si>
  <si>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</si>
  <si>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</si>
  <si>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</si>
  <si>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</si>
  <si>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</si>
  <si>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</si>
  <si>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</si>
  <si>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</si>
  <si>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</si>
  <si>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</si>
  <si>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</si>
  <si>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</si>
  <si>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</si>
  <si>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</si>
  <si>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</si>
  <si>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</si>
  <si>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</si>
  <si>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</si>
  <si>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</si>
  <si>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</si>
  <si>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</si>
  <si>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</si>
  <si>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</si>
  <si>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</si>
  <si>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</si>
  <si>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</si>
  <si>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</si>
  <si>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</si>
  <si>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</si>
  <si>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</si>
  <si>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</si>
  <si>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</si>
  <si>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</si>
  <si>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</si>
  <si>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</si>
  <si>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</si>
  <si>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</si>
  <si>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</si>
  <si>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</si>
  <si>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</si>
  <si>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</si>
  <si>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</si>
  <si>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</si>
  <si>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</si>
  <si>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</si>
  <si>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</si>
  <si>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</si>
  <si>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</si>
  <si>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</si>
  <si>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</si>
  <si>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</si>
  <si>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</si>
  <si>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</si>
  <si>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</si>
  <si>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</si>
  <si>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</si>
  <si>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</si>
  <si>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</si>
  <si>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</si>
  <si>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</si>
  <si>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</si>
  <si>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</si>
  <si>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</si>
  <si>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</si>
  <si>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</si>
  <si>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</si>
  <si>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</si>
  <si>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</si>
  <si>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</si>
  <si>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</si>
  <si>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</si>
  <si>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</si>
  <si>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</si>
  <si>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</si>
  <si>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</si>
  <si>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</si>
  <si>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</si>
  <si>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</si>
  <si>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</si>
  <si>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</si>
  <si>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</si>
  <si>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</si>
  <si>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</si>
  <si>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</si>
  <si>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</si>
  <si>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</si>
  <si>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</si>
  <si>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</si>
  <si>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</si>
  <si>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</si>
  <si>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</si>
  <si>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</si>
  <si>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</si>
  <si>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</si>
  <si>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</si>
  <si>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</si>
  <si>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</si>
  <si>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</si>
  <si>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</si>
  <si>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</si>
  <si>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</si>
  <si>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</si>
  <si>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</si>
  <si>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</si>
  <si>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</si>
  <si>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</si>
  <si>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</si>
  <si>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</si>
  <si>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</si>
  <si>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</si>
  <si>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</si>
  <si>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</si>
  <si>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</si>
  <si>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</si>
  <si>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</si>
  <si>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</si>
  <si>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</si>
  <si>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</si>
  <si>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</si>
  <si>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</si>
  <si>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</si>
  <si>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</si>
  <si>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</si>
  <si>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</si>
  <si>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</si>
  <si>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</si>
  <si>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</si>
  <si>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</si>
  <si>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</si>
  <si>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</si>
  <si>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</si>
  <si>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</si>
  <si>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</si>
  <si>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</si>
  <si>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</si>
  <si>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</si>
  <si>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</si>
  <si>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</si>
  <si>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</si>
  <si>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</si>
  <si>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</si>
  <si>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</si>
  <si>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</si>
  <si>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</si>
  <si>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</si>
  <si>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</si>
  <si>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</si>
  <si>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</si>
  <si>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</si>
  <si>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</si>
  <si>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</si>
  <si>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</si>
  <si>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</si>
  <si>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</si>
  <si>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</si>
  <si>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</si>
  <si>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</si>
  <si>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</si>
  <si>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</si>
  <si>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</si>
  <si>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</si>
  <si>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</si>
  <si>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</si>
  <si>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</si>
  <si>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</si>
  <si>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</si>
  <si>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</si>
  <si>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</si>
  <si>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</si>
  <si>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</si>
  <si>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</si>
  <si>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</si>
  <si>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</si>
  <si>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</si>
  <si>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</si>
  <si>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</si>
  <si>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</si>
  <si>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</si>
  <si>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</si>
  <si>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</si>
  <si>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</si>
  <si>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</si>
  <si>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</si>
  <si>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</si>
  <si>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</si>
  <si>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</si>
  <si>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</si>
  <si>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</si>
  <si>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</si>
  <si>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</si>
  <si>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</si>
  <si>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</si>
  <si>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</si>
  <si>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</si>
  <si>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</si>
  <si>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</si>
  <si>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</si>
  <si>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</si>
  <si>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</si>
  <si>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</si>
  <si>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</si>
  <si>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</si>
  <si>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</si>
  <si>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</si>
  <si>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</si>
  <si>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</si>
  <si>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</si>
  <si>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</si>
  <si>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</si>
  <si>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</si>
  <si>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</si>
  <si>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</si>
  <si>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</si>
  <si>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</si>
  <si>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</si>
  <si>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</si>
  <si>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</si>
  <si>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</si>
  <si>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</si>
  <si>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</si>
  <si>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</si>
  <si>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</si>
  <si>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</si>
  <si>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</si>
  <si>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</si>
  <si>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</si>
  <si>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</si>
  <si>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</si>
  <si>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</si>
  <si>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</si>
  <si>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</si>
  <si>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</si>
  <si>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</si>
  <si>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</si>
  <si>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</si>
  <si>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</si>
  <si>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</si>
  <si>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</si>
  <si>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</si>
  <si>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</si>
  <si>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</si>
  <si>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</si>
  <si>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</si>
  <si>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</si>
  <si>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</si>
  <si>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</si>
  <si>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</si>
  <si>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</si>
  <si>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</si>
  <si>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</si>
  <si>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</si>
  <si>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</si>
  <si>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</si>
  <si>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</si>
  <si>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</si>
  <si>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</si>
  <si>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</si>
  <si>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</si>
  <si>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</si>
  <si>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</si>
  <si>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</si>
  <si>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</si>
  <si>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</si>
  <si>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</si>
  <si>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</si>
  <si>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</si>
  <si>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</si>
  <si>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</si>
  <si>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</si>
  <si>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</si>
  <si>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</si>
  <si>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</si>
  <si>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</si>
  <si>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</si>
  <si>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</si>
  <si>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</si>
  <si>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</si>
  <si>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</si>
  <si>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</si>
  <si>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</si>
  <si>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</si>
  <si>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</si>
  <si>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</si>
  <si>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</si>
  <si>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</si>
  <si>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</si>
  <si>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</si>
  <si>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</si>
  <si>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</si>
  <si>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</si>
  <si>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</si>
  <si>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</si>
  <si>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</si>
  <si>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</si>
  <si>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</si>
  <si>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</si>
  <si>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</si>
  <si>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</si>
  <si>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</si>
  <si>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</si>
  <si>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</si>
  <si>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</si>
  <si>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</si>
  <si>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</si>
  <si>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</si>
  <si>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</si>
  <si>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</si>
  <si>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</si>
  <si>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</si>
  <si>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</si>
  <si>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</si>
  <si>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</si>
  <si>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</si>
  <si>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</si>
  <si>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</si>
  <si>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</si>
  <si>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</si>
  <si>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</si>
  <si>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</si>
  <si>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</si>
  <si>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</si>
  <si>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</si>
  <si>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</si>
  <si>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</si>
  <si>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</si>
  <si>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</si>
  <si>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</si>
  <si>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</si>
  <si>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</si>
  <si>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</si>
  <si>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</si>
  <si>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</si>
  <si>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</si>
  <si>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</si>
  <si>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</si>
  <si>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</si>
  <si>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</si>
  <si>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</si>
  <si>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</si>
  <si>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</si>
  <si>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</si>
  <si>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</si>
  <si>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</si>
  <si>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</si>
  <si>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</si>
  <si>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</si>
  <si>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</si>
  <si>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</si>
  <si>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</si>
  <si>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</si>
  <si>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</si>
  <si>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</si>
  <si>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</si>
  <si>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</si>
  <si>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</si>
  <si>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</si>
  <si>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</si>
  <si>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</si>
  <si>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</si>
  <si>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</si>
  <si>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</si>
  <si>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</si>
  <si>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</si>
  <si>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</si>
  <si>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</si>
  <si>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</si>
  <si>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</si>
  <si>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</si>
  <si>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</si>
  <si>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</si>
  <si>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</si>
  <si>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</si>
  <si>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</si>
  <si>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</si>
  <si>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</si>
  <si>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</si>
  <si>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</si>
  <si>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</si>
  <si>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</si>
  <si>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</si>
  <si>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</si>
  <si>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</si>
  <si>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</si>
  <si>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</si>
  <si>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</si>
  <si>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</si>
  <si>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</si>
  <si>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</si>
  <si>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</si>
  <si>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</si>
  <si>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</si>
  <si>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</si>
  <si>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</si>
  <si>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</si>
  <si>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</si>
  <si>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</si>
  <si>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</si>
  <si>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</si>
  <si>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</si>
  <si>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</si>
  <si>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</si>
  <si>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</si>
  <si>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</si>
  <si>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</si>
  <si>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</si>
  <si>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</si>
  <si>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</si>
  <si>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</si>
  <si>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</si>
  <si>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</si>
  <si>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</si>
  <si>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</si>
  <si>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</si>
  <si>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</si>
  <si>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</si>
  <si>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</si>
  <si>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</si>
  <si>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</si>
  <si>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</si>
  <si>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</si>
  <si>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</si>
  <si>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</si>
  <si>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</si>
  <si>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</si>
  <si>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</si>
  <si>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</si>
  <si>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</si>
  <si>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</si>
  <si>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</si>
  <si>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</si>
  <si>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</si>
  <si>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</si>
  <si>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</si>
  <si>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</si>
  <si>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</si>
  <si>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</si>
  <si>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</si>
  <si>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</si>
  <si>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</si>
  <si>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</si>
  <si>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</si>
  <si>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</si>
  <si>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</si>
  <si>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</si>
  <si>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</si>
  <si>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</si>
  <si>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</si>
  <si>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</si>
  <si>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</si>
  <si>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</si>
  <si>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</si>
  <si>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</si>
  <si>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</si>
  <si>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</si>
  <si>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</si>
  <si>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</si>
  <si>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</si>
  <si>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</si>
  <si>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</si>
  <si>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</si>
  <si>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</si>
  <si>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</si>
  <si>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</si>
  <si>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</si>
  <si>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</si>
  <si>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</si>
  <si>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</si>
  <si>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</si>
  <si>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</si>
  <si>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</si>
  <si>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</si>
  <si>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</si>
  <si>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</si>
  <si>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</si>
  <si>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</si>
  <si>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</si>
  <si>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</si>
  <si>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</si>
  <si>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</si>
  <si>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</si>
  <si>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</si>
  <si>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</si>
  <si>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</si>
  <si>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</si>
  <si>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</si>
  <si>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</si>
  <si>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</si>
  <si>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</si>
  <si>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</si>
  <si>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</si>
  <si>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</si>
  <si>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</si>
  <si>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</si>
  <si>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</si>
  <si>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</si>
  <si>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</si>
  <si>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</si>
  <si>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</si>
  <si>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</si>
  <si>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</si>
  <si>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</si>
  <si>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</si>
  <si>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</si>
  <si>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</si>
  <si>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</si>
  <si>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</si>
  <si>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</si>
  <si>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</si>
  <si>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</si>
  <si>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</si>
  <si>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</si>
  <si>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</si>
  <si>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</si>
  <si>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</si>
  <si>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</si>
  <si>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</si>
  <si>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</si>
  <si>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</si>
  <si>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</si>
  <si>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</si>
  <si>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</si>
  <si>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</si>
  <si>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</si>
  <si>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</si>
  <si>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</si>
  <si>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</si>
  <si>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</si>
  <si>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</si>
  <si>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</si>
  <si>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</si>
  <si>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</si>
  <si>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</si>
  <si>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</si>
  <si>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</si>
  <si>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</si>
  <si>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</si>
  <si>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</si>
  <si>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</si>
  <si>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</si>
  <si>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</si>
  <si>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</si>
  <si>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</si>
  <si>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</si>
  <si>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</si>
  <si>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</si>
  <si>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</si>
  <si>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</si>
  <si>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</si>
  <si>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</si>
  <si>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</si>
  <si>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</si>
  <si>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</si>
  <si>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</si>
  <si>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</si>
  <si>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</si>
  <si>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</si>
  <si>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</si>
  <si>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</si>
  <si>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</si>
  <si>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</si>
  <si>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</si>
  <si>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</si>
  <si>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</si>
  <si>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</si>
  <si>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</si>
  <si>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</si>
  <si>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</si>
  <si>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</si>
  <si>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</si>
  <si>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</si>
  <si>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</si>
  <si>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</si>
  <si>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</si>
  <si>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</si>
  <si>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</si>
  <si>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</si>
  <si>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</si>
  <si>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</si>
  <si>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</si>
  <si>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</si>
  <si>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</si>
  <si>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</si>
  <si>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</si>
  <si>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</si>
  <si>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</si>
  <si>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</si>
  <si>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</si>
  <si>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</si>
  <si>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</si>
  <si>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</si>
  <si>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</si>
  <si>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</si>
  <si>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</si>
  <si>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</si>
  <si>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</si>
  <si>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</si>
  <si>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</si>
  <si>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</si>
  <si>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</si>
  <si>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</si>
  <si>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</si>
  <si>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</si>
  <si>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</si>
  <si>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</si>
  <si>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</si>
  <si>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</si>
  <si>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</si>
  <si>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</si>
  <si>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</si>
  <si>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</si>
  <si>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</si>
  <si>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</si>
  <si>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</si>
  <si>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</si>
  <si>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</si>
  <si>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</si>
  <si>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</si>
  <si>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</si>
  <si>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</si>
  <si>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</si>
  <si>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</si>
  <si>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</si>
  <si>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</si>
  <si>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</si>
  <si>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</si>
  <si>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</si>
  <si>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</si>
  <si>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</si>
  <si>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</si>
  <si>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</si>
  <si>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</si>
  <si>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</si>
  <si>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</si>
  <si>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</si>
  <si>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</si>
  <si>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</si>
  <si>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</si>
  <si>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</si>
  <si>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</si>
  <si>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</si>
  <si>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</si>
  <si>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</si>
  <si>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</si>
  <si>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</si>
  <si>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</si>
  <si>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</si>
  <si>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</si>
  <si>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</si>
  <si>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</si>
  <si>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</si>
  <si>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</si>
  <si>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</si>
  <si>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</si>
  <si>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</si>
  <si>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</si>
  <si>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</si>
  <si>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</si>
  <si>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</si>
  <si>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</si>
  <si>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</si>
  <si>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</si>
  <si>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</si>
  <si>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</si>
  <si>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</si>
  <si>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</si>
  <si>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</si>
  <si>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</si>
  <si>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</si>
  <si>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</si>
  <si>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</si>
  <si>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</si>
  <si>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</si>
  <si>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</si>
  <si>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</si>
  <si>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</si>
  <si>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</si>
  <si>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</si>
  <si>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</si>
  <si>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</si>
  <si>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</si>
  <si>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</si>
  <si>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</si>
  <si>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</si>
  <si>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</si>
  <si>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</si>
  <si>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</si>
  <si>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</si>
  <si>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</si>
  <si>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</si>
  <si>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</si>
  <si>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</si>
  <si>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</si>
  <si>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</si>
  <si>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</si>
  <si>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</si>
  <si>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</si>
  <si>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</si>
  <si>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</si>
  <si>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</si>
  <si>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</si>
  <si>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</si>
  <si>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</si>
  <si>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</si>
  <si>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</si>
  <si>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</si>
  <si>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</si>
  <si>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</si>
  <si>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</si>
  <si>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</si>
  <si>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</si>
  <si>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</si>
  <si>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</si>
  <si>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</si>
  <si>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</si>
  <si>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</si>
  <si>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</si>
  <si>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</si>
  <si>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</si>
  <si>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</si>
  <si>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</si>
  <si>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</si>
  <si>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</si>
  <si>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</si>
  <si>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</si>
  <si>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</si>
  <si>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</si>
  <si>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</si>
  <si>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</si>
  <si>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</si>
  <si>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</si>
  <si>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</si>
  <si>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</si>
  <si>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</si>
  <si>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</si>
  <si>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</si>
  <si>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</si>
  <si>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</si>
  <si>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</si>
  <si>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</si>
  <si>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</si>
  <si>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</si>
  <si>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</si>
  <si>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</si>
  <si>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</si>
  <si>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</si>
  <si>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</si>
  <si>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</si>
  <si>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</si>
  <si>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</si>
  <si>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</si>
  <si>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</si>
  <si>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</si>
  <si>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</si>
  <si>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</si>
  <si>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</si>
  <si>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</si>
  <si>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</si>
  <si>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</si>
  <si>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</si>
  <si>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</si>
  <si>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</si>
  <si>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</si>
  <si>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</si>
  <si>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</si>
  <si>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</si>
  <si>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</si>
  <si>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</si>
  <si>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</si>
  <si>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</si>
  <si>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</si>
  <si>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</si>
  <si>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</si>
  <si>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</si>
  <si>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</si>
  <si>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</si>
  <si>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</si>
  <si>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</si>
  <si>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</si>
  <si>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</si>
  <si>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</si>
  <si>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</si>
  <si>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</si>
  <si>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</si>
  <si>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</si>
  <si>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</si>
  <si>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</si>
  <si>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</si>
  <si>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</si>
  <si>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</si>
  <si>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</si>
  <si>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</si>
  <si>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</si>
  <si>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</si>
  <si>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</si>
  <si>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</si>
  <si>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</si>
  <si>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</si>
  <si>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</si>
  <si>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</si>
  <si>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</si>
  <si>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</si>
  <si>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</si>
  <si>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</si>
  <si>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</si>
  <si>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</si>
  <si>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</si>
  <si>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</si>
  <si>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</si>
  <si>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</si>
  <si>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</si>
  <si>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</si>
  <si>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</si>
  <si>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</si>
  <si>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</si>
  <si>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</si>
  <si>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</si>
  <si>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</si>
  <si>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</si>
  <si>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</si>
  <si>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</si>
  <si>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</si>
  <si>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</si>
  <si>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</si>
  <si>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</si>
  <si>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</si>
  <si>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</si>
  <si>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</si>
  <si>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</si>
  <si>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</si>
  <si>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</si>
  <si>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</si>
  <si>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</si>
  <si>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</si>
  <si>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</si>
  <si>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</si>
  <si>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</si>
  <si>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</si>
  <si>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</si>
  <si>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</si>
  <si>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</si>
  <si>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</si>
  <si>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</si>
  <si>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</si>
  <si>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</si>
  <si>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</si>
  <si>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</si>
  <si>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</si>
  <si>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</si>
  <si>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</si>
  <si>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</si>
  <si>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</si>
  <si>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</si>
  <si>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</si>
  <si>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</si>
  <si>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</si>
  <si>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</si>
  <si>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</si>
  <si>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</si>
  <si>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</si>
  <si>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</si>
  <si>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</si>
  <si>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</si>
  <si>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</si>
  <si>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</si>
  <si>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</si>
  <si>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</si>
  <si>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</si>
  <si>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</si>
  <si>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</si>
  <si>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</si>
  <si>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</si>
  <si>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</si>
  <si>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</si>
  <si>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</si>
  <si>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</si>
  <si>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</si>
  <si>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</si>
  <si>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</si>
  <si>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</si>
  <si>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</si>
  <si>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</si>
  <si>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</si>
  <si>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</si>
  <si>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</si>
  <si>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</si>
  <si>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</si>
  <si>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</si>
  <si>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</si>
  <si>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</si>
  <si>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</si>
  <si>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</si>
  <si>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</si>
  <si>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</si>
  <si>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</si>
  <si>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</si>
  <si>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</si>
  <si>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</si>
  <si>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</si>
  <si>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</si>
  <si>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</si>
  <si>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</si>
  <si>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</si>
  <si>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</si>
  <si>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</si>
  <si>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</si>
  <si>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</si>
  <si>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</si>
  <si>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</si>
  <si>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</si>
  <si>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</si>
  <si>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</si>
  <si>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</si>
  <si>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</si>
  <si>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</si>
  <si>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</si>
  <si>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</si>
  <si>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</si>
  <si>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</si>
  <si>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</si>
  <si>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</si>
  <si>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</si>
  <si>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</si>
  <si>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</si>
  <si>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</si>
  <si>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</si>
  <si>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</si>
  <si>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</si>
  <si>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</si>
  <si>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</si>
  <si>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</si>
  <si>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</si>
  <si>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</si>
  <si>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</si>
  <si>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</si>
  <si>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</si>
  <si>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</si>
  <si>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</si>
  <si>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</si>
  <si>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</si>
  <si>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</si>
  <si>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</si>
  <si>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</si>
  <si>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</si>
  <si>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</si>
  <si>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</si>
  <si>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</si>
  <si>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</si>
  <si>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</si>
  <si>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</si>
  <si>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</si>
  <si>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</si>
  <si>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</si>
  <si>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</si>
  <si>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</si>
  <si>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</si>
  <si>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</si>
  <si>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</si>
  <si>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</si>
  <si>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</si>
  <si>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</si>
  <si>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</si>
  <si>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</si>
  <si>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</si>
  <si>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</si>
  <si>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</si>
  <si>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</si>
  <si>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</si>
  <si>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</si>
  <si>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</si>
  <si>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</si>
  <si>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</si>
  <si>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</si>
  <si>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</si>
  <si>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</si>
  <si>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</si>
  <si>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</si>
  <si>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</si>
  <si>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</si>
  <si>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</si>
  <si>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</si>
  <si>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</si>
  <si>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</si>
  <si>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</si>
  <si>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</si>
  <si>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</si>
  <si>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</si>
  <si>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</si>
  <si>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</si>
  <si>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</si>
  <si>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</si>
  <si>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</si>
  <si>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</si>
  <si>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</si>
  <si>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</si>
  <si>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</si>
  <si>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</si>
  <si>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</si>
  <si>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</si>
  <si>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</si>
  <si>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</si>
  <si>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</si>
  <si>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</si>
  <si>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</si>
  <si>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</si>
  <si>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</si>
  <si>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</si>
  <si>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</si>
  <si>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</si>
  <si>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</si>
  <si>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</si>
  <si>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</si>
  <si>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</si>
  <si>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</si>
  <si>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</si>
  <si>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</si>
  <si>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</si>
  <si>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</si>
  <si>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</si>
  <si>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</si>
  <si>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</si>
  <si>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</si>
  <si>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</si>
  <si>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</si>
  <si>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</si>
  <si>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</si>
  <si>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</si>
  <si>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</si>
  <si>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</si>
  <si>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</si>
  <si>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</si>
  <si>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</si>
  <si>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</si>
  <si>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</si>
  <si>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</si>
  <si>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</si>
  <si>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</si>
  <si>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</si>
  <si>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</si>
  <si>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</si>
  <si>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</si>
  <si>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</si>
  <si>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</si>
  <si>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</si>
  <si>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</si>
  <si>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</si>
  <si>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</si>
  <si>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</si>
  <si>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</si>
  <si>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</si>
  <si>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</si>
  <si>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</si>
  <si>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</si>
  <si>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</si>
  <si>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</si>
  <si>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</si>
  <si>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</si>
  <si>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</si>
  <si>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</si>
  <si>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</si>
  <si>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</si>
  <si>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</si>
  <si>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</si>
  <si>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</si>
  <si>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</si>
  <si>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</si>
  <si>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</si>
  <si>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</si>
  <si>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</si>
  <si>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</si>
  <si>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</si>
  <si>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</si>
  <si>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</si>
  <si>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</si>
  <si>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</si>
  <si>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</si>
  <si>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</si>
  <si>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</si>
  <si>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</si>
  <si>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</si>
  <si>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</si>
  <si>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</si>
  <si>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</si>
  <si>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</si>
  <si>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</si>
  <si>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</si>
  <si>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</si>
  <si>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</si>
  <si>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</si>
  <si>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</si>
  <si>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</si>
  <si>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</si>
  <si>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</si>
  <si>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</si>
  <si>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</si>
  <si>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</si>
  <si>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</si>
  <si>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</si>
  <si>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</si>
  <si>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</si>
  <si>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</si>
  <si>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</si>
  <si>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</si>
  <si>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</si>
  <si>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</si>
  <si>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</si>
  <si>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</si>
  <si>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</si>
  <si>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</si>
  <si>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</si>
  <si>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</si>
  <si>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</si>
  <si>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</si>
  <si>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</si>
  <si>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</si>
  <si>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</si>
  <si>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</si>
  <si>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</si>
  <si>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</si>
  <si>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</si>
  <si>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</si>
  <si>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</si>
  <si>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</si>
  <si>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</si>
  <si>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</si>
  <si>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</si>
  <si>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</si>
  <si>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</si>
  <si>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</si>
  <si>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</si>
  <si>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</si>
  <si>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</si>
  <si>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</si>
  <si>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</si>
  <si>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</si>
  <si>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</si>
  <si>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</si>
  <si>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</si>
  <si>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</si>
  <si>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</si>
  <si>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</si>
  <si>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</si>
  <si>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</si>
  <si>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</si>
  <si>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</si>
  <si>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</si>
  <si>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</si>
  <si>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</si>
  <si>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</si>
  <si>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</si>
  <si>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</si>
  <si>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</si>
  <si>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</si>
  <si>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</si>
  <si>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</si>
  <si>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</si>
  <si>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</si>
  <si>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</si>
  <si>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</si>
  <si>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</si>
  <si>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</si>
  <si>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</si>
  <si>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</si>
  <si>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</si>
  <si>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</si>
  <si>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</si>
  <si>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</si>
  <si>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</si>
  <si>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</si>
  <si>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</si>
  <si>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</si>
  <si>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</si>
  <si>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</si>
  <si>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</si>
  <si>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</si>
  <si>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</si>
  <si>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</si>
  <si>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</si>
  <si>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</si>
  <si>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</si>
  <si>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</si>
  <si>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</si>
  <si>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</si>
  <si>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</si>
  <si>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</si>
  <si>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</si>
  <si>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</si>
  <si>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</si>
  <si>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</si>
  <si>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</si>
  <si>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</si>
  <si>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</si>
  <si>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</si>
  <si>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</si>
  <si>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</si>
  <si>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</si>
  <si>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</si>
  <si>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</si>
  <si>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</si>
  <si>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</si>
  <si>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</si>
  <si>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</si>
  <si>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</si>
  <si>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</si>
  <si>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</si>
  <si>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</si>
  <si>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</si>
  <si>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</si>
  <si>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</si>
  <si>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</si>
  <si>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</si>
  <si>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</si>
  <si>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</si>
  <si>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</si>
  <si>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</si>
  <si>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</si>
  <si>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</si>
  <si>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</si>
  <si>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</si>
  <si>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</si>
  <si>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</si>
  <si>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</si>
  <si>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</si>
  <si>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</si>
  <si>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</si>
  <si>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</si>
  <si>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</si>
  <si>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</si>
  <si>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</si>
  <si>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</si>
  <si>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</si>
  <si>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</si>
  <si>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</si>
  <si>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</si>
  <si>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</si>
  <si>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</si>
  <si>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</si>
  <si>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</si>
  <si>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</si>
  <si>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</si>
  <si>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</si>
  <si>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</si>
  <si>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</si>
  <si>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</si>
  <si>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</si>
  <si>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</si>
  <si>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</si>
  <si>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</si>
  <si>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</si>
  <si>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</si>
  <si>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</si>
  <si>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</si>
  <si>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</si>
  <si>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</si>
  <si>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</si>
  <si>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</si>
  <si>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</si>
  <si>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</si>
  <si>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</si>
  <si>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</si>
  <si>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</si>
  <si>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</si>
  <si>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</si>
  <si>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</si>
  <si>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</si>
  <si>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</si>
  <si>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</si>
  <si>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</si>
  <si>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</si>
  <si>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</si>
  <si>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</si>
  <si>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</si>
  <si>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</si>
  <si>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</si>
  <si>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</si>
  <si>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</si>
  <si>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</si>
  <si>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</si>
  <si>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</si>
  <si>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</si>
  <si>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</si>
  <si>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</si>
  <si>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</si>
  <si>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</si>
  <si>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</si>
  <si>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</si>
  <si>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</si>
  <si>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</si>
  <si>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</si>
  <si>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</si>
  <si>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</si>
  <si>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</si>
  <si>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</si>
  <si>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</si>
  <si>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</si>
  <si>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</si>
  <si>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</si>
  <si>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</si>
  <si>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</si>
  <si>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</si>
  <si>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</si>
  <si>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</si>
  <si>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</si>
  <si>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</si>
  <si>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</si>
  <si>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</si>
  <si>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</si>
  <si>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</si>
  <si>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</si>
  <si>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</si>
  <si>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</si>
  <si>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</si>
  <si>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</si>
  <si>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</si>
  <si>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</si>
  <si>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</si>
  <si>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</si>
  <si>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</si>
  <si>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</si>
  <si>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</si>
  <si>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</si>
  <si>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</si>
  <si>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</si>
  <si>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</si>
  <si>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</si>
  <si>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</si>
  <si>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</si>
  <si>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</si>
  <si>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</si>
  <si>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</si>
  <si>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</si>
  <si>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</si>
  <si>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</si>
  <si>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</si>
  <si>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</si>
  <si>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</si>
  <si>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</si>
  <si>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</si>
  <si>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</si>
  <si>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</si>
  <si>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</si>
  <si>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</si>
  <si>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</si>
  <si>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</si>
  <si>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</si>
  <si>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</si>
  <si>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</si>
  <si>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</si>
  <si>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</si>
  <si>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</si>
  <si>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</si>
  <si>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</si>
  <si>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</si>
  <si>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</si>
  <si>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</si>
  <si>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</si>
  <si>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</si>
  <si>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</si>
  <si>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</si>
  <si>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</si>
  <si>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</si>
  <si>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</si>
  <si>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</si>
  <si>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</si>
  <si>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</si>
  <si>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</si>
  <si>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</si>
  <si>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</si>
  <si>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</si>
  <si>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</si>
  <si>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</si>
  <si>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</si>
  <si>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</si>
  <si>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</si>
  <si>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</si>
  <si>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</si>
  <si>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</si>
  <si>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</si>
  <si>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</si>
  <si>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</si>
  <si>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</si>
  <si>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</si>
  <si>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</si>
  <si>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</si>
  <si>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</si>
  <si>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</si>
  <si>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</si>
  <si>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</si>
  <si>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</si>
  <si>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</si>
  <si>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</si>
  <si>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</si>
  <si>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</si>
  <si>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</si>
  <si>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</si>
  <si>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</si>
  <si>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</si>
  <si>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</si>
  <si>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</si>
  <si>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</si>
  <si>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</si>
  <si>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</si>
  <si>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</si>
  <si>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</si>
  <si>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</si>
  <si>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</si>
  <si>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</si>
  <si>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</si>
  <si>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</si>
  <si>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</si>
  <si>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</si>
  <si>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</si>
  <si>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</si>
  <si>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</si>
  <si>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</si>
  <si>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</si>
  <si>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</si>
  <si>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</si>
  <si>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</si>
  <si>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</si>
  <si>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</si>
  <si>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</si>
  <si>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</si>
  <si>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</si>
  <si>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</si>
  <si>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</si>
  <si>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</si>
  <si>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</si>
  <si>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</si>
  <si>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</si>
  <si>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</si>
  <si>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</si>
  <si>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</si>
  <si>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</si>
  <si>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</si>
  <si>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</si>
  <si>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</si>
  <si>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</si>
  <si>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</si>
  <si>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</si>
  <si>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</si>
  <si>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</si>
  <si>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</si>
  <si>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</si>
  <si>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</si>
  <si>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</si>
  <si>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</si>
  <si>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</si>
  <si>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</si>
  <si>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</si>
  <si>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</si>
  <si>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</si>
  <si>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</si>
  <si>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</si>
  <si>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</si>
  <si>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</si>
  <si>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</si>
  <si>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</si>
  <si>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</si>
  <si>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</si>
  <si>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</si>
  <si>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</si>
  <si>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</si>
  <si>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</si>
  <si>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</si>
  <si>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</si>
  <si>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</si>
  <si>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</si>
  <si>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</si>
  <si>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</si>
  <si>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</si>
  <si>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</si>
  <si>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</si>
  <si>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</si>
  <si>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</si>
  <si>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</si>
  <si>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</si>
  <si>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</si>
  <si>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</si>
  <si>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</si>
  <si>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</si>
  <si>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</si>
  <si>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</si>
  <si>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</si>
  <si>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</si>
  <si>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</si>
  <si>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</si>
  <si>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</si>
  <si>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</si>
  <si>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</si>
  <si>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</si>
  <si>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</si>
  <si>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</si>
  <si>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</si>
  <si>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</si>
  <si>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</si>
  <si>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</si>
  <si>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</si>
  <si>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</si>
  <si>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</si>
  <si>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</si>
  <si>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</si>
  <si>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</si>
  <si>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</si>
  <si>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</si>
  <si>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</si>
  <si>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</si>
  <si>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</si>
  <si>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</si>
  <si>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</si>
  <si>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</si>
  <si>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</si>
  <si>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</si>
  <si>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</si>
  <si>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</si>
  <si>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</si>
  <si>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</si>
  <si>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</si>
  <si>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</si>
  <si>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</si>
  <si>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</si>
  <si>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</si>
  <si>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</si>
  <si>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</si>
  <si>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4% 2024 TBLs</t>
  </si>
  <si>
    <t>9% 2024 TBLs</t>
  </si>
  <si>
    <t>$500M (Farmworker Housing)</t>
  </si>
  <si>
    <t>February 26, 2024 Version</t>
  </si>
  <si>
    <t>Homecomings, Inc</t>
  </si>
  <si>
    <t>Valentine Road Apartments</t>
  </si>
  <si>
    <t>City of San Buenaventura, Community Development Department</t>
  </si>
  <si>
    <t>Dori Boyer</t>
  </si>
  <si>
    <t>Senior Management Analyst</t>
  </si>
  <si>
    <t>501 Poli St, Rm 133</t>
  </si>
  <si>
    <t>805-654-7732</t>
  </si>
  <si>
    <t>805-677-3949</t>
  </si>
  <si>
    <t>dboyer@cityofventura.ca.gov</t>
  </si>
  <si>
    <t>5818 Valentine Road</t>
  </si>
  <si>
    <t xml:space="preserve">06-111-0028.00 </t>
  </si>
  <si>
    <t>138-0-042-055 and 138-0-042-025 (portion)</t>
  </si>
  <si>
    <t>40%/60%</t>
  </si>
  <si>
    <t>Housing Authority of the City of San Buenaventura</t>
  </si>
  <si>
    <t>Ventura, CA 93001</t>
  </si>
  <si>
    <t>995 Riverside Street</t>
  </si>
  <si>
    <t>Karen Flock</t>
  </si>
  <si>
    <t>dicecco Architecture Incorporated</t>
  </si>
  <si>
    <t>887 Patriot Drive, Suite C</t>
  </si>
  <si>
    <t>Moorpark CA 93021</t>
  </si>
  <si>
    <t>Mark DiCecco</t>
  </si>
  <si>
    <t>mark@diceccoarch.com</t>
  </si>
  <si>
    <t>kflock@hacityventura.org</t>
  </si>
  <si>
    <t>(805) 626-5819</t>
  </si>
  <si>
    <t>Goldfarb and Lipman, LLP</t>
  </si>
  <si>
    <t>McCarthy Companies</t>
  </si>
  <si>
    <t>721 East Main St Ventura CA 93001</t>
  </si>
  <si>
    <t>Ventura CA 93001</t>
  </si>
  <si>
    <t>Joseph Madrid</t>
  </si>
  <si>
    <t>1300 Clay Street, 11th Floor</t>
  </si>
  <si>
    <t>Oakland, CA 94612</t>
  </si>
  <si>
    <t>Matthew Heaton</t>
  </si>
  <si>
    <t>510.433.6644</t>
  </si>
  <si>
    <t>mheaton@goldfarblipman.com</t>
  </si>
  <si>
    <t>Joseph@GoMcCarthy.com</t>
  </si>
  <si>
    <t>2260 El Cajon Blvd. No. 922</t>
  </si>
  <si>
    <t>San Diego, CA 92104</t>
  </si>
  <si>
    <t>Amy DeVaudreuil</t>
  </si>
  <si>
    <t>619-239-6336</t>
  </si>
  <si>
    <t>adevaudreuil@goldfarblipman.com</t>
  </si>
  <si>
    <t>Partner Energy</t>
  </si>
  <si>
    <t>2154 Torrance Blvd., Suite 100</t>
  </si>
  <si>
    <t>Torrance, CA 90501</t>
  </si>
  <si>
    <t>Greg Switzer</t>
  </si>
  <si>
    <t>310-220-6199</t>
  </si>
  <si>
    <t>GSwitzer@ptrenergy.com</t>
  </si>
  <si>
    <t>Novogradac &amp; Company LLP</t>
  </si>
  <si>
    <t>211 E Ocean Blvd.</t>
  </si>
  <si>
    <t>Long Beach, CA 90802</t>
  </si>
  <si>
    <t>Anthony Nguyen, CPA</t>
  </si>
  <si>
    <t>562-256-2324</t>
  </si>
  <si>
    <t>anthony.nguyen@novoco.com</t>
  </si>
  <si>
    <t>California Housing Partnership Corporation</t>
  </si>
  <si>
    <t>600 Wilshire Blvd. #890</t>
  </si>
  <si>
    <t>Los Angeles, CA 90017</t>
  </si>
  <si>
    <t>Nicole Norori</t>
  </si>
  <si>
    <t>805-914-5401</t>
  </si>
  <si>
    <t>nnorori@chpc.net</t>
  </si>
  <si>
    <t>BBG Real Estate Services</t>
  </si>
  <si>
    <t>3070 Bristol Street, Suite 615,</t>
  </si>
  <si>
    <t>Costa Mesa, CA 92626</t>
  </si>
  <si>
    <t>Mark Haskell</t>
  </si>
  <si>
    <t>mhaskell@bbgres.com</t>
  </si>
  <si>
    <t>Raney Planning and Management, Inc.</t>
  </si>
  <si>
    <t>1501 Sports Drive, Suite A</t>
  </si>
  <si>
    <t>Sacramento, CA 95834</t>
  </si>
  <si>
    <t>Stefanie Williams</t>
  </si>
  <si>
    <t>916-372-6100</t>
  </si>
  <si>
    <t>916-419-6108</t>
  </si>
  <si>
    <t>swilliams@laurinassociates.com</t>
  </si>
  <si>
    <t>Jeffrey Lambert</t>
  </si>
  <si>
    <t>jlambert@hacityventura.org</t>
  </si>
  <si>
    <t>NA</t>
  </si>
  <si>
    <t>TBD</t>
  </si>
  <si>
    <t>Appraisal</t>
  </si>
  <si>
    <t>Other (Specify below)</t>
  </si>
  <si>
    <t>Adaptive Reuse of Existing Hotel, where Rooms have private bathrooms, and cooking facilities of at least a Fridge and Microwave.</t>
  </si>
  <si>
    <t>Commercial</t>
  </si>
  <si>
    <t>Construction Loan</t>
  </si>
  <si>
    <t>Fixed</t>
  </si>
  <si>
    <t>Seller Carryback Loan</t>
  </si>
  <si>
    <t>County of Ventura General Funds</t>
  </si>
  <si>
    <t>HACSB Development Loan</t>
  </si>
  <si>
    <t>Project Homekey COSR</t>
  </si>
  <si>
    <t>City of Ventura PLHA</t>
  </si>
  <si>
    <t>HACSB Loan</t>
  </si>
  <si>
    <t>HACSB GP Perm Loan</t>
  </si>
  <si>
    <t xml:space="preserve">Admin: Equipmental Rental, Contracts, IT, Advertising, Office Supplies, Computer Parts, Telephone, Postage, Software License Fees, Security Surveillance - IT, Maintenance Rapairs &amp; Monitoring IT, Copiers, Internet, Fax, Cell Phones/Pagers, cable, Contract-Alarm Monitoring, Tenant Screening, </t>
  </si>
  <si>
    <t>Pension, Unfunded Liability, Employee Benefit Contribution</t>
  </si>
  <si>
    <t>Site Security During Construction</t>
  </si>
  <si>
    <t>Accrued/Deferred Interest</t>
  </si>
  <si>
    <t>Capitalized Operating Subsidy Reserves</t>
  </si>
  <si>
    <t>Accrued/Deferred interest</t>
  </si>
  <si>
    <t>CA</t>
  </si>
  <si>
    <t>Valentine Road LLC (or To Be Formed)</t>
  </si>
  <si>
    <t>Managing GP</t>
  </si>
  <si>
    <t>Homecomings, Inc., Nonprofit Affiliate of the Housing Authority of the City of San Buenaventura</t>
  </si>
  <si>
    <t>995 Riverside St</t>
  </si>
  <si>
    <t>Developer</t>
  </si>
  <si>
    <t>Cavalier California LP</t>
  </si>
  <si>
    <t>Paul R. Womble</t>
  </si>
  <si>
    <t>Cavalier Mezz LP</t>
  </si>
  <si>
    <t>Authorized Signatory</t>
  </si>
  <si>
    <t>125 East John Carpenter Freeway, Suite 1650 Irving, Texas 75062</t>
  </si>
  <si>
    <t>214-501-5765</t>
  </si>
  <si>
    <t>Prevaling Wage Monitor, HERS GPR RATER</t>
  </si>
  <si>
    <t>Low Voltage Repair, Security Camera install not in Contract</t>
  </si>
  <si>
    <t>Costs Deferred Until Conversion</t>
  </si>
  <si>
    <t>LP Equity</t>
  </si>
  <si>
    <t>JANITORIAL,Fire Alarm Monitoring, Plumbing</t>
  </si>
  <si>
    <t>Misc. Tax/License</t>
  </si>
  <si>
    <t>Project-based vouchers (PBVs)</t>
  </si>
  <si>
    <t xml:space="preserve">County of Ventura General Funds </t>
  </si>
  <si>
    <t>Project Homekey</t>
  </si>
  <si>
    <t>PLHA</t>
  </si>
  <si>
    <t>530 B St, 2nd Floor</t>
  </si>
  <si>
    <t>San Diego, CA</t>
  </si>
  <si>
    <t>Charles Sinkey</t>
  </si>
  <si>
    <t>Loan</t>
  </si>
  <si>
    <t>800 S. Victoria Avenue</t>
  </si>
  <si>
    <t>Tracy McAulay</t>
  </si>
  <si>
    <t>805-662-6792</t>
  </si>
  <si>
    <t>Seller Note</t>
  </si>
  <si>
    <t>501 Poli Street</t>
  </si>
  <si>
    <t>Jennie Buckingham</t>
  </si>
  <si>
    <t>2020 W. El Camino Avenue</t>
  </si>
  <si>
    <t>Gustavo Velasquez</t>
  </si>
  <si>
    <t>916-263-7400</t>
  </si>
  <si>
    <t>Capitalized Operating Subsidy Reserve</t>
  </si>
  <si>
    <t>COSR</t>
  </si>
  <si>
    <t>Residual Reciepts Loan</t>
  </si>
  <si>
    <t>Loan, Residual Reciepts</t>
  </si>
  <si>
    <t>Loan Residual Reciepts</t>
  </si>
  <si>
    <t>Brianna Aguilar, Montecito Bank &amp; Trust</t>
  </si>
  <si>
    <t>1010 State Street</t>
  </si>
  <si>
    <t>Santa Barbara, 	CA 	93101</t>
  </si>
  <si>
    <t>805-564-0256</t>
  </si>
  <si>
    <t>PBV Vouchers, (Conventional, RAD CAT, Faircloth)</t>
  </si>
  <si>
    <t xml:space="preserve">Homecomings, Inc. </t>
  </si>
  <si>
    <t>Variable</t>
  </si>
  <si>
    <t>County of Ventura</t>
  </si>
  <si>
    <t>Sponsor Legal</t>
  </si>
  <si>
    <t>Operating Subsidy (PHK+Project Funded COSR)</t>
  </si>
  <si>
    <t>City of Ventura Fee Deferral</t>
  </si>
  <si>
    <t>C2-A, 0 du/acre</t>
  </si>
  <si>
    <t>1 bedroom</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</si>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</sst>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70">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14" fillId="0" borderId="0" xfId="0" applyFont="1" applyAlignment="1">
      <alignment horizontal="left" vertical="top" wrapText="1"/>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wrapText="1"/>
    </xf>
    <xf numFmtId="0" fontId="15" fillId="0" borderId="0" xfId="244" applyAlignment="1" applyProtection="1">
      <alignment horizontal="left"/>
    </xf>
    <xf numFmtId="0" fontId="111" fillId="0" borderId="0" xfId="0" applyFont="1" applyAlignment="1">
      <alignment horizontal="left" wrapText="1"/>
    </xf>
    <xf numFmtId="0" fontId="23" fillId="0" borderId="0" xfId="0" applyFont="1" applyAlignment="1">
      <alignment horizontal="left"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03" fillId="0" borderId="0" xfId="0" applyFont="1" applyAlignment="1">
      <alignment horizontal="left" vertical="top" wrapText="1"/>
    </xf>
    <xf numFmtId="0" fontId="32" fillId="0" borderId="0" xfId="569" applyFont="1" applyAlignment="1">
      <alignment horizontal="left"/>
    </xf>
    <xf numFmtId="4" fontId="14" fillId="0" borderId="0" xfId="569" applyNumberFormat="1" applyAlignment="1">
      <alignment horizontal="left"/>
    </xf>
    <xf numFmtId="0" fontId="14" fillId="0" borderId="0" xfId="569" applyAlignment="1">
      <alignment horizontal="left" vertical="top" wrapText="1"/>
    </xf>
    <xf numFmtId="4" fontId="32" fillId="0" borderId="0" xfId="569" applyNumberFormat="1" applyFont="1" applyAlignment="1">
      <alignment horizontal="left" vertical="top" wrapText="1"/>
    </xf>
    <xf numFmtId="4" fontId="14" fillId="0" borderId="0" xfId="569" applyNumberForma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xf>
    <xf numFmtId="0" fontId="14" fillId="0" borderId="0" xfId="0" applyFont="1" applyAlignment="1">
      <alignment horizontal="left"/>
    </xf>
    <xf numFmtId="0" fontId="21" fillId="0" borderId="4" xfId="569" applyFont="1" applyBorder="1" applyAlignment="1">
      <alignment horizontal="left"/>
    </xf>
    <xf numFmtId="0" fontId="21" fillId="0" borderId="4" xfId="569" applyFont="1" applyBorder="1" applyAlignment="1">
      <alignment horizontal="left" vertical="top"/>
    </xf>
    <xf numFmtId="0" fontId="32" fillId="0" borderId="0" xfId="0" applyFont="1" applyAlignment="1">
      <alignment horizontal="left" wrapText="1"/>
    </xf>
    <xf numFmtId="0" fontId="14" fillId="0" borderId="0" xfId="0" applyFont="1" applyAlignment="1">
      <alignment horizontal="left" vertical="top"/>
    </xf>
    <xf numFmtId="0" fontId="21" fillId="0" borderId="0" xfId="0" applyFont="1" applyAlignment="1">
      <alignment horizontal="left"/>
    </xf>
    <xf numFmtId="0" fontId="23" fillId="0" borderId="0" xfId="0" applyFont="1" applyAlignment="1">
      <alignment horizontal="left"/>
    </xf>
    <xf numFmtId="0" fontId="15" fillId="0" borderId="0" xfId="244" quotePrefix="1" applyAlignment="1" applyProtection="1">
      <alignment horizontal="left"/>
    </xf>
    <xf numFmtId="0" fontId="21" fillId="0" borderId="4" xfId="0" applyFont="1" applyBorder="1" applyAlignment="1">
      <alignment horizontal="left"/>
    </xf>
    <xf numFmtId="0" fontId="32" fillId="0" borderId="0" xfId="569" applyFont="1" applyAlignment="1">
      <alignment horizontal="left" vertical="top"/>
    </xf>
    <xf numFmtId="0" fontId="14" fillId="0" borderId="0" xfId="569" applyAlignment="1">
      <alignment horizontal="left" vertical="top"/>
    </xf>
    <xf numFmtId="0" fontId="21" fillId="0" borderId="0" xfId="569" applyFont="1" applyAlignment="1">
      <alignment horizontal="left" vertical="top"/>
    </xf>
    <xf numFmtId="0" fontId="32" fillId="0" borderId="0" xfId="0" applyFont="1" applyAlignment="1">
      <alignment horizontal="left" vertical="top" wrapText="1"/>
    </xf>
    <xf numFmtId="4" fontId="14" fillId="0" borderId="0" xfId="0" applyNumberFormat="1" applyFont="1" applyAlignment="1">
      <alignment horizontal="left" vertical="top" wrapText="1"/>
    </xf>
    <xf numFmtId="4" fontId="32" fillId="0" borderId="0" xfId="0" applyNumberFormat="1" applyFont="1" applyAlignment="1">
      <alignment horizontal="left"/>
    </xf>
    <xf numFmtId="4" fontId="15" fillId="0" borderId="0" xfId="244" applyNumberFormat="1" applyFill="1" applyAlignment="1" applyProtection="1">
      <alignment horizontal="left"/>
    </xf>
    <xf numFmtId="0" fontId="14" fillId="0" borderId="0" xfId="271" applyFont="1" applyAlignment="1">
      <alignment horizontal="left" vertical="top" wrapText="1"/>
    </xf>
    <xf numFmtId="4" fontId="14" fillId="0" borderId="0" xfId="1192" applyNumberForma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0" fontId="32" fillId="0" borderId="0" xfId="569" applyFont="1" applyAlignment="1">
      <alignment horizontal="left" vertical="top" wrapText="1"/>
    </xf>
    <xf numFmtId="0" fontId="14" fillId="0" borderId="0" xfId="569" applyAlignment="1">
      <alignment horizontal="left"/>
    </xf>
    <xf numFmtId="0" fontId="15" fillId="0" borderId="0" xfId="244"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0" fontId="14" fillId="0" borderId="0" xfId="1192" applyAlignment="1">
      <alignment horizontal="left"/>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32" fillId="0" borderId="0" xfId="1192" applyFont="1" applyAlignment="1">
      <alignment horizontal="left"/>
    </xf>
    <xf numFmtId="0" fontId="21" fillId="0" borderId="0" xfId="27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0" fontId="32" fillId="0" borderId="0" xfId="569" applyFont="1" applyAlignment="1">
      <alignment horizontal="center"/>
    </xf>
    <xf numFmtId="0" fontId="21"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21" fillId="0" borderId="0" xfId="569" applyFont="1" applyAlignment="1">
      <alignment horizontal="left"/>
    </xf>
    <xf numFmtId="0" fontId="21" fillId="0" borderId="4" xfId="0" applyFont="1" applyBorder="1" applyAlignment="1">
      <alignment horizontal="left" vertical="top"/>
    </xf>
    <xf numFmtId="0" fontId="21" fillId="0" borderId="16" xfId="569" applyFont="1" applyBorder="1" applyAlignment="1">
      <alignment horizontal="left"/>
    </xf>
    <xf numFmtId="0" fontId="14" fillId="0" borderId="0" xfId="569" applyAlignment="1">
      <alignment horizontal="left" vertical="center" wrapText="1"/>
    </xf>
    <xf numFmtId="0" fontId="21" fillId="0" borderId="0" xfId="0" applyFont="1" applyAlignment="1">
      <alignment horizontal="left" vertical="top"/>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4" fontId="14" fillId="0" borderId="0" xfId="0" applyNumberFormat="1" applyFont="1" applyAlignment="1">
      <alignment horizontal="left"/>
    </xf>
    <xf numFmtId="0" fontId="21" fillId="0" borderId="0" xfId="0" applyFont="1" applyAlignment="1">
      <alignment vertical="top" wrapText="1"/>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32" fillId="0" borderId="0" xfId="0" applyFont="1" applyAlignment="1">
      <alignment horizontal="left" vertical="top"/>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0" fontId="0" fillId="0" borderId="11" xfId="0" applyBorder="1" applyAlignment="1">
      <alignment horizontal="center"/>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11" xfId="0" applyFont="1" applyBorder="1" applyAlignment="1">
      <alignment horizontal="center"/>
    </xf>
    <xf numFmtId="0" fontId="23" fillId="2" borderId="11" xfId="0" applyFont="1" applyFill="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23" fillId="45" borderId="11" xfId="0" applyFont="1" applyFill="1" applyBorder="1" applyAlignment="1">
      <alignment horizontal="center"/>
    </xf>
    <xf numFmtId="0" fontId="23" fillId="0" borderId="3" xfId="0" applyFont="1" applyBorder="1" applyAlignment="1">
      <alignment horizontal="center"/>
    </xf>
    <xf numFmtId="0" fontId="23" fillId="0" borderId="5" xfId="0" applyFont="1" applyBorder="1" applyAlignment="1">
      <alignment horizontal="center"/>
    </xf>
    <xf numFmtId="0" fontId="14" fillId="0" borderId="6" xfId="0" applyFont="1" applyBorder="1" applyAlignment="1" applyProtection="1">
      <alignment horizontal="center"/>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3" fillId="5" borderId="11" xfId="0" applyNumberFormat="1" applyFon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3" fillId="0" borderId="11" xfId="0" applyNumberFormat="1" applyFont="1" applyBorder="1" applyAlignment="1">
      <alignment horizontal="center"/>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3" fillId="5" borderId="11" xfId="0" applyFont="1" applyFill="1" applyBorder="1" applyAlignment="1" applyProtection="1">
      <alignment horizontal="center"/>
      <protection locked="0"/>
    </xf>
    <xf numFmtId="3" fontId="23" fillId="0" borderId="11" xfId="0" applyNumberFormat="1" applyFont="1" applyBorder="1" applyAlignment="1">
      <alignment horizontal="center"/>
    </xf>
    <xf numFmtId="168" fontId="170" fillId="0" borderId="0" xfId="0" applyNumberFormat="1" applyFont="1" applyAlignment="1">
      <alignment horizontal="center" vertical="center" wrapText="1"/>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1" fillId="0" borderId="6" xfId="0" applyFont="1" applyBorder="1" applyAlignment="1">
      <alignment horizontal="center"/>
    </xf>
    <xf numFmtId="0" fontId="21"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2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3" fillId="5" borderId="4"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3" fillId="5" borderId="6" xfId="0" applyNumberFormat="1" applyFont="1" applyFill="1" applyBorder="1" applyAlignment="1" applyProtection="1">
      <alignment horizontal="right"/>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4" fillId="5" borderId="4" xfId="0" applyFont="1" applyFill="1" applyBorder="1" applyAlignment="1" applyProtection="1">
      <alignment horizontal="left"/>
      <protection locked="0"/>
    </xf>
    <xf numFmtId="0" fontId="23" fillId="5" borderId="4" xfId="0" applyFont="1" applyFill="1" applyBorder="1" applyAlignment="1" applyProtection="1">
      <alignment horizontal="left"/>
      <protection locked="0"/>
    </xf>
    <xf numFmtId="0" fontId="22" fillId="43" borderId="6" xfId="0" applyFont="1" applyFill="1" applyBorder="1" applyAlignment="1" applyProtection="1">
      <alignment horizontal="left"/>
      <protection locked="0"/>
    </xf>
    <xf numFmtId="1" fontId="23" fillId="5" borderId="6" xfId="0" applyNumberFormat="1" applyFont="1" applyFill="1" applyBorder="1" applyAlignment="1" applyProtection="1">
      <alignment horizontal="right"/>
      <protection locked="0"/>
    </xf>
    <xf numFmtId="1" fontId="23" fillId="5" borderId="11" xfId="0" quotePrefix="1" applyNumberFormat="1"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0" fontId="33"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1" fillId="0" borderId="4" xfId="0" applyFont="1" applyBorder="1" applyAlignment="1">
      <alignment horizontal="center"/>
    </xf>
    <xf numFmtId="0" fontId="21" fillId="0" borderId="5" xfId="0" applyFont="1" applyBorder="1" applyAlignment="1">
      <alignment horizontal="center"/>
    </xf>
    <xf numFmtId="0" fontId="14" fillId="5" borderId="11" xfId="0" applyFont="1" applyFill="1" applyBorder="1" applyAlignment="1" applyProtection="1">
      <alignment vertical="center" wrapText="1"/>
      <protection locked="0"/>
    </xf>
    <xf numFmtId="0" fontId="14"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0" fillId="43" borderId="10" xfId="0" applyFill="1" applyBorder="1" applyAlignment="1" applyProtection="1">
      <alignment horizontal="left"/>
      <protection locked="0"/>
    </xf>
    <xf numFmtId="0" fontId="21" fillId="0" borderId="9" xfId="0" applyFont="1" applyBorder="1" applyAlignment="1">
      <alignment horizontal="center"/>
    </xf>
    <xf numFmtId="0" fontId="0" fillId="0" borderId="6" xfId="0" applyBorder="1" applyAlignment="1">
      <alignment horizontal="left"/>
    </xf>
    <xf numFmtId="0" fontId="23" fillId="0" borderId="4" xfId="0"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3" fillId="0" borderId="1" xfId="0" applyFont="1" applyBorder="1" applyAlignment="1">
      <alignment horizontal="center" vertical="top" wrapText="1"/>
    </xf>
    <xf numFmtId="0" fontId="14" fillId="0" borderId="11" xfId="543" applyBorder="1" applyAlignment="1">
      <alignment horizontal="center"/>
    </xf>
    <xf numFmtId="0" fontId="14" fillId="43" borderId="4"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21" fillId="0" borderId="3" xfId="0" applyFont="1" applyBorder="1" applyAlignment="1">
      <alignment horizontal="center"/>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66" fontId="23" fillId="5" borderId="6" xfId="0" applyNumberFormat="1" applyFont="1"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78" fontId="2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4" fillId="5" borderId="6" xfId="244" applyFon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23" fillId="5" borderId="6" xfId="0" applyFont="1" applyFill="1" applyBorder="1" applyAlignment="1" applyProtection="1">
      <alignment horizontal="left" wrapText="1"/>
      <protection locked="0"/>
    </xf>
    <xf numFmtId="166" fontId="23" fillId="5" borderId="6" xfId="271" applyNumberFormat="1" applyFill="1" applyBorder="1" applyAlignment="1" applyProtection="1">
      <alignment horizontal="left"/>
      <protection locked="0"/>
    </xf>
    <xf numFmtId="0" fontId="23" fillId="0" borderId="6" xfId="0" applyFont="1" applyBorder="1" applyAlignment="1">
      <alignment horizontal="left"/>
    </xf>
    <xf numFmtId="166" fontId="23" fillId="5" borderId="4" xfId="271" applyNumberForma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3" fillId="0" borderId="0" xfId="0" applyFont="1" applyAlignment="1">
      <alignment horizontal="left" vertical="top" wrapText="1"/>
    </xf>
    <xf numFmtId="0" fontId="167" fillId="0" borderId="0" xfId="0" applyFont="1" applyAlignment="1" applyProtection="1">
      <alignment horizontal="left" vertical="top" wrapText="1"/>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168" fontId="0" fillId="0" borderId="6" xfId="0" applyNumberFormat="1" applyBorder="1" applyAlignment="1">
      <alignment horizontal="center"/>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168" fontId="23" fillId="0" borderId="6" xfId="0" applyNumberFormat="1" applyFont="1" applyBorder="1" applyAlignment="1">
      <alignment horizontal="center"/>
    </xf>
    <xf numFmtId="0" fontId="14" fillId="5" borderId="6" xfId="0" applyFont="1" applyFill="1" applyBorder="1" applyAlignment="1" applyProtection="1">
      <alignment horizontal="left" wrapText="1"/>
      <protection locked="0"/>
    </xf>
    <xf numFmtId="0" fontId="22" fillId="0" borderId="0" xfId="0" applyFont="1" applyAlignment="1">
      <alignment horizontal="center"/>
    </xf>
    <xf numFmtId="0" fontId="0" fillId="5" borderId="6" xfId="0" applyFill="1" applyBorder="1" applyProtection="1">
      <protection locked="0"/>
    </xf>
    <xf numFmtId="0" fontId="23" fillId="0" borderId="4" xfId="0" applyFont="1" applyBorder="1" applyAlignment="1" applyProtection="1">
      <alignment horizontal="left"/>
      <protection locked="0"/>
    </xf>
    <xf numFmtId="0" fontId="14" fillId="5" borderId="6"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4" fillId="5" borderId="3" xfId="0" applyNumberFormat="1" applyFont="1" applyFill="1" applyBorder="1" applyAlignment="1" applyProtection="1">
      <alignment horizontal="center"/>
      <protection locked="0"/>
    </xf>
    <xf numFmtId="10" fontId="2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1" fillId="0" borderId="2" xfId="0" applyFont="1" applyBorder="1" applyAlignment="1">
      <alignment horizontal="center" wrapText="1"/>
    </xf>
    <xf numFmtId="0" fontId="21" fillId="0" borderId="7"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21"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4" fillId="0" borderId="0" xfId="543" applyAlignment="1">
      <alignment horizontal="center"/>
    </xf>
    <xf numFmtId="168" fontId="0" fillId="5" borderId="11" xfId="0" applyNumberFormat="1" applyFill="1" applyBorder="1" applyAlignment="1" applyProtection="1">
      <alignment horizontal="right"/>
      <protection locked="0"/>
    </xf>
    <xf numFmtId="9" fontId="14" fillId="0" borderId="0" xfId="543" applyNumberFormat="1" applyAlignment="1">
      <alignment horizontal="center" vertical="center"/>
    </xf>
    <xf numFmtId="168" fontId="0" fillId="5" borderId="11" xfId="0" applyNumberFormat="1" applyFill="1" applyBorder="1" applyProtection="1">
      <protection locked="0"/>
    </xf>
    <xf numFmtId="2" fontId="14"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171" fontId="14" fillId="0" borderId="0" xfId="543" applyNumberFormat="1" applyAlignment="1">
      <alignment horizontal="center"/>
    </xf>
    <xf numFmtId="171" fontId="14" fillId="0" borderId="0" xfId="543" applyNumberFormat="1" applyAlignment="1">
      <alignment horizontal="righ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0" fillId="0" borderId="3" xfId="0" applyBorder="1"/>
    <xf numFmtId="0" fontId="0" fillId="0" borderId="4" xfId="0" applyBorder="1"/>
    <xf numFmtId="0" fontId="0" fillId="0" borderId="5" xfId="0" applyBorder="1"/>
    <xf numFmtId="0" fontId="14" fillId="0" borderId="3" xfId="0" applyFont="1" applyBorder="1"/>
    <xf numFmtId="0" fontId="14" fillId="0" borderId="4" xfId="0" applyFont="1" applyBorder="1"/>
    <xf numFmtId="0" fontId="14"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21" fillId="0" borderId="1"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182" fontId="22" fillId="43" borderId="11" xfId="8722" applyNumberFormat="1" applyFont="1" applyFill="1" applyBorder="1" applyAlignment="1" applyProtection="1">
      <alignment horizontal="center" vertical="center" wrapText="1"/>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0" borderId="11" xfId="0" applyFont="1" applyBorder="1" applyAlignment="1">
      <alignment horizontal="center" vertical="center" wrapText="1"/>
    </xf>
    <xf numFmtId="0" fontId="14" fillId="5" borderId="4" xfId="0" applyFont="1" applyFill="1" applyBorder="1" applyAlignment="1" applyProtection="1">
      <alignment wrapText="1"/>
      <protection locked="0"/>
    </xf>
    <xf numFmtId="0" fontId="23" fillId="5" borderId="4" xfId="0" applyFont="1" applyFill="1" applyBorder="1" applyAlignment="1" applyProtection="1">
      <alignment wrapText="1"/>
      <protection locked="0"/>
    </xf>
    <xf numFmtId="0" fontId="14"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21" fillId="0" borderId="11" xfId="0" applyFont="1" applyBorder="1" applyAlignment="1">
      <alignment horizontal="center" vertical="center"/>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0" fontId="23"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68" fontId="14"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0" fontId="21" fillId="0" borderId="2" xfId="0" applyFont="1" applyBorder="1" applyAlignment="1">
      <alignment horizontal="right"/>
    </xf>
    <xf numFmtId="0" fontId="21" fillId="0" borderId="7" xfId="0" applyFont="1" applyBorder="1" applyAlignment="1">
      <alignment horizontal="right"/>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68" fontId="0" fillId="0" borderId="11" xfId="0" applyNumberFormat="1" applyBorder="1"/>
    <xf numFmtId="0" fontId="20" fillId="3" borderId="0" xfId="0" applyFont="1" applyFill="1" applyAlignment="1">
      <alignment horizontal="center" vertical="center"/>
    </xf>
    <xf numFmtId="0" fontId="23" fillId="0" borderId="11" xfId="0" applyFont="1" applyBorder="1" applyAlignment="1">
      <alignment horizontal="center"/>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3" fillId="0" borderId="3"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80" fontId="0" fillId="0" borderId="6" xfId="0" applyNumberFormat="1" applyBorder="1" applyAlignment="1">
      <alignment horizontal="center"/>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23" fillId="0" borderId="11" xfId="0" applyFont="1" applyBorder="1" applyAlignment="1">
      <alignment horizontal="center" vertical="top" wrapText="1"/>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0" borderId="3" xfId="543" applyFont="1" applyBorder="1" applyAlignment="1">
      <alignment horizontal="center"/>
    </xf>
    <xf numFmtId="0" fontId="33" fillId="0" borderId="5" xfId="543" applyFont="1" applyBorder="1" applyAlignment="1">
      <alignment horizontal="center"/>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12" xfId="0" applyFont="1" applyBorder="1" applyAlignment="1">
      <alignment horizontal="center" wrapText="1"/>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6" fontId="14" fillId="5" borderId="4" xfId="0" applyNumberFormat="1" applyFont="1" applyFill="1" applyBorder="1" applyAlignment="1" applyProtection="1">
      <alignment horizontal="left"/>
      <protection locked="0"/>
    </xf>
    <xf numFmtId="0" fontId="14" fillId="0" borderId="0" xfId="0" applyFont="1" applyAlignment="1">
      <alignment wrapText="1"/>
    </xf>
    <xf numFmtId="172" fontId="21" fillId="0" borderId="11" xfId="0" applyNumberFormat="1" applyFont="1" applyBorder="1" applyAlignment="1">
      <alignment horizontal="center" vertical="center" wrapText="1"/>
    </xf>
    <xf numFmtId="3" fontId="42" fillId="10" borderId="0" xfId="543" applyNumberFormat="1" applyFont="1" applyFill="1" applyAlignment="1">
      <alignment horizontal="left" vertical="center" wrapText="1"/>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horizontal="center" vertical="top"/>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0" fontId="21" fillId="0" borderId="0" xfId="0" applyFont="1" applyAlignment="1">
      <alignment horizontal="center" vertical="center"/>
    </xf>
    <xf numFmtId="1" fontId="14" fillId="43" borderId="11" xfId="0" applyNumberFormat="1" applyFont="1" applyFill="1" applyBorder="1" applyAlignment="1" applyProtection="1">
      <alignment horizontal="center"/>
      <protection locked="0"/>
    </xf>
    <xf numFmtId="0" fontId="14" fillId="43" borderId="11" xfId="0" applyFont="1" applyFill="1" applyBorder="1" applyAlignment="1" applyProtection="1">
      <alignment horizontal="center"/>
      <protection locked="0"/>
    </xf>
    <xf numFmtId="0" fontId="23" fillId="5" borderId="6" xfId="271" applyFill="1" applyBorder="1" applyProtection="1">
      <protection locked="0"/>
    </xf>
    <xf numFmtId="0" fontId="23" fillId="0" borderId="2" xfId="0" applyFont="1" applyBorder="1" applyAlignment="1">
      <alignment horizontal="left" vertical="top" wrapText="1"/>
    </xf>
    <xf numFmtId="177" fontId="23" fillId="5" borderId="6" xfId="0" applyNumberFormat="1" applyFont="1" applyFill="1" applyBorder="1" applyAlignment="1" applyProtection="1">
      <alignment horizontal="left" vertical="top" wrapText="1"/>
      <protection locked="0"/>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23" fillId="0" borderId="6" xfId="0" applyFont="1" applyBorder="1" applyAlignment="1">
      <alignment vertical="top" wrapText="1"/>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2" xfId="0" applyFont="1" applyBorder="1" applyAlignment="1">
      <alignment vertical="top" wrapText="1"/>
    </xf>
    <xf numFmtId="0" fontId="51" fillId="0" borderId="0" xfId="0" applyFont="1" applyAlignment="1">
      <alignmen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0" fontId="14" fillId="45" borderId="11" xfId="4495" applyFont="1" applyFill="1" applyBorder="1" applyAlignment="1">
      <alignment horizontal="center"/>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168" fontId="14" fillId="0" borderId="0" xfId="1192" applyNumberFormat="1" applyAlignment="1">
      <alignment horizontal="right"/>
    </xf>
    <xf numFmtId="0" fontId="140" fillId="0" borderId="0" xfId="1192" applyFont="1" applyAlignment="1">
      <alignment horizontal="center"/>
    </xf>
    <xf numFmtId="168" fontId="14" fillId="43" borderId="6" xfId="543" applyNumberFormat="1" applyFill="1" applyBorder="1" applyAlignment="1" applyProtection="1">
      <alignment horizontal="center"/>
      <protection locked="0"/>
    </xf>
    <xf numFmtId="168" fontId="14" fillId="5" borderId="4" xfId="1192" applyNumberFormat="1" applyFill="1" applyBorder="1" applyAlignment="1" applyProtection="1">
      <alignment horizontal="center"/>
      <protection locked="0"/>
    </xf>
    <xf numFmtId="4" fontId="22" fillId="0" borderId="0" xfId="4495" applyNumberFormat="1" applyFont="1" applyAlignment="1">
      <alignment horizontal="center"/>
    </xf>
    <xf numFmtId="4" fontId="22" fillId="0" borderId="6" xfId="4495" applyNumberFormat="1" applyFont="1" applyBorder="1" applyAlignment="1">
      <alignment horizontal="center"/>
    </xf>
    <xf numFmtId="1" fontId="14" fillId="5" borderId="2" xfId="1192" applyNumberFormat="1" applyFill="1" applyBorder="1" applyAlignment="1" applyProtection="1">
      <alignment horizontal="center"/>
      <protection locked="0"/>
    </xf>
    <xf numFmtId="168" fontId="14" fillId="0" borderId="6" xfId="1192" applyNumberFormat="1" applyBorder="1" applyAlignment="1">
      <alignment horizontal="right"/>
    </xf>
    <xf numFmtId="168" fontId="14" fillId="0" borderId="4" xfId="1192" applyNumberFormat="1" applyBorder="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168" fontId="14" fillId="0" borderId="6" xfId="4496" applyNumberFormat="1" applyFont="1" applyBorder="1" applyAlignment="1">
      <alignment horizontal="center"/>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0" fontId="21" fillId="0" borderId="0" xfId="4495" applyFont="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0" xfId="4495" applyFont="1" applyAlignment="1">
      <alignment horizontal="right"/>
    </xf>
    <xf numFmtId="10" fontId="22" fillId="0" borderId="2" xfId="4495" applyNumberFormat="1" applyFont="1" applyBorder="1" applyAlignment="1">
      <alignment horizontal="center"/>
    </xf>
    <xf numFmtId="0" fontId="22" fillId="0" borderId="0" xfId="4495" applyFont="1" applyAlignment="1">
      <alignment horizontal="center"/>
    </xf>
    <xf numFmtId="9" fontId="22" fillId="5" borderId="6" xfId="4495" applyNumberFormat="1" applyFont="1" applyFill="1" applyBorder="1" applyAlignment="1">
      <alignment horizontal="left"/>
    </xf>
    <xf numFmtId="0" fontId="128" fillId="0" borderId="0" xfId="4495" applyFont="1" applyAlignment="1">
      <alignment horizontal="left" vertical="top" wrapText="1"/>
    </xf>
    <xf numFmtId="0" fontId="30" fillId="42" borderId="2" xfId="4495" applyFont="1" applyFill="1" applyBorder="1" applyAlignment="1">
      <alignment horizontal="center"/>
    </xf>
    <xf numFmtId="0" fontId="30" fillId="42" borderId="6" xfId="4495" applyFont="1" applyFill="1" applyBorder="1" applyAlignment="1">
      <alignment horizontal="center"/>
    </xf>
    <xf numFmtId="0" fontId="21" fillId="0" borderId="11" xfId="4495" applyFont="1" applyBorder="1" applyAlignment="1">
      <alignment horizontal="center"/>
    </xf>
    <xf numFmtId="0" fontId="118" fillId="5" borderId="55" xfId="4495" applyFill="1" applyBorder="1" applyAlignment="1" applyProtection="1">
      <alignment horizontal="center"/>
      <protection locked="0"/>
    </xf>
    <xf numFmtId="0" fontId="118" fillId="5" borderId="6" xfId="4495" applyFill="1" applyBorder="1" applyAlignment="1" applyProtection="1">
      <alignment horizontal="center"/>
      <protection locked="0"/>
    </xf>
    <xf numFmtId="0" fontId="21" fillId="0" borderId="54" xfId="4495" applyFont="1" applyBorder="1" applyAlignment="1">
      <alignment horizontal="center"/>
    </xf>
    <xf numFmtId="0" fontId="14" fillId="5" borderId="6" xfId="4495" applyFont="1" applyFill="1" applyBorder="1" applyAlignment="1" applyProtection="1">
      <alignment horizontal="center" vertical="center" wrapText="1" shrinkToFit="1"/>
      <protection locked="0"/>
    </xf>
    <xf numFmtId="0" fontId="116" fillId="0" borderId="4" xfId="1192" applyFont="1" applyBorder="1" applyAlignment="1">
      <alignment horizontal="left"/>
    </xf>
    <xf numFmtId="0" fontId="140" fillId="0" borderId="6" xfId="1192" applyFont="1" applyBorder="1" applyAlignment="1">
      <alignment horizontal="center"/>
    </xf>
    <xf numFmtId="0" fontId="14" fillId="0" borderId="6" xfId="1192" applyBorder="1" applyAlignment="1">
      <alignment horizontal="left"/>
    </xf>
    <xf numFmtId="9" fontId="14" fillId="5" borderId="4" xfId="1192" applyNumberFormat="1" applyFill="1" applyBorder="1" applyAlignment="1" applyProtection="1">
      <alignment horizontal="left"/>
      <protection locked="0"/>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3" xfId="4495"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14" fillId="0" borderId="4" xfId="4495" applyFont="1" applyBorder="1" applyAlignment="1">
      <alignment horizontal="left"/>
    </xf>
    <xf numFmtId="0" fontId="14" fillId="0" borderId="5" xfId="4495" applyFont="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1" fontId="14" fillId="46" borderId="11" xfId="4495" applyNumberFormat="1" applyFont="1" applyFill="1" applyBorder="1" applyAlignment="1">
      <alignment horizontal="center"/>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 fontId="21" fillId="0" borderId="4" xfId="4495" applyNumberFormat="1"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0" fontId="21" fillId="0" borderId="0" xfId="4495" applyFont="1" applyAlignment="1">
      <alignment horizontal="center" vertical="top"/>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5" borderId="50" xfId="4495" applyFill="1" applyBorder="1" applyAlignment="1">
      <alignment horizontal="center"/>
    </xf>
    <xf numFmtId="0" fontId="118" fillId="5" borderId="51" xfId="4495" applyFill="1" applyBorder="1" applyAlignment="1">
      <alignment horizontal="center"/>
    </xf>
    <xf numFmtId="0" fontId="118" fillId="0" borderId="53" xfId="4495" applyBorder="1" applyAlignment="1">
      <alignment horizontal="center"/>
    </xf>
    <xf numFmtId="0" fontId="118" fillId="0" borderId="0" xfId="4495"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2" fillId="0" borderId="58" xfId="4495" applyFont="1" applyBorder="1" applyAlignment="1">
      <alignment horizontal="left" vertical="top" wrapText="1"/>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51" fillId="0" borderId="51" xfId="4495" applyFont="1" applyBorder="1" applyAlignment="1">
      <alignment horizontal="left" wrapText="1"/>
    </xf>
    <xf numFmtId="0" fontId="51" fillId="0" borderId="0" xfId="4495" applyFont="1" applyAlignment="1">
      <alignment horizontal="left" wrapText="1"/>
    </xf>
    <xf numFmtId="0" fontId="21" fillId="0" borderId="54" xfId="4495" applyFont="1" applyBorder="1" applyAlignment="1">
      <alignment horizontal="center" vertical="top"/>
    </xf>
    <xf numFmtId="0" fontId="128" fillId="0" borderId="0" xfId="4495" applyFont="1" applyAlignment="1">
      <alignment horizontal="left" vertical="center" wrapText="1"/>
    </xf>
    <xf numFmtId="0" fontId="21" fillId="0" borderId="0" xfId="4495" applyFont="1" applyAlignment="1">
      <alignment horizontal="left" vertical="top"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14" fillId="0" borderId="0" xfId="4495" applyFont="1" applyAlignment="1">
      <alignment wrapText="1"/>
    </xf>
    <xf numFmtId="0" fontId="14" fillId="5" borderId="6" xfId="4495" applyFont="1"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59" xfId="4495" applyFont="1" applyBorder="1" applyAlignment="1">
      <alignment horizontal="left" vertical="top" wrapText="1"/>
    </xf>
    <xf numFmtId="0" fontId="14" fillId="0" borderId="4" xfId="4496" applyFont="1" applyBorder="1" applyAlignment="1">
      <alignment horizontal="center"/>
    </xf>
    <xf numFmtId="0" fontId="14" fillId="0" borderId="5" xfId="4496" applyFont="1" applyBorder="1" applyAlignment="1">
      <alignment horizontal="center"/>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21" fillId="0" borderId="0" xfId="4495" applyFont="1" applyAlignment="1">
      <alignment horizontal="left" vertical="top"/>
    </xf>
    <xf numFmtId="0" fontId="118" fillId="0" borderId="0" xfId="4495" applyAlignment="1" applyProtection="1">
      <alignment horizontal="center"/>
      <protection locked="0"/>
    </xf>
    <xf numFmtId="9" fontId="14" fillId="0" borderId="4" xfId="543" applyNumberForma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168" fontId="14" fillId="43" borderId="6" xfId="4495" applyNumberFormat="1" applyFont="1" applyFill="1" applyBorder="1" applyAlignment="1" applyProtection="1">
      <alignment horizontal="right"/>
      <protection locked="0"/>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0" fontId="14" fillId="5" borderId="6" xfId="1192" applyFill="1" applyBorder="1" applyAlignment="1" applyProtection="1">
      <alignment horizontal="left"/>
      <protection locked="0"/>
    </xf>
    <xf numFmtId="165" fontId="14" fillId="0" borderId="0" xfId="1192" applyNumberFormat="1" applyAlignment="1">
      <alignment horizontal="right"/>
    </xf>
    <xf numFmtId="2" fontId="14" fillId="0" borderId="0" xfId="1192" applyNumberFormat="1" applyAlignment="1">
      <alignment horizontal="right"/>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14" fillId="5" borderId="6" xfId="4495" applyFont="1" applyFill="1" applyBorder="1" applyAlignment="1" applyProtection="1">
      <alignment horizontal="left"/>
      <protection locked="0"/>
    </xf>
    <xf numFmtId="0" fontId="51" fillId="5" borderId="6" xfId="4495" applyFont="1" applyFill="1" applyBorder="1" applyAlignment="1" applyProtection="1">
      <alignment horizontal="left"/>
      <protection locked="0"/>
    </xf>
    <xf numFmtId="0" fontId="14" fillId="0" borderId="0" xfId="1192" applyAlignment="1">
      <alignment horizontal="right"/>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4" xfId="1192" applyNumberFormat="1" applyFill="1" applyBorder="1" applyAlignment="1" applyProtection="1">
      <alignment horizontal="center"/>
      <protection locked="0"/>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0" fontId="120" fillId="5" borderId="6" xfId="4496" applyFont="1" applyFill="1" applyBorder="1" applyAlignment="1" applyProtection="1">
      <alignment horizontal="center"/>
      <protection locked="0"/>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165" fontId="120" fillId="0" borderId="60"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0" fontId="96" fillId="0" borderId="11" xfId="4496" applyFont="1" applyBorder="1" applyAlignment="1">
      <alignment horizontal="left" indent="1"/>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134" fillId="3" borderId="0" xfId="1192" applyNumberFormat="1" applyFont="1" applyFill="1" applyAlignment="1">
      <alignment horizontal="center" vertical="center"/>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0" fontId="96" fillId="0" borderId="11" xfId="4496" applyFont="1" applyBorder="1"/>
    <xf numFmtId="0" fontId="96" fillId="0" borderId="91" xfId="4496" applyFont="1" applyBorder="1"/>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0" fontId="2" fillId="49" borderId="11" xfId="8726" applyFill="1" applyBorder="1" applyAlignment="1" applyProtection="1">
      <alignment horizontal="center"/>
      <protection locked="0"/>
    </xf>
    <xf numFmtId="0" fontId="2" fillId="49" borderId="91" xfId="8726" applyFill="1" applyBorder="1" applyAlignment="1" applyProtection="1">
      <alignment horizontal="center"/>
      <protection locked="0"/>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146" fillId="49" borderId="89" xfId="8726" applyFont="1" applyFill="1" applyBorder="1" applyAlignment="1" applyProtection="1">
      <alignment horizontal="left"/>
      <protection locked="0"/>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41"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44" fontId="176" fillId="49" borderId="11" xfId="700"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182" fontId="2" fillId="49" borderId="11" xfId="700" applyNumberFormat="1"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44" fontId="2" fillId="44" borderId="11" xfId="700" applyFont="1" applyFill="1" applyBorder="1" applyAlignment="1" applyProtection="1">
      <alignment horizontal="center"/>
      <protection hidden="1"/>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1" fillId="49" borderId="80"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0" fontId="163" fillId="49" borderId="11" xfId="8726"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44" fontId="2" fillId="49" borderId="11" xfId="700" applyFont="1"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168" fontId="161" fillId="44" borderId="11" xfId="700" applyNumberFormat="1" applyFont="1" applyFill="1" applyBorder="1" applyAlignment="1">
      <alignment horizontal="left"/>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43" fontId="146" fillId="53" borderId="11" xfId="698" applyFont="1" applyFill="1" applyBorder="1" applyAlignment="1" applyProtection="1">
      <alignment horizontal="left"/>
      <protection hidden="1"/>
    </xf>
    <xf numFmtId="14" fontId="161" fillId="49" borderId="11" xfId="8726" applyNumberFormat="1" applyFont="1" applyFill="1" applyBorder="1" applyAlignment="1" applyProtection="1">
      <alignment horizontal="center"/>
      <protection locked="0"/>
    </xf>
    <xf numFmtId="14" fontId="161" fillId="49" borderId="91" xfId="8726" applyNumberFormat="1" applyFont="1" applyFill="1" applyBorder="1" applyAlignment="1" applyProtection="1">
      <alignment horizontal="center"/>
      <protection locked="0"/>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4" fillId="45" borderId="74" xfId="8726" applyFont="1" applyFill="1" applyBorder="1" applyAlignment="1">
      <alignment horizontal="left"/>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00" fillId="45" borderId="91" xfId="8726" applyFont="1" applyFill="1" applyBorder="1" applyAlignment="1">
      <alignment horizontal="center"/>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57" fillId="49" borderId="11" xfId="8726" applyFont="1" applyFill="1" applyBorder="1" applyAlignment="1" applyProtection="1">
      <alignment horizontal="left"/>
      <protection locked="0"/>
    </xf>
    <xf numFmtId="14" fontId="163"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center"/>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47" fillId="44" borderId="88"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9" fontId="147" fillId="49" borderId="13"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0" fontId="147" fillId="44" borderId="86" xfId="8726"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168" fontId="14" fillId="0" borderId="5" xfId="569" applyNumberFormat="1" applyBorder="1" applyAlignment="1">
      <alignment horizontal="center"/>
    </xf>
    <xf numFmtId="168" fontId="14" fillId="0" borderId="11" xfId="569" applyNumberFormat="1" applyBorder="1" applyAlignment="1">
      <alignment horizontal="center"/>
    </xf>
    <xf numFmtId="168" fontId="14" fillId="0" borderId="3" xfId="569" applyNumberFormat="1" applyBorder="1" applyAlignment="1">
      <alignment horizontal="center"/>
    </xf>
    <xf numFmtId="168" fontId="14" fillId="0" borderId="4" xfId="569" applyNumberFormat="1" applyBorder="1" applyAlignment="1">
      <alignment horizontal="center"/>
    </xf>
    <xf numFmtId="179" fontId="21" fillId="0" borderId="0" xfId="569" applyNumberFormat="1" applyFont="1" applyAlignment="1">
      <alignment horizontal="center" wrapText="1"/>
    </xf>
    <xf numFmtId="0" fontId="21" fillId="0" borderId="16" xfId="271" applyFont="1" applyBorder="1" applyAlignment="1">
      <alignment horizontal="center"/>
    </xf>
    <xf numFmtId="164" fontId="21" fillId="0" borderId="0" xfId="569" applyNumberFormat="1" applyFont="1" applyAlignment="1">
      <alignment horizontal="center"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51" fillId="0" borderId="0" xfId="569" applyFont="1" applyAlignment="1">
      <alignment horizontal="left"/>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9" fontId="14" fillId="0" borderId="5" xfId="569" applyNumberFormat="1" applyBorder="1" applyAlignment="1">
      <alignment horizontal="center"/>
    </xf>
    <xf numFmtId="9" fontId="14" fillId="0" borderId="11"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0" fontId="21" fillId="0" borderId="11" xfId="569" applyFont="1" applyBorder="1" applyAlignment="1">
      <alignment horizontal="center" wrapText="1"/>
    </xf>
    <xf numFmtId="168" fontId="14" fillId="0" borderId="7" xfId="569" applyNumberFormat="1" applyBorder="1" applyAlignment="1">
      <alignment horizontal="center"/>
    </xf>
    <xf numFmtId="168" fontId="14" fillId="0" borderId="15" xfId="569" applyNumberFormat="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0" borderId="11" xfId="569" applyNumberFormat="1" applyBorder="1" applyAlignment="1">
      <alignment horizontal="right"/>
    </xf>
    <xf numFmtId="0" fontId="21" fillId="0" borderId="6" xfId="569" applyFon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569" applyFont="1" applyAlignment="1">
      <alignment horizontal="left" wrapText="1"/>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9" fontId="14" fillId="0" borderId="15" xfId="569" applyNumberFormat="1" applyBorder="1" applyAlignment="1">
      <alignment horizontal="center"/>
    </xf>
    <xf numFmtId="0" fontId="14" fillId="0" borderId="11" xfId="569" applyBorder="1" applyAlignment="1">
      <alignment horizontal="center"/>
    </xf>
    <xf numFmtId="0" fontId="105" fillId="0" borderId="0" xfId="0" applyFont="1" applyAlignment="1">
      <alignment horizontal="left" vertical="top" wrapText="1"/>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70">
    <cellStyle name="20% - Accent1" xfId="1" builtinId="30" customBuiltin="1"/>
    <cellStyle name="20% - Accent1 10" xfId="4505" xr:uid="{00000000-0005-0000-0000-000001000000}"/>
    <cellStyle name="20% - Accent1 10 2" xfId="12947" xr:uid="{8E36D749-014B-4CBD-A892-9932208478BC}"/>
    <cellStyle name="20% - Accent1 11" xfId="8729" xr:uid="{5FF336D7-9323-4970-904F-695C613F63A1}"/>
    <cellStyle name="20% - Accent1 2" xfId="2" xr:uid="{00000000-0005-0000-0000-000002000000}"/>
    <cellStyle name="20% - Accent1 2 10" xfId="8730" xr:uid="{48E65728-B7DE-4F3B-9034-34C8A42CAC9C}"/>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B0313BDE-9D9E-473A-8144-D3AF47974BDA}"/>
    <cellStyle name="20% - Accent1 2 2 2 2 2 3" xfId="11291" xr:uid="{31800E3D-302E-46B0-9CD9-7CCBD558D8EC}"/>
    <cellStyle name="20% - Accent1 2 2 2 2 3" xfId="4922" xr:uid="{00000000-0005-0000-0000-000008000000}"/>
    <cellStyle name="20% - Accent1 2 2 2 2 3 2" xfId="13364" xr:uid="{439BCBE3-165B-4C1D-AE9E-7A47C731C082}"/>
    <cellStyle name="20% - Accent1 2 2 2 2 4" xfId="9146" xr:uid="{09B0CF00-611C-4966-B976-FCFD19CA9C21}"/>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8D2B0630-322C-4765-985F-00DC3AB03FB9}"/>
    <cellStyle name="20% - Accent1 2 2 2 3 2 3" xfId="11704" xr:uid="{3BF7EADB-A01D-4FB6-8663-CD5B98DC1CA8}"/>
    <cellStyle name="20% - Accent1 2 2 2 3 3" xfId="5335" xr:uid="{00000000-0005-0000-0000-00000C000000}"/>
    <cellStyle name="20% - Accent1 2 2 2 3 3 2" xfId="13777" xr:uid="{A89EB948-2F6B-4F0C-95CE-3133B0D9098A}"/>
    <cellStyle name="20% - Accent1 2 2 2 3 4" xfId="9559" xr:uid="{BF8CA524-3DB6-47CE-8183-5D10E8EEA01F}"/>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B576DFE1-C4DC-465F-B444-2D8609C55991}"/>
    <cellStyle name="20% - Accent1 2 2 2 4 2 3" xfId="12117" xr:uid="{D297B771-3919-4441-8BD2-1B4DA38561E4}"/>
    <cellStyle name="20% - Accent1 2 2 2 4 3" xfId="5748" xr:uid="{00000000-0005-0000-0000-000010000000}"/>
    <cellStyle name="20% - Accent1 2 2 2 4 3 2" xfId="14190" xr:uid="{8635517A-54FD-428B-8714-F25A508D04C7}"/>
    <cellStyle name="20% - Accent1 2 2 2 4 4" xfId="9972" xr:uid="{57D64631-969C-42ED-A66C-ECB491390842}"/>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54041429-E6B7-4DB3-8474-DA52D2FFE3A8}"/>
    <cellStyle name="20% - Accent1 2 2 2 5 2 3" xfId="12530" xr:uid="{BF6ECEBC-73EB-48E4-A70E-DC0254798F30}"/>
    <cellStyle name="20% - Accent1 2 2 2 5 3" xfId="6161" xr:uid="{00000000-0005-0000-0000-000014000000}"/>
    <cellStyle name="20% - Accent1 2 2 2 5 3 2" xfId="14603" xr:uid="{063EFACE-2FF0-497B-AC3D-FFBBB4418FA6}"/>
    <cellStyle name="20% - Accent1 2 2 2 5 4" xfId="10385" xr:uid="{9053C0DA-6C0F-4441-A259-DE1BFF265374}"/>
    <cellStyle name="20% - Accent1 2 2 2 6" xfId="2267" xr:uid="{00000000-0005-0000-0000-000015000000}"/>
    <cellStyle name="20% - Accent1 2 2 2 6 2" xfId="6574" xr:uid="{00000000-0005-0000-0000-000016000000}"/>
    <cellStyle name="20% - Accent1 2 2 2 6 2 2" xfId="15016" xr:uid="{1B401582-36B9-49DF-BE3E-546AA02C269A}"/>
    <cellStyle name="20% - Accent1 2 2 2 6 3" xfId="10798" xr:uid="{A3F937B2-159A-4743-9117-F50A3E64FA0F}"/>
    <cellStyle name="20% - Accent1 2 2 2 7" xfId="4508" xr:uid="{00000000-0005-0000-0000-000017000000}"/>
    <cellStyle name="20% - Accent1 2 2 2 7 2" xfId="12950" xr:uid="{5C721CE1-6E4E-42CD-9AD3-B2B38268637D}"/>
    <cellStyle name="20% - Accent1 2 2 2 8" xfId="8732" xr:uid="{04B57A4F-2365-490E-939B-00E824B8A7BE}"/>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0E584BBB-3C69-429D-8ABF-CE43E3D11BF4}"/>
    <cellStyle name="20% - Accent1 2 2 3 2 3" xfId="11290" xr:uid="{622794D9-B05E-4B34-B48D-3418308D05CA}"/>
    <cellStyle name="20% - Accent1 2 2 3 3" xfId="4921" xr:uid="{00000000-0005-0000-0000-00001B000000}"/>
    <cellStyle name="20% - Accent1 2 2 3 3 2" xfId="13363" xr:uid="{2EA11D3F-164D-4FFC-A6D5-F5FBEB8C7D56}"/>
    <cellStyle name="20% - Accent1 2 2 3 4" xfId="9145" xr:uid="{B5A1085C-BE19-4743-910D-A7D9B9A7566A}"/>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062B851E-A972-4902-AC08-3A9218928635}"/>
    <cellStyle name="20% - Accent1 2 2 4 2 3" xfId="11703" xr:uid="{6AC2E8C4-7474-4D23-B131-C388FE522286}"/>
    <cellStyle name="20% - Accent1 2 2 4 3" xfId="5334" xr:uid="{00000000-0005-0000-0000-00001F000000}"/>
    <cellStyle name="20% - Accent1 2 2 4 3 2" xfId="13776" xr:uid="{47662660-EAE1-4242-AA53-DB75171D69E7}"/>
    <cellStyle name="20% - Accent1 2 2 4 4" xfId="9558" xr:uid="{E46DF97E-F75F-476F-AEEA-92A9A2F2189F}"/>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AB2638E1-6734-422D-9ACC-5B9BF4A937A9}"/>
    <cellStyle name="20% - Accent1 2 2 5 2 3" xfId="12116" xr:uid="{4B53FE38-286F-49C8-B3D2-65385CC6DC23}"/>
    <cellStyle name="20% - Accent1 2 2 5 3" xfId="5747" xr:uid="{00000000-0005-0000-0000-000023000000}"/>
    <cellStyle name="20% - Accent1 2 2 5 3 2" xfId="14189" xr:uid="{F5C1796A-2CDD-47EF-B53E-EA8D76DBA94B}"/>
    <cellStyle name="20% - Accent1 2 2 5 4" xfId="9971" xr:uid="{50DCD1DD-6DDE-4CA4-B25D-68E73864265D}"/>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A0F0043B-D1E3-4557-B2C9-EC3B52CA17F7}"/>
    <cellStyle name="20% - Accent1 2 2 6 2 3" xfId="12529" xr:uid="{3C754A0F-286D-4D94-9EC6-03D006FFEE0E}"/>
    <cellStyle name="20% - Accent1 2 2 6 3" xfId="6160" xr:uid="{00000000-0005-0000-0000-000027000000}"/>
    <cellStyle name="20% - Accent1 2 2 6 3 2" xfId="14602" xr:uid="{D7F6896C-3E30-4EDB-B5BC-922103B731A6}"/>
    <cellStyle name="20% - Accent1 2 2 6 4" xfId="10384" xr:uid="{016D20AC-089E-4945-8DB4-FB68CE801DC0}"/>
    <cellStyle name="20% - Accent1 2 2 7" xfId="2266" xr:uid="{00000000-0005-0000-0000-000028000000}"/>
    <cellStyle name="20% - Accent1 2 2 7 2" xfId="6573" xr:uid="{00000000-0005-0000-0000-000029000000}"/>
    <cellStyle name="20% - Accent1 2 2 7 2 2" xfId="15015" xr:uid="{1948F618-E47E-4B32-80E4-F6212AA75A8B}"/>
    <cellStyle name="20% - Accent1 2 2 7 3" xfId="10797" xr:uid="{F474FC17-BFAA-4873-99B7-D891E819756A}"/>
    <cellStyle name="20% - Accent1 2 2 8" xfId="4507" xr:uid="{00000000-0005-0000-0000-00002A000000}"/>
    <cellStyle name="20% - Accent1 2 2 8 2" xfId="12949" xr:uid="{D1DC9AAA-476C-4D6B-9C3D-E4C94C10CFB2}"/>
    <cellStyle name="20% - Accent1 2 2 9" xfId="8731" xr:uid="{976CF7E7-D261-4338-B879-F07EA91178BE}"/>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C347240D-23E1-4305-ACA2-1C345C8BBB09}"/>
    <cellStyle name="20% - Accent1 2 3 2 2 3" xfId="11292" xr:uid="{659D102B-1A40-4C4F-84ED-EDDAB16A8EA0}"/>
    <cellStyle name="20% - Accent1 2 3 2 3" xfId="4923" xr:uid="{00000000-0005-0000-0000-00002F000000}"/>
    <cellStyle name="20% - Accent1 2 3 2 3 2" xfId="13365" xr:uid="{7A5B3665-1D4F-494E-96FE-BA386FD5A7B0}"/>
    <cellStyle name="20% - Accent1 2 3 2 4" xfId="9147" xr:uid="{8EF9FD7B-A91B-4BE7-81FE-BD4C5794D269}"/>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993087D6-7154-4E1F-92EB-70C6D414DE5C}"/>
    <cellStyle name="20% - Accent1 2 3 3 2 3" xfId="11705" xr:uid="{7DB73635-CF57-4C8F-A3D8-EE8D6D13D998}"/>
    <cellStyle name="20% - Accent1 2 3 3 3" xfId="5336" xr:uid="{00000000-0005-0000-0000-000033000000}"/>
    <cellStyle name="20% - Accent1 2 3 3 3 2" xfId="13778" xr:uid="{2ED81AF8-EE4A-4F1A-9576-814EBB88BB6E}"/>
    <cellStyle name="20% - Accent1 2 3 3 4" xfId="9560" xr:uid="{AB81C1A5-86C9-4955-BD73-5919E9918BEC}"/>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DA5A8AAC-03A5-4015-AE1F-727C510DF471}"/>
    <cellStyle name="20% - Accent1 2 3 4 2 3" xfId="12118" xr:uid="{26A47A08-CA87-4FF6-BF73-79BD1F8A7E55}"/>
    <cellStyle name="20% - Accent1 2 3 4 3" xfId="5749" xr:uid="{00000000-0005-0000-0000-000037000000}"/>
    <cellStyle name="20% - Accent1 2 3 4 3 2" xfId="14191" xr:uid="{FC1808B8-764E-4F2A-87CD-E0BD4797BE5A}"/>
    <cellStyle name="20% - Accent1 2 3 4 4" xfId="9973" xr:uid="{E4CD5C5D-AA4C-405D-83A3-E5FCE3F1D64F}"/>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66096FD1-791A-425B-9BA1-CA656A574B9E}"/>
    <cellStyle name="20% - Accent1 2 3 5 2 3" xfId="12531" xr:uid="{8224949B-DB4C-402D-A12A-0F48E2F0DC2E}"/>
    <cellStyle name="20% - Accent1 2 3 5 3" xfId="6162" xr:uid="{00000000-0005-0000-0000-00003B000000}"/>
    <cellStyle name="20% - Accent1 2 3 5 3 2" xfId="14604" xr:uid="{658F7787-3A02-4C52-85D3-F267E19ADCF6}"/>
    <cellStyle name="20% - Accent1 2 3 5 4" xfId="10386" xr:uid="{4292AEAF-D156-4F0E-8445-58937B5BFC39}"/>
    <cellStyle name="20% - Accent1 2 3 6" xfId="2268" xr:uid="{00000000-0005-0000-0000-00003C000000}"/>
    <cellStyle name="20% - Accent1 2 3 6 2" xfId="6575" xr:uid="{00000000-0005-0000-0000-00003D000000}"/>
    <cellStyle name="20% - Accent1 2 3 6 2 2" xfId="15017" xr:uid="{73F3B02A-478F-4E8B-A546-E7E6E1865B13}"/>
    <cellStyle name="20% - Accent1 2 3 6 3" xfId="10799" xr:uid="{D24CA19F-9098-4566-A237-C31C918161F4}"/>
    <cellStyle name="20% - Accent1 2 3 7" xfId="4509" xr:uid="{00000000-0005-0000-0000-00003E000000}"/>
    <cellStyle name="20% - Accent1 2 3 7 2" xfId="12951" xr:uid="{E4963334-1703-414B-893E-260307A88A7F}"/>
    <cellStyle name="20% - Accent1 2 3 8" xfId="8733" xr:uid="{A4DCD3F1-F102-49AB-9E76-58872E94B59B}"/>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4E8FEABA-F77F-49B2-98E6-D5D605B9F582}"/>
    <cellStyle name="20% - Accent1 2 4 2 3" xfId="11289" xr:uid="{A55E3A30-620F-4584-957A-AF62797E43F1}"/>
    <cellStyle name="20% - Accent1 2 4 3" xfId="4920" xr:uid="{00000000-0005-0000-0000-000042000000}"/>
    <cellStyle name="20% - Accent1 2 4 3 2" xfId="13362" xr:uid="{9D976116-F49F-4740-AD29-225E58D74D85}"/>
    <cellStyle name="20% - Accent1 2 4 4" xfId="9144" xr:uid="{FDB71C69-AE5C-4ADB-BA76-8476CF1C7557}"/>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6C7DAC14-ECE0-4D8F-A2BE-3BF3DC65C8FC}"/>
    <cellStyle name="20% - Accent1 2 5 2 3" xfId="11702" xr:uid="{DD67F707-DCCB-46D4-BF0C-71273A69FA51}"/>
    <cellStyle name="20% - Accent1 2 5 3" xfId="5333" xr:uid="{00000000-0005-0000-0000-000046000000}"/>
    <cellStyle name="20% - Accent1 2 5 3 2" xfId="13775" xr:uid="{21D2B092-1418-42E5-82A7-5A5EB6952E17}"/>
    <cellStyle name="20% - Accent1 2 5 4" xfId="9557" xr:uid="{18F57F63-0244-4775-A1E2-A52AA0CDDCCC}"/>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1DE59A8A-7F40-4417-926E-F13EE9CE6F4D}"/>
    <cellStyle name="20% - Accent1 2 6 2 3" xfId="12115" xr:uid="{95097457-E1BE-478F-B9F2-BE92AC2A0A79}"/>
    <cellStyle name="20% - Accent1 2 6 3" xfId="5746" xr:uid="{00000000-0005-0000-0000-00004A000000}"/>
    <cellStyle name="20% - Accent1 2 6 3 2" xfId="14188" xr:uid="{14D68AC4-029F-4DCC-8812-0F8869C98E63}"/>
    <cellStyle name="20% - Accent1 2 6 4" xfId="9970" xr:uid="{0701C448-EB27-42F5-B247-E76BFDCDECB1}"/>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F4204736-14BA-42C7-BAD2-432B3FBE44CA}"/>
    <cellStyle name="20% - Accent1 2 7 2 3" xfId="12528" xr:uid="{30A5D1EF-4F46-4137-90FB-AD3D3D8235B0}"/>
    <cellStyle name="20% - Accent1 2 7 3" xfId="6159" xr:uid="{00000000-0005-0000-0000-00004E000000}"/>
    <cellStyle name="20% - Accent1 2 7 3 2" xfId="14601" xr:uid="{8343D9E8-19D5-465E-9F1A-7D95C80DDF04}"/>
    <cellStyle name="20% - Accent1 2 7 4" xfId="10383" xr:uid="{47882BDF-5533-4F28-930F-C4226577E6D8}"/>
    <cellStyle name="20% - Accent1 2 8" xfId="2265" xr:uid="{00000000-0005-0000-0000-00004F000000}"/>
    <cellStyle name="20% - Accent1 2 8 2" xfId="6572" xr:uid="{00000000-0005-0000-0000-000050000000}"/>
    <cellStyle name="20% - Accent1 2 8 2 2" xfId="15014" xr:uid="{8F684290-CC5F-4444-9CD2-99BC7A7D6CB1}"/>
    <cellStyle name="20% - Accent1 2 8 3" xfId="10796" xr:uid="{26A9CE8D-D553-4730-B00C-1F8B81E7A5EB}"/>
    <cellStyle name="20% - Accent1 2 9" xfId="4506" xr:uid="{00000000-0005-0000-0000-000051000000}"/>
    <cellStyle name="20% - Accent1 2 9 2" xfId="12948" xr:uid="{65BCAE8F-94C9-43E3-99A4-2DE863602FD8}"/>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08CC343C-6B92-45F6-925E-89AD9349196B}"/>
    <cellStyle name="20% - Accent1 3 2 2 2 3" xfId="11294" xr:uid="{B5B1625A-42B8-4C80-9ED9-BAAEEFAC17EA}"/>
    <cellStyle name="20% - Accent1 3 2 2 3" xfId="4925" xr:uid="{00000000-0005-0000-0000-000057000000}"/>
    <cellStyle name="20% - Accent1 3 2 2 3 2" xfId="13367" xr:uid="{CB058DFF-D320-421C-9232-C6AA85F99B67}"/>
    <cellStyle name="20% - Accent1 3 2 2 4" xfId="9149" xr:uid="{F1217384-3771-43EA-80DA-BF2FC1C9ADE4}"/>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DEEB1F37-0529-4492-8F77-EF062F48B1A3}"/>
    <cellStyle name="20% - Accent1 3 2 3 2 3" xfId="11707" xr:uid="{AEB5EAA6-79B4-46E2-89D5-2D7F0996A0A0}"/>
    <cellStyle name="20% - Accent1 3 2 3 3" xfId="5338" xr:uid="{00000000-0005-0000-0000-00005B000000}"/>
    <cellStyle name="20% - Accent1 3 2 3 3 2" xfId="13780" xr:uid="{81DE46ED-8B6E-4407-A378-3F2B1303C060}"/>
    <cellStyle name="20% - Accent1 3 2 3 4" xfId="9562" xr:uid="{D479CA17-4C1B-4822-A978-DB14B8D9E6FC}"/>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A3AA7D50-5172-4014-ABB2-C5AAC0B5A8D5}"/>
    <cellStyle name="20% - Accent1 3 2 4 2 3" xfId="12120" xr:uid="{1F223E58-A55D-4AE8-87C1-4B1ED9FBA4C1}"/>
    <cellStyle name="20% - Accent1 3 2 4 3" xfId="5751" xr:uid="{00000000-0005-0000-0000-00005F000000}"/>
    <cellStyle name="20% - Accent1 3 2 4 3 2" xfId="14193" xr:uid="{400D8452-07FF-41A1-AF63-4897014F871E}"/>
    <cellStyle name="20% - Accent1 3 2 4 4" xfId="9975" xr:uid="{8B8FAC1D-B936-49A6-877D-E719B0DBCEB6}"/>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287CEAC2-CE92-42C5-83E2-EB1A1FA15A0C}"/>
    <cellStyle name="20% - Accent1 3 2 5 2 3" xfId="12533" xr:uid="{CDE658DC-C940-41BC-8490-0A2FA4FD9B55}"/>
    <cellStyle name="20% - Accent1 3 2 5 3" xfId="6164" xr:uid="{00000000-0005-0000-0000-000063000000}"/>
    <cellStyle name="20% - Accent1 3 2 5 3 2" xfId="14606" xr:uid="{2AB905FE-4237-4EB8-9AFE-F26798B6763D}"/>
    <cellStyle name="20% - Accent1 3 2 5 4" xfId="10388" xr:uid="{CC800014-FA57-4F13-9B8D-59B9E05B43EE}"/>
    <cellStyle name="20% - Accent1 3 2 6" xfId="2270" xr:uid="{00000000-0005-0000-0000-000064000000}"/>
    <cellStyle name="20% - Accent1 3 2 6 2" xfId="6577" xr:uid="{00000000-0005-0000-0000-000065000000}"/>
    <cellStyle name="20% - Accent1 3 2 6 2 2" xfId="15019" xr:uid="{CF63313B-9805-429A-AF6D-578737467918}"/>
    <cellStyle name="20% - Accent1 3 2 6 3" xfId="10801" xr:uid="{8119F411-D315-4EC2-A135-A53FA43D80E6}"/>
    <cellStyle name="20% - Accent1 3 2 7" xfId="4511" xr:uid="{00000000-0005-0000-0000-000066000000}"/>
    <cellStyle name="20% - Accent1 3 2 7 2" xfId="12953" xr:uid="{2B9716BC-4B28-4775-95E2-B96CFA0F07EB}"/>
    <cellStyle name="20% - Accent1 3 2 8" xfId="8735" xr:uid="{76611C1E-A2FB-4B0E-A33E-737F9E519AB7}"/>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B8657AEF-0CB9-43CC-B66A-A8D4292BB6CC}"/>
    <cellStyle name="20% - Accent1 3 3 2 3" xfId="11293" xr:uid="{22C685FC-24A0-4B69-AF5D-84A8C1AF0409}"/>
    <cellStyle name="20% - Accent1 3 3 3" xfId="4924" xr:uid="{00000000-0005-0000-0000-00006A000000}"/>
    <cellStyle name="20% - Accent1 3 3 3 2" xfId="13366" xr:uid="{54FF1DC6-4B3B-444B-A6ED-BAE30C95CC9D}"/>
    <cellStyle name="20% - Accent1 3 3 4" xfId="9148" xr:uid="{AC2640F6-DF4F-4E4F-B263-0FAC78E30C8E}"/>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9763C005-50B2-4FFE-BA38-5DF94EA4ABFE}"/>
    <cellStyle name="20% - Accent1 3 4 2 3" xfId="11706" xr:uid="{DB745881-0574-4F55-B5F2-F9EB8B958FBB}"/>
    <cellStyle name="20% - Accent1 3 4 3" xfId="5337" xr:uid="{00000000-0005-0000-0000-00006E000000}"/>
    <cellStyle name="20% - Accent1 3 4 3 2" xfId="13779" xr:uid="{CD9FCE20-E785-4E9B-82E4-94B3C6D09209}"/>
    <cellStyle name="20% - Accent1 3 4 4" xfId="9561" xr:uid="{FFC01448-83EA-4F82-B998-85FF046BD9E3}"/>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8AD295A5-BD6F-481A-9CBD-18E1DDDCE7BF}"/>
    <cellStyle name="20% - Accent1 3 5 2 3" xfId="12119" xr:uid="{08E9DFC3-FF1E-4C09-95CD-66F6A1D67455}"/>
    <cellStyle name="20% - Accent1 3 5 3" xfId="5750" xr:uid="{00000000-0005-0000-0000-000072000000}"/>
    <cellStyle name="20% - Accent1 3 5 3 2" xfId="14192" xr:uid="{F8B47EBB-5CD8-49BA-9102-975E713C6B0C}"/>
    <cellStyle name="20% - Accent1 3 5 4" xfId="9974" xr:uid="{2C341239-29DD-4B0A-9AF4-A58630D14ED5}"/>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966D901C-FD15-4B36-92E6-6C6E000A844B}"/>
    <cellStyle name="20% - Accent1 3 6 2 3" xfId="12532" xr:uid="{BB2FDC7E-151A-4CF3-97B5-23D13AF04846}"/>
    <cellStyle name="20% - Accent1 3 6 3" xfId="6163" xr:uid="{00000000-0005-0000-0000-000076000000}"/>
    <cellStyle name="20% - Accent1 3 6 3 2" xfId="14605" xr:uid="{ADEE2DF1-7CF1-471A-8755-BA963CC5DF9C}"/>
    <cellStyle name="20% - Accent1 3 6 4" xfId="10387" xr:uid="{398BB633-211F-40F9-A9A4-48B6595575ED}"/>
    <cellStyle name="20% - Accent1 3 7" xfId="2269" xr:uid="{00000000-0005-0000-0000-000077000000}"/>
    <cellStyle name="20% - Accent1 3 7 2" xfId="6576" xr:uid="{00000000-0005-0000-0000-000078000000}"/>
    <cellStyle name="20% - Accent1 3 7 2 2" xfId="15018" xr:uid="{0A7B5942-1482-440B-854D-DB4C2B4F3BFE}"/>
    <cellStyle name="20% - Accent1 3 7 3" xfId="10800" xr:uid="{BCFF4ED0-C05C-4BC7-84AE-891349D2F379}"/>
    <cellStyle name="20% - Accent1 3 8" xfId="4510" xr:uid="{00000000-0005-0000-0000-000079000000}"/>
    <cellStyle name="20% - Accent1 3 8 2" xfId="12952" xr:uid="{39D382FE-4A7A-4C45-88ED-E2B12E0348CD}"/>
    <cellStyle name="20% - Accent1 3 9" xfId="8734" xr:uid="{8208C8D1-861B-4CD1-91E6-87F2DAFBD394}"/>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25745693-6EA0-46EF-9FA6-44AD34E1ED52}"/>
    <cellStyle name="20% - Accent1 4 2 2 3" xfId="11295" xr:uid="{66B5CD67-5461-4E84-A838-AA394549A023}"/>
    <cellStyle name="20% - Accent1 4 2 3" xfId="4926" xr:uid="{00000000-0005-0000-0000-00007E000000}"/>
    <cellStyle name="20% - Accent1 4 2 3 2" xfId="13368" xr:uid="{2744346C-D69C-4AE5-AFE1-03EC047609E8}"/>
    <cellStyle name="20% - Accent1 4 2 4" xfId="9150" xr:uid="{06FB8F70-97AF-44EF-9B63-4C6A553700BC}"/>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3CC1461B-9774-499C-A183-1AA60D4B060F}"/>
    <cellStyle name="20% - Accent1 4 3 2 3" xfId="11708" xr:uid="{9FE7F6AB-2062-4377-B2FF-E4089EB81EC4}"/>
    <cellStyle name="20% - Accent1 4 3 3" xfId="5339" xr:uid="{00000000-0005-0000-0000-000082000000}"/>
    <cellStyle name="20% - Accent1 4 3 3 2" xfId="13781" xr:uid="{97454B38-340F-41D7-9DC9-683D48491DBD}"/>
    <cellStyle name="20% - Accent1 4 3 4" xfId="9563" xr:uid="{2C3A3ABD-1E1C-46B5-969C-BD4623E3BB2D}"/>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9B561BD4-57C7-4D17-9280-33363BD28CAD}"/>
    <cellStyle name="20% - Accent1 4 4 2 3" xfId="12121" xr:uid="{2B4A4A60-8179-4D50-AC78-E42DFA997096}"/>
    <cellStyle name="20% - Accent1 4 4 3" xfId="5752" xr:uid="{00000000-0005-0000-0000-000086000000}"/>
    <cellStyle name="20% - Accent1 4 4 3 2" xfId="14194" xr:uid="{BD4CCB82-DF50-4127-8F45-0CE3DFB518F9}"/>
    <cellStyle name="20% - Accent1 4 4 4" xfId="9976" xr:uid="{D70C81D8-C667-4B91-B7D0-05883CD66A19}"/>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BF627A80-0145-4B89-B4CB-B693FFC32616}"/>
    <cellStyle name="20% - Accent1 4 5 2 3" xfId="12534" xr:uid="{D8EB443C-2A18-4FC5-A416-00489B3DF073}"/>
    <cellStyle name="20% - Accent1 4 5 3" xfId="6165" xr:uid="{00000000-0005-0000-0000-00008A000000}"/>
    <cellStyle name="20% - Accent1 4 5 3 2" xfId="14607" xr:uid="{1223C742-46ED-449D-94DB-151F1E7F1EFB}"/>
    <cellStyle name="20% - Accent1 4 5 4" xfId="10389" xr:uid="{69352FAD-ED41-4F64-B902-5B6C6A6F3A21}"/>
    <cellStyle name="20% - Accent1 4 6" xfId="2271" xr:uid="{00000000-0005-0000-0000-00008B000000}"/>
    <cellStyle name="20% - Accent1 4 6 2" xfId="6578" xr:uid="{00000000-0005-0000-0000-00008C000000}"/>
    <cellStyle name="20% - Accent1 4 6 2 2" xfId="15020" xr:uid="{06812728-D46C-4DB9-AB7D-94D7D2CAA710}"/>
    <cellStyle name="20% - Accent1 4 6 3" xfId="10802" xr:uid="{06C1D8CC-1912-40CC-A564-CF694AD480AE}"/>
    <cellStyle name="20% - Accent1 4 7" xfId="4512" xr:uid="{00000000-0005-0000-0000-00008D000000}"/>
    <cellStyle name="20% - Accent1 4 7 2" xfId="12954" xr:uid="{D6738690-221C-4369-9FD5-19683B447AB1}"/>
    <cellStyle name="20% - Accent1 4 8" xfId="8736" xr:uid="{21D140F2-CCE9-4D36-9977-9152DEBFB366}"/>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A3BEE98C-DCD6-40BD-AD11-A399F53ED1B3}"/>
    <cellStyle name="20% - Accent1 5 2 3" xfId="11288" xr:uid="{A8D30A0C-0AD4-4849-B35B-66E848A522DC}"/>
    <cellStyle name="20% - Accent1 5 3" xfId="4919" xr:uid="{00000000-0005-0000-0000-000091000000}"/>
    <cellStyle name="20% - Accent1 5 3 2" xfId="13361" xr:uid="{D4825A52-B2E4-4042-BB89-EF53E46EDFFA}"/>
    <cellStyle name="20% - Accent1 5 4" xfId="9143" xr:uid="{8F93269B-E087-46C9-9AD1-226A48C781DC}"/>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2687C028-430D-47C5-A6F1-F96A1901DE03}"/>
    <cellStyle name="20% - Accent1 6 2 3" xfId="11701" xr:uid="{B8256D2A-EA8E-4889-B5E8-124403C84D60}"/>
    <cellStyle name="20% - Accent1 6 3" xfId="5332" xr:uid="{00000000-0005-0000-0000-000095000000}"/>
    <cellStyle name="20% - Accent1 6 3 2" xfId="13774" xr:uid="{8329EDC4-48FF-4C34-BF14-60E12BEEDE52}"/>
    <cellStyle name="20% - Accent1 6 4" xfId="9556" xr:uid="{9F53FAFE-124E-4F4D-B544-B15E1C648160}"/>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4E756076-AE7C-4AAC-BD2A-BC608BD74C09}"/>
    <cellStyle name="20% - Accent1 7 2 3" xfId="12114" xr:uid="{7599BA13-4C18-483A-B807-ACE2D29C74AB}"/>
    <cellStyle name="20% - Accent1 7 3" xfId="5745" xr:uid="{00000000-0005-0000-0000-000099000000}"/>
    <cellStyle name="20% - Accent1 7 3 2" xfId="14187" xr:uid="{3477791E-F3BB-464C-A182-12D53EC56A68}"/>
    <cellStyle name="20% - Accent1 7 4" xfId="9969" xr:uid="{6A2866BE-8B7D-430E-A0A0-6C8A3522457A}"/>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9DAB901E-88AF-46FC-87D6-2954B04918A7}"/>
    <cellStyle name="20% - Accent1 8 2 3" xfId="12527" xr:uid="{C54C9B88-E726-49A0-9F78-15CC02FFF5F6}"/>
    <cellStyle name="20% - Accent1 8 3" xfId="6158" xr:uid="{00000000-0005-0000-0000-00009D000000}"/>
    <cellStyle name="20% - Accent1 8 3 2" xfId="14600" xr:uid="{BC1D0406-1928-4D99-B5E4-3DC28DB1F6E8}"/>
    <cellStyle name="20% - Accent1 8 4" xfId="10382" xr:uid="{80E181B6-7BA1-4961-8DB3-998F5251AAA7}"/>
    <cellStyle name="20% - Accent1 9" xfId="2264" xr:uid="{00000000-0005-0000-0000-00009E000000}"/>
    <cellStyle name="20% - Accent1 9 2" xfId="6571" xr:uid="{00000000-0005-0000-0000-00009F000000}"/>
    <cellStyle name="20% - Accent1 9 2 2" xfId="15013" xr:uid="{A7A2AB28-3321-493B-932F-CB912A2C1A55}"/>
    <cellStyle name="20% - Accent1 9 3" xfId="10795" xr:uid="{54449141-EDA8-4D0B-8981-C0C462B6632B}"/>
    <cellStyle name="20% - Accent2" xfId="9" builtinId="34" customBuiltin="1"/>
    <cellStyle name="20% - Accent2 10" xfId="4513" xr:uid="{00000000-0005-0000-0000-0000A1000000}"/>
    <cellStyle name="20% - Accent2 10 2" xfId="12955" xr:uid="{84F2ECD1-7200-4ABB-B0B9-760AA7EBECC3}"/>
    <cellStyle name="20% - Accent2 11" xfId="8737" xr:uid="{F4DDF8D5-94AF-48BB-B56B-EC8F6E60E2E7}"/>
    <cellStyle name="20% - Accent2 2" xfId="10" xr:uid="{00000000-0005-0000-0000-0000A2000000}"/>
    <cellStyle name="20% - Accent2 2 10" xfId="8738" xr:uid="{FD5D8091-529A-47DB-85F6-3BF4D2AF6B54}"/>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03C8025F-B5A9-4C32-981B-79382833A15C}"/>
    <cellStyle name="20% - Accent2 2 2 2 2 2 3" xfId="11299" xr:uid="{077F7D8E-1864-4AA5-8A86-28CD6CFEAFF3}"/>
    <cellStyle name="20% - Accent2 2 2 2 2 3" xfId="4930" xr:uid="{00000000-0005-0000-0000-0000A8000000}"/>
    <cellStyle name="20% - Accent2 2 2 2 2 3 2" xfId="13372" xr:uid="{A66F8B00-8BEF-4FD1-9BB6-19CCD941033D}"/>
    <cellStyle name="20% - Accent2 2 2 2 2 4" xfId="9154" xr:uid="{3BAE77EE-E8CE-4A8D-B410-31A2BD62C117}"/>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586C0D77-F171-4BF0-A2CE-E3F8F1532BDC}"/>
    <cellStyle name="20% - Accent2 2 2 2 3 2 3" xfId="11712" xr:uid="{1DEF6C41-AB26-48DC-A721-7830CDD4FE54}"/>
    <cellStyle name="20% - Accent2 2 2 2 3 3" xfId="5343" xr:uid="{00000000-0005-0000-0000-0000AC000000}"/>
    <cellStyle name="20% - Accent2 2 2 2 3 3 2" xfId="13785" xr:uid="{AFCD6415-40AC-4679-A09B-2FDBD7DD181C}"/>
    <cellStyle name="20% - Accent2 2 2 2 3 4" xfId="9567" xr:uid="{529C7608-C6DC-4101-938C-5AB661087C32}"/>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55F71A09-DDD0-40F1-8BDC-1DEF436CF4EB}"/>
    <cellStyle name="20% - Accent2 2 2 2 4 2 3" xfId="12125" xr:uid="{5ACDD4BD-C558-463A-9CB1-389D06715215}"/>
    <cellStyle name="20% - Accent2 2 2 2 4 3" xfId="5756" xr:uid="{00000000-0005-0000-0000-0000B0000000}"/>
    <cellStyle name="20% - Accent2 2 2 2 4 3 2" xfId="14198" xr:uid="{D080BAB4-A00C-4ADA-B818-CB3AE0384866}"/>
    <cellStyle name="20% - Accent2 2 2 2 4 4" xfId="9980" xr:uid="{BB06F6C2-4084-460E-8C45-379EDF2B590D}"/>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A7A0B827-1682-40DE-BE8F-FFC0E805D1B2}"/>
    <cellStyle name="20% - Accent2 2 2 2 5 2 3" xfId="12538" xr:uid="{15EC09CC-6C27-465C-9A04-70575D06F72D}"/>
    <cellStyle name="20% - Accent2 2 2 2 5 3" xfId="6169" xr:uid="{00000000-0005-0000-0000-0000B4000000}"/>
    <cellStyle name="20% - Accent2 2 2 2 5 3 2" xfId="14611" xr:uid="{14373AFF-EEC2-4D57-B92C-0B5FA64CB840}"/>
    <cellStyle name="20% - Accent2 2 2 2 5 4" xfId="10393" xr:uid="{51CC266D-D13D-405E-8779-C54003091C59}"/>
    <cellStyle name="20% - Accent2 2 2 2 6" xfId="2275" xr:uid="{00000000-0005-0000-0000-0000B5000000}"/>
    <cellStyle name="20% - Accent2 2 2 2 6 2" xfId="6582" xr:uid="{00000000-0005-0000-0000-0000B6000000}"/>
    <cellStyle name="20% - Accent2 2 2 2 6 2 2" xfId="15024" xr:uid="{BBD4B4A8-CEEA-45C8-854D-862CB83AA0FB}"/>
    <cellStyle name="20% - Accent2 2 2 2 6 3" xfId="10806" xr:uid="{F7229E9B-7729-4A30-BFF7-28C9935EE90A}"/>
    <cellStyle name="20% - Accent2 2 2 2 7" xfId="4516" xr:uid="{00000000-0005-0000-0000-0000B7000000}"/>
    <cellStyle name="20% - Accent2 2 2 2 7 2" xfId="12958" xr:uid="{84391613-47B6-4A40-8107-03B10FFCD6C1}"/>
    <cellStyle name="20% - Accent2 2 2 2 8" xfId="8740" xr:uid="{7B5DBB5C-256A-46B8-A9A1-7331AEB6A4D6}"/>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579E2A84-B9D1-4536-BE86-57FA8EA0D8FB}"/>
    <cellStyle name="20% - Accent2 2 2 3 2 3" xfId="11298" xr:uid="{2022EBFA-EBD9-4FC0-A9C8-1AA5F226AE57}"/>
    <cellStyle name="20% - Accent2 2 2 3 3" xfId="4929" xr:uid="{00000000-0005-0000-0000-0000BB000000}"/>
    <cellStyle name="20% - Accent2 2 2 3 3 2" xfId="13371" xr:uid="{9E1F67D5-2790-4ADF-8BB5-60938D6A8BCD}"/>
    <cellStyle name="20% - Accent2 2 2 3 4" xfId="9153" xr:uid="{AE8F13B3-EF59-460B-9980-F306D9C3DA86}"/>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07CE38F3-959D-48D2-BA85-A4B6566F3F18}"/>
    <cellStyle name="20% - Accent2 2 2 4 2 3" xfId="11711" xr:uid="{081E0A85-2590-4520-9051-21A1233B68A1}"/>
    <cellStyle name="20% - Accent2 2 2 4 3" xfId="5342" xr:uid="{00000000-0005-0000-0000-0000BF000000}"/>
    <cellStyle name="20% - Accent2 2 2 4 3 2" xfId="13784" xr:uid="{0AD320DB-C82A-49E1-B27E-860C6CAC90F3}"/>
    <cellStyle name="20% - Accent2 2 2 4 4" xfId="9566" xr:uid="{509B3E2E-15D2-4D52-8803-B2B69A8DF969}"/>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EAD1854F-EAB7-4A37-B6E2-DBED1A1464A9}"/>
    <cellStyle name="20% - Accent2 2 2 5 2 3" xfId="12124" xr:uid="{D62663C6-8409-47C9-B00F-3ADE7022A8E8}"/>
    <cellStyle name="20% - Accent2 2 2 5 3" xfId="5755" xr:uid="{00000000-0005-0000-0000-0000C3000000}"/>
    <cellStyle name="20% - Accent2 2 2 5 3 2" xfId="14197" xr:uid="{F136DB38-E8E2-45DC-8763-9E65353A1FC4}"/>
    <cellStyle name="20% - Accent2 2 2 5 4" xfId="9979" xr:uid="{C715E05A-19D3-4499-BD9F-7E7843609638}"/>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B0FB5AEC-FA76-41C4-8DD4-73B09D145757}"/>
    <cellStyle name="20% - Accent2 2 2 6 2 3" xfId="12537" xr:uid="{5131DA72-5821-465B-B029-F7223B3227DB}"/>
    <cellStyle name="20% - Accent2 2 2 6 3" xfId="6168" xr:uid="{00000000-0005-0000-0000-0000C7000000}"/>
    <cellStyle name="20% - Accent2 2 2 6 3 2" xfId="14610" xr:uid="{1890D2FD-4FCF-446C-927C-C7194FEB8723}"/>
    <cellStyle name="20% - Accent2 2 2 6 4" xfId="10392" xr:uid="{5AB2CE18-38A3-453B-B2FD-1DD075FD505D}"/>
    <cellStyle name="20% - Accent2 2 2 7" xfId="2274" xr:uid="{00000000-0005-0000-0000-0000C8000000}"/>
    <cellStyle name="20% - Accent2 2 2 7 2" xfId="6581" xr:uid="{00000000-0005-0000-0000-0000C9000000}"/>
    <cellStyle name="20% - Accent2 2 2 7 2 2" xfId="15023" xr:uid="{9746251D-9853-4001-885B-55C41BA25896}"/>
    <cellStyle name="20% - Accent2 2 2 7 3" xfId="10805" xr:uid="{708477C3-E87E-41E7-A9AC-9E37DD2C7A86}"/>
    <cellStyle name="20% - Accent2 2 2 8" xfId="4515" xr:uid="{00000000-0005-0000-0000-0000CA000000}"/>
    <cellStyle name="20% - Accent2 2 2 8 2" xfId="12957" xr:uid="{1755EF40-382D-48F3-8710-C72A5B209DBF}"/>
    <cellStyle name="20% - Accent2 2 2 9" xfId="8739" xr:uid="{33428DC9-177A-425E-B244-E37B3BB43991}"/>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C2DAD0FD-A71E-4940-BC58-36C33257650E}"/>
    <cellStyle name="20% - Accent2 2 3 2 2 3" xfId="11300" xr:uid="{549781BB-E287-4B0C-BB13-AE5C3C62C4B6}"/>
    <cellStyle name="20% - Accent2 2 3 2 3" xfId="4931" xr:uid="{00000000-0005-0000-0000-0000CF000000}"/>
    <cellStyle name="20% - Accent2 2 3 2 3 2" xfId="13373" xr:uid="{33B507B3-7C8C-4B03-B74C-F70AD4C26451}"/>
    <cellStyle name="20% - Accent2 2 3 2 4" xfId="9155" xr:uid="{9F282037-B833-47DC-B11A-F6A42AC6024C}"/>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7593C25C-A9EB-4F2B-A2DE-72D979C23449}"/>
    <cellStyle name="20% - Accent2 2 3 3 2 3" xfId="11713" xr:uid="{481E7847-3CB9-4283-AB2C-A75062379605}"/>
    <cellStyle name="20% - Accent2 2 3 3 3" xfId="5344" xr:uid="{00000000-0005-0000-0000-0000D3000000}"/>
    <cellStyle name="20% - Accent2 2 3 3 3 2" xfId="13786" xr:uid="{E7D8D62D-EC8C-4DDA-B305-3665F4E4B4E5}"/>
    <cellStyle name="20% - Accent2 2 3 3 4" xfId="9568" xr:uid="{16294986-FF30-4457-A9B9-74EDA6360B71}"/>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720A9F7F-6747-46FC-B4A3-EE8A5E330D77}"/>
    <cellStyle name="20% - Accent2 2 3 4 2 3" xfId="12126" xr:uid="{CCD2A537-DD58-43AD-83FE-A13421BCD37C}"/>
    <cellStyle name="20% - Accent2 2 3 4 3" xfId="5757" xr:uid="{00000000-0005-0000-0000-0000D7000000}"/>
    <cellStyle name="20% - Accent2 2 3 4 3 2" xfId="14199" xr:uid="{65C21D27-6B9C-4AD0-A02D-87D4EE7AB538}"/>
    <cellStyle name="20% - Accent2 2 3 4 4" xfId="9981" xr:uid="{BBB0EB38-3EF1-4F4B-B3AC-8964E106AF7D}"/>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FCAFA2AA-7929-473C-B57F-8E2EBFF4435C}"/>
    <cellStyle name="20% - Accent2 2 3 5 2 3" xfId="12539" xr:uid="{56158131-CA32-43E1-92DF-631A1FD68DE1}"/>
    <cellStyle name="20% - Accent2 2 3 5 3" xfId="6170" xr:uid="{00000000-0005-0000-0000-0000DB000000}"/>
    <cellStyle name="20% - Accent2 2 3 5 3 2" xfId="14612" xr:uid="{D6F36EF2-BF4B-4FE5-9CA4-08FF990133CC}"/>
    <cellStyle name="20% - Accent2 2 3 5 4" xfId="10394" xr:uid="{036A9296-D104-498B-BBE1-0DA7DFD11D23}"/>
    <cellStyle name="20% - Accent2 2 3 6" xfId="2276" xr:uid="{00000000-0005-0000-0000-0000DC000000}"/>
    <cellStyle name="20% - Accent2 2 3 6 2" xfId="6583" xr:uid="{00000000-0005-0000-0000-0000DD000000}"/>
    <cellStyle name="20% - Accent2 2 3 6 2 2" xfId="15025" xr:uid="{CE4C9863-EEF0-4EDD-A013-AB9D93B82E8B}"/>
    <cellStyle name="20% - Accent2 2 3 6 3" xfId="10807" xr:uid="{26EB8DBB-5711-4238-AC02-CD52A0F8AE2F}"/>
    <cellStyle name="20% - Accent2 2 3 7" xfId="4517" xr:uid="{00000000-0005-0000-0000-0000DE000000}"/>
    <cellStyle name="20% - Accent2 2 3 7 2" xfId="12959" xr:uid="{53EEB507-097F-46AF-8ABF-3E4F29B0C679}"/>
    <cellStyle name="20% - Accent2 2 3 8" xfId="8741" xr:uid="{53546813-7198-40D6-A513-833A139B20CB}"/>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F9B3897A-CA44-4222-8679-25C5B09D94D4}"/>
    <cellStyle name="20% - Accent2 2 4 2 3" xfId="11297" xr:uid="{BF1B75FD-C039-4199-BFA9-A44483EF8384}"/>
    <cellStyle name="20% - Accent2 2 4 3" xfId="4928" xr:uid="{00000000-0005-0000-0000-0000E2000000}"/>
    <cellStyle name="20% - Accent2 2 4 3 2" xfId="13370" xr:uid="{BAD65133-AFAB-4103-8D74-A1B9B2D2D407}"/>
    <cellStyle name="20% - Accent2 2 4 4" xfId="9152" xr:uid="{E9AC8BC2-0FC0-49E4-9F10-EC682BE48E5E}"/>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ABEEC8C1-9D1A-4B14-A874-7049BC8ED576}"/>
    <cellStyle name="20% - Accent2 2 5 2 3" xfId="11710" xr:uid="{702C00E7-D339-4474-9DAB-3287DFDEDE71}"/>
    <cellStyle name="20% - Accent2 2 5 3" xfId="5341" xr:uid="{00000000-0005-0000-0000-0000E6000000}"/>
    <cellStyle name="20% - Accent2 2 5 3 2" xfId="13783" xr:uid="{EDC0E096-9FEA-48CC-9A29-75365CD15580}"/>
    <cellStyle name="20% - Accent2 2 5 4" xfId="9565" xr:uid="{D816418F-CC0B-4263-8BE9-5F311B5F07E3}"/>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3424518B-B14C-4594-86E7-6C651DF8A380}"/>
    <cellStyle name="20% - Accent2 2 6 2 3" xfId="12123" xr:uid="{69FC144B-22E6-43CB-A292-3C0FAA79D5D4}"/>
    <cellStyle name="20% - Accent2 2 6 3" xfId="5754" xr:uid="{00000000-0005-0000-0000-0000EA000000}"/>
    <cellStyle name="20% - Accent2 2 6 3 2" xfId="14196" xr:uid="{075A9EAE-6AD7-45B4-A3E7-3E8AD3185718}"/>
    <cellStyle name="20% - Accent2 2 6 4" xfId="9978" xr:uid="{250674C4-FF9D-4E23-9AC5-F76D8D33283A}"/>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F04BA8B2-F2BA-47D8-AA05-8A1286215646}"/>
    <cellStyle name="20% - Accent2 2 7 2 3" xfId="12536" xr:uid="{C8F9FAE4-90E2-4B32-BE49-CD434381A39D}"/>
    <cellStyle name="20% - Accent2 2 7 3" xfId="6167" xr:uid="{00000000-0005-0000-0000-0000EE000000}"/>
    <cellStyle name="20% - Accent2 2 7 3 2" xfId="14609" xr:uid="{DF76294C-866E-4416-9935-FF2F3917EB5D}"/>
    <cellStyle name="20% - Accent2 2 7 4" xfId="10391" xr:uid="{273D555F-528D-4CDC-A00F-7126F0B970CF}"/>
    <cellStyle name="20% - Accent2 2 8" xfId="2273" xr:uid="{00000000-0005-0000-0000-0000EF000000}"/>
    <cellStyle name="20% - Accent2 2 8 2" xfId="6580" xr:uid="{00000000-0005-0000-0000-0000F0000000}"/>
    <cellStyle name="20% - Accent2 2 8 2 2" xfId="15022" xr:uid="{4A7815AA-1411-4111-A7CF-E9C971F95E14}"/>
    <cellStyle name="20% - Accent2 2 8 3" xfId="10804" xr:uid="{B5B4C132-553B-4C6E-B45A-C78FFC9ABCDC}"/>
    <cellStyle name="20% - Accent2 2 9" xfId="4514" xr:uid="{00000000-0005-0000-0000-0000F1000000}"/>
    <cellStyle name="20% - Accent2 2 9 2" xfId="12956" xr:uid="{0FD88297-B523-4C0E-B1BB-72C3FE0EC46E}"/>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CAC55EEC-4C9D-4073-84EA-9A31606F3224}"/>
    <cellStyle name="20% - Accent2 3 2 2 2 3" xfId="11302" xr:uid="{65F01DD0-363F-428F-B74E-C4B479227261}"/>
    <cellStyle name="20% - Accent2 3 2 2 3" xfId="4933" xr:uid="{00000000-0005-0000-0000-0000F7000000}"/>
    <cellStyle name="20% - Accent2 3 2 2 3 2" xfId="13375" xr:uid="{8DFC88F9-FCDC-42DF-88D3-8CBCEE82C39A}"/>
    <cellStyle name="20% - Accent2 3 2 2 4" xfId="9157" xr:uid="{3FB71AB7-9552-4DCD-9C87-0E86930BCC71}"/>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D5777249-544F-4348-BBE7-11AD99E7079E}"/>
    <cellStyle name="20% - Accent2 3 2 3 2 3" xfId="11715" xr:uid="{EC724FE2-1748-46C5-94B7-820FAE8E633E}"/>
    <cellStyle name="20% - Accent2 3 2 3 3" xfId="5346" xr:uid="{00000000-0005-0000-0000-0000FB000000}"/>
    <cellStyle name="20% - Accent2 3 2 3 3 2" xfId="13788" xr:uid="{A8928604-33CF-4AD6-A8A8-858876E3E59E}"/>
    <cellStyle name="20% - Accent2 3 2 3 4" xfId="9570" xr:uid="{3F939E70-18AB-4FB0-BBCF-BD85CB8A7FC4}"/>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8EF33E4D-4E31-4905-8CE2-6CD48799A05D}"/>
    <cellStyle name="20% - Accent2 3 2 4 2 3" xfId="12128" xr:uid="{4D1654BB-D396-42C9-A559-57821338DAF3}"/>
    <cellStyle name="20% - Accent2 3 2 4 3" xfId="5759" xr:uid="{00000000-0005-0000-0000-0000FF000000}"/>
    <cellStyle name="20% - Accent2 3 2 4 3 2" xfId="14201" xr:uid="{DE670A6B-09F3-4B53-B812-DA70C4F082C6}"/>
    <cellStyle name="20% - Accent2 3 2 4 4" xfId="9983" xr:uid="{9F32A496-56BD-4E96-9334-207704C773BA}"/>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9375E8A6-BF4C-44A0-8389-5D94371B82EE}"/>
    <cellStyle name="20% - Accent2 3 2 5 2 3" xfId="12541" xr:uid="{9F7B20CD-4953-4C8A-B721-633333E4D4C5}"/>
    <cellStyle name="20% - Accent2 3 2 5 3" xfId="6172" xr:uid="{00000000-0005-0000-0000-000003010000}"/>
    <cellStyle name="20% - Accent2 3 2 5 3 2" xfId="14614" xr:uid="{D79A5DA1-180B-43DB-B2F0-80C8E84B645B}"/>
    <cellStyle name="20% - Accent2 3 2 5 4" xfId="10396" xr:uid="{D6682A95-DB65-4AB6-93CC-DD073362B294}"/>
    <cellStyle name="20% - Accent2 3 2 6" xfId="2278" xr:uid="{00000000-0005-0000-0000-000004010000}"/>
    <cellStyle name="20% - Accent2 3 2 6 2" xfId="6585" xr:uid="{00000000-0005-0000-0000-000005010000}"/>
    <cellStyle name="20% - Accent2 3 2 6 2 2" xfId="15027" xr:uid="{AB3D2C7A-9EBD-45BB-9B2E-69D014B60FA8}"/>
    <cellStyle name="20% - Accent2 3 2 6 3" xfId="10809" xr:uid="{FE3B5CAD-0959-4AE1-8320-CA650734E228}"/>
    <cellStyle name="20% - Accent2 3 2 7" xfId="4519" xr:uid="{00000000-0005-0000-0000-000006010000}"/>
    <cellStyle name="20% - Accent2 3 2 7 2" xfId="12961" xr:uid="{B0739CCD-9576-422C-9284-D575FBBE1B80}"/>
    <cellStyle name="20% - Accent2 3 2 8" xfId="8743" xr:uid="{D3FB3740-8830-4ACC-95BE-029B976DF8C9}"/>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A3F7013C-BA04-4E03-9058-9A3A8DBA88EF}"/>
    <cellStyle name="20% - Accent2 3 3 2 3" xfId="11301" xr:uid="{4BE61FF5-F410-4251-B6E4-752E1ECEC829}"/>
    <cellStyle name="20% - Accent2 3 3 3" xfId="4932" xr:uid="{00000000-0005-0000-0000-00000A010000}"/>
    <cellStyle name="20% - Accent2 3 3 3 2" xfId="13374" xr:uid="{84805A7A-B15F-4600-B772-BFD2395623F1}"/>
    <cellStyle name="20% - Accent2 3 3 4" xfId="9156" xr:uid="{0EE23B32-63BA-4CB1-BDDF-4CE38D1D26B2}"/>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B7458604-3BA1-4447-BDCC-1EAEA9E28E5F}"/>
    <cellStyle name="20% - Accent2 3 4 2 3" xfId="11714" xr:uid="{74ABB79D-6B3E-444B-9421-FAFCFE65E017}"/>
    <cellStyle name="20% - Accent2 3 4 3" xfId="5345" xr:uid="{00000000-0005-0000-0000-00000E010000}"/>
    <cellStyle name="20% - Accent2 3 4 3 2" xfId="13787" xr:uid="{1517C400-AB12-4CD1-80EF-06FC5F42F3B9}"/>
    <cellStyle name="20% - Accent2 3 4 4" xfId="9569" xr:uid="{6DFFC359-40AB-4B72-8487-97F6C6BD8A02}"/>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6111510C-F831-450A-8A18-0C803B4691FC}"/>
    <cellStyle name="20% - Accent2 3 5 2 3" xfId="12127" xr:uid="{917016DB-F942-4CB5-B73F-116EB47F0FD0}"/>
    <cellStyle name="20% - Accent2 3 5 3" xfId="5758" xr:uid="{00000000-0005-0000-0000-000012010000}"/>
    <cellStyle name="20% - Accent2 3 5 3 2" xfId="14200" xr:uid="{55E8BB7C-296D-472B-8844-B95B478BC977}"/>
    <cellStyle name="20% - Accent2 3 5 4" xfId="9982" xr:uid="{EBDAADBA-8879-4539-A4CA-056E887B80B5}"/>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F4AE4BF8-6D57-4E72-9224-309B8DEDD0D2}"/>
    <cellStyle name="20% - Accent2 3 6 2 3" xfId="12540" xr:uid="{E9C8145A-B02C-42DC-B9BD-6EB10200EABD}"/>
    <cellStyle name="20% - Accent2 3 6 3" xfId="6171" xr:uid="{00000000-0005-0000-0000-000016010000}"/>
    <cellStyle name="20% - Accent2 3 6 3 2" xfId="14613" xr:uid="{C6988F32-170B-41D6-AD99-BEBF3BED9E06}"/>
    <cellStyle name="20% - Accent2 3 6 4" xfId="10395" xr:uid="{68D9B732-A42D-46C7-9BEC-A7D25B11B480}"/>
    <cellStyle name="20% - Accent2 3 7" xfId="2277" xr:uid="{00000000-0005-0000-0000-000017010000}"/>
    <cellStyle name="20% - Accent2 3 7 2" xfId="6584" xr:uid="{00000000-0005-0000-0000-000018010000}"/>
    <cellStyle name="20% - Accent2 3 7 2 2" xfId="15026" xr:uid="{46F9494C-D295-45D7-A93F-CB81991BA58A}"/>
    <cellStyle name="20% - Accent2 3 7 3" xfId="10808" xr:uid="{A04E7B17-8D68-48EB-83A4-19FECEC943C6}"/>
    <cellStyle name="20% - Accent2 3 8" xfId="4518" xr:uid="{00000000-0005-0000-0000-000019010000}"/>
    <cellStyle name="20% - Accent2 3 8 2" xfId="12960" xr:uid="{033A8146-B8E3-4F77-A79D-7F468C663EBF}"/>
    <cellStyle name="20% - Accent2 3 9" xfId="8742" xr:uid="{DAA01903-E6D5-4DDB-B2E3-07E484A2BC43}"/>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966E784C-70E5-4321-B9A6-8B72683F0E54}"/>
    <cellStyle name="20% - Accent2 4 2 2 3" xfId="11303" xr:uid="{BFF7D721-69F9-43C0-B991-BEDA932AC8ED}"/>
    <cellStyle name="20% - Accent2 4 2 3" xfId="4934" xr:uid="{00000000-0005-0000-0000-00001E010000}"/>
    <cellStyle name="20% - Accent2 4 2 3 2" xfId="13376" xr:uid="{B00790E6-EC9D-4B10-9BD7-0F97C51F103E}"/>
    <cellStyle name="20% - Accent2 4 2 4" xfId="9158" xr:uid="{0F0DBD67-3050-471A-9255-19739679B96A}"/>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B796F575-429D-411C-98A9-3750A2D442D5}"/>
    <cellStyle name="20% - Accent2 4 3 2 3" xfId="11716" xr:uid="{149DAE44-BFB2-46D9-85EA-273FA659BCE7}"/>
    <cellStyle name="20% - Accent2 4 3 3" xfId="5347" xr:uid="{00000000-0005-0000-0000-000022010000}"/>
    <cellStyle name="20% - Accent2 4 3 3 2" xfId="13789" xr:uid="{83CCEC13-0451-491E-A678-7C69DC30DD69}"/>
    <cellStyle name="20% - Accent2 4 3 4" xfId="9571" xr:uid="{F07E5972-E973-427D-8BF9-DBD67978EA10}"/>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9B0616E8-97E5-41DD-920E-17ED40054F54}"/>
    <cellStyle name="20% - Accent2 4 4 2 3" xfId="12129" xr:uid="{B3FFA016-30E8-4D40-90C6-2DC111142F2A}"/>
    <cellStyle name="20% - Accent2 4 4 3" xfId="5760" xr:uid="{00000000-0005-0000-0000-000026010000}"/>
    <cellStyle name="20% - Accent2 4 4 3 2" xfId="14202" xr:uid="{3E91BB60-53B0-472A-B060-10E911B86544}"/>
    <cellStyle name="20% - Accent2 4 4 4" xfId="9984" xr:uid="{FBBCCA6F-2909-4B28-A54A-B088CD3567D7}"/>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F68475F5-3B8B-47F8-A3AD-AC6597F54A58}"/>
    <cellStyle name="20% - Accent2 4 5 2 3" xfId="12542" xr:uid="{45C9E40B-1DC2-42D7-9F5C-0EFB62A09761}"/>
    <cellStyle name="20% - Accent2 4 5 3" xfId="6173" xr:uid="{00000000-0005-0000-0000-00002A010000}"/>
    <cellStyle name="20% - Accent2 4 5 3 2" xfId="14615" xr:uid="{667FEAE2-07C0-4FF5-ABBF-B3178E0059C6}"/>
    <cellStyle name="20% - Accent2 4 5 4" xfId="10397" xr:uid="{45C13D51-B4E5-4B45-8ABF-A13C08E562CF}"/>
    <cellStyle name="20% - Accent2 4 6" xfId="2279" xr:uid="{00000000-0005-0000-0000-00002B010000}"/>
    <cellStyle name="20% - Accent2 4 6 2" xfId="6586" xr:uid="{00000000-0005-0000-0000-00002C010000}"/>
    <cellStyle name="20% - Accent2 4 6 2 2" xfId="15028" xr:uid="{8BBD988A-187D-445B-932A-26A00EB49330}"/>
    <cellStyle name="20% - Accent2 4 6 3" xfId="10810" xr:uid="{F1AC98C0-F29F-40DD-8B4C-45355E951B3A}"/>
    <cellStyle name="20% - Accent2 4 7" xfId="4520" xr:uid="{00000000-0005-0000-0000-00002D010000}"/>
    <cellStyle name="20% - Accent2 4 7 2" xfId="12962" xr:uid="{1F53AF68-12FC-4C81-8B10-1F40961F98E4}"/>
    <cellStyle name="20% - Accent2 4 8" xfId="8744" xr:uid="{F01D346A-7D95-468C-A7AE-D3716DDBB21A}"/>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8115CF09-7C4F-4F29-B202-2F3D056389AC}"/>
    <cellStyle name="20% - Accent2 5 2 3" xfId="11296" xr:uid="{83442FC4-AB1A-4F63-90CA-F1A244C3F718}"/>
    <cellStyle name="20% - Accent2 5 3" xfId="4927" xr:uid="{00000000-0005-0000-0000-000031010000}"/>
    <cellStyle name="20% - Accent2 5 3 2" xfId="13369" xr:uid="{FA222CA8-66B8-48BA-84A8-392E69132407}"/>
    <cellStyle name="20% - Accent2 5 4" xfId="9151" xr:uid="{F4F00EB3-1B7B-469D-9C17-9941CE21B85A}"/>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69F64F80-3919-46E7-B52E-964FCCC7EC1F}"/>
    <cellStyle name="20% - Accent2 6 2 3" xfId="11709" xr:uid="{CBFFA715-9DD2-4F20-B73A-F603E795A27D}"/>
    <cellStyle name="20% - Accent2 6 3" xfId="5340" xr:uid="{00000000-0005-0000-0000-000035010000}"/>
    <cellStyle name="20% - Accent2 6 3 2" xfId="13782" xr:uid="{63902484-B781-48A0-A162-9DA3B631825E}"/>
    <cellStyle name="20% - Accent2 6 4" xfId="9564" xr:uid="{F7047E04-B8D8-458A-A9D7-17242267EF19}"/>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F48C98EA-7818-43A4-AF3F-EFCA1C11F4DC}"/>
    <cellStyle name="20% - Accent2 7 2 3" xfId="12122" xr:uid="{2E666015-BC71-49D4-A44F-1F3E769BB370}"/>
    <cellStyle name="20% - Accent2 7 3" xfId="5753" xr:uid="{00000000-0005-0000-0000-000039010000}"/>
    <cellStyle name="20% - Accent2 7 3 2" xfId="14195" xr:uid="{587C4B7D-EF94-4A67-8935-997C31ADBB52}"/>
    <cellStyle name="20% - Accent2 7 4" xfId="9977" xr:uid="{59B47A8E-5CC7-44E9-BE3B-190E28B88BD9}"/>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00C68009-FDD9-4934-900E-32B6D72CF27F}"/>
    <cellStyle name="20% - Accent2 8 2 3" xfId="12535" xr:uid="{9AF4E33D-A670-439A-9691-AF5BD1055A89}"/>
    <cellStyle name="20% - Accent2 8 3" xfId="6166" xr:uid="{00000000-0005-0000-0000-00003D010000}"/>
    <cellStyle name="20% - Accent2 8 3 2" xfId="14608" xr:uid="{0C20C370-216B-42DE-8367-81E3ECDD084B}"/>
    <cellStyle name="20% - Accent2 8 4" xfId="10390" xr:uid="{3ECF81EF-0CD4-479A-9826-EEE691B5FC1E}"/>
    <cellStyle name="20% - Accent2 9" xfId="2272" xr:uid="{00000000-0005-0000-0000-00003E010000}"/>
    <cellStyle name="20% - Accent2 9 2" xfId="6579" xr:uid="{00000000-0005-0000-0000-00003F010000}"/>
    <cellStyle name="20% - Accent2 9 2 2" xfId="15021" xr:uid="{5F922397-48D0-4E17-80DF-514D2B85C50E}"/>
    <cellStyle name="20% - Accent2 9 3" xfId="10803" xr:uid="{23ED943E-4CB8-4F63-8899-55EB29DD6E3D}"/>
    <cellStyle name="20% - Accent3" xfId="17" builtinId="38" customBuiltin="1"/>
    <cellStyle name="20% - Accent3 10" xfId="4521" xr:uid="{00000000-0005-0000-0000-000041010000}"/>
    <cellStyle name="20% - Accent3 10 2" xfId="12963" xr:uid="{D5053679-C074-427A-A5D4-9DB60FF47327}"/>
    <cellStyle name="20% - Accent3 11" xfId="8745" xr:uid="{C7D524DD-211C-41EA-A56E-A3E2C8362259}"/>
    <cellStyle name="20% - Accent3 2" xfId="18" xr:uid="{00000000-0005-0000-0000-000042010000}"/>
    <cellStyle name="20% - Accent3 2 10" xfId="8746" xr:uid="{5A7D7212-AAB5-410E-8961-78B66A799351}"/>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DF1F9171-5654-4F66-8225-B86E990EBD79}"/>
    <cellStyle name="20% - Accent3 2 2 2 2 2 3" xfId="11307" xr:uid="{9BBB70A5-D8C4-4026-90DA-E7652A80EFBC}"/>
    <cellStyle name="20% - Accent3 2 2 2 2 3" xfId="4938" xr:uid="{00000000-0005-0000-0000-000048010000}"/>
    <cellStyle name="20% - Accent3 2 2 2 2 3 2" xfId="13380" xr:uid="{1C60CA86-232B-4652-9C71-6854A9953F2B}"/>
    <cellStyle name="20% - Accent3 2 2 2 2 4" xfId="9162" xr:uid="{8631B86F-587E-429D-A855-B902C34CEF69}"/>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1C80E9F0-E34D-48DF-8237-C989C85B290C}"/>
    <cellStyle name="20% - Accent3 2 2 2 3 2 3" xfId="11720" xr:uid="{AEBC0B22-3E8D-4279-984C-40FCAABA246E}"/>
    <cellStyle name="20% - Accent3 2 2 2 3 3" xfId="5351" xr:uid="{00000000-0005-0000-0000-00004C010000}"/>
    <cellStyle name="20% - Accent3 2 2 2 3 3 2" xfId="13793" xr:uid="{D8F64CAF-AE8B-43D2-B243-5D76DCB69DB8}"/>
    <cellStyle name="20% - Accent3 2 2 2 3 4" xfId="9575" xr:uid="{C9451D9F-2B82-48A0-83EE-3D9B31F5E0FC}"/>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6209E6D0-A8A7-46CA-9622-297EC098B645}"/>
    <cellStyle name="20% - Accent3 2 2 2 4 2 3" xfId="12133" xr:uid="{690A537D-1865-4F44-AC85-767D0C73D9B9}"/>
    <cellStyle name="20% - Accent3 2 2 2 4 3" xfId="5764" xr:uid="{00000000-0005-0000-0000-000050010000}"/>
    <cellStyle name="20% - Accent3 2 2 2 4 3 2" xfId="14206" xr:uid="{9FAC8BA4-D6EA-42F2-9929-BDF9C9A3B4F3}"/>
    <cellStyle name="20% - Accent3 2 2 2 4 4" xfId="9988" xr:uid="{8C0FCA8E-3908-4AF9-88FC-6BCB12DC4A62}"/>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A8D172EF-56FD-4037-8029-4F5DC740A0F7}"/>
    <cellStyle name="20% - Accent3 2 2 2 5 2 3" xfId="12546" xr:uid="{206ACC88-37B6-4DA3-9994-A108A6990F62}"/>
    <cellStyle name="20% - Accent3 2 2 2 5 3" xfId="6177" xr:uid="{00000000-0005-0000-0000-000054010000}"/>
    <cellStyle name="20% - Accent3 2 2 2 5 3 2" xfId="14619" xr:uid="{B18807DC-31AD-4312-BA70-32F872FD77F7}"/>
    <cellStyle name="20% - Accent3 2 2 2 5 4" xfId="10401" xr:uid="{E460CCF3-4287-476D-AF68-56F0711F30F0}"/>
    <cellStyle name="20% - Accent3 2 2 2 6" xfId="2283" xr:uid="{00000000-0005-0000-0000-000055010000}"/>
    <cellStyle name="20% - Accent3 2 2 2 6 2" xfId="6590" xr:uid="{00000000-0005-0000-0000-000056010000}"/>
    <cellStyle name="20% - Accent3 2 2 2 6 2 2" xfId="15032" xr:uid="{467ECE6C-76F7-4211-8A0A-919B0D2CB998}"/>
    <cellStyle name="20% - Accent3 2 2 2 6 3" xfId="10814" xr:uid="{2DBE697F-3642-4C01-BE16-11F52FA7513A}"/>
    <cellStyle name="20% - Accent3 2 2 2 7" xfId="4524" xr:uid="{00000000-0005-0000-0000-000057010000}"/>
    <cellStyle name="20% - Accent3 2 2 2 7 2" xfId="12966" xr:uid="{8A6EFBBB-2501-40FD-81AD-E77574E50824}"/>
    <cellStyle name="20% - Accent3 2 2 2 8" xfId="8748" xr:uid="{DC37A16B-C12E-4B49-BF40-1B4FA6F71343}"/>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1A07F798-6AC1-4C86-A0DE-1FCD0A9FD807}"/>
    <cellStyle name="20% - Accent3 2 2 3 2 3" xfId="11306" xr:uid="{5BE9BCBE-34F8-4556-8BBD-F8B53C8F4767}"/>
    <cellStyle name="20% - Accent3 2 2 3 3" xfId="4937" xr:uid="{00000000-0005-0000-0000-00005B010000}"/>
    <cellStyle name="20% - Accent3 2 2 3 3 2" xfId="13379" xr:uid="{A88B3D35-085C-4558-895D-428D04D91503}"/>
    <cellStyle name="20% - Accent3 2 2 3 4" xfId="9161" xr:uid="{22104F18-99EB-47B4-82E7-70149E752E50}"/>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D971A4F1-4AFF-429C-9677-715D833E2362}"/>
    <cellStyle name="20% - Accent3 2 2 4 2 3" xfId="11719" xr:uid="{00239F9E-E098-4905-A1FB-B6F8A531DBF7}"/>
    <cellStyle name="20% - Accent3 2 2 4 3" xfId="5350" xr:uid="{00000000-0005-0000-0000-00005F010000}"/>
    <cellStyle name="20% - Accent3 2 2 4 3 2" xfId="13792" xr:uid="{49B99046-BF6F-4583-B483-497F7463F36E}"/>
    <cellStyle name="20% - Accent3 2 2 4 4" xfId="9574" xr:uid="{A4BED4FB-8B1C-4EC1-8377-D8CF2E9C05BB}"/>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67B084A6-5ECC-4C6C-B5D6-DA86E8FA8AE0}"/>
    <cellStyle name="20% - Accent3 2 2 5 2 3" xfId="12132" xr:uid="{AE7DE755-F627-4837-A1C2-E832AADC67A7}"/>
    <cellStyle name="20% - Accent3 2 2 5 3" xfId="5763" xr:uid="{00000000-0005-0000-0000-000063010000}"/>
    <cellStyle name="20% - Accent3 2 2 5 3 2" xfId="14205" xr:uid="{6FCC4F4E-7BBE-4F77-B9F6-2CF1C78E559B}"/>
    <cellStyle name="20% - Accent3 2 2 5 4" xfId="9987" xr:uid="{E88FAE65-855C-4B34-B538-A72B738287E6}"/>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CBD03715-041D-4BCE-B16B-4C65419CB8AF}"/>
    <cellStyle name="20% - Accent3 2 2 6 2 3" xfId="12545" xr:uid="{926C2AF1-8609-4532-9C48-4E77B042AF4A}"/>
    <cellStyle name="20% - Accent3 2 2 6 3" xfId="6176" xr:uid="{00000000-0005-0000-0000-000067010000}"/>
    <cellStyle name="20% - Accent3 2 2 6 3 2" xfId="14618" xr:uid="{1B1BBECB-85F9-46F6-B4A8-5E604EF5514A}"/>
    <cellStyle name="20% - Accent3 2 2 6 4" xfId="10400" xr:uid="{A325375A-9A8C-41BE-B83B-FB5D4E07B753}"/>
    <cellStyle name="20% - Accent3 2 2 7" xfId="2282" xr:uid="{00000000-0005-0000-0000-000068010000}"/>
    <cellStyle name="20% - Accent3 2 2 7 2" xfId="6589" xr:uid="{00000000-0005-0000-0000-000069010000}"/>
    <cellStyle name="20% - Accent3 2 2 7 2 2" xfId="15031" xr:uid="{68329DC7-CFEF-4EAC-85B5-EF7ED95784E6}"/>
    <cellStyle name="20% - Accent3 2 2 7 3" xfId="10813" xr:uid="{ED78657F-B243-416D-8BC4-8AD0747AD878}"/>
    <cellStyle name="20% - Accent3 2 2 8" xfId="4523" xr:uid="{00000000-0005-0000-0000-00006A010000}"/>
    <cellStyle name="20% - Accent3 2 2 8 2" xfId="12965" xr:uid="{1CA148DD-3051-4303-B6B4-4E013FC6C656}"/>
    <cellStyle name="20% - Accent3 2 2 9" xfId="8747" xr:uid="{4377004D-C3C1-4604-996C-100574F9F791}"/>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DD391B9F-137F-4B8E-B4C5-5373BA5821B9}"/>
    <cellStyle name="20% - Accent3 2 3 2 2 3" xfId="11308" xr:uid="{ECBBF379-C544-4AE7-9ADF-6FB84C2CD3F8}"/>
    <cellStyle name="20% - Accent3 2 3 2 3" xfId="4939" xr:uid="{00000000-0005-0000-0000-00006F010000}"/>
    <cellStyle name="20% - Accent3 2 3 2 3 2" xfId="13381" xr:uid="{3F23E6E1-526A-45DF-A699-985769DD97E6}"/>
    <cellStyle name="20% - Accent3 2 3 2 4" xfId="9163" xr:uid="{3FC467A6-F821-4F70-A3BA-41FE34FD9769}"/>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CCA5F479-BB63-40A1-9228-F0321DE6F53A}"/>
    <cellStyle name="20% - Accent3 2 3 3 2 3" xfId="11721" xr:uid="{3FB3403B-C231-47DF-8A95-0958C9C124B5}"/>
    <cellStyle name="20% - Accent3 2 3 3 3" xfId="5352" xr:uid="{00000000-0005-0000-0000-000073010000}"/>
    <cellStyle name="20% - Accent3 2 3 3 3 2" xfId="13794" xr:uid="{371F2D01-0AE5-4481-B43A-4A2318D0E3F2}"/>
    <cellStyle name="20% - Accent3 2 3 3 4" xfId="9576" xr:uid="{04F2D7A3-2CF9-4FE9-A308-0C85ABFEAC61}"/>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829FE610-17A3-48C0-B4B0-E55E6F49EA35}"/>
    <cellStyle name="20% - Accent3 2 3 4 2 3" xfId="12134" xr:uid="{1152C938-4408-4CFD-8B1A-5D56C0062128}"/>
    <cellStyle name="20% - Accent3 2 3 4 3" xfId="5765" xr:uid="{00000000-0005-0000-0000-000077010000}"/>
    <cellStyle name="20% - Accent3 2 3 4 3 2" xfId="14207" xr:uid="{F8BD7EFC-11A2-494D-977B-4DF7C1840C35}"/>
    <cellStyle name="20% - Accent3 2 3 4 4" xfId="9989" xr:uid="{CF9785B3-4424-4880-A70C-1710A1D11AF1}"/>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379F1D7E-B5E3-4566-B0CE-42EC96EA70BC}"/>
    <cellStyle name="20% - Accent3 2 3 5 2 3" xfId="12547" xr:uid="{48C5D170-5DDF-45DB-83A5-B6EA89E64E66}"/>
    <cellStyle name="20% - Accent3 2 3 5 3" xfId="6178" xr:uid="{00000000-0005-0000-0000-00007B010000}"/>
    <cellStyle name="20% - Accent3 2 3 5 3 2" xfId="14620" xr:uid="{B3B8B3AB-BCBF-4AD7-B0F5-F7AD175F48AC}"/>
    <cellStyle name="20% - Accent3 2 3 5 4" xfId="10402" xr:uid="{FE925F6D-6091-437B-93E1-7DE0FAD3346A}"/>
    <cellStyle name="20% - Accent3 2 3 6" xfId="2284" xr:uid="{00000000-0005-0000-0000-00007C010000}"/>
    <cellStyle name="20% - Accent3 2 3 6 2" xfId="6591" xr:uid="{00000000-0005-0000-0000-00007D010000}"/>
    <cellStyle name="20% - Accent3 2 3 6 2 2" xfId="15033" xr:uid="{FDB51B95-F093-49DA-96EA-5A075B964804}"/>
    <cellStyle name="20% - Accent3 2 3 6 3" xfId="10815" xr:uid="{EAA9B738-77CE-496B-9F6C-B09307C30799}"/>
    <cellStyle name="20% - Accent3 2 3 7" xfId="4525" xr:uid="{00000000-0005-0000-0000-00007E010000}"/>
    <cellStyle name="20% - Accent3 2 3 7 2" xfId="12967" xr:uid="{8632932A-74C7-4CB9-901B-F97C2EF9716F}"/>
    <cellStyle name="20% - Accent3 2 3 8" xfId="8749" xr:uid="{2E479C4C-7CCC-40BE-8F0D-D66C01A1A0F7}"/>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CA53D88B-A6B1-4D8E-9147-C448B09EFEB0}"/>
    <cellStyle name="20% - Accent3 2 4 2 3" xfId="11305" xr:uid="{A403695F-5D33-4C5F-AFDA-F32961F69A10}"/>
    <cellStyle name="20% - Accent3 2 4 3" xfId="4936" xr:uid="{00000000-0005-0000-0000-000082010000}"/>
    <cellStyle name="20% - Accent3 2 4 3 2" xfId="13378" xr:uid="{5266B62A-2DBE-4627-AE31-771227670FF8}"/>
    <cellStyle name="20% - Accent3 2 4 4" xfId="9160" xr:uid="{911FB99B-3C25-44A9-AD62-3FBF4707E515}"/>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10A70501-2F2D-4F33-A84A-7939289CC368}"/>
    <cellStyle name="20% - Accent3 2 5 2 3" xfId="11718" xr:uid="{64364E3E-E73C-484D-A591-F6C1682ACDBB}"/>
    <cellStyle name="20% - Accent3 2 5 3" xfId="5349" xr:uid="{00000000-0005-0000-0000-000086010000}"/>
    <cellStyle name="20% - Accent3 2 5 3 2" xfId="13791" xr:uid="{5EF191E0-3492-42A3-B2F9-5EAD4457315A}"/>
    <cellStyle name="20% - Accent3 2 5 4" xfId="9573" xr:uid="{3035F0E3-9FC4-493B-9835-74B5002BFD72}"/>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3125D43C-E4F1-4AD4-B390-0BE9FC5BF77F}"/>
    <cellStyle name="20% - Accent3 2 6 2 3" xfId="12131" xr:uid="{7F1EBD98-4F98-4B51-870D-F81A921B2110}"/>
    <cellStyle name="20% - Accent3 2 6 3" xfId="5762" xr:uid="{00000000-0005-0000-0000-00008A010000}"/>
    <cellStyle name="20% - Accent3 2 6 3 2" xfId="14204" xr:uid="{D165087A-893F-456B-95B1-FA996B4FFC10}"/>
    <cellStyle name="20% - Accent3 2 6 4" xfId="9986" xr:uid="{A85B3BA7-B096-41B1-91B6-7CE7B2ADFABF}"/>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8229A041-ED9B-494B-800F-2426A984CF46}"/>
    <cellStyle name="20% - Accent3 2 7 2 3" xfId="12544" xr:uid="{CF3EE67F-3FDD-4E3C-9F8B-AE1B19D76AA4}"/>
    <cellStyle name="20% - Accent3 2 7 3" xfId="6175" xr:uid="{00000000-0005-0000-0000-00008E010000}"/>
    <cellStyle name="20% - Accent3 2 7 3 2" xfId="14617" xr:uid="{00F7B768-54C2-476A-A673-8B5F85DBC625}"/>
    <cellStyle name="20% - Accent3 2 7 4" xfId="10399" xr:uid="{209F3FCC-500A-4046-ACA5-FC6B9D80A52F}"/>
    <cellStyle name="20% - Accent3 2 8" xfId="2281" xr:uid="{00000000-0005-0000-0000-00008F010000}"/>
    <cellStyle name="20% - Accent3 2 8 2" xfId="6588" xr:uid="{00000000-0005-0000-0000-000090010000}"/>
    <cellStyle name="20% - Accent3 2 8 2 2" xfId="15030" xr:uid="{6F7F5346-168C-444F-BCEA-DB6C4401C1A0}"/>
    <cellStyle name="20% - Accent3 2 8 3" xfId="10812" xr:uid="{F046B663-50E5-403D-ACF6-BF170F487F7A}"/>
    <cellStyle name="20% - Accent3 2 9" xfId="4522" xr:uid="{00000000-0005-0000-0000-000091010000}"/>
    <cellStyle name="20% - Accent3 2 9 2" xfId="12964" xr:uid="{F7D2E44E-B4F0-4EB3-8FCB-9EDE7B70AF82}"/>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46A00797-974D-4BA6-AE06-C643444971C4}"/>
    <cellStyle name="20% - Accent3 3 2 2 2 3" xfId="11310" xr:uid="{C703A642-B552-4A67-8F60-4C69219162B9}"/>
    <cellStyle name="20% - Accent3 3 2 2 3" xfId="4941" xr:uid="{00000000-0005-0000-0000-000097010000}"/>
    <cellStyle name="20% - Accent3 3 2 2 3 2" xfId="13383" xr:uid="{DA22A3BA-34E7-4F72-88BF-D29877B8E052}"/>
    <cellStyle name="20% - Accent3 3 2 2 4" xfId="9165" xr:uid="{A3E766A9-CADB-4FFA-9E7A-1BB4609CDC62}"/>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334521D5-9422-4ECD-876E-04E5A3FD978E}"/>
    <cellStyle name="20% - Accent3 3 2 3 2 3" xfId="11723" xr:uid="{762996DD-9DB3-474F-A17F-BF3870EE515E}"/>
    <cellStyle name="20% - Accent3 3 2 3 3" xfId="5354" xr:uid="{00000000-0005-0000-0000-00009B010000}"/>
    <cellStyle name="20% - Accent3 3 2 3 3 2" xfId="13796" xr:uid="{D7D41660-D2C2-4D8C-AFB9-7F1C8822A5A5}"/>
    <cellStyle name="20% - Accent3 3 2 3 4" xfId="9578" xr:uid="{DEA0DC4E-AFF8-4E38-9E1B-F4DD3C9F6387}"/>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D6701D4B-60AE-4E4F-B71C-FECE4DE570C2}"/>
    <cellStyle name="20% - Accent3 3 2 4 2 3" xfId="12136" xr:uid="{287B122D-5ECC-4124-9305-6CAE9B0CED79}"/>
    <cellStyle name="20% - Accent3 3 2 4 3" xfId="5767" xr:uid="{00000000-0005-0000-0000-00009F010000}"/>
    <cellStyle name="20% - Accent3 3 2 4 3 2" xfId="14209" xr:uid="{7A0036A4-B674-4D55-B281-D7CCBB5780BE}"/>
    <cellStyle name="20% - Accent3 3 2 4 4" xfId="9991" xr:uid="{8AF8702E-D22D-457C-9811-DF42604C498B}"/>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65D4FFEC-9CD6-4F55-91E6-40A6AC704F5B}"/>
    <cellStyle name="20% - Accent3 3 2 5 2 3" xfId="12549" xr:uid="{ABCA0F2F-F616-4629-BE39-9B64E6116868}"/>
    <cellStyle name="20% - Accent3 3 2 5 3" xfId="6180" xr:uid="{00000000-0005-0000-0000-0000A3010000}"/>
    <cellStyle name="20% - Accent3 3 2 5 3 2" xfId="14622" xr:uid="{F43D9F04-19C9-4C2C-8B6C-E0E70E30F5A5}"/>
    <cellStyle name="20% - Accent3 3 2 5 4" xfId="10404" xr:uid="{D357A125-79DE-49B3-A39E-6D409F69048E}"/>
    <cellStyle name="20% - Accent3 3 2 6" xfId="2286" xr:uid="{00000000-0005-0000-0000-0000A4010000}"/>
    <cellStyle name="20% - Accent3 3 2 6 2" xfId="6593" xr:uid="{00000000-0005-0000-0000-0000A5010000}"/>
    <cellStyle name="20% - Accent3 3 2 6 2 2" xfId="15035" xr:uid="{53BA6DCE-B3BD-4872-920C-07B4CE3E7723}"/>
    <cellStyle name="20% - Accent3 3 2 6 3" xfId="10817" xr:uid="{58A2CE87-7D08-4D2A-BC69-5DD4D3725927}"/>
    <cellStyle name="20% - Accent3 3 2 7" xfId="4527" xr:uid="{00000000-0005-0000-0000-0000A6010000}"/>
    <cellStyle name="20% - Accent3 3 2 7 2" xfId="12969" xr:uid="{D1144B95-DB6B-42BE-BCF8-692F2D942E85}"/>
    <cellStyle name="20% - Accent3 3 2 8" xfId="8751" xr:uid="{B709DF40-F639-4818-8912-D3ED81B43B71}"/>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E4AE5704-9DFF-4CF2-B386-66F01E6D04D6}"/>
    <cellStyle name="20% - Accent3 3 3 2 3" xfId="11309" xr:uid="{526C9DB2-8CBE-4553-A41B-6FFFE4CE1922}"/>
    <cellStyle name="20% - Accent3 3 3 3" xfId="4940" xr:uid="{00000000-0005-0000-0000-0000AA010000}"/>
    <cellStyle name="20% - Accent3 3 3 3 2" xfId="13382" xr:uid="{EBF3E946-7F48-4566-AC2D-3E12D23599A3}"/>
    <cellStyle name="20% - Accent3 3 3 4" xfId="9164" xr:uid="{209C2232-D439-4A74-95F4-ED6A677E2606}"/>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AC3A3221-0C35-49A8-B3C1-0784085379E8}"/>
    <cellStyle name="20% - Accent3 3 4 2 3" xfId="11722" xr:uid="{F0A1FC8A-7392-4024-9680-42FA4D17198C}"/>
    <cellStyle name="20% - Accent3 3 4 3" xfId="5353" xr:uid="{00000000-0005-0000-0000-0000AE010000}"/>
    <cellStyle name="20% - Accent3 3 4 3 2" xfId="13795" xr:uid="{33BDC43E-FD94-47F8-BB9D-0A294D19567F}"/>
    <cellStyle name="20% - Accent3 3 4 4" xfId="9577" xr:uid="{4212A67F-F8CC-41BA-BFFD-433220C5460E}"/>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ED61215C-CF12-4167-AE7F-8587B4E95F07}"/>
    <cellStyle name="20% - Accent3 3 5 2 3" xfId="12135" xr:uid="{2DDF801A-817E-471D-A47D-6ED30FA2B05E}"/>
    <cellStyle name="20% - Accent3 3 5 3" xfId="5766" xr:uid="{00000000-0005-0000-0000-0000B2010000}"/>
    <cellStyle name="20% - Accent3 3 5 3 2" xfId="14208" xr:uid="{4CE3F58B-AF8F-44B1-A83A-8DA7C74BDFF6}"/>
    <cellStyle name="20% - Accent3 3 5 4" xfId="9990" xr:uid="{A0E69D52-7B93-41C9-9B21-02D8ECC3BA6D}"/>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503E8C34-403F-4F7E-A6A5-1C608037347C}"/>
    <cellStyle name="20% - Accent3 3 6 2 3" xfId="12548" xr:uid="{DEFA854E-B1ED-4D80-89DA-5A3AFB54EE8A}"/>
    <cellStyle name="20% - Accent3 3 6 3" xfId="6179" xr:uid="{00000000-0005-0000-0000-0000B6010000}"/>
    <cellStyle name="20% - Accent3 3 6 3 2" xfId="14621" xr:uid="{9424FF36-FC15-49E9-88A0-F1661BF9468F}"/>
    <cellStyle name="20% - Accent3 3 6 4" xfId="10403" xr:uid="{AB80A0B0-6E94-4406-88E3-5FE58B98B081}"/>
    <cellStyle name="20% - Accent3 3 7" xfId="2285" xr:uid="{00000000-0005-0000-0000-0000B7010000}"/>
    <cellStyle name="20% - Accent3 3 7 2" xfId="6592" xr:uid="{00000000-0005-0000-0000-0000B8010000}"/>
    <cellStyle name="20% - Accent3 3 7 2 2" xfId="15034" xr:uid="{D9CDB7B5-1DC6-4F00-80F6-CCB5BA2F4207}"/>
    <cellStyle name="20% - Accent3 3 7 3" xfId="10816" xr:uid="{FA9A7C0B-9A31-480D-8E57-3FCAE15C17EC}"/>
    <cellStyle name="20% - Accent3 3 8" xfId="4526" xr:uid="{00000000-0005-0000-0000-0000B9010000}"/>
    <cellStyle name="20% - Accent3 3 8 2" xfId="12968" xr:uid="{72050016-3A3B-47FA-B6D3-8EDBDB9EF30D}"/>
    <cellStyle name="20% - Accent3 3 9" xfId="8750" xr:uid="{C87BFBB4-6637-47A0-A257-41A4553AB67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AB128A33-D1BB-4695-A002-410CFFDBED2A}"/>
    <cellStyle name="20% - Accent3 4 2 2 3" xfId="11311" xr:uid="{FA6DF673-5828-4240-A75D-BDA8F240C99A}"/>
    <cellStyle name="20% - Accent3 4 2 3" xfId="4942" xr:uid="{00000000-0005-0000-0000-0000BE010000}"/>
    <cellStyle name="20% - Accent3 4 2 3 2" xfId="13384" xr:uid="{720C4CF8-6E0F-4EBD-B8D4-417337D68588}"/>
    <cellStyle name="20% - Accent3 4 2 4" xfId="9166" xr:uid="{164FC5D1-1641-49B6-B32C-96E4AAF168C1}"/>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A49BFC9C-5E9B-4FFA-B5BB-D234F3FC251B}"/>
    <cellStyle name="20% - Accent3 4 3 2 3" xfId="11724" xr:uid="{9B5515D3-3361-4111-9B66-5673812406F4}"/>
    <cellStyle name="20% - Accent3 4 3 3" xfId="5355" xr:uid="{00000000-0005-0000-0000-0000C2010000}"/>
    <cellStyle name="20% - Accent3 4 3 3 2" xfId="13797" xr:uid="{DB6A022B-D79D-4EF5-B9D6-F5FD9F6F10AB}"/>
    <cellStyle name="20% - Accent3 4 3 4" xfId="9579" xr:uid="{FD0A5B6C-1B20-432A-831E-1686BAB98325}"/>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67D092F3-F187-4E63-8F3F-C6333CA711A3}"/>
    <cellStyle name="20% - Accent3 4 4 2 3" xfId="12137" xr:uid="{599DB44A-FED9-4AF7-8F8A-7E39FCEB42EC}"/>
    <cellStyle name="20% - Accent3 4 4 3" xfId="5768" xr:uid="{00000000-0005-0000-0000-0000C6010000}"/>
    <cellStyle name="20% - Accent3 4 4 3 2" xfId="14210" xr:uid="{C4A16085-D6BD-4DB0-A576-D407F46B4080}"/>
    <cellStyle name="20% - Accent3 4 4 4" xfId="9992" xr:uid="{12F2BB34-6A60-4FC6-8BBD-BAA5102A0F7F}"/>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DFD2B788-1204-4FB0-A13A-728E7B4FA641}"/>
    <cellStyle name="20% - Accent3 4 5 2 3" xfId="12550" xr:uid="{5AE87D16-2156-452C-803C-E1487CB548C1}"/>
    <cellStyle name="20% - Accent3 4 5 3" xfId="6181" xr:uid="{00000000-0005-0000-0000-0000CA010000}"/>
    <cellStyle name="20% - Accent3 4 5 3 2" xfId="14623" xr:uid="{376A8655-9668-4036-B7CF-7364F7579840}"/>
    <cellStyle name="20% - Accent3 4 5 4" xfId="10405" xr:uid="{98F1CAA2-2123-4141-ACB6-D3CBD1252D0B}"/>
    <cellStyle name="20% - Accent3 4 6" xfId="2287" xr:uid="{00000000-0005-0000-0000-0000CB010000}"/>
    <cellStyle name="20% - Accent3 4 6 2" xfId="6594" xr:uid="{00000000-0005-0000-0000-0000CC010000}"/>
    <cellStyle name="20% - Accent3 4 6 2 2" xfId="15036" xr:uid="{A4B0B51C-8B87-4F5A-8B5F-99E974DCC15B}"/>
    <cellStyle name="20% - Accent3 4 6 3" xfId="10818" xr:uid="{AE9188E5-62B1-4ECB-BA99-B5C3B16F3073}"/>
    <cellStyle name="20% - Accent3 4 7" xfId="4528" xr:uid="{00000000-0005-0000-0000-0000CD010000}"/>
    <cellStyle name="20% - Accent3 4 7 2" xfId="12970" xr:uid="{23627E25-5277-4BE9-B484-29B4FFC38545}"/>
    <cellStyle name="20% - Accent3 4 8" xfId="8752" xr:uid="{01BAF200-4574-4829-B709-D5227337A50E}"/>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E2DC510B-CC39-44D4-AD60-EF766D67444A}"/>
    <cellStyle name="20% - Accent3 5 2 3" xfId="11304" xr:uid="{42E2BCA3-AD35-44A6-9F5A-1306744C09E6}"/>
    <cellStyle name="20% - Accent3 5 3" xfId="4935" xr:uid="{00000000-0005-0000-0000-0000D1010000}"/>
    <cellStyle name="20% - Accent3 5 3 2" xfId="13377" xr:uid="{371C6033-3E6A-443D-BE19-C660BABFCD2A}"/>
    <cellStyle name="20% - Accent3 5 4" xfId="9159" xr:uid="{F9C974B1-E70F-4D3F-A61E-2657D31B52A4}"/>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1048826B-A9C6-4047-899D-A785FB8BE274}"/>
    <cellStyle name="20% - Accent3 6 2 3" xfId="11717" xr:uid="{1A7C3DDC-8948-485C-ACC5-8E79AC4BE1D6}"/>
    <cellStyle name="20% - Accent3 6 3" xfId="5348" xr:uid="{00000000-0005-0000-0000-0000D5010000}"/>
    <cellStyle name="20% - Accent3 6 3 2" xfId="13790" xr:uid="{977E7AF9-1442-4D67-B16D-9DF0F7B6583A}"/>
    <cellStyle name="20% - Accent3 6 4" xfId="9572" xr:uid="{FF65D5AC-9433-4D79-AC40-8183A0F59C23}"/>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8C5D681E-A9CE-402B-9936-6AABC7EC059D}"/>
    <cellStyle name="20% - Accent3 7 2 3" xfId="12130" xr:uid="{561DD122-7D7C-448F-9057-DF391043435A}"/>
    <cellStyle name="20% - Accent3 7 3" xfId="5761" xr:uid="{00000000-0005-0000-0000-0000D9010000}"/>
    <cellStyle name="20% - Accent3 7 3 2" xfId="14203" xr:uid="{2EB15092-400D-411C-B73C-347655CAE1EF}"/>
    <cellStyle name="20% - Accent3 7 4" xfId="9985" xr:uid="{432E4AB7-F359-43EC-843B-AF1E55FDA5BF}"/>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B758FFFB-59AA-4CDB-9D0A-CBC30AA679E3}"/>
    <cellStyle name="20% - Accent3 8 2 3" xfId="12543" xr:uid="{20E5C9B2-BEDA-4A6B-8E75-122E4712965B}"/>
    <cellStyle name="20% - Accent3 8 3" xfId="6174" xr:uid="{00000000-0005-0000-0000-0000DD010000}"/>
    <cellStyle name="20% - Accent3 8 3 2" xfId="14616" xr:uid="{881CE490-C63A-4FD1-A583-BF60FFAE5DFF}"/>
    <cellStyle name="20% - Accent3 8 4" xfId="10398" xr:uid="{46C58AAC-DCE9-4D69-8248-086570F5D45E}"/>
    <cellStyle name="20% - Accent3 9" xfId="2280" xr:uid="{00000000-0005-0000-0000-0000DE010000}"/>
    <cellStyle name="20% - Accent3 9 2" xfId="6587" xr:uid="{00000000-0005-0000-0000-0000DF010000}"/>
    <cellStyle name="20% - Accent3 9 2 2" xfId="15029" xr:uid="{6E9718A3-8257-4CC2-9F10-B41AF238536E}"/>
    <cellStyle name="20% - Accent3 9 3" xfId="10811" xr:uid="{B7269DA4-06CF-49E6-B9AF-1474C47D6C00}"/>
    <cellStyle name="20% - Accent4" xfId="25" builtinId="42" customBuiltin="1"/>
    <cellStyle name="20% - Accent4 10" xfId="4529" xr:uid="{00000000-0005-0000-0000-0000E1010000}"/>
    <cellStyle name="20% - Accent4 10 2" xfId="12971" xr:uid="{0000457C-1691-4742-96F8-0DD26868D1D6}"/>
    <cellStyle name="20% - Accent4 11" xfId="8753" xr:uid="{E26DA0F0-4DB0-4F16-932F-2A4D6AE46CDF}"/>
    <cellStyle name="20% - Accent4 2" xfId="26" xr:uid="{00000000-0005-0000-0000-0000E2010000}"/>
    <cellStyle name="20% - Accent4 2 10" xfId="8754" xr:uid="{32F245B0-2118-443A-8F40-BB42D86CF6F8}"/>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FC385E38-7618-4648-8F54-16BC33685911}"/>
    <cellStyle name="20% - Accent4 2 2 2 2 2 3" xfId="11315" xr:uid="{89E82422-4CE2-4616-B15D-37BDE061DC54}"/>
    <cellStyle name="20% - Accent4 2 2 2 2 3" xfId="4946" xr:uid="{00000000-0005-0000-0000-0000E8010000}"/>
    <cellStyle name="20% - Accent4 2 2 2 2 3 2" xfId="13388" xr:uid="{0595AC64-48F5-4208-A5C5-506F69B4838F}"/>
    <cellStyle name="20% - Accent4 2 2 2 2 4" xfId="9170" xr:uid="{A6CAEA38-EA25-495C-91FE-EDA094526F5C}"/>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8E6A6533-64AE-48BD-832D-2880B63E1CCA}"/>
    <cellStyle name="20% - Accent4 2 2 2 3 2 3" xfId="11728" xr:uid="{5FE4A4EF-4938-479A-AF55-B8A2777A45DC}"/>
    <cellStyle name="20% - Accent4 2 2 2 3 3" xfId="5359" xr:uid="{00000000-0005-0000-0000-0000EC010000}"/>
    <cellStyle name="20% - Accent4 2 2 2 3 3 2" xfId="13801" xr:uid="{E7B3BD26-D288-40D8-80DC-696F67CD46A4}"/>
    <cellStyle name="20% - Accent4 2 2 2 3 4" xfId="9583" xr:uid="{9FA9D331-B086-41DD-A12A-F98F55AE1F98}"/>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92115367-38EB-49CE-A79A-EBF2401ACAC4}"/>
    <cellStyle name="20% - Accent4 2 2 2 4 2 3" xfId="12141" xr:uid="{1D386866-E8E0-485A-9C6C-A70DD4E56B1F}"/>
    <cellStyle name="20% - Accent4 2 2 2 4 3" xfId="5772" xr:uid="{00000000-0005-0000-0000-0000F0010000}"/>
    <cellStyle name="20% - Accent4 2 2 2 4 3 2" xfId="14214" xr:uid="{5A33D9BA-84DA-42DD-A6EE-B0D665EB4DEA}"/>
    <cellStyle name="20% - Accent4 2 2 2 4 4" xfId="9996" xr:uid="{5308E655-CAD0-4998-A3A8-57ABF332E6BB}"/>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BCFEB56B-2709-4EA4-9DBA-34D2C55380E1}"/>
    <cellStyle name="20% - Accent4 2 2 2 5 2 3" xfId="12554" xr:uid="{7E10833B-6B09-4F51-AEF6-DEDE5D58D93A}"/>
    <cellStyle name="20% - Accent4 2 2 2 5 3" xfId="6185" xr:uid="{00000000-0005-0000-0000-0000F4010000}"/>
    <cellStyle name="20% - Accent4 2 2 2 5 3 2" xfId="14627" xr:uid="{BCC4BD92-B35F-4985-8088-B59BEACBE986}"/>
    <cellStyle name="20% - Accent4 2 2 2 5 4" xfId="10409" xr:uid="{01ED82CE-D6AB-430D-9272-0CAE11001A45}"/>
    <cellStyle name="20% - Accent4 2 2 2 6" xfId="2291" xr:uid="{00000000-0005-0000-0000-0000F5010000}"/>
    <cellStyle name="20% - Accent4 2 2 2 6 2" xfId="6598" xr:uid="{00000000-0005-0000-0000-0000F6010000}"/>
    <cellStyle name="20% - Accent4 2 2 2 6 2 2" xfId="15040" xr:uid="{8624BCD9-4F1C-48F7-9B62-66DC06BE73EA}"/>
    <cellStyle name="20% - Accent4 2 2 2 6 3" xfId="10822" xr:uid="{DD01F764-ACF3-485D-878E-7DD80786551B}"/>
    <cellStyle name="20% - Accent4 2 2 2 7" xfId="4532" xr:uid="{00000000-0005-0000-0000-0000F7010000}"/>
    <cellStyle name="20% - Accent4 2 2 2 7 2" xfId="12974" xr:uid="{D4304329-CF1F-47EE-93EE-C2BAB8F9F002}"/>
    <cellStyle name="20% - Accent4 2 2 2 8" xfId="8756" xr:uid="{56FAF209-0885-44FD-9D72-E38BF4A7492D}"/>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94228A6D-7F65-4718-9638-6DF94DECC4F2}"/>
    <cellStyle name="20% - Accent4 2 2 3 2 3" xfId="11314" xr:uid="{78D9D047-C9F8-4BB3-985A-2DA58AC0EC44}"/>
    <cellStyle name="20% - Accent4 2 2 3 3" xfId="4945" xr:uid="{00000000-0005-0000-0000-0000FB010000}"/>
    <cellStyle name="20% - Accent4 2 2 3 3 2" xfId="13387" xr:uid="{6BAAF360-1FD0-42D6-901A-80EDD638D772}"/>
    <cellStyle name="20% - Accent4 2 2 3 4" xfId="9169" xr:uid="{7D0EA4F3-6CC5-4856-8084-29220FC7E373}"/>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213B9CB0-EAD7-47FE-A35A-E71BC40BB049}"/>
    <cellStyle name="20% - Accent4 2 2 4 2 3" xfId="11727" xr:uid="{2DE33EF5-50CC-492C-A475-C5C44B352E5F}"/>
    <cellStyle name="20% - Accent4 2 2 4 3" xfId="5358" xr:uid="{00000000-0005-0000-0000-0000FF010000}"/>
    <cellStyle name="20% - Accent4 2 2 4 3 2" xfId="13800" xr:uid="{BB211631-FD5D-4401-B38F-D4C593F2D0E6}"/>
    <cellStyle name="20% - Accent4 2 2 4 4" xfId="9582" xr:uid="{85182C7A-1C3F-4480-9616-E32A9A44B96F}"/>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88197E5F-7FDE-44A9-8F01-3CAEA0A5DE6D}"/>
    <cellStyle name="20% - Accent4 2 2 5 2 3" xfId="12140" xr:uid="{EE2DC57D-4117-44E5-9B1E-0FC36754F5BC}"/>
    <cellStyle name="20% - Accent4 2 2 5 3" xfId="5771" xr:uid="{00000000-0005-0000-0000-000003020000}"/>
    <cellStyle name="20% - Accent4 2 2 5 3 2" xfId="14213" xr:uid="{CC60D763-376F-4FB5-AF1F-85F8A0CA0D9D}"/>
    <cellStyle name="20% - Accent4 2 2 5 4" xfId="9995" xr:uid="{3929BB24-9085-4408-8FC8-EBA526699ECE}"/>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9E9B7C6B-CF07-422C-9D83-626CADCD994A}"/>
    <cellStyle name="20% - Accent4 2 2 6 2 3" xfId="12553" xr:uid="{38D4F850-529B-4C10-8183-2E5847B69B1F}"/>
    <cellStyle name="20% - Accent4 2 2 6 3" xfId="6184" xr:uid="{00000000-0005-0000-0000-000007020000}"/>
    <cellStyle name="20% - Accent4 2 2 6 3 2" xfId="14626" xr:uid="{72F1309A-6C2D-46DC-8CB6-202351F278ED}"/>
    <cellStyle name="20% - Accent4 2 2 6 4" xfId="10408" xr:uid="{B26D8D0F-5603-4FD8-9DAC-1ACC8F18DFB6}"/>
    <cellStyle name="20% - Accent4 2 2 7" xfId="2290" xr:uid="{00000000-0005-0000-0000-000008020000}"/>
    <cellStyle name="20% - Accent4 2 2 7 2" xfId="6597" xr:uid="{00000000-0005-0000-0000-000009020000}"/>
    <cellStyle name="20% - Accent4 2 2 7 2 2" xfId="15039" xr:uid="{B4C78AD4-4386-4086-BED8-8EF6A30B3259}"/>
    <cellStyle name="20% - Accent4 2 2 7 3" xfId="10821" xr:uid="{AEF663F7-D06C-4B39-99AD-A76CBC0A664F}"/>
    <cellStyle name="20% - Accent4 2 2 8" xfId="4531" xr:uid="{00000000-0005-0000-0000-00000A020000}"/>
    <cellStyle name="20% - Accent4 2 2 8 2" xfId="12973" xr:uid="{8859A51F-6423-44BE-B11B-233D303E3C9F}"/>
    <cellStyle name="20% - Accent4 2 2 9" xfId="8755" xr:uid="{7BF4DFFF-06C4-441F-99A4-00B9B3F16D3E}"/>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BF4B97BD-020B-4600-BCE6-89417DB4D0D5}"/>
    <cellStyle name="20% - Accent4 2 3 2 2 3" xfId="11316" xr:uid="{FDA3FA1F-ED81-4C2F-8CDA-3E4AAFF02CCE}"/>
    <cellStyle name="20% - Accent4 2 3 2 3" xfId="4947" xr:uid="{00000000-0005-0000-0000-00000F020000}"/>
    <cellStyle name="20% - Accent4 2 3 2 3 2" xfId="13389" xr:uid="{486BB48F-2ACB-45E1-B851-AE3055196B54}"/>
    <cellStyle name="20% - Accent4 2 3 2 4" xfId="9171" xr:uid="{474853E7-7731-4CCA-9D60-5A09636E6952}"/>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4585D9C4-0D60-4E55-A631-9438886B984D}"/>
    <cellStyle name="20% - Accent4 2 3 3 2 3" xfId="11729" xr:uid="{DE359839-8623-44ED-909C-807E3D3A721E}"/>
    <cellStyle name="20% - Accent4 2 3 3 3" xfId="5360" xr:uid="{00000000-0005-0000-0000-000013020000}"/>
    <cellStyle name="20% - Accent4 2 3 3 3 2" xfId="13802" xr:uid="{CB53BAB1-C69A-4D6B-A352-F64FE6298D6C}"/>
    <cellStyle name="20% - Accent4 2 3 3 4" xfId="9584" xr:uid="{1272EE63-1140-4E5C-819F-CDE0F5822F8C}"/>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FE483F85-332B-4ADA-8266-198B499A900D}"/>
    <cellStyle name="20% - Accent4 2 3 4 2 3" xfId="12142" xr:uid="{EC58B943-878B-4E0C-9948-FDE14390F169}"/>
    <cellStyle name="20% - Accent4 2 3 4 3" xfId="5773" xr:uid="{00000000-0005-0000-0000-000017020000}"/>
    <cellStyle name="20% - Accent4 2 3 4 3 2" xfId="14215" xr:uid="{660ECB87-6E88-4749-A881-194ACC8B40D5}"/>
    <cellStyle name="20% - Accent4 2 3 4 4" xfId="9997" xr:uid="{C99630C3-A64E-4EFD-B683-ABE4C3F77A1C}"/>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CAC835EF-7164-47E1-9580-0862BA387AF3}"/>
    <cellStyle name="20% - Accent4 2 3 5 2 3" xfId="12555" xr:uid="{3F4E6412-F5B8-4A14-8A2D-F3B7BC5CC013}"/>
    <cellStyle name="20% - Accent4 2 3 5 3" xfId="6186" xr:uid="{00000000-0005-0000-0000-00001B020000}"/>
    <cellStyle name="20% - Accent4 2 3 5 3 2" xfId="14628" xr:uid="{FF57101B-470E-432F-AF3C-8E2E57CF52C8}"/>
    <cellStyle name="20% - Accent4 2 3 5 4" xfId="10410" xr:uid="{D47E30FC-A0FE-4298-8439-4575B39BCF44}"/>
    <cellStyle name="20% - Accent4 2 3 6" xfId="2292" xr:uid="{00000000-0005-0000-0000-00001C020000}"/>
    <cellStyle name="20% - Accent4 2 3 6 2" xfId="6599" xr:uid="{00000000-0005-0000-0000-00001D020000}"/>
    <cellStyle name="20% - Accent4 2 3 6 2 2" xfId="15041" xr:uid="{BF54443E-6876-4DE2-8AD6-746A6356783E}"/>
    <cellStyle name="20% - Accent4 2 3 6 3" xfId="10823" xr:uid="{577B914A-7E78-4277-B474-3BC56107243F}"/>
    <cellStyle name="20% - Accent4 2 3 7" xfId="4533" xr:uid="{00000000-0005-0000-0000-00001E020000}"/>
    <cellStyle name="20% - Accent4 2 3 7 2" xfId="12975" xr:uid="{28845F2C-C265-412B-B772-BFF36D7784A7}"/>
    <cellStyle name="20% - Accent4 2 3 8" xfId="8757" xr:uid="{C15F64A8-F03F-4450-8FF8-A437E9D977A2}"/>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DBC38E97-9E7F-4DDB-9BD3-D597D4F4E344}"/>
    <cellStyle name="20% - Accent4 2 4 2 3" xfId="11313" xr:uid="{657D074B-8159-43C3-A9FF-510085B20011}"/>
    <cellStyle name="20% - Accent4 2 4 3" xfId="4944" xr:uid="{00000000-0005-0000-0000-000022020000}"/>
    <cellStyle name="20% - Accent4 2 4 3 2" xfId="13386" xr:uid="{AEEF759B-44F7-4971-B35D-E1A69E35507F}"/>
    <cellStyle name="20% - Accent4 2 4 4" xfId="9168" xr:uid="{91421398-8E6F-4101-86BF-85C922784975}"/>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9A71F52C-7423-4031-865F-C3C07848DD6F}"/>
    <cellStyle name="20% - Accent4 2 5 2 3" xfId="11726" xr:uid="{884CE77A-9D4A-4B1E-9FAC-429A5DA4A357}"/>
    <cellStyle name="20% - Accent4 2 5 3" xfId="5357" xr:uid="{00000000-0005-0000-0000-000026020000}"/>
    <cellStyle name="20% - Accent4 2 5 3 2" xfId="13799" xr:uid="{8CB43A41-835C-4551-90E8-C90BC58230F7}"/>
    <cellStyle name="20% - Accent4 2 5 4" xfId="9581" xr:uid="{FEFF14DA-D9D5-4D5A-813B-9964C9C54475}"/>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CAD54F17-A3CF-46A7-82C4-662FC9800AA5}"/>
    <cellStyle name="20% - Accent4 2 6 2 3" xfId="12139" xr:uid="{BB23B11C-4D3C-44E2-88B2-91656BBB53F5}"/>
    <cellStyle name="20% - Accent4 2 6 3" xfId="5770" xr:uid="{00000000-0005-0000-0000-00002A020000}"/>
    <cellStyle name="20% - Accent4 2 6 3 2" xfId="14212" xr:uid="{9471D623-037C-414E-944D-B05B253B8607}"/>
    <cellStyle name="20% - Accent4 2 6 4" xfId="9994" xr:uid="{6CD4C558-9A34-4142-ACF2-6FF289B27F4D}"/>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02A67C7C-117C-4E54-A7F6-983AA0CE4CFC}"/>
    <cellStyle name="20% - Accent4 2 7 2 3" xfId="12552" xr:uid="{3E90F0E5-24F2-4B59-8759-9EDCE90F18D2}"/>
    <cellStyle name="20% - Accent4 2 7 3" xfId="6183" xr:uid="{00000000-0005-0000-0000-00002E020000}"/>
    <cellStyle name="20% - Accent4 2 7 3 2" xfId="14625" xr:uid="{266D39FC-E14A-4D46-A714-108E2E4E7168}"/>
    <cellStyle name="20% - Accent4 2 7 4" xfId="10407" xr:uid="{D6DBF6DA-54CF-4B81-8C6D-D38ECAFC96F6}"/>
    <cellStyle name="20% - Accent4 2 8" xfId="2289" xr:uid="{00000000-0005-0000-0000-00002F020000}"/>
    <cellStyle name="20% - Accent4 2 8 2" xfId="6596" xr:uid="{00000000-0005-0000-0000-000030020000}"/>
    <cellStyle name="20% - Accent4 2 8 2 2" xfId="15038" xr:uid="{947A9611-6C82-4BEE-8D99-8A126FF8E086}"/>
    <cellStyle name="20% - Accent4 2 8 3" xfId="10820" xr:uid="{47B5CE83-E845-45AD-8FF8-8CF478C2169D}"/>
    <cellStyle name="20% - Accent4 2 9" xfId="4530" xr:uid="{00000000-0005-0000-0000-000031020000}"/>
    <cellStyle name="20% - Accent4 2 9 2" xfId="12972" xr:uid="{B8D0769C-FC6F-4948-9131-FB20E447757C}"/>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283E1454-978A-4EB8-8813-4DCFAA499DF4}"/>
    <cellStyle name="20% - Accent4 3 2 2 2 3" xfId="11318" xr:uid="{817EB38B-9C7D-40A3-9898-934E788DB20C}"/>
    <cellStyle name="20% - Accent4 3 2 2 3" xfId="4949" xr:uid="{00000000-0005-0000-0000-000037020000}"/>
    <cellStyle name="20% - Accent4 3 2 2 3 2" xfId="13391" xr:uid="{5AEAC687-96AA-49E2-989C-9AC84F245FA4}"/>
    <cellStyle name="20% - Accent4 3 2 2 4" xfId="9173" xr:uid="{A99842E5-F9C0-404E-AD94-1F6F7F485E3D}"/>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6EE89976-A420-4F94-A85B-411B4694940F}"/>
    <cellStyle name="20% - Accent4 3 2 3 2 3" xfId="11731" xr:uid="{FE87C412-6B1C-4FF6-84B4-E83B1816A6EE}"/>
    <cellStyle name="20% - Accent4 3 2 3 3" xfId="5362" xr:uid="{00000000-0005-0000-0000-00003B020000}"/>
    <cellStyle name="20% - Accent4 3 2 3 3 2" xfId="13804" xr:uid="{B0C34286-F6D0-4565-8840-32BCE4F83771}"/>
    <cellStyle name="20% - Accent4 3 2 3 4" xfId="9586" xr:uid="{E4041A8A-88A1-4048-864C-056958B52518}"/>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BC1C5289-F287-46DA-A03E-635CEB480A09}"/>
    <cellStyle name="20% - Accent4 3 2 4 2 3" xfId="12144" xr:uid="{85A89DAA-A1C2-4394-B1AF-372A5BA75004}"/>
    <cellStyle name="20% - Accent4 3 2 4 3" xfId="5775" xr:uid="{00000000-0005-0000-0000-00003F020000}"/>
    <cellStyle name="20% - Accent4 3 2 4 3 2" xfId="14217" xr:uid="{D0B52ACD-FBD4-4FDF-AEC7-8064713E43DA}"/>
    <cellStyle name="20% - Accent4 3 2 4 4" xfId="9999" xr:uid="{A6A81D45-12CC-4A64-9DF1-EFF9908A5931}"/>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9F3C74C2-8576-4E2E-9925-3E6247F0D8B8}"/>
    <cellStyle name="20% - Accent4 3 2 5 2 3" xfId="12557" xr:uid="{87EDC8A2-53DF-4248-A6F9-2DECD66AAB0B}"/>
    <cellStyle name="20% - Accent4 3 2 5 3" xfId="6188" xr:uid="{00000000-0005-0000-0000-000043020000}"/>
    <cellStyle name="20% - Accent4 3 2 5 3 2" xfId="14630" xr:uid="{7E62C3EE-773B-4CC2-B751-0B4CA045C208}"/>
    <cellStyle name="20% - Accent4 3 2 5 4" xfId="10412" xr:uid="{C872BACC-222F-436E-90B0-13D9D41B833A}"/>
    <cellStyle name="20% - Accent4 3 2 6" xfId="2294" xr:uid="{00000000-0005-0000-0000-000044020000}"/>
    <cellStyle name="20% - Accent4 3 2 6 2" xfId="6601" xr:uid="{00000000-0005-0000-0000-000045020000}"/>
    <cellStyle name="20% - Accent4 3 2 6 2 2" xfId="15043" xr:uid="{F5C347EB-9508-4F76-BAAE-8806901D397F}"/>
    <cellStyle name="20% - Accent4 3 2 6 3" xfId="10825" xr:uid="{8CC59FCB-3646-4A18-BD37-F1EDF83F6D5D}"/>
    <cellStyle name="20% - Accent4 3 2 7" xfId="4535" xr:uid="{00000000-0005-0000-0000-000046020000}"/>
    <cellStyle name="20% - Accent4 3 2 7 2" xfId="12977" xr:uid="{7A41796B-99D6-42C5-9964-0EAF3BC16FA3}"/>
    <cellStyle name="20% - Accent4 3 2 8" xfId="8759" xr:uid="{8E406D03-576C-47F3-A28E-C0BCD388C215}"/>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B160F9DB-D4AD-4E22-9594-0C075741D4E7}"/>
    <cellStyle name="20% - Accent4 3 3 2 3" xfId="11317" xr:uid="{A24AC884-E115-46C8-9DF1-A5343B74CEB6}"/>
    <cellStyle name="20% - Accent4 3 3 3" xfId="4948" xr:uid="{00000000-0005-0000-0000-00004A020000}"/>
    <cellStyle name="20% - Accent4 3 3 3 2" xfId="13390" xr:uid="{25D5C410-DB02-45F9-9593-CA5683D0E3DD}"/>
    <cellStyle name="20% - Accent4 3 3 4" xfId="9172" xr:uid="{7509B0CC-7B44-4E0E-965F-756E6D65FB99}"/>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E3BFA330-1DE8-4DDC-A732-F659C61A1FCF}"/>
    <cellStyle name="20% - Accent4 3 4 2 3" xfId="11730" xr:uid="{92F3D2A8-7EDB-4FAB-A2B1-761B1DE9E9AF}"/>
    <cellStyle name="20% - Accent4 3 4 3" xfId="5361" xr:uid="{00000000-0005-0000-0000-00004E020000}"/>
    <cellStyle name="20% - Accent4 3 4 3 2" xfId="13803" xr:uid="{9C37689B-3784-42A7-A573-72B8D037B03D}"/>
    <cellStyle name="20% - Accent4 3 4 4" xfId="9585" xr:uid="{939A7D89-6124-40AF-9830-A026938EB2FB}"/>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2979D00B-0945-4B74-8120-03D9EF3DE854}"/>
    <cellStyle name="20% - Accent4 3 5 2 3" xfId="12143" xr:uid="{9D557FD1-353E-4773-8B6A-94885BBA5C15}"/>
    <cellStyle name="20% - Accent4 3 5 3" xfId="5774" xr:uid="{00000000-0005-0000-0000-000052020000}"/>
    <cellStyle name="20% - Accent4 3 5 3 2" xfId="14216" xr:uid="{9406A2AE-3DE4-43B2-9A62-B121D2C9BC6F}"/>
    <cellStyle name="20% - Accent4 3 5 4" xfId="9998" xr:uid="{B0A66E8C-878B-4F13-988A-A5BD91697E6A}"/>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525DECB9-AA20-4100-A4E5-F94EE7B9DB18}"/>
    <cellStyle name="20% - Accent4 3 6 2 3" xfId="12556" xr:uid="{73EF83F8-2EDF-4B2F-BF2E-661C7F0EE6AA}"/>
    <cellStyle name="20% - Accent4 3 6 3" xfId="6187" xr:uid="{00000000-0005-0000-0000-000056020000}"/>
    <cellStyle name="20% - Accent4 3 6 3 2" xfId="14629" xr:uid="{4E692A3E-3403-4670-8972-A93EB46AE6E8}"/>
    <cellStyle name="20% - Accent4 3 6 4" xfId="10411" xr:uid="{6DBB6012-057F-4E39-899E-AF9D41419A2D}"/>
    <cellStyle name="20% - Accent4 3 7" xfId="2293" xr:uid="{00000000-0005-0000-0000-000057020000}"/>
    <cellStyle name="20% - Accent4 3 7 2" xfId="6600" xr:uid="{00000000-0005-0000-0000-000058020000}"/>
    <cellStyle name="20% - Accent4 3 7 2 2" xfId="15042" xr:uid="{99CA7BA1-3538-4500-B5C5-EA8838CD54DB}"/>
    <cellStyle name="20% - Accent4 3 7 3" xfId="10824" xr:uid="{0525FE2B-4766-422E-927D-24E04A3A12A5}"/>
    <cellStyle name="20% - Accent4 3 8" xfId="4534" xr:uid="{00000000-0005-0000-0000-000059020000}"/>
    <cellStyle name="20% - Accent4 3 8 2" xfId="12976" xr:uid="{25D2A811-24C8-4D97-A795-F556FC84B32B}"/>
    <cellStyle name="20% - Accent4 3 9" xfId="8758" xr:uid="{C0E88B4F-9140-488B-85AD-BF30CC86B076}"/>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69976F79-A907-40C4-BB0D-EE0CA5C91188}"/>
    <cellStyle name="20% - Accent4 4 2 2 3" xfId="11319" xr:uid="{A0A3AFBA-27A1-4833-A68B-B83E1A4777C7}"/>
    <cellStyle name="20% - Accent4 4 2 3" xfId="4950" xr:uid="{00000000-0005-0000-0000-00005E020000}"/>
    <cellStyle name="20% - Accent4 4 2 3 2" xfId="13392" xr:uid="{E31D102D-A2EA-4528-84AA-224EA3585B69}"/>
    <cellStyle name="20% - Accent4 4 2 4" xfId="9174" xr:uid="{73E8A9FE-B2D7-4656-A5E3-43D2CEEE75D4}"/>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70C66614-A300-4398-9185-3CD8BEAD8621}"/>
    <cellStyle name="20% - Accent4 4 3 2 3" xfId="11732" xr:uid="{1488695E-AD25-46A1-8763-2D19B40F479A}"/>
    <cellStyle name="20% - Accent4 4 3 3" xfId="5363" xr:uid="{00000000-0005-0000-0000-000062020000}"/>
    <cellStyle name="20% - Accent4 4 3 3 2" xfId="13805" xr:uid="{4424E889-2991-4CA5-A07C-A26E59738A1F}"/>
    <cellStyle name="20% - Accent4 4 3 4" xfId="9587" xr:uid="{FC7AC98E-0CD5-4EF3-A2F2-5096BA615A1F}"/>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432B394A-C326-4868-888E-AF60C014F0D7}"/>
    <cellStyle name="20% - Accent4 4 4 2 3" xfId="12145" xr:uid="{637041E6-A030-482E-9AE6-0AB4D3359BFB}"/>
    <cellStyle name="20% - Accent4 4 4 3" xfId="5776" xr:uid="{00000000-0005-0000-0000-000066020000}"/>
    <cellStyle name="20% - Accent4 4 4 3 2" xfId="14218" xr:uid="{7D6CD17E-90FC-49C0-89A1-A18F2F95D5D0}"/>
    <cellStyle name="20% - Accent4 4 4 4" xfId="10000" xr:uid="{EC6818CD-47BF-40E3-8CF8-5135D741E874}"/>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F95BFF5D-3FAA-469E-85D3-3A46565E94D8}"/>
    <cellStyle name="20% - Accent4 4 5 2 3" xfId="12558" xr:uid="{64154C05-A088-43D5-91C8-6E17716E0DE0}"/>
    <cellStyle name="20% - Accent4 4 5 3" xfId="6189" xr:uid="{00000000-0005-0000-0000-00006A020000}"/>
    <cellStyle name="20% - Accent4 4 5 3 2" xfId="14631" xr:uid="{FE74970A-F41A-4280-A8BB-2AE316695879}"/>
    <cellStyle name="20% - Accent4 4 5 4" xfId="10413" xr:uid="{C3A1A5D5-867C-4A18-9351-5A2E0A0C261F}"/>
    <cellStyle name="20% - Accent4 4 6" xfId="2295" xr:uid="{00000000-0005-0000-0000-00006B020000}"/>
    <cellStyle name="20% - Accent4 4 6 2" xfId="6602" xr:uid="{00000000-0005-0000-0000-00006C020000}"/>
    <cellStyle name="20% - Accent4 4 6 2 2" xfId="15044" xr:uid="{F955D877-B9AA-4E76-9779-15998356D6CA}"/>
    <cellStyle name="20% - Accent4 4 6 3" xfId="10826" xr:uid="{123255F8-14E3-4B1B-B9F6-E3266611B4AD}"/>
    <cellStyle name="20% - Accent4 4 7" xfId="4536" xr:uid="{00000000-0005-0000-0000-00006D020000}"/>
    <cellStyle name="20% - Accent4 4 7 2" xfId="12978" xr:uid="{BB4485C7-374D-47F5-B48C-5D12D4405D48}"/>
    <cellStyle name="20% - Accent4 4 8" xfId="8760" xr:uid="{E97782E0-DCD7-4B62-BFF2-1C990FB363F2}"/>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20C6AC94-BA23-416F-9C34-141A0379B2A3}"/>
    <cellStyle name="20% - Accent4 5 2 3" xfId="11312" xr:uid="{F5F108DF-A6DD-4727-A083-58B1E81A1761}"/>
    <cellStyle name="20% - Accent4 5 3" xfId="4943" xr:uid="{00000000-0005-0000-0000-000071020000}"/>
    <cellStyle name="20% - Accent4 5 3 2" xfId="13385" xr:uid="{684C3A41-9587-4201-A187-A9B3D64E094C}"/>
    <cellStyle name="20% - Accent4 5 4" xfId="9167" xr:uid="{C8414BED-2538-41DB-B7C5-67C86267F19D}"/>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945479F7-FA18-4BB6-A48D-D54A92BE250D}"/>
    <cellStyle name="20% - Accent4 6 2 3" xfId="11725" xr:uid="{09E74809-86AA-4C46-B9E8-E0CA3D7CE3AB}"/>
    <cellStyle name="20% - Accent4 6 3" xfId="5356" xr:uid="{00000000-0005-0000-0000-000075020000}"/>
    <cellStyle name="20% - Accent4 6 3 2" xfId="13798" xr:uid="{0736DDF2-A4BF-42FB-958D-0ECE327A1FFB}"/>
    <cellStyle name="20% - Accent4 6 4" xfId="9580" xr:uid="{2FA20E42-63CC-49E3-9BD3-FDB7FF1EFE39}"/>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7FAE2677-0218-4606-A36E-2C749136B18E}"/>
    <cellStyle name="20% - Accent4 7 2 3" xfId="12138" xr:uid="{2532207A-7EF3-47DD-8B84-E669974E2FD3}"/>
    <cellStyle name="20% - Accent4 7 3" xfId="5769" xr:uid="{00000000-0005-0000-0000-000079020000}"/>
    <cellStyle name="20% - Accent4 7 3 2" xfId="14211" xr:uid="{350139E2-8B2F-4C7B-B7F5-8ED3CB3C502F}"/>
    <cellStyle name="20% - Accent4 7 4" xfId="9993" xr:uid="{8FC2DE50-5EF0-4AEB-A0A5-1851BF88E067}"/>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0FE91E7E-E73C-44A4-B578-73995B03309E}"/>
    <cellStyle name="20% - Accent4 8 2 3" xfId="12551" xr:uid="{0EA8FD17-9662-461D-8DD6-EFD2965B7D8A}"/>
    <cellStyle name="20% - Accent4 8 3" xfId="6182" xr:uid="{00000000-0005-0000-0000-00007D020000}"/>
    <cellStyle name="20% - Accent4 8 3 2" xfId="14624" xr:uid="{1CD738F8-486F-49F3-89B7-0A3B8DC10A15}"/>
    <cellStyle name="20% - Accent4 8 4" xfId="10406" xr:uid="{AE0CAE5B-624A-4600-AA61-5A54F8CF5FA8}"/>
    <cellStyle name="20% - Accent4 9" xfId="2288" xr:uid="{00000000-0005-0000-0000-00007E020000}"/>
    <cellStyle name="20% - Accent4 9 2" xfId="6595" xr:uid="{00000000-0005-0000-0000-00007F020000}"/>
    <cellStyle name="20% - Accent4 9 2 2" xfId="15037" xr:uid="{A81F841C-CB5A-4417-9775-ABC0169B833B}"/>
    <cellStyle name="20% - Accent4 9 3" xfId="10819" xr:uid="{7D6E6E24-0899-4256-8066-860558BBAC11}"/>
    <cellStyle name="20% - Accent5" xfId="33" builtinId="46" customBuiltin="1"/>
    <cellStyle name="20% - Accent5 10" xfId="4537" xr:uid="{00000000-0005-0000-0000-000081020000}"/>
    <cellStyle name="20% - Accent5 10 2" xfId="12979" xr:uid="{725476AD-AC6C-4B4A-9D3A-9BBDEAE55E18}"/>
    <cellStyle name="20% - Accent5 11" xfId="8761" xr:uid="{280A824F-A354-4EA6-931D-CF5AF721EE20}"/>
    <cellStyle name="20% - Accent5 2" xfId="34" xr:uid="{00000000-0005-0000-0000-000082020000}"/>
    <cellStyle name="20% - Accent5 2 10" xfId="8762" xr:uid="{B5DA9BD0-7732-4021-BB40-975C65A6B4FC}"/>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DA9F1D19-E31F-42EF-8209-9E06F90194C9}"/>
    <cellStyle name="20% - Accent5 2 2 2 2 2 3" xfId="11323" xr:uid="{B5C166FD-A829-499C-9B7A-FE444F9A5B58}"/>
    <cellStyle name="20% - Accent5 2 2 2 2 3" xfId="4954" xr:uid="{00000000-0005-0000-0000-000088020000}"/>
    <cellStyle name="20% - Accent5 2 2 2 2 3 2" xfId="13396" xr:uid="{8C8D9BC1-7B40-4C4D-93F6-88078ED901FE}"/>
    <cellStyle name="20% - Accent5 2 2 2 2 4" xfId="9178" xr:uid="{D8F97167-B025-4461-A0BA-3BA8317C91A7}"/>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72A4EAEE-D727-48AA-A398-9FAB63EF0727}"/>
    <cellStyle name="20% - Accent5 2 2 2 3 2 3" xfId="11736" xr:uid="{EB1D1DDC-1E13-4FE5-A4B2-371804D33184}"/>
    <cellStyle name="20% - Accent5 2 2 2 3 3" xfId="5367" xr:uid="{00000000-0005-0000-0000-00008C020000}"/>
    <cellStyle name="20% - Accent5 2 2 2 3 3 2" xfId="13809" xr:uid="{D1E1769D-A5E7-4A75-B5AB-758C90A30E07}"/>
    <cellStyle name="20% - Accent5 2 2 2 3 4" xfId="9591" xr:uid="{DC2E01A8-8110-4D07-B647-7CB9591C42C2}"/>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A5E845DB-7B01-42E5-80ED-F28F7A0B8CDC}"/>
    <cellStyle name="20% - Accent5 2 2 2 4 2 3" xfId="12149" xr:uid="{66A6E4E8-59E1-4F57-BEA9-CB0C322E83F2}"/>
    <cellStyle name="20% - Accent5 2 2 2 4 3" xfId="5780" xr:uid="{00000000-0005-0000-0000-000090020000}"/>
    <cellStyle name="20% - Accent5 2 2 2 4 3 2" xfId="14222" xr:uid="{7D4B4529-EBB8-4DFA-A152-53003FA68CFD}"/>
    <cellStyle name="20% - Accent5 2 2 2 4 4" xfId="10004" xr:uid="{A94D2064-CB64-496A-BFB1-4FBABD2F857E}"/>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1CD9B21C-1425-4379-AAEE-2C5C65F23C85}"/>
    <cellStyle name="20% - Accent5 2 2 2 5 2 3" xfId="12562" xr:uid="{6E6D5C7D-8A0B-4D2E-86C6-54DDCCC8F154}"/>
    <cellStyle name="20% - Accent5 2 2 2 5 3" xfId="6193" xr:uid="{00000000-0005-0000-0000-000094020000}"/>
    <cellStyle name="20% - Accent5 2 2 2 5 3 2" xfId="14635" xr:uid="{C8E42E71-100D-490F-8712-D805A21A42CC}"/>
    <cellStyle name="20% - Accent5 2 2 2 5 4" xfId="10417" xr:uid="{5BDB4C86-BE73-42AE-AE1E-6DBF6E885331}"/>
    <cellStyle name="20% - Accent5 2 2 2 6" xfId="2299" xr:uid="{00000000-0005-0000-0000-000095020000}"/>
    <cellStyle name="20% - Accent5 2 2 2 6 2" xfId="6606" xr:uid="{00000000-0005-0000-0000-000096020000}"/>
    <cellStyle name="20% - Accent5 2 2 2 6 2 2" xfId="15048" xr:uid="{3BFE3D21-1C88-4A78-B7BF-57CD97B4064A}"/>
    <cellStyle name="20% - Accent5 2 2 2 6 3" xfId="10830" xr:uid="{354B6B85-01DB-48D7-9107-994064CBBEB6}"/>
    <cellStyle name="20% - Accent5 2 2 2 7" xfId="4540" xr:uid="{00000000-0005-0000-0000-000097020000}"/>
    <cellStyle name="20% - Accent5 2 2 2 7 2" xfId="12982" xr:uid="{33964178-F640-42A0-A719-2FDF1F4009FE}"/>
    <cellStyle name="20% - Accent5 2 2 2 8" xfId="8764" xr:uid="{354B7120-972F-46EA-8563-45B5FBACB22D}"/>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D03DEC53-F259-48A9-BF9A-82C0F025442C}"/>
    <cellStyle name="20% - Accent5 2 2 3 2 3" xfId="11322" xr:uid="{E3E98103-DFC7-4425-BF0A-F992299D448C}"/>
    <cellStyle name="20% - Accent5 2 2 3 3" xfId="4953" xr:uid="{00000000-0005-0000-0000-00009B020000}"/>
    <cellStyle name="20% - Accent5 2 2 3 3 2" xfId="13395" xr:uid="{48EA19EF-818F-481D-A094-1BF4843A36FE}"/>
    <cellStyle name="20% - Accent5 2 2 3 4" xfId="9177" xr:uid="{E905F38F-FF90-4E78-970C-EE6F7C121AC6}"/>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AEF6A1E8-0BBA-4445-AB8C-94E4A5FD4E15}"/>
    <cellStyle name="20% - Accent5 2 2 4 2 3" xfId="11735" xr:uid="{2E31D0F6-65FE-4DF8-AA2B-DD5992667EA3}"/>
    <cellStyle name="20% - Accent5 2 2 4 3" xfId="5366" xr:uid="{00000000-0005-0000-0000-00009F020000}"/>
    <cellStyle name="20% - Accent5 2 2 4 3 2" xfId="13808" xr:uid="{44DA0654-E7DD-4A8B-8DCD-591A5D852CE6}"/>
    <cellStyle name="20% - Accent5 2 2 4 4" xfId="9590" xr:uid="{1E778CED-9212-447D-A214-CCD61921BAF3}"/>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1D77F4F3-77A8-4016-B0B9-1398415BD648}"/>
    <cellStyle name="20% - Accent5 2 2 5 2 3" xfId="12148" xr:uid="{516ED6F4-1ABF-4769-ADE8-19954B627390}"/>
    <cellStyle name="20% - Accent5 2 2 5 3" xfId="5779" xr:uid="{00000000-0005-0000-0000-0000A3020000}"/>
    <cellStyle name="20% - Accent5 2 2 5 3 2" xfId="14221" xr:uid="{10551073-7039-4168-86DA-90F4DEFD4605}"/>
    <cellStyle name="20% - Accent5 2 2 5 4" xfId="10003" xr:uid="{FAA60403-98D1-4FBC-B81A-A9EABEC06BAC}"/>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23BE7B8A-07E4-4B0C-A984-20823FAB862A}"/>
    <cellStyle name="20% - Accent5 2 2 6 2 3" xfId="12561" xr:uid="{CEB17474-7C76-4864-B204-C247F0A6D7BE}"/>
    <cellStyle name="20% - Accent5 2 2 6 3" xfId="6192" xr:uid="{00000000-0005-0000-0000-0000A7020000}"/>
    <cellStyle name="20% - Accent5 2 2 6 3 2" xfId="14634" xr:uid="{582E9A17-8380-472C-B340-129C5B8C2A65}"/>
    <cellStyle name="20% - Accent5 2 2 6 4" xfId="10416" xr:uid="{A05D3F7F-5D8E-4C82-AABB-847C97196C71}"/>
    <cellStyle name="20% - Accent5 2 2 7" xfId="2298" xr:uid="{00000000-0005-0000-0000-0000A8020000}"/>
    <cellStyle name="20% - Accent5 2 2 7 2" xfId="6605" xr:uid="{00000000-0005-0000-0000-0000A9020000}"/>
    <cellStyle name="20% - Accent5 2 2 7 2 2" xfId="15047" xr:uid="{256E82F8-177F-4810-B108-12025CEF8714}"/>
    <cellStyle name="20% - Accent5 2 2 7 3" xfId="10829" xr:uid="{74CFE904-475E-4242-9E0E-59E68AE3A153}"/>
    <cellStyle name="20% - Accent5 2 2 8" xfId="4539" xr:uid="{00000000-0005-0000-0000-0000AA020000}"/>
    <cellStyle name="20% - Accent5 2 2 8 2" xfId="12981" xr:uid="{EC1E1428-B54F-446F-9C30-2ABA7D6AFB9A}"/>
    <cellStyle name="20% - Accent5 2 2 9" xfId="8763" xr:uid="{50F201B5-3BAE-4093-872E-2E02B1845211}"/>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85B36704-2EFC-4FF3-A95F-61409970959B}"/>
    <cellStyle name="20% - Accent5 2 3 2 2 3" xfId="11324" xr:uid="{145B341E-A96B-4E4E-9B70-5005695B3849}"/>
    <cellStyle name="20% - Accent5 2 3 2 3" xfId="4955" xr:uid="{00000000-0005-0000-0000-0000AF020000}"/>
    <cellStyle name="20% - Accent5 2 3 2 3 2" xfId="13397" xr:uid="{432F2869-C7A6-49A6-976C-5363B64D5AF9}"/>
    <cellStyle name="20% - Accent5 2 3 2 4" xfId="9179" xr:uid="{7362FEE9-39EF-4637-9814-9AA7E0AFB912}"/>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C510E551-5304-43B4-B916-C512B8C375A4}"/>
    <cellStyle name="20% - Accent5 2 3 3 2 3" xfId="11737" xr:uid="{EC6EB011-2371-43EA-A2B2-75A19118EE83}"/>
    <cellStyle name="20% - Accent5 2 3 3 3" xfId="5368" xr:uid="{00000000-0005-0000-0000-0000B3020000}"/>
    <cellStyle name="20% - Accent5 2 3 3 3 2" xfId="13810" xr:uid="{01EC4D4D-334C-42CD-8431-6672D20AFBA6}"/>
    <cellStyle name="20% - Accent5 2 3 3 4" xfId="9592" xr:uid="{D8D7BD78-5C53-4A5F-A548-E0F7A6B247C0}"/>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397E2A66-08E7-4956-9781-5D9428CF17DF}"/>
    <cellStyle name="20% - Accent5 2 3 4 2 3" xfId="12150" xr:uid="{3AAEDBA5-D66F-4BC8-A0D4-4CFD046F5A12}"/>
    <cellStyle name="20% - Accent5 2 3 4 3" xfId="5781" xr:uid="{00000000-0005-0000-0000-0000B7020000}"/>
    <cellStyle name="20% - Accent5 2 3 4 3 2" xfId="14223" xr:uid="{9790ACDC-E146-4A89-901C-E916E95EBC1C}"/>
    <cellStyle name="20% - Accent5 2 3 4 4" xfId="10005" xr:uid="{F959C1B7-537F-4751-A8CA-31108C7A9644}"/>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3BECAA2A-5C86-4EDD-8680-6BC080F11D5A}"/>
    <cellStyle name="20% - Accent5 2 3 5 2 3" xfId="12563" xr:uid="{D861758D-339D-4F2D-9512-ED9CED815C6B}"/>
    <cellStyle name="20% - Accent5 2 3 5 3" xfId="6194" xr:uid="{00000000-0005-0000-0000-0000BB020000}"/>
    <cellStyle name="20% - Accent5 2 3 5 3 2" xfId="14636" xr:uid="{A07A77AA-A791-4580-BBBE-67D7E171A346}"/>
    <cellStyle name="20% - Accent5 2 3 5 4" xfId="10418" xr:uid="{97A016EA-AB3B-41BF-84FC-999F754A79B7}"/>
    <cellStyle name="20% - Accent5 2 3 6" xfId="2300" xr:uid="{00000000-0005-0000-0000-0000BC020000}"/>
    <cellStyle name="20% - Accent5 2 3 6 2" xfId="6607" xr:uid="{00000000-0005-0000-0000-0000BD020000}"/>
    <cellStyle name="20% - Accent5 2 3 6 2 2" xfId="15049" xr:uid="{52689701-51DD-4F41-8A6D-C79567EB12AF}"/>
    <cellStyle name="20% - Accent5 2 3 6 3" xfId="10831" xr:uid="{A32013BA-D284-4315-A87F-2AE161C23798}"/>
    <cellStyle name="20% - Accent5 2 3 7" xfId="4541" xr:uid="{00000000-0005-0000-0000-0000BE020000}"/>
    <cellStyle name="20% - Accent5 2 3 7 2" xfId="12983" xr:uid="{A08386BC-40EA-4310-B309-F3CBC8011E06}"/>
    <cellStyle name="20% - Accent5 2 3 8" xfId="8765" xr:uid="{20EE1621-8DDF-4692-BA4B-9573C559ECA9}"/>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6563ED39-7872-44C9-B590-66485F158C3F}"/>
    <cellStyle name="20% - Accent5 2 4 2 3" xfId="11321" xr:uid="{4BE67505-1B1C-4F3B-A350-87DA7A767F40}"/>
    <cellStyle name="20% - Accent5 2 4 3" xfId="4952" xr:uid="{00000000-0005-0000-0000-0000C2020000}"/>
    <cellStyle name="20% - Accent5 2 4 3 2" xfId="13394" xr:uid="{4BF51D6C-3AF4-40A2-A81D-1EE779529D3D}"/>
    <cellStyle name="20% - Accent5 2 4 4" xfId="9176" xr:uid="{BA82326E-C174-452A-A135-07C5BC43BDF1}"/>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7DB337D0-3CC9-4B17-89BA-1C8098D34362}"/>
    <cellStyle name="20% - Accent5 2 5 2 3" xfId="11734" xr:uid="{48DA3E78-B946-403E-9F05-06A7EE7CD754}"/>
    <cellStyle name="20% - Accent5 2 5 3" xfId="5365" xr:uid="{00000000-0005-0000-0000-0000C6020000}"/>
    <cellStyle name="20% - Accent5 2 5 3 2" xfId="13807" xr:uid="{91FF3FBE-B9A9-4331-BB6F-30301C0479D3}"/>
    <cellStyle name="20% - Accent5 2 5 4" xfId="9589" xr:uid="{75CE93F8-C88C-4B42-8A8A-2F998684FC89}"/>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7D4FC578-2CF8-490E-B7B6-610676D83668}"/>
    <cellStyle name="20% - Accent5 2 6 2 3" xfId="12147" xr:uid="{247175AF-E9B5-46E0-A267-BBFE5C49C373}"/>
    <cellStyle name="20% - Accent5 2 6 3" xfId="5778" xr:uid="{00000000-0005-0000-0000-0000CA020000}"/>
    <cellStyle name="20% - Accent5 2 6 3 2" xfId="14220" xr:uid="{439A73C4-7F92-48FD-A955-C90445ADCC70}"/>
    <cellStyle name="20% - Accent5 2 6 4" xfId="10002" xr:uid="{3EB0AE9C-CEAD-413B-B7F6-CF1DD1629223}"/>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7C60BA8E-2FDC-4600-BDE8-787BABE42F86}"/>
    <cellStyle name="20% - Accent5 2 7 2 3" xfId="12560" xr:uid="{5437F0A5-F93F-476F-9F94-750FF318E46D}"/>
    <cellStyle name="20% - Accent5 2 7 3" xfId="6191" xr:uid="{00000000-0005-0000-0000-0000CE020000}"/>
    <cellStyle name="20% - Accent5 2 7 3 2" xfId="14633" xr:uid="{5B79A120-5BB7-4705-A838-3BF9CD85E42D}"/>
    <cellStyle name="20% - Accent5 2 7 4" xfId="10415" xr:uid="{FC22DF4D-2480-411C-9501-E8EB84B7C552}"/>
    <cellStyle name="20% - Accent5 2 8" xfId="2297" xr:uid="{00000000-0005-0000-0000-0000CF020000}"/>
    <cellStyle name="20% - Accent5 2 8 2" xfId="6604" xr:uid="{00000000-0005-0000-0000-0000D0020000}"/>
    <cellStyle name="20% - Accent5 2 8 2 2" xfId="15046" xr:uid="{C0F418F4-C212-41AD-AE51-BAE7AFCD0067}"/>
    <cellStyle name="20% - Accent5 2 8 3" xfId="10828" xr:uid="{EF98CCA4-B8AF-4BBC-86D9-463FA10CBE39}"/>
    <cellStyle name="20% - Accent5 2 9" xfId="4538" xr:uid="{00000000-0005-0000-0000-0000D1020000}"/>
    <cellStyle name="20% - Accent5 2 9 2" xfId="12980" xr:uid="{4F7AB6A5-3AB9-4790-B53F-475A6E050358}"/>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F86C4AFC-78ED-4BCE-B685-49C5139AE6BE}"/>
    <cellStyle name="20% - Accent5 3 2 2 2 3" xfId="11326" xr:uid="{6B4FB3B4-DE88-43B0-99EF-44EBC901A422}"/>
    <cellStyle name="20% - Accent5 3 2 2 3" xfId="4957" xr:uid="{00000000-0005-0000-0000-0000D7020000}"/>
    <cellStyle name="20% - Accent5 3 2 2 3 2" xfId="13399" xr:uid="{78FEDDFE-8AF7-4781-8FB8-EDBFD61E31B9}"/>
    <cellStyle name="20% - Accent5 3 2 2 4" xfId="9181" xr:uid="{D3E021D1-09F4-4B71-85F9-78661379A893}"/>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81C9A73F-59FF-4445-B069-2A07D1175BDF}"/>
    <cellStyle name="20% - Accent5 3 2 3 2 3" xfId="11739" xr:uid="{B752F066-DEBF-46B8-B106-006AD5E6E27E}"/>
    <cellStyle name="20% - Accent5 3 2 3 3" xfId="5370" xr:uid="{00000000-0005-0000-0000-0000DB020000}"/>
    <cellStyle name="20% - Accent5 3 2 3 3 2" xfId="13812" xr:uid="{EC26A6AC-9527-4609-8902-95CD5F638FFC}"/>
    <cellStyle name="20% - Accent5 3 2 3 4" xfId="9594" xr:uid="{D804728B-33E1-434C-BFFA-B4FFA051322F}"/>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E4500B21-0F76-47F0-BC2B-F2686888580C}"/>
    <cellStyle name="20% - Accent5 3 2 4 2 3" xfId="12152" xr:uid="{C3353674-64FE-4765-9E2F-69E07896987D}"/>
    <cellStyle name="20% - Accent5 3 2 4 3" xfId="5783" xr:uid="{00000000-0005-0000-0000-0000DF020000}"/>
    <cellStyle name="20% - Accent5 3 2 4 3 2" xfId="14225" xr:uid="{C73643A7-B76F-45BE-84E8-7D95262796C6}"/>
    <cellStyle name="20% - Accent5 3 2 4 4" xfId="10007" xr:uid="{6788672E-120B-4414-AF24-A7DEAC7B8D96}"/>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CA1B4C66-A8EC-449F-BD92-742EF4B3C6AD}"/>
    <cellStyle name="20% - Accent5 3 2 5 2 3" xfId="12565" xr:uid="{8AB64336-6F20-4EF1-BEC5-70144D469391}"/>
    <cellStyle name="20% - Accent5 3 2 5 3" xfId="6196" xr:uid="{00000000-0005-0000-0000-0000E3020000}"/>
    <cellStyle name="20% - Accent5 3 2 5 3 2" xfId="14638" xr:uid="{347C0662-C10E-46EC-9A8C-DAA0472DF1E3}"/>
    <cellStyle name="20% - Accent5 3 2 5 4" xfId="10420" xr:uid="{1248239F-FB54-4075-812B-ACFB20E43C1B}"/>
    <cellStyle name="20% - Accent5 3 2 6" xfId="2302" xr:uid="{00000000-0005-0000-0000-0000E4020000}"/>
    <cellStyle name="20% - Accent5 3 2 6 2" xfId="6609" xr:uid="{00000000-0005-0000-0000-0000E5020000}"/>
    <cellStyle name="20% - Accent5 3 2 6 2 2" xfId="15051" xr:uid="{A0441E8B-9316-4E64-A725-9D4BBDCC0A3B}"/>
    <cellStyle name="20% - Accent5 3 2 6 3" xfId="10833" xr:uid="{30606FBB-890E-4FB1-9F83-0774C3934DBA}"/>
    <cellStyle name="20% - Accent5 3 2 7" xfId="4543" xr:uid="{00000000-0005-0000-0000-0000E6020000}"/>
    <cellStyle name="20% - Accent5 3 2 7 2" xfId="12985" xr:uid="{ADA6B337-D121-4639-AF90-927F620624A3}"/>
    <cellStyle name="20% - Accent5 3 2 8" xfId="8767" xr:uid="{BF031DFF-02E7-4CA5-AA51-88750DCA21AD}"/>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818EEA0F-D053-44FD-90F1-1CAA54C23BE0}"/>
    <cellStyle name="20% - Accent5 3 3 2 3" xfId="11325" xr:uid="{49B139E0-F08D-42FC-8C20-3EA1F5C56633}"/>
    <cellStyle name="20% - Accent5 3 3 3" xfId="4956" xr:uid="{00000000-0005-0000-0000-0000EA020000}"/>
    <cellStyle name="20% - Accent5 3 3 3 2" xfId="13398" xr:uid="{B540F328-8FC3-4E04-8BDC-B013CF3B906B}"/>
    <cellStyle name="20% - Accent5 3 3 4" xfId="9180" xr:uid="{5EB0427C-33A6-41FD-9A21-2BE03157B742}"/>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24916ACB-5752-411C-B3BD-4D20F21EE302}"/>
    <cellStyle name="20% - Accent5 3 4 2 3" xfId="11738" xr:uid="{0BF04DF4-0923-41B3-8282-E2FBFFA069BB}"/>
    <cellStyle name="20% - Accent5 3 4 3" xfId="5369" xr:uid="{00000000-0005-0000-0000-0000EE020000}"/>
    <cellStyle name="20% - Accent5 3 4 3 2" xfId="13811" xr:uid="{1DE02E11-8902-4D12-A178-E54DD49B98BD}"/>
    <cellStyle name="20% - Accent5 3 4 4" xfId="9593" xr:uid="{A7150176-D007-4966-A328-62474B4FF794}"/>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AC2D278E-40CD-40C0-840B-45E3F0B3D5BA}"/>
    <cellStyle name="20% - Accent5 3 5 2 3" xfId="12151" xr:uid="{01F48126-8E1E-4F8A-8994-479B40E12BA9}"/>
    <cellStyle name="20% - Accent5 3 5 3" xfId="5782" xr:uid="{00000000-0005-0000-0000-0000F2020000}"/>
    <cellStyle name="20% - Accent5 3 5 3 2" xfId="14224" xr:uid="{4184EB0A-7A7F-4551-AA3F-B419E3573415}"/>
    <cellStyle name="20% - Accent5 3 5 4" xfId="10006" xr:uid="{06BF3663-6DF7-4658-99AA-89C05FEFF993}"/>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4C147864-948E-4772-BA0B-73C3AE611FC0}"/>
    <cellStyle name="20% - Accent5 3 6 2 3" xfId="12564" xr:uid="{9869FB41-90CA-44BE-BB90-9E1AE480BAFA}"/>
    <cellStyle name="20% - Accent5 3 6 3" xfId="6195" xr:uid="{00000000-0005-0000-0000-0000F6020000}"/>
    <cellStyle name="20% - Accent5 3 6 3 2" xfId="14637" xr:uid="{EEF971F4-E9CA-43E1-A07B-BA9642F7B57C}"/>
    <cellStyle name="20% - Accent5 3 6 4" xfId="10419" xr:uid="{503323EB-9D4B-4E3F-A6DD-9023F1248407}"/>
    <cellStyle name="20% - Accent5 3 7" xfId="2301" xr:uid="{00000000-0005-0000-0000-0000F7020000}"/>
    <cellStyle name="20% - Accent5 3 7 2" xfId="6608" xr:uid="{00000000-0005-0000-0000-0000F8020000}"/>
    <cellStyle name="20% - Accent5 3 7 2 2" xfId="15050" xr:uid="{73E40CDE-25F5-4E85-ADB6-33405B68314A}"/>
    <cellStyle name="20% - Accent5 3 7 3" xfId="10832" xr:uid="{69359218-ADAA-4C63-9B69-9E35AF58134A}"/>
    <cellStyle name="20% - Accent5 3 8" xfId="4542" xr:uid="{00000000-0005-0000-0000-0000F9020000}"/>
    <cellStyle name="20% - Accent5 3 8 2" xfId="12984" xr:uid="{DE6E8751-7D88-476E-AD8B-2F246E15598E}"/>
    <cellStyle name="20% - Accent5 3 9" xfId="8766" xr:uid="{67455AFA-BB15-4C55-8FE3-1C302210F942}"/>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5D8E6FE4-4F5E-493F-BB68-19EB80454484}"/>
    <cellStyle name="20% - Accent5 4 2 2 3" xfId="11327" xr:uid="{47D9DBCF-5F33-4152-B4F0-DFC169C6DC89}"/>
    <cellStyle name="20% - Accent5 4 2 3" xfId="4958" xr:uid="{00000000-0005-0000-0000-0000FE020000}"/>
    <cellStyle name="20% - Accent5 4 2 3 2" xfId="13400" xr:uid="{B5DDD10F-6B20-41E7-9324-3E94F924B529}"/>
    <cellStyle name="20% - Accent5 4 2 4" xfId="9182" xr:uid="{511194C5-538C-42A6-9356-92A59794DE74}"/>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7DB58DE3-EC7D-46E0-A8EA-C5480FE0E569}"/>
    <cellStyle name="20% - Accent5 4 3 2 3" xfId="11740" xr:uid="{70F6B608-EE89-4A89-BD82-E1A9E51CAC2E}"/>
    <cellStyle name="20% - Accent5 4 3 3" xfId="5371" xr:uid="{00000000-0005-0000-0000-000002030000}"/>
    <cellStyle name="20% - Accent5 4 3 3 2" xfId="13813" xr:uid="{1C2630E0-DD09-4590-BDCD-CEF3B892174D}"/>
    <cellStyle name="20% - Accent5 4 3 4" xfId="9595" xr:uid="{9A75818A-9068-4FE5-92E7-D6E2DE569EF8}"/>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2A504F66-AA02-4F32-815C-36493F9457BC}"/>
    <cellStyle name="20% - Accent5 4 4 2 3" xfId="12153" xr:uid="{A3474649-5F22-4A00-A772-C8700FD0556C}"/>
    <cellStyle name="20% - Accent5 4 4 3" xfId="5784" xr:uid="{00000000-0005-0000-0000-000006030000}"/>
    <cellStyle name="20% - Accent5 4 4 3 2" xfId="14226" xr:uid="{586A050E-387F-4BC2-A73D-053552189529}"/>
    <cellStyle name="20% - Accent5 4 4 4" xfId="10008" xr:uid="{ECCFE8F4-D832-4F93-8A00-BCC286CBB684}"/>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4568F198-0807-4780-9AA3-EBE3005D6792}"/>
    <cellStyle name="20% - Accent5 4 5 2 3" xfId="12566" xr:uid="{6EDC0151-1F9F-4A98-AE65-F123E69AAACF}"/>
    <cellStyle name="20% - Accent5 4 5 3" xfId="6197" xr:uid="{00000000-0005-0000-0000-00000A030000}"/>
    <cellStyle name="20% - Accent5 4 5 3 2" xfId="14639" xr:uid="{5624C9CB-F002-45E3-B777-948A671C63E1}"/>
    <cellStyle name="20% - Accent5 4 5 4" xfId="10421" xr:uid="{2F6077D1-A11B-41CD-8CD6-C2CF05CFD66F}"/>
    <cellStyle name="20% - Accent5 4 6" xfId="2303" xr:uid="{00000000-0005-0000-0000-00000B030000}"/>
    <cellStyle name="20% - Accent5 4 6 2" xfId="6610" xr:uid="{00000000-0005-0000-0000-00000C030000}"/>
    <cellStyle name="20% - Accent5 4 6 2 2" xfId="15052" xr:uid="{09078514-C9F3-4A0C-A694-CF7FECEEDC98}"/>
    <cellStyle name="20% - Accent5 4 6 3" xfId="10834" xr:uid="{954D49BE-0B3A-46AA-868D-61FF238E8D4F}"/>
    <cellStyle name="20% - Accent5 4 7" xfId="4544" xr:uid="{00000000-0005-0000-0000-00000D030000}"/>
    <cellStyle name="20% - Accent5 4 7 2" xfId="12986" xr:uid="{2FAA6F29-4D5A-4DA3-B8BD-1940C24B24A2}"/>
    <cellStyle name="20% - Accent5 4 8" xfId="8768" xr:uid="{763A5147-0BA5-40A2-848F-310462935204}"/>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971565EB-259C-40BD-BD9A-25625FFEE3FE}"/>
    <cellStyle name="20% - Accent5 5 2 3" xfId="11320" xr:uid="{5B36563B-5E6D-48DF-BA03-6C253E7A9040}"/>
    <cellStyle name="20% - Accent5 5 3" xfId="4951" xr:uid="{00000000-0005-0000-0000-000011030000}"/>
    <cellStyle name="20% - Accent5 5 3 2" xfId="13393" xr:uid="{22C67F18-0024-4B30-A4F9-C76F234FE359}"/>
    <cellStyle name="20% - Accent5 5 4" xfId="9175" xr:uid="{C8BE4D3F-8F58-4779-AD5E-6A1ACD395F10}"/>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6438AC98-8A76-4542-BDB6-F280451B6A4A}"/>
    <cellStyle name="20% - Accent5 6 2 3" xfId="11733" xr:uid="{BA24CB99-D2FF-4603-B56D-3F510B11A161}"/>
    <cellStyle name="20% - Accent5 6 3" xfId="5364" xr:uid="{00000000-0005-0000-0000-000015030000}"/>
    <cellStyle name="20% - Accent5 6 3 2" xfId="13806" xr:uid="{990BC606-519D-4A66-824B-CE42676C01EB}"/>
    <cellStyle name="20% - Accent5 6 4" xfId="9588" xr:uid="{BEAC6A23-C108-489D-A743-5BF4B76C78D5}"/>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2F85B5CE-51DC-4993-97B4-5BFDD83EA1C5}"/>
    <cellStyle name="20% - Accent5 7 2 3" xfId="12146" xr:uid="{D2021675-6EF0-465A-AA30-EDE7AD8CAB85}"/>
    <cellStyle name="20% - Accent5 7 3" xfId="5777" xr:uid="{00000000-0005-0000-0000-000019030000}"/>
    <cellStyle name="20% - Accent5 7 3 2" xfId="14219" xr:uid="{13A1A918-899F-4F82-9C27-462AEF0C2961}"/>
    <cellStyle name="20% - Accent5 7 4" xfId="10001" xr:uid="{0CA6128C-FD74-4A62-B2EB-B2500ECE668F}"/>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9334462D-3F81-46CE-802A-75ECE3F21FCF}"/>
    <cellStyle name="20% - Accent5 8 2 3" xfId="12559" xr:uid="{DF536E23-8770-4505-8913-363C3D1CB1DF}"/>
    <cellStyle name="20% - Accent5 8 3" xfId="6190" xr:uid="{00000000-0005-0000-0000-00001D030000}"/>
    <cellStyle name="20% - Accent5 8 3 2" xfId="14632" xr:uid="{C6932330-D9BB-4E23-8478-A1A8BB96C373}"/>
    <cellStyle name="20% - Accent5 8 4" xfId="10414" xr:uid="{102FF029-0294-4EF8-B153-867666E4B7D6}"/>
    <cellStyle name="20% - Accent5 9" xfId="2296" xr:uid="{00000000-0005-0000-0000-00001E030000}"/>
    <cellStyle name="20% - Accent5 9 2" xfId="6603" xr:uid="{00000000-0005-0000-0000-00001F030000}"/>
    <cellStyle name="20% - Accent5 9 2 2" xfId="15045" xr:uid="{3E007322-03F5-443C-A087-53AC44838821}"/>
    <cellStyle name="20% - Accent5 9 3" xfId="10827" xr:uid="{3214CF15-E355-4150-BA17-61C0FCDEFF49}"/>
    <cellStyle name="20% - Accent6" xfId="41" builtinId="50" customBuiltin="1"/>
    <cellStyle name="20% - Accent6 10" xfId="4545" xr:uid="{00000000-0005-0000-0000-000021030000}"/>
    <cellStyle name="20% - Accent6 10 2" xfId="12987" xr:uid="{9734CC0F-B798-4D2A-BF79-B5A1FB48F226}"/>
    <cellStyle name="20% - Accent6 11" xfId="8769" xr:uid="{4EA588FE-7EE0-4C61-AA4A-61F23A7A6F04}"/>
    <cellStyle name="20% - Accent6 2" xfId="42" xr:uid="{00000000-0005-0000-0000-000022030000}"/>
    <cellStyle name="20% - Accent6 2 10" xfId="8770" xr:uid="{00C98E57-39C9-4CD5-8341-BA15DC08EB9B}"/>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59D44D31-9A7D-47A4-8475-538DDA088B81}"/>
    <cellStyle name="20% - Accent6 2 2 2 2 2 3" xfId="11331" xr:uid="{7696DE93-7399-4EA9-AF04-4A5F2214A79F}"/>
    <cellStyle name="20% - Accent6 2 2 2 2 3" xfId="4962" xr:uid="{00000000-0005-0000-0000-000028030000}"/>
    <cellStyle name="20% - Accent6 2 2 2 2 3 2" xfId="13404" xr:uid="{FE4B5F5B-9936-489F-A2EA-35662F18C9F0}"/>
    <cellStyle name="20% - Accent6 2 2 2 2 4" xfId="9186" xr:uid="{3B7994D2-A9D5-43E7-AEA3-E8EE49DF9445}"/>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B8B11A64-0E40-45A0-AD69-53BD9DAADCAC}"/>
    <cellStyle name="20% - Accent6 2 2 2 3 2 3" xfId="11744" xr:uid="{1569644A-81E3-4B90-B46D-5708E35A546D}"/>
    <cellStyle name="20% - Accent6 2 2 2 3 3" xfId="5375" xr:uid="{00000000-0005-0000-0000-00002C030000}"/>
    <cellStyle name="20% - Accent6 2 2 2 3 3 2" xfId="13817" xr:uid="{3F0FFCA3-F9E7-4715-A86A-CC157C9E6BF7}"/>
    <cellStyle name="20% - Accent6 2 2 2 3 4" xfId="9599" xr:uid="{AC0ABB77-4AEE-4582-8C64-541F8CEB1272}"/>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4A2443F0-E759-4221-AE54-D379A59E126D}"/>
    <cellStyle name="20% - Accent6 2 2 2 4 2 3" xfId="12157" xr:uid="{E85D063A-5094-4F2D-BF0D-2A1E69F8DFD9}"/>
    <cellStyle name="20% - Accent6 2 2 2 4 3" xfId="5788" xr:uid="{00000000-0005-0000-0000-000030030000}"/>
    <cellStyle name="20% - Accent6 2 2 2 4 3 2" xfId="14230" xr:uid="{8103AE8E-D224-4F83-903F-64187881913C}"/>
    <cellStyle name="20% - Accent6 2 2 2 4 4" xfId="10012" xr:uid="{5DA11D07-5C7F-4F43-82A2-C1C1F9A252E8}"/>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D06BB483-3384-41D6-9AA2-C42E5E6BA40F}"/>
    <cellStyle name="20% - Accent6 2 2 2 5 2 3" xfId="12570" xr:uid="{DAD13E82-52F2-4E77-AE42-9F59E60D1D24}"/>
    <cellStyle name="20% - Accent6 2 2 2 5 3" xfId="6201" xr:uid="{00000000-0005-0000-0000-000034030000}"/>
    <cellStyle name="20% - Accent6 2 2 2 5 3 2" xfId="14643" xr:uid="{9E721CF3-4BCD-4185-AF14-77E339D684AD}"/>
    <cellStyle name="20% - Accent6 2 2 2 5 4" xfId="10425" xr:uid="{440EA2D2-904D-4394-B708-54BC8396065D}"/>
    <cellStyle name="20% - Accent6 2 2 2 6" xfId="2307" xr:uid="{00000000-0005-0000-0000-000035030000}"/>
    <cellStyle name="20% - Accent6 2 2 2 6 2" xfId="6614" xr:uid="{00000000-0005-0000-0000-000036030000}"/>
    <cellStyle name="20% - Accent6 2 2 2 6 2 2" xfId="15056" xr:uid="{CA889222-B708-4731-A221-1892B81789D3}"/>
    <cellStyle name="20% - Accent6 2 2 2 6 3" xfId="10838" xr:uid="{B06BB47D-9636-42C7-A419-4939F78146F8}"/>
    <cellStyle name="20% - Accent6 2 2 2 7" xfId="4548" xr:uid="{00000000-0005-0000-0000-000037030000}"/>
    <cellStyle name="20% - Accent6 2 2 2 7 2" xfId="12990" xr:uid="{D4A86E15-726C-4699-B534-043D36244BF5}"/>
    <cellStyle name="20% - Accent6 2 2 2 8" xfId="8772" xr:uid="{B2780EA2-17D3-4B30-8CA1-CE5649BC8578}"/>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16D4B8CC-443F-42D2-AA36-50EF97D1F480}"/>
    <cellStyle name="20% - Accent6 2 2 3 2 3" xfId="11330" xr:uid="{BC994C7A-D80C-48CE-97FB-B8C685DAE9BD}"/>
    <cellStyle name="20% - Accent6 2 2 3 3" xfId="4961" xr:uid="{00000000-0005-0000-0000-00003B030000}"/>
    <cellStyle name="20% - Accent6 2 2 3 3 2" xfId="13403" xr:uid="{BA798B7E-8518-41A9-B8DB-55188BC58F71}"/>
    <cellStyle name="20% - Accent6 2 2 3 4" xfId="9185" xr:uid="{7840B8F8-66D3-44E8-A4FF-FF049D6254F0}"/>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4419A80C-8040-49FD-A0BB-B6DA709C3AE5}"/>
    <cellStyle name="20% - Accent6 2 2 4 2 3" xfId="11743" xr:uid="{E7801172-FEA4-4F90-B2DA-FF15238F6D09}"/>
    <cellStyle name="20% - Accent6 2 2 4 3" xfId="5374" xr:uid="{00000000-0005-0000-0000-00003F030000}"/>
    <cellStyle name="20% - Accent6 2 2 4 3 2" xfId="13816" xr:uid="{82B24713-A539-4060-A421-80605F20B77B}"/>
    <cellStyle name="20% - Accent6 2 2 4 4" xfId="9598" xr:uid="{6163A435-9041-4404-8DB5-750B9D1C6B5B}"/>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7708BCC8-0F1E-4C00-A649-D8E2F24766A0}"/>
    <cellStyle name="20% - Accent6 2 2 5 2 3" xfId="12156" xr:uid="{273FF1C2-A85C-4A93-8CA4-4DBA9483917B}"/>
    <cellStyle name="20% - Accent6 2 2 5 3" xfId="5787" xr:uid="{00000000-0005-0000-0000-000043030000}"/>
    <cellStyle name="20% - Accent6 2 2 5 3 2" xfId="14229" xr:uid="{7183AF14-FE34-4B70-9422-20BD4F73EBEE}"/>
    <cellStyle name="20% - Accent6 2 2 5 4" xfId="10011" xr:uid="{3A8B40A9-A440-491D-94A6-DFAD46221D72}"/>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57C1B00E-7162-4341-81AF-9ACAA31729D5}"/>
    <cellStyle name="20% - Accent6 2 2 6 2 3" xfId="12569" xr:uid="{8A2B397C-5024-4183-AFDA-6E60654BABA9}"/>
    <cellStyle name="20% - Accent6 2 2 6 3" xfId="6200" xr:uid="{00000000-0005-0000-0000-000047030000}"/>
    <cellStyle name="20% - Accent6 2 2 6 3 2" xfId="14642" xr:uid="{FACDC5BC-4457-48BE-979E-4E5D28304C1F}"/>
    <cellStyle name="20% - Accent6 2 2 6 4" xfId="10424" xr:uid="{E4887D59-F5F0-41D3-9310-CF137A537AF3}"/>
    <cellStyle name="20% - Accent6 2 2 7" xfId="2306" xr:uid="{00000000-0005-0000-0000-000048030000}"/>
    <cellStyle name="20% - Accent6 2 2 7 2" xfId="6613" xr:uid="{00000000-0005-0000-0000-000049030000}"/>
    <cellStyle name="20% - Accent6 2 2 7 2 2" xfId="15055" xr:uid="{4C36E548-77A5-469B-AE54-6DF02ABE7B86}"/>
    <cellStyle name="20% - Accent6 2 2 7 3" xfId="10837" xr:uid="{9C32147A-FECA-4DFB-B816-12B454C1D9C4}"/>
    <cellStyle name="20% - Accent6 2 2 8" xfId="4547" xr:uid="{00000000-0005-0000-0000-00004A030000}"/>
    <cellStyle name="20% - Accent6 2 2 8 2" xfId="12989" xr:uid="{39796259-8596-4358-A509-EA7A6ED72171}"/>
    <cellStyle name="20% - Accent6 2 2 9" xfId="8771" xr:uid="{3D99F3DC-72F3-4FA2-BEF9-0A83422733C2}"/>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33351729-90F8-4A4D-A0C2-C5A1755ABF71}"/>
    <cellStyle name="20% - Accent6 2 3 2 2 3" xfId="11332" xr:uid="{AF423331-9E39-4608-B750-565F78BB1E64}"/>
    <cellStyle name="20% - Accent6 2 3 2 3" xfId="4963" xr:uid="{00000000-0005-0000-0000-00004F030000}"/>
    <cellStyle name="20% - Accent6 2 3 2 3 2" xfId="13405" xr:uid="{5A4A9F46-5466-4BA3-BD43-53706E360BB7}"/>
    <cellStyle name="20% - Accent6 2 3 2 4" xfId="9187" xr:uid="{124ADDAB-4F83-4B55-BBCC-9FE5E36D656A}"/>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8F2FB244-D636-4CF0-829B-643042623EFF}"/>
    <cellStyle name="20% - Accent6 2 3 3 2 3" xfId="11745" xr:uid="{3ECB9147-7345-4F39-AB1A-9C98AC2E8A17}"/>
    <cellStyle name="20% - Accent6 2 3 3 3" xfId="5376" xr:uid="{00000000-0005-0000-0000-000053030000}"/>
    <cellStyle name="20% - Accent6 2 3 3 3 2" xfId="13818" xr:uid="{0CEC95AC-3F86-45B0-81DB-C39940E4260A}"/>
    <cellStyle name="20% - Accent6 2 3 3 4" xfId="9600" xr:uid="{7642B1D2-6894-4161-BF58-CE534783F8A6}"/>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114A5D1A-DFB6-4AE2-BD4A-4751F15D1AE3}"/>
    <cellStyle name="20% - Accent6 2 3 4 2 3" xfId="12158" xr:uid="{AD71E1F8-ED22-4C86-9F72-A19FF808E2D2}"/>
    <cellStyle name="20% - Accent6 2 3 4 3" xfId="5789" xr:uid="{00000000-0005-0000-0000-000057030000}"/>
    <cellStyle name="20% - Accent6 2 3 4 3 2" xfId="14231" xr:uid="{AD4E92D5-81F1-41D2-91F2-E2B7F27251BB}"/>
    <cellStyle name="20% - Accent6 2 3 4 4" xfId="10013" xr:uid="{32942BB0-EEB1-48CA-A7E6-73A7772B9474}"/>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F86B16BF-3DCF-4AC0-A7ED-BBC93F013872}"/>
    <cellStyle name="20% - Accent6 2 3 5 2 3" xfId="12571" xr:uid="{B0993815-B824-4C10-9948-64324BE35B60}"/>
    <cellStyle name="20% - Accent6 2 3 5 3" xfId="6202" xr:uid="{00000000-0005-0000-0000-00005B030000}"/>
    <cellStyle name="20% - Accent6 2 3 5 3 2" xfId="14644" xr:uid="{336D8965-9D97-435C-8121-C9742FBD9AEF}"/>
    <cellStyle name="20% - Accent6 2 3 5 4" xfId="10426" xr:uid="{E2CD50C9-8AAA-4C99-B764-CB05153AB32F}"/>
    <cellStyle name="20% - Accent6 2 3 6" xfId="2308" xr:uid="{00000000-0005-0000-0000-00005C030000}"/>
    <cellStyle name="20% - Accent6 2 3 6 2" xfId="6615" xr:uid="{00000000-0005-0000-0000-00005D030000}"/>
    <cellStyle name="20% - Accent6 2 3 6 2 2" xfId="15057" xr:uid="{AAE30C34-567F-4868-A55B-5F670DA0EEDA}"/>
    <cellStyle name="20% - Accent6 2 3 6 3" xfId="10839" xr:uid="{B943389C-2125-4343-AC71-AB357C926B7A}"/>
    <cellStyle name="20% - Accent6 2 3 7" xfId="4549" xr:uid="{00000000-0005-0000-0000-00005E030000}"/>
    <cellStyle name="20% - Accent6 2 3 7 2" xfId="12991" xr:uid="{A7C8D0E1-B0CF-4B04-8786-DD3C9A33B110}"/>
    <cellStyle name="20% - Accent6 2 3 8" xfId="8773" xr:uid="{0194F0E7-4EAC-43B4-9D07-81538D233E40}"/>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F3FA4955-CBD9-4ACB-AE6F-C26B33DF150C}"/>
    <cellStyle name="20% - Accent6 2 4 2 3" xfId="11329" xr:uid="{D378DF18-8112-4785-87F9-FEDE0D3E981E}"/>
    <cellStyle name="20% - Accent6 2 4 3" xfId="4960" xr:uid="{00000000-0005-0000-0000-000062030000}"/>
    <cellStyle name="20% - Accent6 2 4 3 2" xfId="13402" xr:uid="{148C9EDF-1EDD-4091-9D15-E1DA20EF1647}"/>
    <cellStyle name="20% - Accent6 2 4 4" xfId="9184" xr:uid="{C9089BE5-258C-477A-999C-1D3A7CDF8A44}"/>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4F067B09-D66B-4977-8D7A-6470709B5917}"/>
    <cellStyle name="20% - Accent6 2 5 2 3" xfId="11742" xr:uid="{8CE4ECD9-6853-4EC3-A294-7DB311DCB6F2}"/>
    <cellStyle name="20% - Accent6 2 5 3" xfId="5373" xr:uid="{00000000-0005-0000-0000-000066030000}"/>
    <cellStyle name="20% - Accent6 2 5 3 2" xfId="13815" xr:uid="{44F335E2-73D5-4094-8B47-E51B8E861274}"/>
    <cellStyle name="20% - Accent6 2 5 4" xfId="9597" xr:uid="{4F6571C3-A4C2-4917-908C-AFC35DE821A4}"/>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9B266FA1-A79C-4E95-B30B-20CE622F21CA}"/>
    <cellStyle name="20% - Accent6 2 6 2 3" xfId="12155" xr:uid="{3103BC44-2843-450A-AB19-10EF0CCDF1BC}"/>
    <cellStyle name="20% - Accent6 2 6 3" xfId="5786" xr:uid="{00000000-0005-0000-0000-00006A030000}"/>
    <cellStyle name="20% - Accent6 2 6 3 2" xfId="14228" xr:uid="{A8780555-909C-42A4-A1BC-D9688B08308E}"/>
    <cellStyle name="20% - Accent6 2 6 4" xfId="10010" xr:uid="{17D92687-7E00-47AA-8CD0-32831DA59427}"/>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9F27B0C0-9446-47B3-9A64-6D159003046E}"/>
    <cellStyle name="20% - Accent6 2 7 2 3" xfId="12568" xr:uid="{20DFA0E7-7916-4BB7-803B-478C82AC94BF}"/>
    <cellStyle name="20% - Accent6 2 7 3" xfId="6199" xr:uid="{00000000-0005-0000-0000-00006E030000}"/>
    <cellStyle name="20% - Accent6 2 7 3 2" xfId="14641" xr:uid="{06206811-0813-49DC-971F-E073B135E72F}"/>
    <cellStyle name="20% - Accent6 2 7 4" xfId="10423" xr:uid="{A7D74F15-C551-4F0F-ACCA-A7E51FC15DD3}"/>
    <cellStyle name="20% - Accent6 2 8" xfId="2305" xr:uid="{00000000-0005-0000-0000-00006F030000}"/>
    <cellStyle name="20% - Accent6 2 8 2" xfId="6612" xr:uid="{00000000-0005-0000-0000-000070030000}"/>
    <cellStyle name="20% - Accent6 2 8 2 2" xfId="15054" xr:uid="{00F5CC95-6333-40DC-8345-8B0979C2ECBA}"/>
    <cellStyle name="20% - Accent6 2 8 3" xfId="10836" xr:uid="{0058DC15-5497-4D66-9FC2-4B7FA3FC12A6}"/>
    <cellStyle name="20% - Accent6 2 9" xfId="4546" xr:uid="{00000000-0005-0000-0000-000071030000}"/>
    <cellStyle name="20% - Accent6 2 9 2" xfId="12988" xr:uid="{47750B4B-959B-4B4C-B667-16337921E5DF}"/>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8B680275-5B93-48B0-B33C-B4C92B609C57}"/>
    <cellStyle name="20% - Accent6 3 2 2 2 3" xfId="11334" xr:uid="{2B46A7BC-603B-483B-AF12-469D89937BB1}"/>
    <cellStyle name="20% - Accent6 3 2 2 3" xfId="4965" xr:uid="{00000000-0005-0000-0000-000077030000}"/>
    <cellStyle name="20% - Accent6 3 2 2 3 2" xfId="13407" xr:uid="{02E6F7B8-C3DF-4060-AAEB-D6E156AF2EE0}"/>
    <cellStyle name="20% - Accent6 3 2 2 4" xfId="9189" xr:uid="{1142AE0C-0F1F-421D-B1E3-B18DBA85ED3A}"/>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C5E5AFD6-37F4-43FC-B0FB-0B5E60BFBCAE}"/>
    <cellStyle name="20% - Accent6 3 2 3 2 3" xfId="11747" xr:uid="{93C68515-F713-4D63-A26E-B882B8AE9F23}"/>
    <cellStyle name="20% - Accent6 3 2 3 3" xfId="5378" xr:uid="{00000000-0005-0000-0000-00007B030000}"/>
    <cellStyle name="20% - Accent6 3 2 3 3 2" xfId="13820" xr:uid="{52058247-7ACF-4595-9A4D-EDCBF7BE1D84}"/>
    <cellStyle name="20% - Accent6 3 2 3 4" xfId="9602" xr:uid="{A4EEE235-9619-4984-9D9C-0822E76F86CE}"/>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8528B8A7-2F4F-46BB-99FD-74C292533876}"/>
    <cellStyle name="20% - Accent6 3 2 4 2 3" xfId="12160" xr:uid="{F2FBB2F3-9A2A-4960-9E0D-DA5A678A11CA}"/>
    <cellStyle name="20% - Accent6 3 2 4 3" xfId="5791" xr:uid="{00000000-0005-0000-0000-00007F030000}"/>
    <cellStyle name="20% - Accent6 3 2 4 3 2" xfId="14233" xr:uid="{2D5B2C29-EEB5-46BC-AAFB-C64001F85EBC}"/>
    <cellStyle name="20% - Accent6 3 2 4 4" xfId="10015" xr:uid="{253A125D-6D84-4DC0-B690-98009C10430A}"/>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9B12C2D9-5DE3-4E17-8783-AE8AB5048769}"/>
    <cellStyle name="20% - Accent6 3 2 5 2 3" xfId="12573" xr:uid="{C6452FAB-7616-4455-936B-B3B7E137E25A}"/>
    <cellStyle name="20% - Accent6 3 2 5 3" xfId="6204" xr:uid="{00000000-0005-0000-0000-000083030000}"/>
    <cellStyle name="20% - Accent6 3 2 5 3 2" xfId="14646" xr:uid="{EC276732-ED0F-43E4-BBC4-1B36845A985D}"/>
    <cellStyle name="20% - Accent6 3 2 5 4" xfId="10428" xr:uid="{EDA6496E-C489-409C-9DA5-E5FD82AFF462}"/>
    <cellStyle name="20% - Accent6 3 2 6" xfId="2310" xr:uid="{00000000-0005-0000-0000-000084030000}"/>
    <cellStyle name="20% - Accent6 3 2 6 2" xfId="6617" xr:uid="{00000000-0005-0000-0000-000085030000}"/>
    <cellStyle name="20% - Accent6 3 2 6 2 2" xfId="15059" xr:uid="{AEE81EBE-0E13-4202-9026-7A3EC1C0B0F7}"/>
    <cellStyle name="20% - Accent6 3 2 6 3" xfId="10841" xr:uid="{2CAC3C95-2144-4E82-AE0B-5D0BF5527D0B}"/>
    <cellStyle name="20% - Accent6 3 2 7" xfId="4551" xr:uid="{00000000-0005-0000-0000-000086030000}"/>
    <cellStyle name="20% - Accent6 3 2 7 2" xfId="12993" xr:uid="{25B89997-4A92-4232-9B40-0268D9336D1C}"/>
    <cellStyle name="20% - Accent6 3 2 8" xfId="8775" xr:uid="{C7D78A2D-0D17-4DDC-AA92-974141A1A659}"/>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402D2B5E-073C-4F61-9E03-D214D85773E2}"/>
    <cellStyle name="20% - Accent6 3 3 2 3" xfId="11333" xr:uid="{B77D017A-AB64-45D2-9C15-2581BB82FC9D}"/>
    <cellStyle name="20% - Accent6 3 3 3" xfId="4964" xr:uid="{00000000-0005-0000-0000-00008A030000}"/>
    <cellStyle name="20% - Accent6 3 3 3 2" xfId="13406" xr:uid="{7FACF72F-161E-409E-BD80-FAE158671E0D}"/>
    <cellStyle name="20% - Accent6 3 3 4" xfId="9188" xr:uid="{A4A08A78-A6B6-40B1-9AC8-4C1ACA150097}"/>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FF193F4A-812B-4ACF-910C-6136FDB23436}"/>
    <cellStyle name="20% - Accent6 3 4 2 3" xfId="11746" xr:uid="{002458C3-A4F7-4D65-AB0E-8FDBD20B5CAF}"/>
    <cellStyle name="20% - Accent6 3 4 3" xfId="5377" xr:uid="{00000000-0005-0000-0000-00008E030000}"/>
    <cellStyle name="20% - Accent6 3 4 3 2" xfId="13819" xr:uid="{9C164379-406A-42B6-B8A0-6D5F3BF2D559}"/>
    <cellStyle name="20% - Accent6 3 4 4" xfId="9601" xr:uid="{BBA09B23-6719-4CBD-835B-FC6DFB221A12}"/>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F4233E3B-FCFF-4CA7-BA95-3AE92C7A867A}"/>
    <cellStyle name="20% - Accent6 3 5 2 3" xfId="12159" xr:uid="{C1FF24BD-AFBF-43BE-BC0A-2ED49DAE7587}"/>
    <cellStyle name="20% - Accent6 3 5 3" xfId="5790" xr:uid="{00000000-0005-0000-0000-000092030000}"/>
    <cellStyle name="20% - Accent6 3 5 3 2" xfId="14232" xr:uid="{F041EBCC-6F11-4837-AAB6-1E457B421633}"/>
    <cellStyle name="20% - Accent6 3 5 4" xfId="10014" xr:uid="{700F9AD7-ECD2-4127-A590-3FE1D64CFF03}"/>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A924F788-AEA1-4B2F-90E2-0B4745D004E5}"/>
    <cellStyle name="20% - Accent6 3 6 2 3" xfId="12572" xr:uid="{4ED9265A-48B3-4B59-B2A4-ECEB652739C3}"/>
    <cellStyle name="20% - Accent6 3 6 3" xfId="6203" xr:uid="{00000000-0005-0000-0000-000096030000}"/>
    <cellStyle name="20% - Accent6 3 6 3 2" xfId="14645" xr:uid="{A35A956A-E5C4-404D-A997-894B9AEEA7EB}"/>
    <cellStyle name="20% - Accent6 3 6 4" xfId="10427" xr:uid="{BE5679A3-19BA-41EB-BCCB-BD41EB62B937}"/>
    <cellStyle name="20% - Accent6 3 7" xfId="2309" xr:uid="{00000000-0005-0000-0000-000097030000}"/>
    <cellStyle name="20% - Accent6 3 7 2" xfId="6616" xr:uid="{00000000-0005-0000-0000-000098030000}"/>
    <cellStyle name="20% - Accent6 3 7 2 2" xfId="15058" xr:uid="{BAF622E9-47BC-4CAB-8E95-705837452EE2}"/>
    <cellStyle name="20% - Accent6 3 7 3" xfId="10840" xr:uid="{C2E60CE6-3843-46CD-8894-4E770A7E3E69}"/>
    <cellStyle name="20% - Accent6 3 8" xfId="4550" xr:uid="{00000000-0005-0000-0000-000099030000}"/>
    <cellStyle name="20% - Accent6 3 8 2" xfId="12992" xr:uid="{EB9A4F11-A35F-489A-9394-74F0D9E15E17}"/>
    <cellStyle name="20% - Accent6 3 9" xfId="8774" xr:uid="{A362DCCA-B149-46FE-B121-7AFC585FB947}"/>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3CF7BFAE-3D35-4587-9163-8088498E0675}"/>
    <cellStyle name="20% - Accent6 4 2 2 3" xfId="11335" xr:uid="{89F07BA5-E293-4E9C-B871-C0CFAB643AAA}"/>
    <cellStyle name="20% - Accent6 4 2 3" xfId="4966" xr:uid="{00000000-0005-0000-0000-00009E030000}"/>
    <cellStyle name="20% - Accent6 4 2 3 2" xfId="13408" xr:uid="{DE737E41-04C4-45BF-99D2-F95C71E618E1}"/>
    <cellStyle name="20% - Accent6 4 2 4" xfId="9190" xr:uid="{3E2DB3CF-6F4E-4885-B7D8-28F7BE1F516A}"/>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6D118914-42B7-4DDA-99C7-9AEFB79779CE}"/>
    <cellStyle name="20% - Accent6 4 3 2 3" xfId="11748" xr:uid="{97F8F2E6-0242-483E-B5B2-856F58D64305}"/>
    <cellStyle name="20% - Accent6 4 3 3" xfId="5379" xr:uid="{00000000-0005-0000-0000-0000A2030000}"/>
    <cellStyle name="20% - Accent6 4 3 3 2" xfId="13821" xr:uid="{FBFC20B4-845D-4097-AB86-2B5C2F522985}"/>
    <cellStyle name="20% - Accent6 4 3 4" xfId="9603" xr:uid="{8190E9FD-BEBF-4F61-80D4-99D45698F5B2}"/>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32FCDA20-C58E-44A8-B80A-676AB8C75716}"/>
    <cellStyle name="20% - Accent6 4 4 2 3" xfId="12161" xr:uid="{30521270-3DD9-4F85-BEBD-B21646B4B57F}"/>
    <cellStyle name="20% - Accent6 4 4 3" xfId="5792" xr:uid="{00000000-0005-0000-0000-0000A6030000}"/>
    <cellStyle name="20% - Accent6 4 4 3 2" xfId="14234" xr:uid="{4AC4EF90-794A-4E51-854D-54557F436576}"/>
    <cellStyle name="20% - Accent6 4 4 4" xfId="10016" xr:uid="{13E0879F-4D4B-44C9-A7E7-2DCA848DD99B}"/>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67EE45B4-F500-47D3-8F5B-54F5B64AA950}"/>
    <cellStyle name="20% - Accent6 4 5 2 3" xfId="12574" xr:uid="{E8CDE5DD-369C-4C71-968F-FBA0C77501A0}"/>
    <cellStyle name="20% - Accent6 4 5 3" xfId="6205" xr:uid="{00000000-0005-0000-0000-0000AA030000}"/>
    <cellStyle name="20% - Accent6 4 5 3 2" xfId="14647" xr:uid="{545E26AA-6456-4915-8E4C-7D18295D3401}"/>
    <cellStyle name="20% - Accent6 4 5 4" xfId="10429" xr:uid="{10B12438-7B64-4696-8D63-0F1073C08317}"/>
    <cellStyle name="20% - Accent6 4 6" xfId="2311" xr:uid="{00000000-0005-0000-0000-0000AB030000}"/>
    <cellStyle name="20% - Accent6 4 6 2" xfId="6618" xr:uid="{00000000-0005-0000-0000-0000AC030000}"/>
    <cellStyle name="20% - Accent6 4 6 2 2" xfId="15060" xr:uid="{C905E613-591C-40E0-B30C-CC5AB5C0E90E}"/>
    <cellStyle name="20% - Accent6 4 6 3" xfId="10842" xr:uid="{FE3A3A12-F020-4673-BC9A-12F8582B74FB}"/>
    <cellStyle name="20% - Accent6 4 7" xfId="4552" xr:uid="{00000000-0005-0000-0000-0000AD030000}"/>
    <cellStyle name="20% - Accent6 4 7 2" xfId="12994" xr:uid="{28D4E31C-9433-482D-8445-D8C1C199E04B}"/>
    <cellStyle name="20% - Accent6 4 8" xfId="8776" xr:uid="{0343C334-7204-4E5A-8F30-D8563045C2DB}"/>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3101EA6B-1112-430F-9B48-8140261A695C}"/>
    <cellStyle name="20% - Accent6 5 2 3" xfId="11328" xr:uid="{6AA42A2F-DC88-46DE-ABDA-25F474102E2A}"/>
    <cellStyle name="20% - Accent6 5 3" xfId="4959" xr:uid="{00000000-0005-0000-0000-0000B1030000}"/>
    <cellStyle name="20% - Accent6 5 3 2" xfId="13401" xr:uid="{23DA5407-6D88-4417-9A70-17E6F69AFA84}"/>
    <cellStyle name="20% - Accent6 5 4" xfId="9183" xr:uid="{3EB89667-984F-4927-A12E-85C56806D9C7}"/>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501728A8-D2B8-4C07-B160-A8EF8C23EDC7}"/>
    <cellStyle name="20% - Accent6 6 2 3" xfId="11741" xr:uid="{351015CE-264F-40B9-BB7F-55BABDA90B65}"/>
    <cellStyle name="20% - Accent6 6 3" xfId="5372" xr:uid="{00000000-0005-0000-0000-0000B5030000}"/>
    <cellStyle name="20% - Accent6 6 3 2" xfId="13814" xr:uid="{3AEE1FDE-E99B-46B6-8A3E-32AD261F3037}"/>
    <cellStyle name="20% - Accent6 6 4" xfId="9596" xr:uid="{70E9D73C-53B3-4215-BE87-DC0AA7928047}"/>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B0C2F95A-8C85-44BB-801D-D901F88ADA6A}"/>
    <cellStyle name="20% - Accent6 7 2 3" xfId="12154" xr:uid="{8C469EA6-9AD3-4C49-A054-E5078D40F8FA}"/>
    <cellStyle name="20% - Accent6 7 3" xfId="5785" xr:uid="{00000000-0005-0000-0000-0000B9030000}"/>
    <cellStyle name="20% - Accent6 7 3 2" xfId="14227" xr:uid="{B6B18E30-F3E8-4F79-A456-CBD85EDA7EC8}"/>
    <cellStyle name="20% - Accent6 7 4" xfId="10009" xr:uid="{30D409F2-4A3B-4F98-B5F2-443A3D52D235}"/>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FDF49C14-1B6E-42FB-9C24-D8CA99346F9D}"/>
    <cellStyle name="20% - Accent6 8 2 3" xfId="12567" xr:uid="{9DE7966B-2A61-4778-A867-B4EBCFB06153}"/>
    <cellStyle name="20% - Accent6 8 3" xfId="6198" xr:uid="{00000000-0005-0000-0000-0000BD030000}"/>
    <cellStyle name="20% - Accent6 8 3 2" xfId="14640" xr:uid="{A10C9F0C-E3A5-4D0D-9757-08A470F597DC}"/>
    <cellStyle name="20% - Accent6 8 4" xfId="10422" xr:uid="{5985F300-94C2-4577-9E8E-EEB9404DC2FD}"/>
    <cellStyle name="20% - Accent6 9" xfId="2304" xr:uid="{00000000-0005-0000-0000-0000BE030000}"/>
    <cellStyle name="20% - Accent6 9 2" xfId="6611" xr:uid="{00000000-0005-0000-0000-0000BF030000}"/>
    <cellStyle name="20% - Accent6 9 2 2" xfId="15053" xr:uid="{B069457F-D88E-46AD-AE6D-2FCB7DD4263B}"/>
    <cellStyle name="20% - Accent6 9 3" xfId="10835" xr:uid="{E243382D-AF29-4DD7-85A9-AC5E9B9BCF4F}"/>
    <cellStyle name="40% - Accent1" xfId="49" builtinId="31" customBuiltin="1"/>
    <cellStyle name="40% - Accent1 10" xfId="4553" xr:uid="{00000000-0005-0000-0000-0000C1030000}"/>
    <cellStyle name="40% - Accent1 10 2" xfId="12995" xr:uid="{FECBE154-86FC-4806-AD60-80A390D07DB0}"/>
    <cellStyle name="40% - Accent1 11" xfId="8777" xr:uid="{B214C390-ADB8-4786-957D-84E6CB9975F2}"/>
    <cellStyle name="40% - Accent1 2" xfId="50" xr:uid="{00000000-0005-0000-0000-0000C2030000}"/>
    <cellStyle name="40% - Accent1 2 10" xfId="8778" xr:uid="{C5F9B99C-CE41-4482-BE63-1F1DF36BA7C3}"/>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87931090-EA32-482B-954C-CA4FF2F086DC}"/>
    <cellStyle name="40% - Accent1 2 2 2 2 2 3" xfId="11339" xr:uid="{AC465C43-D652-4CD8-A73F-8E82A13AA652}"/>
    <cellStyle name="40% - Accent1 2 2 2 2 3" xfId="4970" xr:uid="{00000000-0005-0000-0000-0000C8030000}"/>
    <cellStyle name="40% - Accent1 2 2 2 2 3 2" xfId="13412" xr:uid="{995D53A0-5ED5-43F2-8FD3-60E4E0077684}"/>
    <cellStyle name="40% - Accent1 2 2 2 2 4" xfId="9194" xr:uid="{3E9E1F6A-3EFD-4AA4-B1A1-8B449237FBB6}"/>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2D8E187D-B063-419F-A9C5-F8A6EDB3AB6F}"/>
    <cellStyle name="40% - Accent1 2 2 2 3 2 3" xfId="11752" xr:uid="{12E8DC2D-C597-40ED-8FBC-7403EBDABE97}"/>
    <cellStyle name="40% - Accent1 2 2 2 3 3" xfId="5383" xr:uid="{00000000-0005-0000-0000-0000CC030000}"/>
    <cellStyle name="40% - Accent1 2 2 2 3 3 2" xfId="13825" xr:uid="{CAFBD88F-314A-49C4-A5D3-7CA884A550ED}"/>
    <cellStyle name="40% - Accent1 2 2 2 3 4" xfId="9607" xr:uid="{5CEA9344-E434-436D-A1AD-E773773B8373}"/>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40ED67FC-6646-416D-B4AE-D534F04CF3E4}"/>
    <cellStyle name="40% - Accent1 2 2 2 4 2 3" xfId="12165" xr:uid="{B6DFD376-E086-4A44-B11D-523AEF57A63B}"/>
    <cellStyle name="40% - Accent1 2 2 2 4 3" xfId="5796" xr:uid="{00000000-0005-0000-0000-0000D0030000}"/>
    <cellStyle name="40% - Accent1 2 2 2 4 3 2" xfId="14238" xr:uid="{5CA6E0E0-0CE0-40FA-B8FC-0730162ADC7A}"/>
    <cellStyle name="40% - Accent1 2 2 2 4 4" xfId="10020" xr:uid="{A09A8E7E-F688-4F97-92F9-86836124EECE}"/>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1E388217-174B-4665-A92A-53843046B64A}"/>
    <cellStyle name="40% - Accent1 2 2 2 5 2 3" xfId="12578" xr:uid="{04ADD7DF-B6B1-490B-B1DA-6977AE89C7D2}"/>
    <cellStyle name="40% - Accent1 2 2 2 5 3" xfId="6209" xr:uid="{00000000-0005-0000-0000-0000D4030000}"/>
    <cellStyle name="40% - Accent1 2 2 2 5 3 2" xfId="14651" xr:uid="{3D54159F-3FE5-49EE-A7F1-128390FAFBBD}"/>
    <cellStyle name="40% - Accent1 2 2 2 5 4" xfId="10433" xr:uid="{7CDC0460-866D-4C83-81C3-857E699F9614}"/>
    <cellStyle name="40% - Accent1 2 2 2 6" xfId="2315" xr:uid="{00000000-0005-0000-0000-0000D5030000}"/>
    <cellStyle name="40% - Accent1 2 2 2 6 2" xfId="6622" xr:uid="{00000000-0005-0000-0000-0000D6030000}"/>
    <cellStyle name="40% - Accent1 2 2 2 6 2 2" xfId="15064" xr:uid="{6DA36468-5366-421C-A35A-49A1EB1005D1}"/>
    <cellStyle name="40% - Accent1 2 2 2 6 3" xfId="10846" xr:uid="{BD16ECF9-2E50-4DFF-B94E-312FF3055122}"/>
    <cellStyle name="40% - Accent1 2 2 2 7" xfId="4556" xr:uid="{00000000-0005-0000-0000-0000D7030000}"/>
    <cellStyle name="40% - Accent1 2 2 2 7 2" xfId="12998" xr:uid="{E76447E4-8D6F-4D48-A917-3BC65B208931}"/>
    <cellStyle name="40% - Accent1 2 2 2 8" xfId="8780" xr:uid="{DDD7CF45-EEDA-4D09-B2C7-EF295245C0F2}"/>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5C09BDE1-B739-4611-B09B-91384DCD76A3}"/>
    <cellStyle name="40% - Accent1 2 2 3 2 3" xfId="11338" xr:uid="{4DD84128-B295-4B72-BF8B-A2BEB5CE638C}"/>
    <cellStyle name="40% - Accent1 2 2 3 3" xfId="4969" xr:uid="{00000000-0005-0000-0000-0000DB030000}"/>
    <cellStyle name="40% - Accent1 2 2 3 3 2" xfId="13411" xr:uid="{5C8A1964-5CE5-4CA3-8E62-03ADCD2B283A}"/>
    <cellStyle name="40% - Accent1 2 2 3 4" xfId="9193" xr:uid="{CCA3F36E-CAEB-4DD4-8D83-0C1F3F60E1C7}"/>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DEB793CF-36BF-4408-A1CF-9E562DEE80E6}"/>
    <cellStyle name="40% - Accent1 2 2 4 2 3" xfId="11751" xr:uid="{B5BE9355-A907-41C0-92B5-5FBC12FCD829}"/>
    <cellStyle name="40% - Accent1 2 2 4 3" xfId="5382" xr:uid="{00000000-0005-0000-0000-0000DF030000}"/>
    <cellStyle name="40% - Accent1 2 2 4 3 2" xfId="13824" xr:uid="{2C4B733E-FE5E-4236-917E-622A1043894F}"/>
    <cellStyle name="40% - Accent1 2 2 4 4" xfId="9606" xr:uid="{C067E86E-0D45-450A-843E-6B5201FA4B27}"/>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6D8D2C3B-34F7-4E82-A292-FC8EEAB87ADF}"/>
    <cellStyle name="40% - Accent1 2 2 5 2 3" xfId="12164" xr:uid="{4FCF4EEE-CD7D-4B52-9AC5-BE3F13262259}"/>
    <cellStyle name="40% - Accent1 2 2 5 3" xfId="5795" xr:uid="{00000000-0005-0000-0000-0000E3030000}"/>
    <cellStyle name="40% - Accent1 2 2 5 3 2" xfId="14237" xr:uid="{867CE318-1A56-4E14-8AD7-A73356203246}"/>
    <cellStyle name="40% - Accent1 2 2 5 4" xfId="10019" xr:uid="{CF89A841-6CCA-4883-8364-73571295FE59}"/>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7D72EA57-9659-4DE0-BB09-4FBC068CB363}"/>
    <cellStyle name="40% - Accent1 2 2 6 2 3" xfId="12577" xr:uid="{85BAAFCC-4AAD-4854-9970-052E869B704D}"/>
    <cellStyle name="40% - Accent1 2 2 6 3" xfId="6208" xr:uid="{00000000-0005-0000-0000-0000E7030000}"/>
    <cellStyle name="40% - Accent1 2 2 6 3 2" xfId="14650" xr:uid="{2F527CDB-9C71-4CEC-A9D3-B72228CDC0FD}"/>
    <cellStyle name="40% - Accent1 2 2 6 4" xfId="10432" xr:uid="{E6AF9F3C-8DB4-461B-8872-07D54070DE58}"/>
    <cellStyle name="40% - Accent1 2 2 7" xfId="2314" xr:uid="{00000000-0005-0000-0000-0000E8030000}"/>
    <cellStyle name="40% - Accent1 2 2 7 2" xfId="6621" xr:uid="{00000000-0005-0000-0000-0000E9030000}"/>
    <cellStyle name="40% - Accent1 2 2 7 2 2" xfId="15063" xr:uid="{18683B2C-3D19-425F-B554-C4FDA6E95C65}"/>
    <cellStyle name="40% - Accent1 2 2 7 3" xfId="10845" xr:uid="{6EF50B3B-B607-4DB6-BE24-0EBB9D2F5678}"/>
    <cellStyle name="40% - Accent1 2 2 8" xfId="4555" xr:uid="{00000000-0005-0000-0000-0000EA030000}"/>
    <cellStyle name="40% - Accent1 2 2 8 2" xfId="12997" xr:uid="{B3DFC1DB-8859-4CE9-B3FB-4B5B9DCC5271}"/>
    <cellStyle name="40% - Accent1 2 2 9" xfId="8779" xr:uid="{855EDA79-1B29-4A9C-8DF9-0CDFE99656B8}"/>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6C76817D-0A9B-4873-9042-53A6168F4814}"/>
    <cellStyle name="40% - Accent1 2 3 2 2 3" xfId="11340" xr:uid="{A18229EC-01A1-4EA8-A997-AD5C87A3B059}"/>
    <cellStyle name="40% - Accent1 2 3 2 3" xfId="4971" xr:uid="{00000000-0005-0000-0000-0000EF030000}"/>
    <cellStyle name="40% - Accent1 2 3 2 3 2" xfId="13413" xr:uid="{9C883A4B-10A7-4703-98E6-68A106BEF325}"/>
    <cellStyle name="40% - Accent1 2 3 2 4" xfId="9195" xr:uid="{E785C81E-6F58-4A90-9141-F79C4AB14CA2}"/>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9AA75034-8597-4024-94A7-6179FD388EF1}"/>
    <cellStyle name="40% - Accent1 2 3 3 2 3" xfId="11753" xr:uid="{8B2FE286-00B6-4829-91CD-5BFD151664DB}"/>
    <cellStyle name="40% - Accent1 2 3 3 3" xfId="5384" xr:uid="{00000000-0005-0000-0000-0000F3030000}"/>
    <cellStyle name="40% - Accent1 2 3 3 3 2" xfId="13826" xr:uid="{A6946B53-3B2F-49B9-8477-AA9A8D612B57}"/>
    <cellStyle name="40% - Accent1 2 3 3 4" xfId="9608" xr:uid="{90EB8B97-EC3C-4344-9E6D-49C51F75F0A5}"/>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1779A137-27DB-4B2E-8FD0-5FB5980FCDA2}"/>
    <cellStyle name="40% - Accent1 2 3 4 2 3" xfId="12166" xr:uid="{3ADD511B-218C-4573-8110-ADBD96936CCE}"/>
    <cellStyle name="40% - Accent1 2 3 4 3" xfId="5797" xr:uid="{00000000-0005-0000-0000-0000F7030000}"/>
    <cellStyle name="40% - Accent1 2 3 4 3 2" xfId="14239" xr:uid="{D00F33DC-7493-4766-BCE1-C2CA7DAC3381}"/>
    <cellStyle name="40% - Accent1 2 3 4 4" xfId="10021" xr:uid="{8519BEDA-CE3D-4250-ABAF-7B024759F1E7}"/>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F7170DF0-37CA-4F5E-80D0-44A6332E9B48}"/>
    <cellStyle name="40% - Accent1 2 3 5 2 3" xfId="12579" xr:uid="{C9691664-EB14-4D60-B2BA-7691819AC16A}"/>
    <cellStyle name="40% - Accent1 2 3 5 3" xfId="6210" xr:uid="{00000000-0005-0000-0000-0000FB030000}"/>
    <cellStyle name="40% - Accent1 2 3 5 3 2" xfId="14652" xr:uid="{5A0E3FF3-9239-4574-9C22-94083BF83ED7}"/>
    <cellStyle name="40% - Accent1 2 3 5 4" xfId="10434" xr:uid="{83CFCD2B-557E-4AFA-A1E4-8963E90D55E0}"/>
    <cellStyle name="40% - Accent1 2 3 6" xfId="2316" xr:uid="{00000000-0005-0000-0000-0000FC030000}"/>
    <cellStyle name="40% - Accent1 2 3 6 2" xfId="6623" xr:uid="{00000000-0005-0000-0000-0000FD030000}"/>
    <cellStyle name="40% - Accent1 2 3 6 2 2" xfId="15065" xr:uid="{F33FB780-4631-4712-AB4F-ECD57BDE876A}"/>
    <cellStyle name="40% - Accent1 2 3 6 3" xfId="10847" xr:uid="{C393CFF7-9BC7-4829-B1B7-97678A79B94C}"/>
    <cellStyle name="40% - Accent1 2 3 7" xfId="4557" xr:uid="{00000000-0005-0000-0000-0000FE030000}"/>
    <cellStyle name="40% - Accent1 2 3 7 2" xfId="12999" xr:uid="{B574127F-67D5-4033-AC98-8C074324E963}"/>
    <cellStyle name="40% - Accent1 2 3 8" xfId="8781" xr:uid="{29B2B243-5E5E-4007-BF31-14D632D86CFC}"/>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89550999-A410-439F-A618-5A7ECFB1508B}"/>
    <cellStyle name="40% - Accent1 2 4 2 3" xfId="11337" xr:uid="{DDDC1293-EE02-4192-928C-3AB07420F16D}"/>
    <cellStyle name="40% - Accent1 2 4 3" xfId="4968" xr:uid="{00000000-0005-0000-0000-000002040000}"/>
    <cellStyle name="40% - Accent1 2 4 3 2" xfId="13410" xr:uid="{9FC138D7-0B97-4A5E-B1BC-095E35F90E53}"/>
    <cellStyle name="40% - Accent1 2 4 4" xfId="9192" xr:uid="{94427986-A995-4255-9A1A-770EE87D5678}"/>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66CCE463-98EA-4084-B909-7EDB799634FC}"/>
    <cellStyle name="40% - Accent1 2 5 2 3" xfId="11750" xr:uid="{A07CA609-626F-4A62-B193-1D34065195B5}"/>
    <cellStyle name="40% - Accent1 2 5 3" xfId="5381" xr:uid="{00000000-0005-0000-0000-000006040000}"/>
    <cellStyle name="40% - Accent1 2 5 3 2" xfId="13823" xr:uid="{440E8BB9-A2DC-42DB-9D90-A4DBBB411C18}"/>
    <cellStyle name="40% - Accent1 2 5 4" xfId="9605" xr:uid="{6AC65D8D-C086-4737-8DD6-29E65B8A8B99}"/>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581A6A0F-FDA5-49ED-BF36-64FE95101D3F}"/>
    <cellStyle name="40% - Accent1 2 6 2 3" xfId="12163" xr:uid="{6905CB5B-2E71-4743-901F-0874DB68721C}"/>
    <cellStyle name="40% - Accent1 2 6 3" xfId="5794" xr:uid="{00000000-0005-0000-0000-00000A040000}"/>
    <cellStyle name="40% - Accent1 2 6 3 2" xfId="14236" xr:uid="{07F3AC6E-5A5F-4388-9EA1-7A9FB59748B2}"/>
    <cellStyle name="40% - Accent1 2 6 4" xfId="10018" xr:uid="{DFC7C4C8-F8F9-468D-9BDB-836A57FD04CA}"/>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724423F0-DD87-48E4-B960-8D095914107F}"/>
    <cellStyle name="40% - Accent1 2 7 2 3" xfId="12576" xr:uid="{ADCCD99C-A3C9-447A-80F1-F98FB48B4399}"/>
    <cellStyle name="40% - Accent1 2 7 3" xfId="6207" xr:uid="{00000000-0005-0000-0000-00000E040000}"/>
    <cellStyle name="40% - Accent1 2 7 3 2" xfId="14649" xr:uid="{F60B1233-CF4A-460C-9472-564F7EBCC544}"/>
    <cellStyle name="40% - Accent1 2 7 4" xfId="10431" xr:uid="{746CF565-F9D3-4879-B7D8-4B47EBC90F48}"/>
    <cellStyle name="40% - Accent1 2 8" xfId="2313" xr:uid="{00000000-0005-0000-0000-00000F040000}"/>
    <cellStyle name="40% - Accent1 2 8 2" xfId="6620" xr:uid="{00000000-0005-0000-0000-000010040000}"/>
    <cellStyle name="40% - Accent1 2 8 2 2" xfId="15062" xr:uid="{7CFB6F38-9412-4367-B80D-7ABF1C93C21C}"/>
    <cellStyle name="40% - Accent1 2 8 3" xfId="10844" xr:uid="{A73A7C50-9A7B-42C5-BDCD-22D45D8CEF23}"/>
    <cellStyle name="40% - Accent1 2 9" xfId="4554" xr:uid="{00000000-0005-0000-0000-000011040000}"/>
    <cellStyle name="40% - Accent1 2 9 2" xfId="12996" xr:uid="{60389BC6-31FF-4C08-8B46-BC2E3F6EC6CA}"/>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6274D70F-5672-416D-969A-D99E05493BE5}"/>
    <cellStyle name="40% - Accent1 3 2 2 2 3" xfId="11342" xr:uid="{12717356-CB2F-49A4-ADBF-4AE780963653}"/>
    <cellStyle name="40% - Accent1 3 2 2 3" xfId="4973" xr:uid="{00000000-0005-0000-0000-000017040000}"/>
    <cellStyle name="40% - Accent1 3 2 2 3 2" xfId="13415" xr:uid="{D695F656-1302-47AB-9171-296E5B571B43}"/>
    <cellStyle name="40% - Accent1 3 2 2 4" xfId="9197" xr:uid="{D1B7A2A0-6E78-478E-A16A-97CD6ACB3703}"/>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BBF351EF-295F-41CA-82A2-3E242DFE6D58}"/>
    <cellStyle name="40% - Accent1 3 2 3 2 3" xfId="11755" xr:uid="{B2DD1E57-714F-44F6-82A9-35AF604D9966}"/>
    <cellStyle name="40% - Accent1 3 2 3 3" xfId="5386" xr:uid="{00000000-0005-0000-0000-00001B040000}"/>
    <cellStyle name="40% - Accent1 3 2 3 3 2" xfId="13828" xr:uid="{0289772B-B465-4A81-A4D6-7577E7E600D2}"/>
    <cellStyle name="40% - Accent1 3 2 3 4" xfId="9610" xr:uid="{7A9BCBD0-C617-44FE-BC5C-6F3E21C7BB2B}"/>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AE189DB6-6615-44EA-A584-403BF46121ED}"/>
    <cellStyle name="40% - Accent1 3 2 4 2 3" xfId="12168" xr:uid="{100B3A9D-24C5-46B5-99D1-508CE3299D36}"/>
    <cellStyle name="40% - Accent1 3 2 4 3" xfId="5799" xr:uid="{00000000-0005-0000-0000-00001F040000}"/>
    <cellStyle name="40% - Accent1 3 2 4 3 2" xfId="14241" xr:uid="{C7D53B51-9C30-41B6-AB0C-A4ED06E7AD37}"/>
    <cellStyle name="40% - Accent1 3 2 4 4" xfId="10023" xr:uid="{6F646294-CE72-4EE2-882F-4CA285F22E80}"/>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FEFDD3D2-7725-4F08-9E5D-2E539B35ECAB}"/>
    <cellStyle name="40% - Accent1 3 2 5 2 3" xfId="12581" xr:uid="{697F4E33-0322-4FD6-BBC8-25322D59AACD}"/>
    <cellStyle name="40% - Accent1 3 2 5 3" xfId="6212" xr:uid="{00000000-0005-0000-0000-000023040000}"/>
    <cellStyle name="40% - Accent1 3 2 5 3 2" xfId="14654" xr:uid="{8BBAE8C0-C35A-4EF5-B9D1-A5003880CF93}"/>
    <cellStyle name="40% - Accent1 3 2 5 4" xfId="10436" xr:uid="{F720004C-1F6C-491E-AD16-2BC7CDAE0031}"/>
    <cellStyle name="40% - Accent1 3 2 6" xfId="2318" xr:uid="{00000000-0005-0000-0000-000024040000}"/>
    <cellStyle name="40% - Accent1 3 2 6 2" xfId="6625" xr:uid="{00000000-0005-0000-0000-000025040000}"/>
    <cellStyle name="40% - Accent1 3 2 6 2 2" xfId="15067" xr:uid="{40B0A85E-A4D9-4F7E-8552-C09DAA9233A7}"/>
    <cellStyle name="40% - Accent1 3 2 6 3" xfId="10849" xr:uid="{96A78A89-9894-4E41-92D8-D016141EB184}"/>
    <cellStyle name="40% - Accent1 3 2 7" xfId="4559" xr:uid="{00000000-0005-0000-0000-000026040000}"/>
    <cellStyle name="40% - Accent1 3 2 7 2" xfId="13001" xr:uid="{A4D2A6AC-CB7F-4CE8-B8B9-B3BB1DDB1E23}"/>
    <cellStyle name="40% - Accent1 3 2 8" xfId="8783" xr:uid="{C4331C65-850A-450B-B51F-ED92155B7839}"/>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6B6F9A85-CCD6-4CEA-B2E0-CB722AF6DF6E}"/>
    <cellStyle name="40% - Accent1 3 3 2 3" xfId="11341" xr:uid="{5A282EA3-14D5-4113-B2BA-BC3CFCE9C5B5}"/>
    <cellStyle name="40% - Accent1 3 3 3" xfId="4972" xr:uid="{00000000-0005-0000-0000-00002A040000}"/>
    <cellStyle name="40% - Accent1 3 3 3 2" xfId="13414" xr:uid="{3206E854-7DE1-420E-A86F-6676BB794536}"/>
    <cellStyle name="40% - Accent1 3 3 4" xfId="9196" xr:uid="{6BAC5EAA-0E7D-4FFF-A788-A6B6E880DBBC}"/>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60D4BCCA-DDFA-41BB-8C31-0100BBE64EF9}"/>
    <cellStyle name="40% - Accent1 3 4 2 3" xfId="11754" xr:uid="{352D3AD9-0E5D-4279-962E-21CE7B7D702D}"/>
    <cellStyle name="40% - Accent1 3 4 3" xfId="5385" xr:uid="{00000000-0005-0000-0000-00002E040000}"/>
    <cellStyle name="40% - Accent1 3 4 3 2" xfId="13827" xr:uid="{C7E1B1EE-D20E-47EA-83A4-8EAF4C7489B4}"/>
    <cellStyle name="40% - Accent1 3 4 4" xfId="9609" xr:uid="{57A5E154-6BA0-4456-B3A7-B2B5A80D70A7}"/>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10D7F928-6F27-46B6-87E5-168647A8A373}"/>
    <cellStyle name="40% - Accent1 3 5 2 3" xfId="12167" xr:uid="{A4EDA490-A23A-45E0-9A35-F466E35AA794}"/>
    <cellStyle name="40% - Accent1 3 5 3" xfId="5798" xr:uid="{00000000-0005-0000-0000-000032040000}"/>
    <cellStyle name="40% - Accent1 3 5 3 2" xfId="14240" xr:uid="{41A9BAE7-B298-40F7-94C8-16588F4D2C23}"/>
    <cellStyle name="40% - Accent1 3 5 4" xfId="10022" xr:uid="{1F6285E6-4F47-48DD-BD29-CD13D3F05E07}"/>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B54D583C-4A08-4A6C-9B26-F78588FFF193}"/>
    <cellStyle name="40% - Accent1 3 6 2 3" xfId="12580" xr:uid="{0DB9314D-62A4-4118-B073-671E721110A7}"/>
    <cellStyle name="40% - Accent1 3 6 3" xfId="6211" xr:uid="{00000000-0005-0000-0000-000036040000}"/>
    <cellStyle name="40% - Accent1 3 6 3 2" xfId="14653" xr:uid="{C09035B8-8728-4945-B7FB-7D62A07B8125}"/>
    <cellStyle name="40% - Accent1 3 6 4" xfId="10435" xr:uid="{60C23426-E39E-4426-8F07-F205EAC6BADA}"/>
    <cellStyle name="40% - Accent1 3 7" xfId="2317" xr:uid="{00000000-0005-0000-0000-000037040000}"/>
    <cellStyle name="40% - Accent1 3 7 2" xfId="6624" xr:uid="{00000000-0005-0000-0000-000038040000}"/>
    <cellStyle name="40% - Accent1 3 7 2 2" xfId="15066" xr:uid="{40741D6D-5453-42E1-BE63-5B5167BD5E3C}"/>
    <cellStyle name="40% - Accent1 3 7 3" xfId="10848" xr:uid="{E40A67E9-27C7-4C72-A68E-91AE95F61295}"/>
    <cellStyle name="40% - Accent1 3 8" xfId="4558" xr:uid="{00000000-0005-0000-0000-000039040000}"/>
    <cellStyle name="40% - Accent1 3 8 2" xfId="13000" xr:uid="{571B7260-4F2A-4A4D-BB95-EAD3C5878727}"/>
    <cellStyle name="40% - Accent1 3 9" xfId="8782" xr:uid="{48DCADE0-20A5-46D5-AF80-8E8AAE6296BE}"/>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42BD03F5-76BA-4992-9373-417CEA800241}"/>
    <cellStyle name="40% - Accent1 4 2 2 3" xfId="11343" xr:uid="{20C47205-7424-4D5C-9D3E-A4BEBD8849FC}"/>
    <cellStyle name="40% - Accent1 4 2 3" xfId="4974" xr:uid="{00000000-0005-0000-0000-00003E040000}"/>
    <cellStyle name="40% - Accent1 4 2 3 2" xfId="13416" xr:uid="{CC556EF0-4787-4CD5-9076-970DD9385DBD}"/>
    <cellStyle name="40% - Accent1 4 2 4" xfId="9198" xr:uid="{41696389-5BAC-4044-AD59-2EEAA3F14E6F}"/>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25E6069C-012D-4118-BA9D-9D1134018621}"/>
    <cellStyle name="40% - Accent1 4 3 2 3" xfId="11756" xr:uid="{635CA05B-B865-4B89-83CB-21F44CFEBDC8}"/>
    <cellStyle name="40% - Accent1 4 3 3" xfId="5387" xr:uid="{00000000-0005-0000-0000-000042040000}"/>
    <cellStyle name="40% - Accent1 4 3 3 2" xfId="13829" xr:uid="{718E5296-3A7D-4A07-813E-BFAC1311AA47}"/>
    <cellStyle name="40% - Accent1 4 3 4" xfId="9611" xr:uid="{D511CA99-15B6-4936-961C-F5E96D4873CF}"/>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7DF9604A-980F-4838-99C1-FFEBCAC772FE}"/>
    <cellStyle name="40% - Accent1 4 4 2 3" xfId="12169" xr:uid="{3A946C7F-3F6E-4051-B4B7-56059B8C01B9}"/>
    <cellStyle name="40% - Accent1 4 4 3" xfId="5800" xr:uid="{00000000-0005-0000-0000-000046040000}"/>
    <cellStyle name="40% - Accent1 4 4 3 2" xfId="14242" xr:uid="{2E234A66-4241-4650-AF74-D4547B743397}"/>
    <cellStyle name="40% - Accent1 4 4 4" xfId="10024" xr:uid="{158648D1-8D2E-4CFF-B0E5-F01B616BD51E}"/>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B8344569-E8F5-4A96-9F85-D134C826711D}"/>
    <cellStyle name="40% - Accent1 4 5 2 3" xfId="12582" xr:uid="{13FE2F9A-0054-403D-9086-594BA83AB23F}"/>
    <cellStyle name="40% - Accent1 4 5 3" xfId="6213" xr:uid="{00000000-0005-0000-0000-00004A040000}"/>
    <cellStyle name="40% - Accent1 4 5 3 2" xfId="14655" xr:uid="{DA0C74CF-82B9-4935-A71D-335D2A4BEC2C}"/>
    <cellStyle name="40% - Accent1 4 5 4" xfId="10437" xr:uid="{A3486A8A-8A68-4E07-A2B5-7A13DE69B3EC}"/>
    <cellStyle name="40% - Accent1 4 6" xfId="2319" xr:uid="{00000000-0005-0000-0000-00004B040000}"/>
    <cellStyle name="40% - Accent1 4 6 2" xfId="6626" xr:uid="{00000000-0005-0000-0000-00004C040000}"/>
    <cellStyle name="40% - Accent1 4 6 2 2" xfId="15068" xr:uid="{565474B8-4630-402C-A02B-D4D1DA7DF83E}"/>
    <cellStyle name="40% - Accent1 4 6 3" xfId="10850" xr:uid="{AA1853C4-06B2-4B57-82E3-0955F5FA8D4B}"/>
    <cellStyle name="40% - Accent1 4 7" xfId="4560" xr:uid="{00000000-0005-0000-0000-00004D040000}"/>
    <cellStyle name="40% - Accent1 4 7 2" xfId="13002" xr:uid="{495CC3D1-6E0D-4B6B-B0FC-39E66C817AE0}"/>
    <cellStyle name="40% - Accent1 4 8" xfId="8784" xr:uid="{3E7BCC33-DB30-47CA-A074-807143A12FCC}"/>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2731AEC2-E363-4AD1-94F8-ABC5921DE91C}"/>
    <cellStyle name="40% - Accent1 5 2 3" xfId="11336" xr:uid="{C79C5332-6668-4D22-ADFE-F21AC4191563}"/>
    <cellStyle name="40% - Accent1 5 3" xfId="4967" xr:uid="{00000000-0005-0000-0000-000051040000}"/>
    <cellStyle name="40% - Accent1 5 3 2" xfId="13409" xr:uid="{EFAB3EEB-6ADD-482A-A72D-C7E76BE5F559}"/>
    <cellStyle name="40% - Accent1 5 4" xfId="9191" xr:uid="{D4B8F8C2-FAF9-4ECF-AF0A-BD2C72FB3DC5}"/>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62A03912-2E36-41B1-B8BC-63D11C589CAD}"/>
    <cellStyle name="40% - Accent1 6 2 3" xfId="11749" xr:uid="{0AA0DA05-9CDA-450F-91BF-76FF50B16D24}"/>
    <cellStyle name="40% - Accent1 6 3" xfId="5380" xr:uid="{00000000-0005-0000-0000-000055040000}"/>
    <cellStyle name="40% - Accent1 6 3 2" xfId="13822" xr:uid="{742B000F-D9B6-4BE1-BDA5-ABF85FC8DAA7}"/>
    <cellStyle name="40% - Accent1 6 4" xfId="9604" xr:uid="{277804E7-AD4E-47BB-BB65-49E795974F83}"/>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B7E7CB22-3A61-4840-B8F3-126C407E62E4}"/>
    <cellStyle name="40% - Accent1 7 2 3" xfId="12162" xr:uid="{8813D5ED-9E39-4422-92FC-A39B65660F14}"/>
    <cellStyle name="40% - Accent1 7 3" xfId="5793" xr:uid="{00000000-0005-0000-0000-000059040000}"/>
    <cellStyle name="40% - Accent1 7 3 2" xfId="14235" xr:uid="{40C5A8A7-88EA-45A4-81A6-0B6F218EBF0B}"/>
    <cellStyle name="40% - Accent1 7 4" xfId="10017" xr:uid="{00A93215-072F-4873-B04A-2195775CE06A}"/>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4D3DE566-3046-41E1-A130-E7B8961D13D0}"/>
    <cellStyle name="40% - Accent1 8 2 3" xfId="12575" xr:uid="{DC75E1B3-8A4C-402D-BA9A-A785C91109F3}"/>
    <cellStyle name="40% - Accent1 8 3" xfId="6206" xr:uid="{00000000-0005-0000-0000-00005D040000}"/>
    <cellStyle name="40% - Accent1 8 3 2" xfId="14648" xr:uid="{9899423C-7F6A-4E72-9261-F0CD455ADA37}"/>
    <cellStyle name="40% - Accent1 8 4" xfId="10430" xr:uid="{DC43F830-4F24-4433-9008-BB8545749CCF}"/>
    <cellStyle name="40% - Accent1 9" xfId="2312" xr:uid="{00000000-0005-0000-0000-00005E040000}"/>
    <cellStyle name="40% - Accent1 9 2" xfId="6619" xr:uid="{00000000-0005-0000-0000-00005F040000}"/>
    <cellStyle name="40% - Accent1 9 2 2" xfId="15061" xr:uid="{808921DD-8A62-4921-AEE0-45E625FA4A4E}"/>
    <cellStyle name="40% - Accent1 9 3" xfId="10843" xr:uid="{201F23B3-D435-4DAC-8151-6C512EDF871C}"/>
    <cellStyle name="40% - Accent2" xfId="57" builtinId="35" customBuiltin="1"/>
    <cellStyle name="40% - Accent2 10" xfId="4561" xr:uid="{00000000-0005-0000-0000-000061040000}"/>
    <cellStyle name="40% - Accent2 10 2" xfId="13003" xr:uid="{94AF1BA1-1D7E-4638-8BC9-419A1773CC7D}"/>
    <cellStyle name="40% - Accent2 11" xfId="8785" xr:uid="{4BED9A0E-480A-46A9-B164-81659C74DC97}"/>
    <cellStyle name="40% - Accent2 2" xfId="58" xr:uid="{00000000-0005-0000-0000-000062040000}"/>
    <cellStyle name="40% - Accent2 2 10" xfId="8786" xr:uid="{7D99DA0E-B03F-413C-86C4-BE9A0F988D01}"/>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B912B175-496B-4231-B103-E8CE6A055AFE}"/>
    <cellStyle name="40% - Accent2 2 2 2 2 2 3" xfId="11347" xr:uid="{2837B5B9-6C93-4A14-8EBC-42BB3ACB65C4}"/>
    <cellStyle name="40% - Accent2 2 2 2 2 3" xfId="4978" xr:uid="{00000000-0005-0000-0000-000068040000}"/>
    <cellStyle name="40% - Accent2 2 2 2 2 3 2" xfId="13420" xr:uid="{8EFEC946-0F6E-426F-BD4A-036A044C949E}"/>
    <cellStyle name="40% - Accent2 2 2 2 2 4" xfId="9202" xr:uid="{7C2A65CD-97BF-42C0-AF4E-0BB23A6C2B4D}"/>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332E5040-B6CA-4203-B10B-00A220DCBBEA}"/>
    <cellStyle name="40% - Accent2 2 2 2 3 2 3" xfId="11760" xr:uid="{0E104F62-784E-440E-8A70-6468F1D2885F}"/>
    <cellStyle name="40% - Accent2 2 2 2 3 3" xfId="5391" xr:uid="{00000000-0005-0000-0000-00006C040000}"/>
    <cellStyle name="40% - Accent2 2 2 2 3 3 2" xfId="13833" xr:uid="{8DDED28E-19F0-4FEF-8BEA-BA50D9EF51CB}"/>
    <cellStyle name="40% - Accent2 2 2 2 3 4" xfId="9615" xr:uid="{1479FFD5-0130-4241-A6C4-A0057D2BCA71}"/>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31A030CE-59E9-43A7-8BB9-1F0506EE5A56}"/>
    <cellStyle name="40% - Accent2 2 2 2 4 2 3" xfId="12173" xr:uid="{E46D3C7D-926C-43FD-B821-49159E898C87}"/>
    <cellStyle name="40% - Accent2 2 2 2 4 3" xfId="5804" xr:uid="{00000000-0005-0000-0000-000070040000}"/>
    <cellStyle name="40% - Accent2 2 2 2 4 3 2" xfId="14246" xr:uid="{D7203424-63D7-486C-8628-436B8BBCF3B6}"/>
    <cellStyle name="40% - Accent2 2 2 2 4 4" xfId="10028" xr:uid="{FBA622AB-8872-439A-92CC-8403C3A53F05}"/>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19072B71-76AA-4F7D-B43D-9864860A5E9A}"/>
    <cellStyle name="40% - Accent2 2 2 2 5 2 3" xfId="12586" xr:uid="{7B05C57F-EC0A-4D34-9984-CD4B191A532C}"/>
    <cellStyle name="40% - Accent2 2 2 2 5 3" xfId="6217" xr:uid="{00000000-0005-0000-0000-000074040000}"/>
    <cellStyle name="40% - Accent2 2 2 2 5 3 2" xfId="14659" xr:uid="{CF09C441-3037-4F23-ACDE-5CE9B0325AC1}"/>
    <cellStyle name="40% - Accent2 2 2 2 5 4" xfId="10441" xr:uid="{EC684C62-1E18-46AD-B464-0A25BE60A142}"/>
    <cellStyle name="40% - Accent2 2 2 2 6" xfId="2323" xr:uid="{00000000-0005-0000-0000-000075040000}"/>
    <cellStyle name="40% - Accent2 2 2 2 6 2" xfId="6630" xr:uid="{00000000-0005-0000-0000-000076040000}"/>
    <cellStyle name="40% - Accent2 2 2 2 6 2 2" xfId="15072" xr:uid="{6D1A5CD5-E1E1-4AC4-9702-A5AC87D6B463}"/>
    <cellStyle name="40% - Accent2 2 2 2 6 3" xfId="10854" xr:uid="{AA0D3B2C-90D8-4D92-9846-FCC698A00553}"/>
    <cellStyle name="40% - Accent2 2 2 2 7" xfId="4564" xr:uid="{00000000-0005-0000-0000-000077040000}"/>
    <cellStyle name="40% - Accent2 2 2 2 7 2" xfId="13006" xr:uid="{F91E656A-8213-46EF-AB45-F704D68164D0}"/>
    <cellStyle name="40% - Accent2 2 2 2 8" xfId="8788" xr:uid="{B06A9D36-BA98-4C81-AD9F-06EB4CB94CCB}"/>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C8841E3B-6E4D-4147-8B4F-E6BDAD07FB9F}"/>
    <cellStyle name="40% - Accent2 2 2 3 2 3" xfId="11346" xr:uid="{28B1C270-CC80-4676-A830-DE71F558E209}"/>
    <cellStyle name="40% - Accent2 2 2 3 3" xfId="4977" xr:uid="{00000000-0005-0000-0000-00007B040000}"/>
    <cellStyle name="40% - Accent2 2 2 3 3 2" xfId="13419" xr:uid="{1449E9A3-624E-4C85-AFEC-223D0FB7DE3B}"/>
    <cellStyle name="40% - Accent2 2 2 3 4" xfId="9201" xr:uid="{517D9F06-8DDE-4DD8-BEF1-CFC8450B8C5C}"/>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485E4D5B-D82E-4F61-961A-768216C448BD}"/>
    <cellStyle name="40% - Accent2 2 2 4 2 3" xfId="11759" xr:uid="{A9F282E4-0ECF-434E-A943-6BA57EFCCF8F}"/>
    <cellStyle name="40% - Accent2 2 2 4 3" xfId="5390" xr:uid="{00000000-0005-0000-0000-00007F040000}"/>
    <cellStyle name="40% - Accent2 2 2 4 3 2" xfId="13832" xr:uid="{404310A6-84D0-4BBE-BE4A-A31927E4A09A}"/>
    <cellStyle name="40% - Accent2 2 2 4 4" xfId="9614" xr:uid="{75CD5C0C-E662-4F05-BED8-1A5311B02452}"/>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958DC93B-572E-437C-A170-9E4B3F3FC825}"/>
    <cellStyle name="40% - Accent2 2 2 5 2 3" xfId="12172" xr:uid="{6C0B0B69-5A96-46DF-8B8D-7CBBBD180F0C}"/>
    <cellStyle name="40% - Accent2 2 2 5 3" xfId="5803" xr:uid="{00000000-0005-0000-0000-000083040000}"/>
    <cellStyle name="40% - Accent2 2 2 5 3 2" xfId="14245" xr:uid="{55C868ED-7095-4A1C-BDAD-B3DFB5199900}"/>
    <cellStyle name="40% - Accent2 2 2 5 4" xfId="10027" xr:uid="{056F18A9-5A21-4610-BF6B-6D45DFAD0947}"/>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1E79F3E1-9D46-4178-926D-E565576870CF}"/>
    <cellStyle name="40% - Accent2 2 2 6 2 3" xfId="12585" xr:uid="{AE0E456F-0C39-49B1-81C7-A7A4C09B9FBC}"/>
    <cellStyle name="40% - Accent2 2 2 6 3" xfId="6216" xr:uid="{00000000-0005-0000-0000-000087040000}"/>
    <cellStyle name="40% - Accent2 2 2 6 3 2" xfId="14658" xr:uid="{842C1956-69AB-415C-88C6-8D83608F2997}"/>
    <cellStyle name="40% - Accent2 2 2 6 4" xfId="10440" xr:uid="{73902A73-2EF4-4DE8-B2F7-10DDA9FE754B}"/>
    <cellStyle name="40% - Accent2 2 2 7" xfId="2322" xr:uid="{00000000-0005-0000-0000-000088040000}"/>
    <cellStyle name="40% - Accent2 2 2 7 2" xfId="6629" xr:uid="{00000000-0005-0000-0000-000089040000}"/>
    <cellStyle name="40% - Accent2 2 2 7 2 2" xfId="15071" xr:uid="{2312459D-0A08-4D12-A3E0-590A64E3C6DD}"/>
    <cellStyle name="40% - Accent2 2 2 7 3" xfId="10853" xr:uid="{2F754601-2176-45F7-89CA-300C89D49CEF}"/>
    <cellStyle name="40% - Accent2 2 2 8" xfId="4563" xr:uid="{00000000-0005-0000-0000-00008A040000}"/>
    <cellStyle name="40% - Accent2 2 2 8 2" xfId="13005" xr:uid="{84422073-4C00-4B54-A8C2-F014FDF877E6}"/>
    <cellStyle name="40% - Accent2 2 2 9" xfId="8787" xr:uid="{7661002E-4350-43DE-95D0-2650FF34951F}"/>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D96C390D-761D-4392-BE3D-13BB04F38B9F}"/>
    <cellStyle name="40% - Accent2 2 3 2 2 3" xfId="11348" xr:uid="{85E27894-7955-4E10-8D2A-9B43FB5A32E0}"/>
    <cellStyle name="40% - Accent2 2 3 2 3" xfId="4979" xr:uid="{00000000-0005-0000-0000-00008F040000}"/>
    <cellStyle name="40% - Accent2 2 3 2 3 2" xfId="13421" xr:uid="{9D0E2DA7-9317-45D3-9F7B-197A905263A1}"/>
    <cellStyle name="40% - Accent2 2 3 2 4" xfId="9203" xr:uid="{8E150EE3-D4CC-4B32-AA67-90987E907BAA}"/>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E16A45DA-A8C9-47E4-A149-C83F026BDC04}"/>
    <cellStyle name="40% - Accent2 2 3 3 2 3" xfId="11761" xr:uid="{E90E08CD-5FF2-4383-B163-11DFB245564C}"/>
    <cellStyle name="40% - Accent2 2 3 3 3" xfId="5392" xr:uid="{00000000-0005-0000-0000-000093040000}"/>
    <cellStyle name="40% - Accent2 2 3 3 3 2" xfId="13834" xr:uid="{4C8FFBE7-7F4C-4333-8D54-7AFC0F5B5AAA}"/>
    <cellStyle name="40% - Accent2 2 3 3 4" xfId="9616" xr:uid="{5E1D307C-B1A4-470B-AD50-D543793F14F1}"/>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2F78B1B2-AFA6-4E13-BBF8-6CE5426BC30F}"/>
    <cellStyle name="40% - Accent2 2 3 4 2 3" xfId="12174" xr:uid="{BB1F891B-11B3-4BE6-896A-DDC099406832}"/>
    <cellStyle name="40% - Accent2 2 3 4 3" xfId="5805" xr:uid="{00000000-0005-0000-0000-000097040000}"/>
    <cellStyle name="40% - Accent2 2 3 4 3 2" xfId="14247" xr:uid="{98FFC12F-5390-4901-8311-0923B246B9AF}"/>
    <cellStyle name="40% - Accent2 2 3 4 4" xfId="10029" xr:uid="{3515A9A9-6BDB-418A-B3B2-CCFC7F3A878E}"/>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759487C4-A126-4078-A654-DC3A42D04C14}"/>
    <cellStyle name="40% - Accent2 2 3 5 2 3" xfId="12587" xr:uid="{C32ED5F8-AEFB-4D0D-A63D-CC9C3F543243}"/>
    <cellStyle name="40% - Accent2 2 3 5 3" xfId="6218" xr:uid="{00000000-0005-0000-0000-00009B040000}"/>
    <cellStyle name="40% - Accent2 2 3 5 3 2" xfId="14660" xr:uid="{BCBEEBCE-90F5-4879-B82A-B1F87A5A7F62}"/>
    <cellStyle name="40% - Accent2 2 3 5 4" xfId="10442" xr:uid="{B3E6E3F7-5A62-4971-94D3-F79C3161F8BD}"/>
    <cellStyle name="40% - Accent2 2 3 6" xfId="2324" xr:uid="{00000000-0005-0000-0000-00009C040000}"/>
    <cellStyle name="40% - Accent2 2 3 6 2" xfId="6631" xr:uid="{00000000-0005-0000-0000-00009D040000}"/>
    <cellStyle name="40% - Accent2 2 3 6 2 2" xfId="15073" xr:uid="{66AD07A4-60AE-4B59-9FDE-EAF4B8676FE9}"/>
    <cellStyle name="40% - Accent2 2 3 6 3" xfId="10855" xr:uid="{2FB34D85-4762-43E5-AC16-8BE439DD0377}"/>
    <cellStyle name="40% - Accent2 2 3 7" xfId="4565" xr:uid="{00000000-0005-0000-0000-00009E040000}"/>
    <cellStyle name="40% - Accent2 2 3 7 2" xfId="13007" xr:uid="{DA655844-21A4-4442-87BC-DF2964283804}"/>
    <cellStyle name="40% - Accent2 2 3 8" xfId="8789" xr:uid="{A653D5D0-6286-497A-9AC1-09E4972B9156}"/>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63A7A013-B75D-4329-91DE-801DAC282763}"/>
    <cellStyle name="40% - Accent2 2 4 2 3" xfId="11345" xr:uid="{EC850337-7DE1-4694-AB14-CAD5DA72FCEE}"/>
    <cellStyle name="40% - Accent2 2 4 3" xfId="4976" xr:uid="{00000000-0005-0000-0000-0000A2040000}"/>
    <cellStyle name="40% - Accent2 2 4 3 2" xfId="13418" xr:uid="{54634F7B-6E20-482C-A8C4-50B597843620}"/>
    <cellStyle name="40% - Accent2 2 4 4" xfId="9200" xr:uid="{35473F2E-28FE-4CDD-80E8-471F24E9572F}"/>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DB2BADEE-FF60-463A-9774-A634A75F9322}"/>
    <cellStyle name="40% - Accent2 2 5 2 3" xfId="11758" xr:uid="{564E1353-7029-4950-8F78-040821B7AD0A}"/>
    <cellStyle name="40% - Accent2 2 5 3" xfId="5389" xr:uid="{00000000-0005-0000-0000-0000A6040000}"/>
    <cellStyle name="40% - Accent2 2 5 3 2" xfId="13831" xr:uid="{D03DC2AD-EC11-47D0-BB0D-C329B4E6F15F}"/>
    <cellStyle name="40% - Accent2 2 5 4" xfId="9613" xr:uid="{82D34FBB-9670-4EF7-9700-8BFD08296D4B}"/>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1F51B652-063F-4B4F-8EF2-739E3BFAA952}"/>
    <cellStyle name="40% - Accent2 2 6 2 3" xfId="12171" xr:uid="{518C6146-2EEA-4624-99C3-B37725BFDBAA}"/>
    <cellStyle name="40% - Accent2 2 6 3" xfId="5802" xr:uid="{00000000-0005-0000-0000-0000AA040000}"/>
    <cellStyle name="40% - Accent2 2 6 3 2" xfId="14244" xr:uid="{FC2C9B32-5B52-4F72-BC34-89AF8993A660}"/>
    <cellStyle name="40% - Accent2 2 6 4" xfId="10026" xr:uid="{73608DD7-1A3E-4F48-A334-367FDC3967C9}"/>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D98D66E7-F517-46E3-9F5D-7761F88F47D7}"/>
    <cellStyle name="40% - Accent2 2 7 2 3" xfId="12584" xr:uid="{2CF219CA-FA6A-4E7C-B609-343353032415}"/>
    <cellStyle name="40% - Accent2 2 7 3" xfId="6215" xr:uid="{00000000-0005-0000-0000-0000AE040000}"/>
    <cellStyle name="40% - Accent2 2 7 3 2" xfId="14657" xr:uid="{BA45AC8F-6450-4CCC-B0F0-5EBDDDB9F35B}"/>
    <cellStyle name="40% - Accent2 2 7 4" xfId="10439" xr:uid="{B2375FBD-5F9E-490E-A920-2BFFD4E904D5}"/>
    <cellStyle name="40% - Accent2 2 8" xfId="2321" xr:uid="{00000000-0005-0000-0000-0000AF040000}"/>
    <cellStyle name="40% - Accent2 2 8 2" xfId="6628" xr:uid="{00000000-0005-0000-0000-0000B0040000}"/>
    <cellStyle name="40% - Accent2 2 8 2 2" xfId="15070" xr:uid="{81CBC4E4-2C96-4E31-A056-50AC85BA0C80}"/>
    <cellStyle name="40% - Accent2 2 8 3" xfId="10852" xr:uid="{7DAFD64E-49A7-42B9-A519-E57EFA15C19E}"/>
    <cellStyle name="40% - Accent2 2 9" xfId="4562" xr:uid="{00000000-0005-0000-0000-0000B1040000}"/>
    <cellStyle name="40% - Accent2 2 9 2" xfId="13004" xr:uid="{DE05F635-4AD4-4273-9C91-AFD8DE61519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C5C872F9-F882-427A-B19F-17E27DD474F1}"/>
    <cellStyle name="40% - Accent2 3 2 2 2 3" xfId="11350" xr:uid="{A023DDF8-D9E1-4DD2-9977-6D1767DEB59C}"/>
    <cellStyle name="40% - Accent2 3 2 2 3" xfId="4981" xr:uid="{00000000-0005-0000-0000-0000B7040000}"/>
    <cellStyle name="40% - Accent2 3 2 2 3 2" xfId="13423" xr:uid="{123F429B-5F7A-4FD2-A0E4-A2AFDFFD84A8}"/>
    <cellStyle name="40% - Accent2 3 2 2 4" xfId="9205" xr:uid="{61F1448E-D978-4CFF-837C-6B8303F37277}"/>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8EA27EC7-0D02-4231-AB10-8288202BBD3F}"/>
    <cellStyle name="40% - Accent2 3 2 3 2 3" xfId="11763" xr:uid="{767EFDF3-1072-4251-9A91-85EB8751092C}"/>
    <cellStyle name="40% - Accent2 3 2 3 3" xfId="5394" xr:uid="{00000000-0005-0000-0000-0000BB040000}"/>
    <cellStyle name="40% - Accent2 3 2 3 3 2" xfId="13836" xr:uid="{F79F8FC9-94DE-4056-BF52-36F3A175B583}"/>
    <cellStyle name="40% - Accent2 3 2 3 4" xfId="9618" xr:uid="{9148BD83-0812-4D06-84F0-E853166711F1}"/>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9343173B-800F-4247-9EC9-1FD66EAE4061}"/>
    <cellStyle name="40% - Accent2 3 2 4 2 3" xfId="12176" xr:uid="{4C5399DD-00F4-4D91-8C7C-48954E85720F}"/>
    <cellStyle name="40% - Accent2 3 2 4 3" xfId="5807" xr:uid="{00000000-0005-0000-0000-0000BF040000}"/>
    <cellStyle name="40% - Accent2 3 2 4 3 2" xfId="14249" xr:uid="{3E80DFAB-F282-4B07-B8E9-52F37885B5A5}"/>
    <cellStyle name="40% - Accent2 3 2 4 4" xfId="10031" xr:uid="{7B79A226-670A-477F-A38B-4025BB1D2923}"/>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3BCCBC1F-BE10-4B66-AFA0-6597A442CE3D}"/>
    <cellStyle name="40% - Accent2 3 2 5 2 3" xfId="12589" xr:uid="{ED6A4B2F-7191-4637-B17E-1BB98B4A9C4F}"/>
    <cellStyle name="40% - Accent2 3 2 5 3" xfId="6220" xr:uid="{00000000-0005-0000-0000-0000C3040000}"/>
    <cellStyle name="40% - Accent2 3 2 5 3 2" xfId="14662" xr:uid="{E0576A4E-F817-4409-9D32-FDD4BEE80ECB}"/>
    <cellStyle name="40% - Accent2 3 2 5 4" xfId="10444" xr:uid="{E0302234-33B6-457A-8BFC-63F73965F00D}"/>
    <cellStyle name="40% - Accent2 3 2 6" xfId="2326" xr:uid="{00000000-0005-0000-0000-0000C4040000}"/>
    <cellStyle name="40% - Accent2 3 2 6 2" xfId="6633" xr:uid="{00000000-0005-0000-0000-0000C5040000}"/>
    <cellStyle name="40% - Accent2 3 2 6 2 2" xfId="15075" xr:uid="{E7855341-7E38-43C3-B9DB-E611D7EA6B1C}"/>
    <cellStyle name="40% - Accent2 3 2 6 3" xfId="10857" xr:uid="{C58C1768-0A0B-4943-95BB-B7F56226B8E0}"/>
    <cellStyle name="40% - Accent2 3 2 7" xfId="4567" xr:uid="{00000000-0005-0000-0000-0000C6040000}"/>
    <cellStyle name="40% - Accent2 3 2 7 2" xfId="13009" xr:uid="{5C6AE6CE-35E8-44F7-A4DF-D0198120B352}"/>
    <cellStyle name="40% - Accent2 3 2 8" xfId="8791" xr:uid="{158B3BF7-3661-4250-BACA-DD595350CA9E}"/>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ADE674DA-7872-427E-839A-5B96B6F4F169}"/>
    <cellStyle name="40% - Accent2 3 3 2 3" xfId="11349" xr:uid="{26B5E2BE-8E96-4A5D-9BEF-364252A1E16D}"/>
    <cellStyle name="40% - Accent2 3 3 3" xfId="4980" xr:uid="{00000000-0005-0000-0000-0000CA040000}"/>
    <cellStyle name="40% - Accent2 3 3 3 2" xfId="13422" xr:uid="{C4BF183F-0878-4696-B253-956A8D3C0362}"/>
    <cellStyle name="40% - Accent2 3 3 4" xfId="9204" xr:uid="{1CDB194D-DF28-4F4C-BE5E-C4F15F9D202E}"/>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C19AD8C5-FD7C-4CF0-99D1-82492C3A9132}"/>
    <cellStyle name="40% - Accent2 3 4 2 3" xfId="11762" xr:uid="{771890B2-1306-4A62-BEB9-67BCB7966851}"/>
    <cellStyle name="40% - Accent2 3 4 3" xfId="5393" xr:uid="{00000000-0005-0000-0000-0000CE040000}"/>
    <cellStyle name="40% - Accent2 3 4 3 2" xfId="13835" xr:uid="{DA6D3B0B-EC7D-4B32-9180-144B41814F13}"/>
    <cellStyle name="40% - Accent2 3 4 4" xfId="9617" xr:uid="{8B2A5963-03E1-4E86-92D8-A4A5C8D2E002}"/>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0C29A765-6CD0-487F-B61E-DDADE53CFB90}"/>
    <cellStyle name="40% - Accent2 3 5 2 3" xfId="12175" xr:uid="{92EE56E1-A302-46A5-B37E-947AFE5FC967}"/>
    <cellStyle name="40% - Accent2 3 5 3" xfId="5806" xr:uid="{00000000-0005-0000-0000-0000D2040000}"/>
    <cellStyle name="40% - Accent2 3 5 3 2" xfId="14248" xr:uid="{C29904C5-C1E7-4BAC-AA97-6F1904D6B5FF}"/>
    <cellStyle name="40% - Accent2 3 5 4" xfId="10030" xr:uid="{3350E970-3410-4355-BE4A-EE6FB4267B7C}"/>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49A29F11-2C85-4B17-87B2-059EC2D8539A}"/>
    <cellStyle name="40% - Accent2 3 6 2 3" xfId="12588" xr:uid="{871FCE4D-88DA-4C02-B487-700795A59240}"/>
    <cellStyle name="40% - Accent2 3 6 3" xfId="6219" xr:uid="{00000000-0005-0000-0000-0000D6040000}"/>
    <cellStyle name="40% - Accent2 3 6 3 2" xfId="14661" xr:uid="{7948AE92-1728-43B8-8040-74D361F2A567}"/>
    <cellStyle name="40% - Accent2 3 6 4" xfId="10443" xr:uid="{9851CE03-1301-410D-972C-D494D0D91169}"/>
    <cellStyle name="40% - Accent2 3 7" xfId="2325" xr:uid="{00000000-0005-0000-0000-0000D7040000}"/>
    <cellStyle name="40% - Accent2 3 7 2" xfId="6632" xr:uid="{00000000-0005-0000-0000-0000D8040000}"/>
    <cellStyle name="40% - Accent2 3 7 2 2" xfId="15074" xr:uid="{7D10293E-C7D9-4CCB-856F-9C51D88D5944}"/>
    <cellStyle name="40% - Accent2 3 7 3" xfId="10856" xr:uid="{72525F8B-05A0-49CD-A9E3-3FDD84F839FD}"/>
    <cellStyle name="40% - Accent2 3 8" xfId="4566" xr:uid="{00000000-0005-0000-0000-0000D9040000}"/>
    <cellStyle name="40% - Accent2 3 8 2" xfId="13008" xr:uid="{5C0DF308-B58E-40B2-A537-56D969239381}"/>
    <cellStyle name="40% - Accent2 3 9" xfId="8790" xr:uid="{BC791071-191E-4E79-B3E7-C9DCF28607FB}"/>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F601A209-8A89-4932-BF1F-5CD5613E607D}"/>
    <cellStyle name="40% - Accent2 4 2 2 3" xfId="11351" xr:uid="{0C2E1988-5449-4EE7-BC67-D65482ACF20F}"/>
    <cellStyle name="40% - Accent2 4 2 3" xfId="4982" xr:uid="{00000000-0005-0000-0000-0000DE040000}"/>
    <cellStyle name="40% - Accent2 4 2 3 2" xfId="13424" xr:uid="{31BFAABD-5B5C-4CE5-93E1-0F3AFCF6BAD3}"/>
    <cellStyle name="40% - Accent2 4 2 4" xfId="9206" xr:uid="{325AF6F9-086F-4F80-A978-69FBDB455F04}"/>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4052D3A3-827E-40A6-8192-31B3BA01722C}"/>
    <cellStyle name="40% - Accent2 4 3 2 3" xfId="11764" xr:uid="{18C3B1A8-3E5F-444D-8096-8375FFA50875}"/>
    <cellStyle name="40% - Accent2 4 3 3" xfId="5395" xr:uid="{00000000-0005-0000-0000-0000E2040000}"/>
    <cellStyle name="40% - Accent2 4 3 3 2" xfId="13837" xr:uid="{6BED8B56-C414-430A-AA8E-CAE0267D664A}"/>
    <cellStyle name="40% - Accent2 4 3 4" xfId="9619" xr:uid="{598925A8-CB6D-466E-91CA-35D5B1E76F76}"/>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DD8EA9FF-A78E-443E-88F8-A89CBBD62561}"/>
    <cellStyle name="40% - Accent2 4 4 2 3" xfId="12177" xr:uid="{7A22BDEB-8E24-4AC9-A8E7-6A921931CC2D}"/>
    <cellStyle name="40% - Accent2 4 4 3" xfId="5808" xr:uid="{00000000-0005-0000-0000-0000E6040000}"/>
    <cellStyle name="40% - Accent2 4 4 3 2" xfId="14250" xr:uid="{9E2F55C4-DAE7-49CD-8119-6AB510F6E272}"/>
    <cellStyle name="40% - Accent2 4 4 4" xfId="10032" xr:uid="{96977D6A-308D-4D1E-8D87-538C9D99A71B}"/>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F74EE7D3-9586-455F-8A2C-13DA77533E27}"/>
    <cellStyle name="40% - Accent2 4 5 2 3" xfId="12590" xr:uid="{FACCC9FF-DF12-402D-AB2B-E8A1F799DB30}"/>
    <cellStyle name="40% - Accent2 4 5 3" xfId="6221" xr:uid="{00000000-0005-0000-0000-0000EA040000}"/>
    <cellStyle name="40% - Accent2 4 5 3 2" xfId="14663" xr:uid="{8360E724-5CF7-4DFA-AC21-E3E08E00D85A}"/>
    <cellStyle name="40% - Accent2 4 5 4" xfId="10445" xr:uid="{869B32F5-62BE-4EF0-AC4C-9C9E441E80BD}"/>
    <cellStyle name="40% - Accent2 4 6" xfId="2327" xr:uid="{00000000-0005-0000-0000-0000EB040000}"/>
    <cellStyle name="40% - Accent2 4 6 2" xfId="6634" xr:uid="{00000000-0005-0000-0000-0000EC040000}"/>
    <cellStyle name="40% - Accent2 4 6 2 2" xfId="15076" xr:uid="{855015E9-C618-4614-8412-D703D0AD3B23}"/>
    <cellStyle name="40% - Accent2 4 6 3" xfId="10858" xr:uid="{1805FA7A-A2EE-4067-8535-D836F8637484}"/>
    <cellStyle name="40% - Accent2 4 7" xfId="4568" xr:uid="{00000000-0005-0000-0000-0000ED040000}"/>
    <cellStyle name="40% - Accent2 4 7 2" xfId="13010" xr:uid="{07D620C6-37F5-432D-89D2-DCD3CF901A61}"/>
    <cellStyle name="40% - Accent2 4 8" xfId="8792" xr:uid="{FAD507DC-79BE-4F18-B672-6D46F3EC5E70}"/>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BF4D5E14-3C0A-4415-B7F2-E41E075BBF98}"/>
    <cellStyle name="40% - Accent2 5 2 3" xfId="11344" xr:uid="{2759FC5E-2280-482B-9CA8-7DC8998CF6BD}"/>
    <cellStyle name="40% - Accent2 5 3" xfId="4975" xr:uid="{00000000-0005-0000-0000-0000F1040000}"/>
    <cellStyle name="40% - Accent2 5 3 2" xfId="13417" xr:uid="{2FC12646-FBB1-43B6-AE6A-7BF9BDC16BB5}"/>
    <cellStyle name="40% - Accent2 5 4" xfId="9199" xr:uid="{02155D84-B4A8-4CC3-8793-17DB7C4C8C9F}"/>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31333D91-DEE6-4A2D-BD66-3A36CC7C6772}"/>
    <cellStyle name="40% - Accent2 6 2 3" xfId="11757" xr:uid="{D96C44A1-0ACF-43F3-AD1B-1477BE489C5D}"/>
    <cellStyle name="40% - Accent2 6 3" xfId="5388" xr:uid="{00000000-0005-0000-0000-0000F5040000}"/>
    <cellStyle name="40% - Accent2 6 3 2" xfId="13830" xr:uid="{FAD47824-B820-4A21-B56C-C91B2B32C9CA}"/>
    <cellStyle name="40% - Accent2 6 4" xfId="9612" xr:uid="{0FC22C24-DFFB-42AD-9E8C-F898F32AD382}"/>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2633CA44-3C54-425D-B7C5-15BC3CD121C1}"/>
    <cellStyle name="40% - Accent2 7 2 3" xfId="12170" xr:uid="{E02B040D-2BFE-43DA-A038-E1DCBA41DA0E}"/>
    <cellStyle name="40% - Accent2 7 3" xfId="5801" xr:uid="{00000000-0005-0000-0000-0000F9040000}"/>
    <cellStyle name="40% - Accent2 7 3 2" xfId="14243" xr:uid="{E29A2529-0E9F-4094-A1DF-40306C6C17AB}"/>
    <cellStyle name="40% - Accent2 7 4" xfId="10025" xr:uid="{544F6EC1-6C72-4BCE-AA66-763C4BA8F6EA}"/>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034CB3AB-4B5D-4F2A-BCCF-3AE6C6B08B0A}"/>
    <cellStyle name="40% - Accent2 8 2 3" xfId="12583" xr:uid="{C5464D89-2AAB-4983-B8B8-AAEFAB3F407D}"/>
    <cellStyle name="40% - Accent2 8 3" xfId="6214" xr:uid="{00000000-0005-0000-0000-0000FD040000}"/>
    <cellStyle name="40% - Accent2 8 3 2" xfId="14656" xr:uid="{DB1888C1-45AA-4A55-BDE2-D170B0A1194D}"/>
    <cellStyle name="40% - Accent2 8 4" xfId="10438" xr:uid="{13E3AB77-FE11-45D8-B356-C8F1D6FD9833}"/>
    <cellStyle name="40% - Accent2 9" xfId="2320" xr:uid="{00000000-0005-0000-0000-0000FE040000}"/>
    <cellStyle name="40% - Accent2 9 2" xfId="6627" xr:uid="{00000000-0005-0000-0000-0000FF040000}"/>
    <cellStyle name="40% - Accent2 9 2 2" xfId="15069" xr:uid="{2814220A-887D-4CA8-8442-37546866DE3C}"/>
    <cellStyle name="40% - Accent2 9 3" xfId="10851" xr:uid="{E9840E13-4987-43BF-AE3F-032D8BD9C842}"/>
    <cellStyle name="40% - Accent3" xfId="65" builtinId="39" customBuiltin="1"/>
    <cellStyle name="40% - Accent3 10" xfId="4569" xr:uid="{00000000-0005-0000-0000-000001050000}"/>
    <cellStyle name="40% - Accent3 10 2" xfId="13011" xr:uid="{4ED5425E-03A4-49B5-919A-7D92196C4297}"/>
    <cellStyle name="40% - Accent3 11" xfId="8793" xr:uid="{5261178E-FF74-4DB6-987F-BF9B6D95542D}"/>
    <cellStyle name="40% - Accent3 2" xfId="66" xr:uid="{00000000-0005-0000-0000-000002050000}"/>
    <cellStyle name="40% - Accent3 2 10" xfId="8794" xr:uid="{A1E07A4E-0614-4C3B-8E8F-E597CDA39107}"/>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8A191DD7-5A5D-4DD7-ADA4-8C4898C87AAD}"/>
    <cellStyle name="40% - Accent3 2 2 2 2 2 3" xfId="11355" xr:uid="{0085C3EA-BA94-454F-B4F1-84BC97C9FD3C}"/>
    <cellStyle name="40% - Accent3 2 2 2 2 3" xfId="4986" xr:uid="{00000000-0005-0000-0000-000008050000}"/>
    <cellStyle name="40% - Accent3 2 2 2 2 3 2" xfId="13428" xr:uid="{9E5F03DE-9476-41F3-926F-96C19118BF25}"/>
    <cellStyle name="40% - Accent3 2 2 2 2 4" xfId="9210" xr:uid="{17ED4FBE-89CE-4284-9F48-B192F414BAB3}"/>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B9FB0FE0-E120-4D98-B839-D01BEAF87069}"/>
    <cellStyle name="40% - Accent3 2 2 2 3 2 3" xfId="11768" xr:uid="{EDE88221-F9E5-4609-A0D0-8671C332C6C8}"/>
    <cellStyle name="40% - Accent3 2 2 2 3 3" xfId="5399" xr:uid="{00000000-0005-0000-0000-00000C050000}"/>
    <cellStyle name="40% - Accent3 2 2 2 3 3 2" xfId="13841" xr:uid="{BF541A38-762D-4D9B-BED7-0375E96E75F1}"/>
    <cellStyle name="40% - Accent3 2 2 2 3 4" xfId="9623" xr:uid="{21C9AAB3-ACAF-4F72-B2FE-C9F11EC41A92}"/>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9C1AC6BA-4DF0-4528-8F94-4010BF3382A8}"/>
    <cellStyle name="40% - Accent3 2 2 2 4 2 3" xfId="12181" xr:uid="{E9A450EC-CD9D-471F-BD82-5BBE66003806}"/>
    <cellStyle name="40% - Accent3 2 2 2 4 3" xfId="5812" xr:uid="{00000000-0005-0000-0000-000010050000}"/>
    <cellStyle name="40% - Accent3 2 2 2 4 3 2" xfId="14254" xr:uid="{93FC2506-3CD0-4A80-9963-AB38C64CF076}"/>
    <cellStyle name="40% - Accent3 2 2 2 4 4" xfId="10036" xr:uid="{155F3C87-712C-4DB9-B5A8-4F86C71DAFA7}"/>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A948744E-177D-4E4F-B21C-5B3F7FC5AEF0}"/>
    <cellStyle name="40% - Accent3 2 2 2 5 2 3" xfId="12594" xr:uid="{3BF10CD8-530E-434F-A7F2-1238199253C7}"/>
    <cellStyle name="40% - Accent3 2 2 2 5 3" xfId="6225" xr:uid="{00000000-0005-0000-0000-000014050000}"/>
    <cellStyle name="40% - Accent3 2 2 2 5 3 2" xfId="14667" xr:uid="{DACC6FD5-F3D1-499F-B78A-C83BE6548A7C}"/>
    <cellStyle name="40% - Accent3 2 2 2 5 4" xfId="10449" xr:uid="{A3DDE5D0-C48B-49E6-AF3C-64C2ADE32789}"/>
    <cellStyle name="40% - Accent3 2 2 2 6" xfId="2331" xr:uid="{00000000-0005-0000-0000-000015050000}"/>
    <cellStyle name="40% - Accent3 2 2 2 6 2" xfId="6638" xr:uid="{00000000-0005-0000-0000-000016050000}"/>
    <cellStyle name="40% - Accent3 2 2 2 6 2 2" xfId="15080" xr:uid="{B4F9652E-8F11-4706-8250-A4DA8339ED07}"/>
    <cellStyle name="40% - Accent3 2 2 2 6 3" xfId="10862" xr:uid="{FCF34883-FA08-4E38-8564-3F4EA35ED7AE}"/>
    <cellStyle name="40% - Accent3 2 2 2 7" xfId="4572" xr:uid="{00000000-0005-0000-0000-000017050000}"/>
    <cellStyle name="40% - Accent3 2 2 2 7 2" xfId="13014" xr:uid="{DB08ED30-8288-4E55-9C11-0CB22ADA3932}"/>
    <cellStyle name="40% - Accent3 2 2 2 8" xfId="8796" xr:uid="{B15401FE-D0E0-4EF9-A6F1-CDE5994EA134}"/>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C8309DB0-294C-471E-A68B-9762A1563B26}"/>
    <cellStyle name="40% - Accent3 2 2 3 2 3" xfId="11354" xr:uid="{870098AB-9349-47D7-A3FA-2480B6B90E6D}"/>
    <cellStyle name="40% - Accent3 2 2 3 3" xfId="4985" xr:uid="{00000000-0005-0000-0000-00001B050000}"/>
    <cellStyle name="40% - Accent3 2 2 3 3 2" xfId="13427" xr:uid="{E1EF180C-8A30-4E37-BDF1-1B80C7EB4DD1}"/>
    <cellStyle name="40% - Accent3 2 2 3 4" xfId="9209" xr:uid="{595E046B-D6DD-4924-A48E-CDA89CECEC6D}"/>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6A7192CE-CDF3-40D6-BDB9-0D84DF3CBDD4}"/>
    <cellStyle name="40% - Accent3 2 2 4 2 3" xfId="11767" xr:uid="{36D70F27-C57F-413C-AA9C-86B70F290719}"/>
    <cellStyle name="40% - Accent3 2 2 4 3" xfId="5398" xr:uid="{00000000-0005-0000-0000-00001F050000}"/>
    <cellStyle name="40% - Accent3 2 2 4 3 2" xfId="13840" xr:uid="{131D55BD-ED89-4FAB-8A04-C98F2BC43278}"/>
    <cellStyle name="40% - Accent3 2 2 4 4" xfId="9622" xr:uid="{073AE254-99D2-4BCA-A182-6F45DA15932A}"/>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34AC9E3D-869A-4B09-A5A7-F6333C582ACF}"/>
    <cellStyle name="40% - Accent3 2 2 5 2 3" xfId="12180" xr:uid="{09470CFE-8734-4CAB-9196-884ECA5EF42E}"/>
    <cellStyle name="40% - Accent3 2 2 5 3" xfId="5811" xr:uid="{00000000-0005-0000-0000-000023050000}"/>
    <cellStyle name="40% - Accent3 2 2 5 3 2" xfId="14253" xr:uid="{10AB7F04-11A8-4071-9019-54B180B97B99}"/>
    <cellStyle name="40% - Accent3 2 2 5 4" xfId="10035" xr:uid="{08EBEFB2-9FBF-455E-9F7E-74D9B4FEACBD}"/>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6814F694-D4DD-40C4-AD52-50477FA9206F}"/>
    <cellStyle name="40% - Accent3 2 2 6 2 3" xfId="12593" xr:uid="{6039B8BF-D9C8-44B2-8EBB-25D491B57E9E}"/>
    <cellStyle name="40% - Accent3 2 2 6 3" xfId="6224" xr:uid="{00000000-0005-0000-0000-000027050000}"/>
    <cellStyle name="40% - Accent3 2 2 6 3 2" xfId="14666" xr:uid="{93143E72-42D0-485D-9F52-3124FD11D2A4}"/>
    <cellStyle name="40% - Accent3 2 2 6 4" xfId="10448" xr:uid="{FCBA9AD1-FEF3-4EC6-9A9B-D3D960E75E40}"/>
    <cellStyle name="40% - Accent3 2 2 7" xfId="2330" xr:uid="{00000000-0005-0000-0000-000028050000}"/>
    <cellStyle name="40% - Accent3 2 2 7 2" xfId="6637" xr:uid="{00000000-0005-0000-0000-000029050000}"/>
    <cellStyle name="40% - Accent3 2 2 7 2 2" xfId="15079" xr:uid="{60567F85-0ED5-4B80-A740-61C6699F68D2}"/>
    <cellStyle name="40% - Accent3 2 2 7 3" xfId="10861" xr:uid="{63AF82EA-8EB0-4D24-80FE-F72E14E2100D}"/>
    <cellStyle name="40% - Accent3 2 2 8" xfId="4571" xr:uid="{00000000-0005-0000-0000-00002A050000}"/>
    <cellStyle name="40% - Accent3 2 2 8 2" xfId="13013" xr:uid="{AF35E6AD-1789-42A9-9BDB-13123020CB32}"/>
    <cellStyle name="40% - Accent3 2 2 9" xfId="8795" xr:uid="{8F11FE56-AF62-48E0-BB96-19A85D17731A}"/>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FB3A555C-7F1C-4816-8947-58ED7603E077}"/>
    <cellStyle name="40% - Accent3 2 3 2 2 3" xfId="11356" xr:uid="{D85EF936-7BC7-4F5E-A6A2-A362BDCFF72F}"/>
    <cellStyle name="40% - Accent3 2 3 2 3" xfId="4987" xr:uid="{00000000-0005-0000-0000-00002F050000}"/>
    <cellStyle name="40% - Accent3 2 3 2 3 2" xfId="13429" xr:uid="{23AF940B-36D1-48D8-A945-FC36A6ADD848}"/>
    <cellStyle name="40% - Accent3 2 3 2 4" xfId="9211" xr:uid="{FDDBAA28-3B3B-4660-8F60-893FA695008B}"/>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E17D352B-BFB4-4B54-956F-18D1FBFBB0F1}"/>
    <cellStyle name="40% - Accent3 2 3 3 2 3" xfId="11769" xr:uid="{2E4FBEB2-1D15-4917-866F-CDE3EAF3B30C}"/>
    <cellStyle name="40% - Accent3 2 3 3 3" xfId="5400" xr:uid="{00000000-0005-0000-0000-000033050000}"/>
    <cellStyle name="40% - Accent3 2 3 3 3 2" xfId="13842" xr:uid="{0FAED814-327E-4A84-89BA-BF7850A4BEC8}"/>
    <cellStyle name="40% - Accent3 2 3 3 4" xfId="9624" xr:uid="{FF37F3DA-211E-4EA3-8871-0763C86F4D6B}"/>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11F640D3-5C9D-4769-BCD1-8CE5307724C1}"/>
    <cellStyle name="40% - Accent3 2 3 4 2 3" xfId="12182" xr:uid="{3501FD3C-128E-48C3-931A-60F12C6012FE}"/>
    <cellStyle name="40% - Accent3 2 3 4 3" xfId="5813" xr:uid="{00000000-0005-0000-0000-000037050000}"/>
    <cellStyle name="40% - Accent3 2 3 4 3 2" xfId="14255" xr:uid="{057718B3-C282-4D6A-8911-D15771D1077B}"/>
    <cellStyle name="40% - Accent3 2 3 4 4" xfId="10037" xr:uid="{A86E3A6B-6A6F-4246-96C4-C83478F8A27C}"/>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36015CAF-B4A7-41B5-BA9F-0E5843DA1E55}"/>
    <cellStyle name="40% - Accent3 2 3 5 2 3" xfId="12595" xr:uid="{5ECB7077-FE27-4F6F-8950-C10C69ABEA13}"/>
    <cellStyle name="40% - Accent3 2 3 5 3" xfId="6226" xr:uid="{00000000-0005-0000-0000-00003B050000}"/>
    <cellStyle name="40% - Accent3 2 3 5 3 2" xfId="14668" xr:uid="{EAC374AF-A274-4154-ABE8-C162A3D21B9C}"/>
    <cellStyle name="40% - Accent3 2 3 5 4" xfId="10450" xr:uid="{614D5EE5-B1C8-4E3E-B1FB-6A3BBD853A24}"/>
    <cellStyle name="40% - Accent3 2 3 6" xfId="2332" xr:uid="{00000000-0005-0000-0000-00003C050000}"/>
    <cellStyle name="40% - Accent3 2 3 6 2" xfId="6639" xr:uid="{00000000-0005-0000-0000-00003D050000}"/>
    <cellStyle name="40% - Accent3 2 3 6 2 2" xfId="15081" xr:uid="{273D817E-5D3E-491F-A53B-241B5226E282}"/>
    <cellStyle name="40% - Accent3 2 3 6 3" xfId="10863" xr:uid="{388095E6-95B4-4EE5-95CA-D031FF49DF3A}"/>
    <cellStyle name="40% - Accent3 2 3 7" xfId="4573" xr:uid="{00000000-0005-0000-0000-00003E050000}"/>
    <cellStyle name="40% - Accent3 2 3 7 2" xfId="13015" xr:uid="{CBC6B300-CB72-4864-BB12-FA102DA526B5}"/>
    <cellStyle name="40% - Accent3 2 3 8" xfId="8797" xr:uid="{D6248E93-3195-4230-ADF3-F0C79A451424}"/>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73F5C434-C632-40C2-BBA0-6DD37DB02E2F}"/>
    <cellStyle name="40% - Accent3 2 4 2 3" xfId="11353" xr:uid="{3D84B9AD-55E8-4420-8EAF-FF75DF915084}"/>
    <cellStyle name="40% - Accent3 2 4 3" xfId="4984" xr:uid="{00000000-0005-0000-0000-000042050000}"/>
    <cellStyle name="40% - Accent3 2 4 3 2" xfId="13426" xr:uid="{A8152AD6-C2C6-46E8-9B1D-8913C9D1663E}"/>
    <cellStyle name="40% - Accent3 2 4 4" xfId="9208" xr:uid="{4C2E2B36-3767-4C35-88A7-B34BCD6EE3E8}"/>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95BCCD84-C436-4A97-8B89-4047C947963E}"/>
    <cellStyle name="40% - Accent3 2 5 2 3" xfId="11766" xr:uid="{B9BA067F-ACDC-4F9B-8907-B5A3499EE557}"/>
    <cellStyle name="40% - Accent3 2 5 3" xfId="5397" xr:uid="{00000000-0005-0000-0000-000046050000}"/>
    <cellStyle name="40% - Accent3 2 5 3 2" xfId="13839" xr:uid="{DFD577DF-C24B-4051-9D92-A49BEBE19168}"/>
    <cellStyle name="40% - Accent3 2 5 4" xfId="9621" xr:uid="{11450C37-DE61-49A1-9C54-BEDFAEBA1828}"/>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7B7746F8-9518-45DF-9AAD-3B67B8C26527}"/>
    <cellStyle name="40% - Accent3 2 6 2 3" xfId="12179" xr:uid="{71A26375-5A03-4C00-9828-86EAC0847F78}"/>
    <cellStyle name="40% - Accent3 2 6 3" xfId="5810" xr:uid="{00000000-0005-0000-0000-00004A050000}"/>
    <cellStyle name="40% - Accent3 2 6 3 2" xfId="14252" xr:uid="{DCDD1216-96BF-4AAC-991E-77C8D97C2167}"/>
    <cellStyle name="40% - Accent3 2 6 4" xfId="10034" xr:uid="{B72F3910-8560-4FE1-9F82-B89ABB4338DA}"/>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AE85749B-E207-4F61-AF72-071FCC35AB16}"/>
    <cellStyle name="40% - Accent3 2 7 2 3" xfId="12592" xr:uid="{AEC5F407-5901-438E-AF9E-DE97818A7661}"/>
    <cellStyle name="40% - Accent3 2 7 3" xfId="6223" xr:uid="{00000000-0005-0000-0000-00004E050000}"/>
    <cellStyle name="40% - Accent3 2 7 3 2" xfId="14665" xr:uid="{1051C511-F8B9-4306-AAB7-D0550E1DB6E0}"/>
    <cellStyle name="40% - Accent3 2 7 4" xfId="10447" xr:uid="{AED5D596-BD5A-453B-A8C6-C99A9BE67F60}"/>
    <cellStyle name="40% - Accent3 2 8" xfId="2329" xr:uid="{00000000-0005-0000-0000-00004F050000}"/>
    <cellStyle name="40% - Accent3 2 8 2" xfId="6636" xr:uid="{00000000-0005-0000-0000-000050050000}"/>
    <cellStyle name="40% - Accent3 2 8 2 2" xfId="15078" xr:uid="{E125A0AA-A2AB-4F95-8902-3CFA616E89A0}"/>
    <cellStyle name="40% - Accent3 2 8 3" xfId="10860" xr:uid="{4ECD3A61-F39A-4C2C-9BA3-507A63319F5E}"/>
    <cellStyle name="40% - Accent3 2 9" xfId="4570" xr:uid="{00000000-0005-0000-0000-000051050000}"/>
    <cellStyle name="40% - Accent3 2 9 2" xfId="13012" xr:uid="{981F0FD6-128D-49B6-AEA6-ABB2448ECE88}"/>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7946C616-D6C6-4669-9D32-CF39FE235DC3}"/>
    <cellStyle name="40% - Accent3 3 2 2 2 3" xfId="11358" xr:uid="{B2CC1F21-9043-4F1A-AD10-D7C3D71408DE}"/>
    <cellStyle name="40% - Accent3 3 2 2 3" xfId="4989" xr:uid="{00000000-0005-0000-0000-000057050000}"/>
    <cellStyle name="40% - Accent3 3 2 2 3 2" xfId="13431" xr:uid="{45A4512A-CF7E-4310-9DCF-6960DA247746}"/>
    <cellStyle name="40% - Accent3 3 2 2 4" xfId="9213" xr:uid="{6958813E-610B-489F-91F2-18251D7DF6C3}"/>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F9940CB0-F105-4E8F-A11A-8D51159832FF}"/>
    <cellStyle name="40% - Accent3 3 2 3 2 3" xfId="11771" xr:uid="{055F9832-3F35-40D0-B652-74771D8A6FEF}"/>
    <cellStyle name="40% - Accent3 3 2 3 3" xfId="5402" xr:uid="{00000000-0005-0000-0000-00005B050000}"/>
    <cellStyle name="40% - Accent3 3 2 3 3 2" xfId="13844" xr:uid="{0931DD2B-3A8E-4EE4-B823-E1DF212E832C}"/>
    <cellStyle name="40% - Accent3 3 2 3 4" xfId="9626" xr:uid="{6E611484-1115-4121-8F46-61B0A8A70AF0}"/>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9D538A91-BE06-4ECF-A730-34415BBE6549}"/>
    <cellStyle name="40% - Accent3 3 2 4 2 3" xfId="12184" xr:uid="{9211B9F9-4B67-49DE-906A-DCFB0B633871}"/>
    <cellStyle name="40% - Accent3 3 2 4 3" xfId="5815" xr:uid="{00000000-0005-0000-0000-00005F050000}"/>
    <cellStyle name="40% - Accent3 3 2 4 3 2" xfId="14257" xr:uid="{CF4C8134-7861-4A75-A662-23D5AA59365B}"/>
    <cellStyle name="40% - Accent3 3 2 4 4" xfId="10039" xr:uid="{6E3223F4-7089-4ECA-84FF-3A87993A9E7B}"/>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5D99C89D-176B-40F0-A8BD-1E0587229E50}"/>
    <cellStyle name="40% - Accent3 3 2 5 2 3" xfId="12597" xr:uid="{8ADEF262-3862-4433-997F-3F14190025F7}"/>
    <cellStyle name="40% - Accent3 3 2 5 3" xfId="6228" xr:uid="{00000000-0005-0000-0000-000063050000}"/>
    <cellStyle name="40% - Accent3 3 2 5 3 2" xfId="14670" xr:uid="{20046E8E-9B35-4CC0-A63D-356D9E6F4613}"/>
    <cellStyle name="40% - Accent3 3 2 5 4" xfId="10452" xr:uid="{5B4D942F-6672-4ADF-B823-3DADAC3BC381}"/>
    <cellStyle name="40% - Accent3 3 2 6" xfId="2334" xr:uid="{00000000-0005-0000-0000-000064050000}"/>
    <cellStyle name="40% - Accent3 3 2 6 2" xfId="6641" xr:uid="{00000000-0005-0000-0000-000065050000}"/>
    <cellStyle name="40% - Accent3 3 2 6 2 2" xfId="15083" xr:uid="{6921D89C-DCC8-412B-BF0C-CC6CDF16B19D}"/>
    <cellStyle name="40% - Accent3 3 2 6 3" xfId="10865" xr:uid="{81355E37-8DDE-4CAE-BD27-B333FEC7012E}"/>
    <cellStyle name="40% - Accent3 3 2 7" xfId="4575" xr:uid="{00000000-0005-0000-0000-000066050000}"/>
    <cellStyle name="40% - Accent3 3 2 7 2" xfId="13017" xr:uid="{8A41C5AC-E1AF-406E-8193-BA82445EA3D6}"/>
    <cellStyle name="40% - Accent3 3 2 8" xfId="8799" xr:uid="{261C64D8-5EC0-41D7-8BEF-B051BFE37188}"/>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2DB2F633-4146-4090-A070-98BE7D6C0B84}"/>
    <cellStyle name="40% - Accent3 3 3 2 3" xfId="11357" xr:uid="{5B6C5082-C1BF-46C4-890A-88F73E882A88}"/>
    <cellStyle name="40% - Accent3 3 3 3" xfId="4988" xr:uid="{00000000-0005-0000-0000-00006A050000}"/>
    <cellStyle name="40% - Accent3 3 3 3 2" xfId="13430" xr:uid="{267D39D9-A4B3-480B-B024-B2BF94852118}"/>
    <cellStyle name="40% - Accent3 3 3 4" xfId="9212" xr:uid="{AA0B432C-95E4-4559-BA0B-31EB49DD1962}"/>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C52B42FC-AF0E-4B58-AE81-6775BB562852}"/>
    <cellStyle name="40% - Accent3 3 4 2 3" xfId="11770" xr:uid="{466FC87E-2D95-420E-9E04-D606DD58A672}"/>
    <cellStyle name="40% - Accent3 3 4 3" xfId="5401" xr:uid="{00000000-0005-0000-0000-00006E050000}"/>
    <cellStyle name="40% - Accent3 3 4 3 2" xfId="13843" xr:uid="{B070355B-4088-4A6D-BEA4-508E557BC162}"/>
    <cellStyle name="40% - Accent3 3 4 4" xfId="9625" xr:uid="{152E0118-790F-499D-9DF1-A26982C9D025}"/>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5881E0DC-A33A-4807-8BE7-0A1635346204}"/>
    <cellStyle name="40% - Accent3 3 5 2 3" xfId="12183" xr:uid="{7EF0A615-A78E-4C3F-8CE2-FCA6D22158D8}"/>
    <cellStyle name="40% - Accent3 3 5 3" xfId="5814" xr:uid="{00000000-0005-0000-0000-000072050000}"/>
    <cellStyle name="40% - Accent3 3 5 3 2" xfId="14256" xr:uid="{11331A8A-F843-4241-92D5-072F2542E12E}"/>
    <cellStyle name="40% - Accent3 3 5 4" xfId="10038" xr:uid="{4976FF7F-8FDE-4DF0-897C-F298D57101E0}"/>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46EAB76C-D51A-4440-ADBD-F6C238FE4203}"/>
    <cellStyle name="40% - Accent3 3 6 2 3" xfId="12596" xr:uid="{62B79273-3144-440A-9216-FCA7AE2CDA84}"/>
    <cellStyle name="40% - Accent3 3 6 3" xfId="6227" xr:uid="{00000000-0005-0000-0000-000076050000}"/>
    <cellStyle name="40% - Accent3 3 6 3 2" xfId="14669" xr:uid="{51FDDC13-1AD2-49EC-A188-5854569EEF9E}"/>
    <cellStyle name="40% - Accent3 3 6 4" xfId="10451" xr:uid="{1611F01B-3A6B-49FC-9918-632A0FCBCF06}"/>
    <cellStyle name="40% - Accent3 3 7" xfId="2333" xr:uid="{00000000-0005-0000-0000-000077050000}"/>
    <cellStyle name="40% - Accent3 3 7 2" xfId="6640" xr:uid="{00000000-0005-0000-0000-000078050000}"/>
    <cellStyle name="40% - Accent3 3 7 2 2" xfId="15082" xr:uid="{2E4F2D19-0F54-434A-A24A-1BE4F221C5EB}"/>
    <cellStyle name="40% - Accent3 3 7 3" xfId="10864" xr:uid="{DF089645-2877-40E1-9133-A02FD9CE399D}"/>
    <cellStyle name="40% - Accent3 3 8" xfId="4574" xr:uid="{00000000-0005-0000-0000-000079050000}"/>
    <cellStyle name="40% - Accent3 3 8 2" xfId="13016" xr:uid="{70C03D1A-83CE-4440-8A06-3EC32685A1BD}"/>
    <cellStyle name="40% - Accent3 3 9" xfId="8798" xr:uid="{CCB86BCB-AE37-4BCA-B503-7B1D45E61298}"/>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47AD4493-BAE3-46A7-BF37-4626B2E9C226}"/>
    <cellStyle name="40% - Accent3 4 2 2 3" xfId="11359" xr:uid="{E93209DF-242B-4DAC-9F4D-7EEB33C725FA}"/>
    <cellStyle name="40% - Accent3 4 2 3" xfId="4990" xr:uid="{00000000-0005-0000-0000-00007E050000}"/>
    <cellStyle name="40% - Accent3 4 2 3 2" xfId="13432" xr:uid="{95D30BC4-18A7-4EED-A520-78C2ED762BB3}"/>
    <cellStyle name="40% - Accent3 4 2 4" xfId="9214" xr:uid="{6761E02A-3C9B-44DA-ACC0-65E257784E0D}"/>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CE13C684-3511-4C85-9F36-2ADA3A362AE9}"/>
    <cellStyle name="40% - Accent3 4 3 2 3" xfId="11772" xr:uid="{E53BE149-3925-4607-AA9E-96B6AE17F6BF}"/>
    <cellStyle name="40% - Accent3 4 3 3" xfId="5403" xr:uid="{00000000-0005-0000-0000-000082050000}"/>
    <cellStyle name="40% - Accent3 4 3 3 2" xfId="13845" xr:uid="{8B84A5AD-2A81-4C35-A8E9-6212FFDF3BE9}"/>
    <cellStyle name="40% - Accent3 4 3 4" xfId="9627" xr:uid="{1037B009-08BD-42EC-B7F1-473C4BCA20A4}"/>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78BB7858-3595-4F60-BD31-4DE4FC6326CB}"/>
    <cellStyle name="40% - Accent3 4 4 2 3" xfId="12185" xr:uid="{178F4507-D10F-4C35-A9D1-198D522C591C}"/>
    <cellStyle name="40% - Accent3 4 4 3" xfId="5816" xr:uid="{00000000-0005-0000-0000-000086050000}"/>
    <cellStyle name="40% - Accent3 4 4 3 2" xfId="14258" xr:uid="{F5E2D20D-ED9C-4AF3-8114-C250BEB91C27}"/>
    <cellStyle name="40% - Accent3 4 4 4" xfId="10040" xr:uid="{1A72E340-C3D5-4A45-B388-86CBF0E30138}"/>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71C623CA-21D3-46F4-90D2-F03494C9A690}"/>
    <cellStyle name="40% - Accent3 4 5 2 3" xfId="12598" xr:uid="{1684408A-6DFF-4009-A20B-AEFA628D6232}"/>
    <cellStyle name="40% - Accent3 4 5 3" xfId="6229" xr:uid="{00000000-0005-0000-0000-00008A050000}"/>
    <cellStyle name="40% - Accent3 4 5 3 2" xfId="14671" xr:uid="{6F2FFA6A-3103-44BC-A334-B27707C7B8E2}"/>
    <cellStyle name="40% - Accent3 4 5 4" xfId="10453" xr:uid="{8F2C5C61-B570-4CBD-8C2B-376115169C7E}"/>
    <cellStyle name="40% - Accent3 4 6" xfId="2335" xr:uid="{00000000-0005-0000-0000-00008B050000}"/>
    <cellStyle name="40% - Accent3 4 6 2" xfId="6642" xr:uid="{00000000-0005-0000-0000-00008C050000}"/>
    <cellStyle name="40% - Accent3 4 6 2 2" xfId="15084" xr:uid="{76A9CC54-B53A-4FAB-9383-679E394D9269}"/>
    <cellStyle name="40% - Accent3 4 6 3" xfId="10866" xr:uid="{AD3996D4-EBA5-4C1A-9E7D-6B9B95086208}"/>
    <cellStyle name="40% - Accent3 4 7" xfId="4576" xr:uid="{00000000-0005-0000-0000-00008D050000}"/>
    <cellStyle name="40% - Accent3 4 7 2" xfId="13018" xr:uid="{9E0DB1C1-164A-4AF5-8AEE-A6D1867E12B3}"/>
    <cellStyle name="40% - Accent3 4 8" xfId="8800" xr:uid="{BD83ED35-D135-48E8-B6D1-8D12B4D19F53}"/>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E91D3091-671C-4A08-B9C1-AC2C5291C94C}"/>
    <cellStyle name="40% - Accent3 5 2 3" xfId="11352" xr:uid="{2A47C66D-243C-41C9-9EC7-AFE79A3BF706}"/>
    <cellStyle name="40% - Accent3 5 3" xfId="4983" xr:uid="{00000000-0005-0000-0000-000091050000}"/>
    <cellStyle name="40% - Accent3 5 3 2" xfId="13425" xr:uid="{4F4C4A04-2E4C-49A7-A40C-52776599ED94}"/>
    <cellStyle name="40% - Accent3 5 4" xfId="9207" xr:uid="{46DF2804-43CB-452E-A0F6-813DE023D596}"/>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A0A76B84-7827-45F0-8CF8-4B419EC55B43}"/>
    <cellStyle name="40% - Accent3 6 2 3" xfId="11765" xr:uid="{D8533BD2-B8FA-42BF-BF68-A3797E0B19D6}"/>
    <cellStyle name="40% - Accent3 6 3" xfId="5396" xr:uid="{00000000-0005-0000-0000-000095050000}"/>
    <cellStyle name="40% - Accent3 6 3 2" xfId="13838" xr:uid="{829304FB-21D4-4BA1-A332-17B03EDC5A2B}"/>
    <cellStyle name="40% - Accent3 6 4" xfId="9620" xr:uid="{30D0F169-3D84-4FFE-B5D9-46C535791EFD}"/>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3BC9B9B3-BF3A-4B00-A35B-C917435DFCFB}"/>
    <cellStyle name="40% - Accent3 7 2 3" xfId="12178" xr:uid="{66DFC92C-76BC-4287-89AF-CC814396BE28}"/>
    <cellStyle name="40% - Accent3 7 3" xfId="5809" xr:uid="{00000000-0005-0000-0000-000099050000}"/>
    <cellStyle name="40% - Accent3 7 3 2" xfId="14251" xr:uid="{FB52F6D6-49BB-4A20-B879-85987F9BA734}"/>
    <cellStyle name="40% - Accent3 7 4" xfId="10033" xr:uid="{982F67E8-280F-4603-AA01-D29319925AE3}"/>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3FD9DD0F-185D-441B-924A-EDD1217F75E0}"/>
    <cellStyle name="40% - Accent3 8 2 3" xfId="12591" xr:uid="{72E02E43-B9DC-4447-BACD-63AB50EEA300}"/>
    <cellStyle name="40% - Accent3 8 3" xfId="6222" xr:uid="{00000000-0005-0000-0000-00009D050000}"/>
    <cellStyle name="40% - Accent3 8 3 2" xfId="14664" xr:uid="{8139AD59-262D-4431-B3FA-C95A430E490A}"/>
    <cellStyle name="40% - Accent3 8 4" xfId="10446" xr:uid="{084ECC96-ED8D-4266-AFFA-8DB755AEE877}"/>
    <cellStyle name="40% - Accent3 9" xfId="2328" xr:uid="{00000000-0005-0000-0000-00009E050000}"/>
    <cellStyle name="40% - Accent3 9 2" xfId="6635" xr:uid="{00000000-0005-0000-0000-00009F050000}"/>
    <cellStyle name="40% - Accent3 9 2 2" xfId="15077" xr:uid="{68087FB4-D5F4-4BEF-8E4D-353681B984FF}"/>
    <cellStyle name="40% - Accent3 9 3" xfId="10859" xr:uid="{10D52494-817A-4FD0-A164-F140067B85AB}"/>
    <cellStyle name="40% - Accent4" xfId="73" builtinId="43" customBuiltin="1"/>
    <cellStyle name="40% - Accent4 10" xfId="4577" xr:uid="{00000000-0005-0000-0000-0000A1050000}"/>
    <cellStyle name="40% - Accent4 10 2" xfId="13019" xr:uid="{09DA93B7-44CE-49F0-9B2D-92F3C79C16A8}"/>
    <cellStyle name="40% - Accent4 11" xfId="8801" xr:uid="{7246033D-88ED-4AC6-B516-DC6D13E69124}"/>
    <cellStyle name="40% - Accent4 2" xfId="74" xr:uid="{00000000-0005-0000-0000-0000A2050000}"/>
    <cellStyle name="40% - Accent4 2 10" xfId="8802" xr:uid="{8D0E2BD3-B3A0-4309-8925-D27D479BCA5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E6C959F7-03D5-44E2-85F1-A9A70940949E}"/>
    <cellStyle name="40% - Accent4 2 2 2 2 2 3" xfId="11363" xr:uid="{2E2403FE-4EB1-43E8-B0FD-AF4AF27134F2}"/>
    <cellStyle name="40% - Accent4 2 2 2 2 3" xfId="4994" xr:uid="{00000000-0005-0000-0000-0000A8050000}"/>
    <cellStyle name="40% - Accent4 2 2 2 2 3 2" xfId="13436" xr:uid="{FD03F04B-5FA9-4C6C-B1F5-883D33CD0F3E}"/>
    <cellStyle name="40% - Accent4 2 2 2 2 4" xfId="9218" xr:uid="{183A17FD-790E-49BB-9BA5-8E7495C56FA9}"/>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1B32D891-E7A7-4EFA-9F47-26E873454FEE}"/>
    <cellStyle name="40% - Accent4 2 2 2 3 2 3" xfId="11776" xr:uid="{74206A5B-6811-4276-B6BC-EADF7CA8C468}"/>
    <cellStyle name="40% - Accent4 2 2 2 3 3" xfId="5407" xr:uid="{00000000-0005-0000-0000-0000AC050000}"/>
    <cellStyle name="40% - Accent4 2 2 2 3 3 2" xfId="13849" xr:uid="{C8AD2A20-44C6-495E-BE14-BDA10359CFEA}"/>
    <cellStyle name="40% - Accent4 2 2 2 3 4" xfId="9631" xr:uid="{11AE5D3C-F811-4418-A42E-5013AC2DECAA}"/>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F48EE490-4CF3-437C-8B0A-82E3632288CB}"/>
    <cellStyle name="40% - Accent4 2 2 2 4 2 3" xfId="12189" xr:uid="{04391E78-37A8-4036-8F30-CEA1CFC1021B}"/>
    <cellStyle name="40% - Accent4 2 2 2 4 3" xfId="5820" xr:uid="{00000000-0005-0000-0000-0000B0050000}"/>
    <cellStyle name="40% - Accent4 2 2 2 4 3 2" xfId="14262" xr:uid="{EB9F3670-5BF4-41A3-8580-FEFF2E2528B3}"/>
    <cellStyle name="40% - Accent4 2 2 2 4 4" xfId="10044" xr:uid="{1183A14A-0BF5-4F32-8433-2ED8B740CF9B}"/>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8BF6290F-DFB3-46DA-A829-325AEE2E3D8F}"/>
    <cellStyle name="40% - Accent4 2 2 2 5 2 3" xfId="12602" xr:uid="{992EEB65-A1A4-4311-A4E8-7B27CE9222C4}"/>
    <cellStyle name="40% - Accent4 2 2 2 5 3" xfId="6233" xr:uid="{00000000-0005-0000-0000-0000B4050000}"/>
    <cellStyle name="40% - Accent4 2 2 2 5 3 2" xfId="14675" xr:uid="{C3212F58-535C-4EF9-9768-0FEEB5A90062}"/>
    <cellStyle name="40% - Accent4 2 2 2 5 4" xfId="10457" xr:uid="{2A7C5D69-E3C6-4676-A203-BD7CCE932512}"/>
    <cellStyle name="40% - Accent4 2 2 2 6" xfId="2339" xr:uid="{00000000-0005-0000-0000-0000B5050000}"/>
    <cellStyle name="40% - Accent4 2 2 2 6 2" xfId="6646" xr:uid="{00000000-0005-0000-0000-0000B6050000}"/>
    <cellStyle name="40% - Accent4 2 2 2 6 2 2" xfId="15088" xr:uid="{02796116-0714-414A-A6C6-65E829CB95DB}"/>
    <cellStyle name="40% - Accent4 2 2 2 6 3" xfId="10870" xr:uid="{DB951616-9156-403E-96A0-6BDDD00D4A4A}"/>
    <cellStyle name="40% - Accent4 2 2 2 7" xfId="4580" xr:uid="{00000000-0005-0000-0000-0000B7050000}"/>
    <cellStyle name="40% - Accent4 2 2 2 7 2" xfId="13022" xr:uid="{1B0BE766-D8AC-4810-A63C-01B8B009810F}"/>
    <cellStyle name="40% - Accent4 2 2 2 8" xfId="8804" xr:uid="{764527B7-B2B8-4870-81E0-6847A07412D1}"/>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C297D75F-A17B-4744-9F19-F98E1FC6019E}"/>
    <cellStyle name="40% - Accent4 2 2 3 2 3" xfId="11362" xr:uid="{AAA97AED-C4C3-4476-B16E-C3EE5AB48398}"/>
    <cellStyle name="40% - Accent4 2 2 3 3" xfId="4993" xr:uid="{00000000-0005-0000-0000-0000BB050000}"/>
    <cellStyle name="40% - Accent4 2 2 3 3 2" xfId="13435" xr:uid="{04E2F0F3-C16E-4C85-9BE8-4C8BCDFA5D2E}"/>
    <cellStyle name="40% - Accent4 2 2 3 4" xfId="9217" xr:uid="{0C5156C3-6332-44C9-A9E8-7CA8E2F5CCC5}"/>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3D6A9DAA-946F-4754-A054-802F6EFFB660}"/>
    <cellStyle name="40% - Accent4 2 2 4 2 3" xfId="11775" xr:uid="{A187CAEF-6833-4B2C-9008-071840AA61C0}"/>
    <cellStyle name="40% - Accent4 2 2 4 3" xfId="5406" xr:uid="{00000000-0005-0000-0000-0000BF050000}"/>
    <cellStyle name="40% - Accent4 2 2 4 3 2" xfId="13848" xr:uid="{55F6030D-7B2B-49B4-8756-083F88B725E2}"/>
    <cellStyle name="40% - Accent4 2 2 4 4" xfId="9630" xr:uid="{89BA3CF7-83F4-4B0B-9A09-76394D221A92}"/>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D2AC176B-368A-467E-BE47-AD588A684D28}"/>
    <cellStyle name="40% - Accent4 2 2 5 2 3" xfId="12188" xr:uid="{E297E71A-0B79-44FB-8250-66CC84B25855}"/>
    <cellStyle name="40% - Accent4 2 2 5 3" xfId="5819" xr:uid="{00000000-0005-0000-0000-0000C3050000}"/>
    <cellStyle name="40% - Accent4 2 2 5 3 2" xfId="14261" xr:uid="{B751B72D-28C6-44FA-8234-8D9B43B620CE}"/>
    <cellStyle name="40% - Accent4 2 2 5 4" xfId="10043" xr:uid="{44FA4919-C4B9-4110-92E5-EEDE328A8E5A}"/>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62FE9055-9697-4A08-85CB-25BAF6F9FAC6}"/>
    <cellStyle name="40% - Accent4 2 2 6 2 3" xfId="12601" xr:uid="{9FB9749A-045E-4AD6-8470-9D1E4CC8FDE3}"/>
    <cellStyle name="40% - Accent4 2 2 6 3" xfId="6232" xr:uid="{00000000-0005-0000-0000-0000C7050000}"/>
    <cellStyle name="40% - Accent4 2 2 6 3 2" xfId="14674" xr:uid="{8EF53BEE-A7AD-4C5F-A6A6-A358B99AF3AE}"/>
    <cellStyle name="40% - Accent4 2 2 6 4" xfId="10456" xr:uid="{548A4174-E394-44F7-8478-1D4E12364B4E}"/>
    <cellStyle name="40% - Accent4 2 2 7" xfId="2338" xr:uid="{00000000-0005-0000-0000-0000C8050000}"/>
    <cellStyle name="40% - Accent4 2 2 7 2" xfId="6645" xr:uid="{00000000-0005-0000-0000-0000C9050000}"/>
    <cellStyle name="40% - Accent4 2 2 7 2 2" xfId="15087" xr:uid="{57171ADB-7B60-401A-9F5D-BA1E180248B3}"/>
    <cellStyle name="40% - Accent4 2 2 7 3" xfId="10869" xr:uid="{5F6F328B-31B9-40D0-9DD9-425995F207EF}"/>
    <cellStyle name="40% - Accent4 2 2 8" xfId="4579" xr:uid="{00000000-0005-0000-0000-0000CA050000}"/>
    <cellStyle name="40% - Accent4 2 2 8 2" xfId="13021" xr:uid="{4A3504F0-14DB-43C1-8E07-8F038C6C0EC2}"/>
    <cellStyle name="40% - Accent4 2 2 9" xfId="8803" xr:uid="{0A73503C-4478-46B1-95CB-4705FC1E25D3}"/>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1E4D62BA-7F66-4734-94D3-61643DD9F6CA}"/>
    <cellStyle name="40% - Accent4 2 3 2 2 3" xfId="11364" xr:uid="{5C4FCD0D-ABF7-4280-91B6-FDD58C407C7C}"/>
    <cellStyle name="40% - Accent4 2 3 2 3" xfId="4995" xr:uid="{00000000-0005-0000-0000-0000CF050000}"/>
    <cellStyle name="40% - Accent4 2 3 2 3 2" xfId="13437" xr:uid="{70B7380D-16F0-4F89-8151-D60CA2982C22}"/>
    <cellStyle name="40% - Accent4 2 3 2 4" xfId="9219" xr:uid="{E857793F-EADF-48E7-A477-7307C0E5D541}"/>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729831E2-F851-4347-B935-11F7D7B447ED}"/>
    <cellStyle name="40% - Accent4 2 3 3 2 3" xfId="11777" xr:uid="{40D447FD-8BB1-4C29-BCD5-7A97283CE707}"/>
    <cellStyle name="40% - Accent4 2 3 3 3" xfId="5408" xr:uid="{00000000-0005-0000-0000-0000D3050000}"/>
    <cellStyle name="40% - Accent4 2 3 3 3 2" xfId="13850" xr:uid="{73B0FC20-1785-4E43-BB70-6888E089656F}"/>
    <cellStyle name="40% - Accent4 2 3 3 4" xfId="9632" xr:uid="{A0E33731-6147-433F-AACB-ED86EDA40D49}"/>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1F5C4C8F-C3DA-4D32-8010-671E32970B4F}"/>
    <cellStyle name="40% - Accent4 2 3 4 2 3" xfId="12190" xr:uid="{A68D4F29-0E70-4138-987A-7C814358C801}"/>
    <cellStyle name="40% - Accent4 2 3 4 3" xfId="5821" xr:uid="{00000000-0005-0000-0000-0000D7050000}"/>
    <cellStyle name="40% - Accent4 2 3 4 3 2" xfId="14263" xr:uid="{7AFB0C9F-F8B6-4E62-B007-1600AC65931F}"/>
    <cellStyle name="40% - Accent4 2 3 4 4" xfId="10045" xr:uid="{E5D423E9-F438-470A-8CE1-06F6571A6CAC}"/>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69066B3D-C693-4DF2-AAF3-6852EBF4EFD4}"/>
    <cellStyle name="40% - Accent4 2 3 5 2 3" xfId="12603" xr:uid="{0147DD86-326E-402A-8A6D-05FCF64CB72A}"/>
    <cellStyle name="40% - Accent4 2 3 5 3" xfId="6234" xr:uid="{00000000-0005-0000-0000-0000DB050000}"/>
    <cellStyle name="40% - Accent4 2 3 5 3 2" xfId="14676" xr:uid="{E82B9E09-B930-45A9-BCC5-0BB90F6D0F45}"/>
    <cellStyle name="40% - Accent4 2 3 5 4" xfId="10458" xr:uid="{510830D1-E58A-48F5-B39A-3DEF50A4F68D}"/>
    <cellStyle name="40% - Accent4 2 3 6" xfId="2340" xr:uid="{00000000-0005-0000-0000-0000DC050000}"/>
    <cellStyle name="40% - Accent4 2 3 6 2" xfId="6647" xr:uid="{00000000-0005-0000-0000-0000DD050000}"/>
    <cellStyle name="40% - Accent4 2 3 6 2 2" xfId="15089" xr:uid="{98147FC4-524A-45EE-8012-968E53D4AB14}"/>
    <cellStyle name="40% - Accent4 2 3 6 3" xfId="10871" xr:uid="{BB0BFCA0-A3A4-4481-8656-C336DCB22590}"/>
    <cellStyle name="40% - Accent4 2 3 7" xfId="4581" xr:uid="{00000000-0005-0000-0000-0000DE050000}"/>
    <cellStyle name="40% - Accent4 2 3 7 2" xfId="13023" xr:uid="{C89489E7-2C94-4BA3-8C25-543A28ED61D8}"/>
    <cellStyle name="40% - Accent4 2 3 8" xfId="8805" xr:uid="{DCBE2770-3D45-423E-9575-8FC1201C9BFC}"/>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FDFBDA92-4CC5-4B0F-BE31-721EA08D4759}"/>
    <cellStyle name="40% - Accent4 2 4 2 3" xfId="11361" xr:uid="{8E062332-14A5-46EB-A68B-DC800C81A298}"/>
    <cellStyle name="40% - Accent4 2 4 3" xfId="4992" xr:uid="{00000000-0005-0000-0000-0000E2050000}"/>
    <cellStyle name="40% - Accent4 2 4 3 2" xfId="13434" xr:uid="{7B3F14E3-C724-4AAD-88E1-CF59F4ED67D6}"/>
    <cellStyle name="40% - Accent4 2 4 4" xfId="9216" xr:uid="{A5A00425-7FD4-446E-8C10-6F321C0F626E}"/>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816E68DE-7D25-44FC-97E7-B13C328CA8C5}"/>
    <cellStyle name="40% - Accent4 2 5 2 3" xfId="11774" xr:uid="{125EF103-0AD3-4656-81AB-6E065D4413D1}"/>
    <cellStyle name="40% - Accent4 2 5 3" xfId="5405" xr:uid="{00000000-0005-0000-0000-0000E6050000}"/>
    <cellStyle name="40% - Accent4 2 5 3 2" xfId="13847" xr:uid="{2EF76387-4E34-4470-9E8E-B323FB11D762}"/>
    <cellStyle name="40% - Accent4 2 5 4" xfId="9629" xr:uid="{BFF3C8F0-3556-4789-AEE0-0B90B1F7CD65}"/>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F9835EFA-65D2-464C-9929-3F8A1D7CEFA3}"/>
    <cellStyle name="40% - Accent4 2 6 2 3" xfId="12187" xr:uid="{485A6AE9-A922-467E-9560-0A0BA846F351}"/>
    <cellStyle name="40% - Accent4 2 6 3" xfId="5818" xr:uid="{00000000-0005-0000-0000-0000EA050000}"/>
    <cellStyle name="40% - Accent4 2 6 3 2" xfId="14260" xr:uid="{397AFD64-9422-4114-A5F8-53647E5E950F}"/>
    <cellStyle name="40% - Accent4 2 6 4" xfId="10042" xr:uid="{5DECE6A2-08D9-4F34-99C3-37F38F2B8D6F}"/>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092C7CFA-D3AC-4682-966A-3FB3B3171A0A}"/>
    <cellStyle name="40% - Accent4 2 7 2 3" xfId="12600" xr:uid="{ACE9A40A-6CB0-4429-9E4B-476F2D203E50}"/>
    <cellStyle name="40% - Accent4 2 7 3" xfId="6231" xr:uid="{00000000-0005-0000-0000-0000EE050000}"/>
    <cellStyle name="40% - Accent4 2 7 3 2" xfId="14673" xr:uid="{1BA40FA7-5ACF-45C3-8BA6-C190F2F3D1FF}"/>
    <cellStyle name="40% - Accent4 2 7 4" xfId="10455" xr:uid="{928F2CAB-310B-42E9-B42B-8481FA5440BC}"/>
    <cellStyle name="40% - Accent4 2 8" xfId="2337" xr:uid="{00000000-0005-0000-0000-0000EF050000}"/>
    <cellStyle name="40% - Accent4 2 8 2" xfId="6644" xr:uid="{00000000-0005-0000-0000-0000F0050000}"/>
    <cellStyle name="40% - Accent4 2 8 2 2" xfId="15086" xr:uid="{C75D0001-B85B-4FAA-B4E6-7FC879BED413}"/>
    <cellStyle name="40% - Accent4 2 8 3" xfId="10868" xr:uid="{E2BB718C-404F-43DF-A1AA-E5357F8B808D}"/>
    <cellStyle name="40% - Accent4 2 9" xfId="4578" xr:uid="{00000000-0005-0000-0000-0000F1050000}"/>
    <cellStyle name="40% - Accent4 2 9 2" xfId="13020" xr:uid="{D14F7726-E8FE-4ECA-BF65-B482AFF001EA}"/>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D09EAA67-0BF1-426E-88A0-2AB9F578FF35}"/>
    <cellStyle name="40% - Accent4 3 2 2 2 3" xfId="11366" xr:uid="{CA87F391-F836-4B21-9B9A-02FF20745CB8}"/>
    <cellStyle name="40% - Accent4 3 2 2 3" xfId="4997" xr:uid="{00000000-0005-0000-0000-0000F7050000}"/>
    <cellStyle name="40% - Accent4 3 2 2 3 2" xfId="13439" xr:uid="{514FCCD1-796C-4081-B77D-764DCC9A0B06}"/>
    <cellStyle name="40% - Accent4 3 2 2 4" xfId="9221" xr:uid="{AE54DE5B-97FA-4A96-8143-8037D1253807}"/>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65610899-342F-48C9-A3E8-B887769D5D48}"/>
    <cellStyle name="40% - Accent4 3 2 3 2 3" xfId="11779" xr:uid="{B1EBCE5F-8013-43ED-BDEE-65A8D7D4ED96}"/>
    <cellStyle name="40% - Accent4 3 2 3 3" xfId="5410" xr:uid="{00000000-0005-0000-0000-0000FB050000}"/>
    <cellStyle name="40% - Accent4 3 2 3 3 2" xfId="13852" xr:uid="{B537D504-D7DA-45FA-8A92-46DC067333F8}"/>
    <cellStyle name="40% - Accent4 3 2 3 4" xfId="9634" xr:uid="{C89C415B-9591-4F0F-B6E1-A50441787092}"/>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633EF328-41B3-454B-8809-402621B42F04}"/>
    <cellStyle name="40% - Accent4 3 2 4 2 3" xfId="12192" xr:uid="{93B83493-187D-4D96-8C19-C8F859AC3F2C}"/>
    <cellStyle name="40% - Accent4 3 2 4 3" xfId="5823" xr:uid="{00000000-0005-0000-0000-0000FF050000}"/>
    <cellStyle name="40% - Accent4 3 2 4 3 2" xfId="14265" xr:uid="{CF5971D4-8920-4C48-8476-D39DB4DABC6B}"/>
    <cellStyle name="40% - Accent4 3 2 4 4" xfId="10047" xr:uid="{66725026-BB28-45D2-8DDA-F66C739EE79D}"/>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3474C161-103A-4F75-A87B-8608CE793851}"/>
    <cellStyle name="40% - Accent4 3 2 5 2 3" xfId="12605" xr:uid="{C03CAF9C-FF39-458D-8B62-2CE4B7AA71E5}"/>
    <cellStyle name="40% - Accent4 3 2 5 3" xfId="6236" xr:uid="{00000000-0005-0000-0000-000003060000}"/>
    <cellStyle name="40% - Accent4 3 2 5 3 2" xfId="14678" xr:uid="{00006B59-7400-42A4-9A79-A417B3ED1370}"/>
    <cellStyle name="40% - Accent4 3 2 5 4" xfId="10460" xr:uid="{A3A886EA-61CB-4D29-A5FF-AF451E5F044D}"/>
    <cellStyle name="40% - Accent4 3 2 6" xfId="2342" xr:uid="{00000000-0005-0000-0000-000004060000}"/>
    <cellStyle name="40% - Accent4 3 2 6 2" xfId="6649" xr:uid="{00000000-0005-0000-0000-000005060000}"/>
    <cellStyle name="40% - Accent4 3 2 6 2 2" xfId="15091" xr:uid="{21005FDD-A9D6-4282-918B-6734B6959A3B}"/>
    <cellStyle name="40% - Accent4 3 2 6 3" xfId="10873" xr:uid="{8045D94D-79D5-44B2-A7AF-8BE95B46FAF8}"/>
    <cellStyle name="40% - Accent4 3 2 7" xfId="4583" xr:uid="{00000000-0005-0000-0000-000006060000}"/>
    <cellStyle name="40% - Accent4 3 2 7 2" xfId="13025" xr:uid="{BDED8D72-B01B-4C04-9A4F-8AE532385ED8}"/>
    <cellStyle name="40% - Accent4 3 2 8" xfId="8807" xr:uid="{88E61178-F008-4C15-BDA2-9EF0B2FD9B72}"/>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87B4DE2C-7E96-4BC2-8296-7E989398D1F7}"/>
    <cellStyle name="40% - Accent4 3 3 2 3" xfId="11365" xr:uid="{9D80A202-A70A-4D89-843D-A14296576CB4}"/>
    <cellStyle name="40% - Accent4 3 3 3" xfId="4996" xr:uid="{00000000-0005-0000-0000-00000A060000}"/>
    <cellStyle name="40% - Accent4 3 3 3 2" xfId="13438" xr:uid="{2190B756-996D-479F-8220-5CF8DEFA92D9}"/>
    <cellStyle name="40% - Accent4 3 3 4" xfId="9220" xr:uid="{4F1B85CC-7F86-4DC7-A10E-46C90BDD6A9B}"/>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23BC7E87-F142-40B9-8BD2-909C7E3BEE22}"/>
    <cellStyle name="40% - Accent4 3 4 2 3" xfId="11778" xr:uid="{7BF5BFDA-2E3B-4CEB-BC18-2A90E297F186}"/>
    <cellStyle name="40% - Accent4 3 4 3" xfId="5409" xr:uid="{00000000-0005-0000-0000-00000E060000}"/>
    <cellStyle name="40% - Accent4 3 4 3 2" xfId="13851" xr:uid="{11C61407-7988-400B-9426-437377BD0032}"/>
    <cellStyle name="40% - Accent4 3 4 4" xfId="9633" xr:uid="{9C9CECEC-3D70-4FCA-BC0B-D4787D582C91}"/>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FF0B252B-6219-4C7F-BAD1-92D303FEEB46}"/>
    <cellStyle name="40% - Accent4 3 5 2 3" xfId="12191" xr:uid="{C1C11057-C6CE-4487-9083-EADCC8C2B4FD}"/>
    <cellStyle name="40% - Accent4 3 5 3" xfId="5822" xr:uid="{00000000-0005-0000-0000-000012060000}"/>
    <cellStyle name="40% - Accent4 3 5 3 2" xfId="14264" xr:uid="{0BD4E1FD-5109-45A4-B722-A6C0E70E3102}"/>
    <cellStyle name="40% - Accent4 3 5 4" xfId="10046" xr:uid="{C8B71248-31A6-48FF-8E5E-9F4B4C9FE282}"/>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225DF3CD-7575-492E-8B26-967E7DAE402D}"/>
    <cellStyle name="40% - Accent4 3 6 2 3" xfId="12604" xr:uid="{AF7B1A79-7F07-4E8C-A508-17AE4CECED69}"/>
    <cellStyle name="40% - Accent4 3 6 3" xfId="6235" xr:uid="{00000000-0005-0000-0000-000016060000}"/>
    <cellStyle name="40% - Accent4 3 6 3 2" xfId="14677" xr:uid="{E2349AEE-DA45-4DD4-9C49-45AD4E917DB4}"/>
    <cellStyle name="40% - Accent4 3 6 4" xfId="10459" xr:uid="{409E08E2-2B7E-4E0A-A775-F95B01823C41}"/>
    <cellStyle name="40% - Accent4 3 7" xfId="2341" xr:uid="{00000000-0005-0000-0000-000017060000}"/>
    <cellStyle name="40% - Accent4 3 7 2" xfId="6648" xr:uid="{00000000-0005-0000-0000-000018060000}"/>
    <cellStyle name="40% - Accent4 3 7 2 2" xfId="15090" xr:uid="{203E7CA2-07F9-481C-963B-79DC586B8261}"/>
    <cellStyle name="40% - Accent4 3 7 3" xfId="10872" xr:uid="{EFF4A4A7-0472-4EEB-9494-D69517D223C0}"/>
    <cellStyle name="40% - Accent4 3 8" xfId="4582" xr:uid="{00000000-0005-0000-0000-000019060000}"/>
    <cellStyle name="40% - Accent4 3 8 2" xfId="13024" xr:uid="{000AFFCE-17D7-4640-928E-E0FF6AEB637B}"/>
    <cellStyle name="40% - Accent4 3 9" xfId="8806" xr:uid="{B0669295-1E8D-4D7F-AF5B-0A662A730BEE}"/>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B8E2EC1E-CDE1-47EA-AE1E-7D2A94CAAB4F}"/>
    <cellStyle name="40% - Accent4 4 2 2 3" xfId="11367" xr:uid="{55C0D331-0822-48AA-A6CD-51AAF32A505C}"/>
    <cellStyle name="40% - Accent4 4 2 3" xfId="4998" xr:uid="{00000000-0005-0000-0000-00001E060000}"/>
    <cellStyle name="40% - Accent4 4 2 3 2" xfId="13440" xr:uid="{D596EF15-8318-4168-A136-EBEBC2CEDAAC}"/>
    <cellStyle name="40% - Accent4 4 2 4" xfId="9222" xr:uid="{240B5FEF-4D22-46BC-BF3D-64F85B6682AD}"/>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880C9EF1-D949-4BE4-BBE7-40CD6A96CDFC}"/>
    <cellStyle name="40% - Accent4 4 3 2 3" xfId="11780" xr:uid="{44BE6705-BC0E-4293-9E14-4B8C18BD5C10}"/>
    <cellStyle name="40% - Accent4 4 3 3" xfId="5411" xr:uid="{00000000-0005-0000-0000-000022060000}"/>
    <cellStyle name="40% - Accent4 4 3 3 2" xfId="13853" xr:uid="{6F8DBE96-57D2-4AC7-985F-CA8D21E9BAEC}"/>
    <cellStyle name="40% - Accent4 4 3 4" xfId="9635" xr:uid="{06F95458-FA1A-4B33-89D2-8D5A3E639DA5}"/>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3A8C9D4B-42CE-45AF-99C7-F5E1A87BC2CC}"/>
    <cellStyle name="40% - Accent4 4 4 2 3" xfId="12193" xr:uid="{2D5DCF28-AA2B-4B5A-9944-6F8BD26E1FB2}"/>
    <cellStyle name="40% - Accent4 4 4 3" xfId="5824" xr:uid="{00000000-0005-0000-0000-000026060000}"/>
    <cellStyle name="40% - Accent4 4 4 3 2" xfId="14266" xr:uid="{21E93B4F-AEB6-4E2E-9356-09549B7B2E30}"/>
    <cellStyle name="40% - Accent4 4 4 4" xfId="10048" xr:uid="{334D719D-09B7-44FF-B27E-5503E4BD4FA5}"/>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84FEF124-B80C-4AFF-832C-BFA99049A943}"/>
    <cellStyle name="40% - Accent4 4 5 2 3" xfId="12606" xr:uid="{12CA1F7F-5B05-4FC5-B32B-144A894C0037}"/>
    <cellStyle name="40% - Accent4 4 5 3" xfId="6237" xr:uid="{00000000-0005-0000-0000-00002A060000}"/>
    <cellStyle name="40% - Accent4 4 5 3 2" xfId="14679" xr:uid="{42065156-CD1D-46BD-A4A7-B6605FD14D66}"/>
    <cellStyle name="40% - Accent4 4 5 4" xfId="10461" xr:uid="{7ABD4EE6-7985-494C-BDA0-F11521BDD05F}"/>
    <cellStyle name="40% - Accent4 4 6" xfId="2343" xr:uid="{00000000-0005-0000-0000-00002B060000}"/>
    <cellStyle name="40% - Accent4 4 6 2" xfId="6650" xr:uid="{00000000-0005-0000-0000-00002C060000}"/>
    <cellStyle name="40% - Accent4 4 6 2 2" xfId="15092" xr:uid="{EEB0F1A8-636C-44D1-ABBE-622ED6EC7D0E}"/>
    <cellStyle name="40% - Accent4 4 6 3" xfId="10874" xr:uid="{C42A0878-0A3D-45AE-9245-7FDB26D1D248}"/>
    <cellStyle name="40% - Accent4 4 7" xfId="4584" xr:uid="{00000000-0005-0000-0000-00002D060000}"/>
    <cellStyle name="40% - Accent4 4 7 2" xfId="13026" xr:uid="{7C6B0A6F-9569-4273-ADEC-205296FF7139}"/>
    <cellStyle name="40% - Accent4 4 8" xfId="8808" xr:uid="{49E776B7-D4B0-4BE0-BFD5-1DDE09BCC31C}"/>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C5842176-9DA0-45DC-8FC7-5050D3159093}"/>
    <cellStyle name="40% - Accent4 5 2 3" xfId="11360" xr:uid="{6B468C75-947E-4F75-B511-5B631C117F32}"/>
    <cellStyle name="40% - Accent4 5 3" xfId="4991" xr:uid="{00000000-0005-0000-0000-000031060000}"/>
    <cellStyle name="40% - Accent4 5 3 2" xfId="13433" xr:uid="{179CE0F8-0E6D-481E-BDC7-4C55A88FB803}"/>
    <cellStyle name="40% - Accent4 5 4" xfId="9215" xr:uid="{F90CCFC1-70CC-4E4D-B7B3-639C25F8BCFF}"/>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CCCA986B-736E-4689-99A9-20A13CC2E1AE}"/>
    <cellStyle name="40% - Accent4 6 2 3" xfId="11773" xr:uid="{41E9D804-7B16-402D-85C2-5AF05C3E6134}"/>
    <cellStyle name="40% - Accent4 6 3" xfId="5404" xr:uid="{00000000-0005-0000-0000-000035060000}"/>
    <cellStyle name="40% - Accent4 6 3 2" xfId="13846" xr:uid="{F83C5698-05E8-4506-97E2-C4281AB2E13E}"/>
    <cellStyle name="40% - Accent4 6 4" xfId="9628" xr:uid="{5D7587DC-3833-41F5-86EE-0DBCFC91494F}"/>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5E182585-6CD0-4001-8E13-A7902D5B8BA6}"/>
    <cellStyle name="40% - Accent4 7 2 3" xfId="12186" xr:uid="{62F8A306-07B7-4E90-B1AE-442AF36F26E8}"/>
    <cellStyle name="40% - Accent4 7 3" xfId="5817" xr:uid="{00000000-0005-0000-0000-000039060000}"/>
    <cellStyle name="40% - Accent4 7 3 2" xfId="14259" xr:uid="{80501B6C-678A-4B5B-904B-AD0270EBD6E7}"/>
    <cellStyle name="40% - Accent4 7 4" xfId="10041" xr:uid="{1F278367-A893-40E2-9C67-C10F9181381F}"/>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CDB669CA-41D7-4DBA-9829-746B8C790179}"/>
    <cellStyle name="40% - Accent4 8 2 3" xfId="12599" xr:uid="{CC5BBE5B-820A-4DFE-ACFD-E3BF5B9FC485}"/>
    <cellStyle name="40% - Accent4 8 3" xfId="6230" xr:uid="{00000000-0005-0000-0000-00003D060000}"/>
    <cellStyle name="40% - Accent4 8 3 2" xfId="14672" xr:uid="{54F7667A-0CF0-4F76-9F58-1F62BD45ABBF}"/>
    <cellStyle name="40% - Accent4 8 4" xfId="10454" xr:uid="{1E2515B8-E9C2-4C7F-8516-AA7DBED76285}"/>
    <cellStyle name="40% - Accent4 9" xfId="2336" xr:uid="{00000000-0005-0000-0000-00003E060000}"/>
    <cellStyle name="40% - Accent4 9 2" xfId="6643" xr:uid="{00000000-0005-0000-0000-00003F060000}"/>
    <cellStyle name="40% - Accent4 9 2 2" xfId="15085" xr:uid="{B1BA5202-54A8-48D3-A3D3-A29BC0B01D15}"/>
    <cellStyle name="40% - Accent4 9 3" xfId="10867" xr:uid="{75179A72-0E23-4DDC-AAD5-2869B521AAFE}"/>
    <cellStyle name="40% - Accent5" xfId="81" builtinId="47" customBuiltin="1"/>
    <cellStyle name="40% - Accent5 10" xfId="4585" xr:uid="{00000000-0005-0000-0000-000041060000}"/>
    <cellStyle name="40% - Accent5 10 2" xfId="13027" xr:uid="{2085F7BA-5231-4E7F-BCC8-BC5689659F5E}"/>
    <cellStyle name="40% - Accent5 11" xfId="8809" xr:uid="{72FECECC-04AC-4191-AF12-66EF5FE07036}"/>
    <cellStyle name="40% - Accent5 2" xfId="82" xr:uid="{00000000-0005-0000-0000-000042060000}"/>
    <cellStyle name="40% - Accent5 2 10" xfId="8810" xr:uid="{A31CDCA6-2149-4320-8A00-38897ABB9C1E}"/>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0529375C-14B2-4413-8E89-4E4AC8E8164E}"/>
    <cellStyle name="40% - Accent5 2 2 2 2 2 3" xfId="11371" xr:uid="{CF2024BE-089D-4276-A400-C88304E8CE61}"/>
    <cellStyle name="40% - Accent5 2 2 2 2 3" xfId="5002" xr:uid="{00000000-0005-0000-0000-000048060000}"/>
    <cellStyle name="40% - Accent5 2 2 2 2 3 2" xfId="13444" xr:uid="{7F24D1D7-B92E-402B-97A0-3F425F7453C2}"/>
    <cellStyle name="40% - Accent5 2 2 2 2 4" xfId="9226" xr:uid="{76E798ED-6BFF-4F12-953C-C5FE1E29A31C}"/>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D1AAEB65-B6BB-48DF-A0A8-14481CAA4BC4}"/>
    <cellStyle name="40% - Accent5 2 2 2 3 2 3" xfId="11784" xr:uid="{098D5AAF-392A-46CA-99A0-9CF7CDE0B82F}"/>
    <cellStyle name="40% - Accent5 2 2 2 3 3" xfId="5415" xr:uid="{00000000-0005-0000-0000-00004C060000}"/>
    <cellStyle name="40% - Accent5 2 2 2 3 3 2" xfId="13857" xr:uid="{87C26C53-9641-42DC-990E-6EF1D9D0BAC1}"/>
    <cellStyle name="40% - Accent5 2 2 2 3 4" xfId="9639" xr:uid="{4C165E8F-7420-4650-8D53-915465ED0816}"/>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859B2928-51F8-4403-8711-DB6CEC7347C7}"/>
    <cellStyle name="40% - Accent5 2 2 2 4 2 3" xfId="12197" xr:uid="{F577D830-B02C-4218-86CC-C87D592EF6EB}"/>
    <cellStyle name="40% - Accent5 2 2 2 4 3" xfId="5828" xr:uid="{00000000-0005-0000-0000-000050060000}"/>
    <cellStyle name="40% - Accent5 2 2 2 4 3 2" xfId="14270" xr:uid="{4C81D7B8-6027-4409-B2C0-18158B8C9769}"/>
    <cellStyle name="40% - Accent5 2 2 2 4 4" xfId="10052" xr:uid="{EEC1D5E0-80DA-4ADC-B5F9-D96880E314C3}"/>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0235D04D-42F0-433D-BAB7-2B9C6BFEB29F}"/>
    <cellStyle name="40% - Accent5 2 2 2 5 2 3" xfId="12610" xr:uid="{1DE9DF03-8196-4C96-BB35-E0E2D1EA9F32}"/>
    <cellStyle name="40% - Accent5 2 2 2 5 3" xfId="6241" xr:uid="{00000000-0005-0000-0000-000054060000}"/>
    <cellStyle name="40% - Accent5 2 2 2 5 3 2" xfId="14683" xr:uid="{F5154C35-1E18-4AE7-84F7-1FF0504F6DFE}"/>
    <cellStyle name="40% - Accent5 2 2 2 5 4" xfId="10465" xr:uid="{93BB0570-B2BA-458F-ACA5-80196E5290B0}"/>
    <cellStyle name="40% - Accent5 2 2 2 6" xfId="2347" xr:uid="{00000000-0005-0000-0000-000055060000}"/>
    <cellStyle name="40% - Accent5 2 2 2 6 2" xfId="6654" xr:uid="{00000000-0005-0000-0000-000056060000}"/>
    <cellStyle name="40% - Accent5 2 2 2 6 2 2" xfId="15096" xr:uid="{57707E50-C56C-4BF7-92B6-2EFAA932F488}"/>
    <cellStyle name="40% - Accent5 2 2 2 6 3" xfId="10878" xr:uid="{636EAC3A-8DF7-424F-BA43-E615DA1291CD}"/>
    <cellStyle name="40% - Accent5 2 2 2 7" xfId="4588" xr:uid="{00000000-0005-0000-0000-000057060000}"/>
    <cellStyle name="40% - Accent5 2 2 2 7 2" xfId="13030" xr:uid="{6EC30789-BBE2-48F0-835A-AC139F1B4B1D}"/>
    <cellStyle name="40% - Accent5 2 2 2 8" xfId="8812" xr:uid="{783E539E-A2D6-4870-A8A2-54A7B1512557}"/>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BB62DFC8-D86B-44DF-9EB7-C067EAC0AC29}"/>
    <cellStyle name="40% - Accent5 2 2 3 2 3" xfId="11370" xr:uid="{4D7AE42E-595A-4B40-BBA7-18429D26D854}"/>
    <cellStyle name="40% - Accent5 2 2 3 3" xfId="5001" xr:uid="{00000000-0005-0000-0000-00005B060000}"/>
    <cellStyle name="40% - Accent5 2 2 3 3 2" xfId="13443" xr:uid="{2BFE07F9-5FC5-483C-ABD6-D3EB85A7C5CA}"/>
    <cellStyle name="40% - Accent5 2 2 3 4" xfId="9225" xr:uid="{72D02E35-3065-413F-A206-C694D1C10B21}"/>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7D4B0A20-2D13-47FC-BEBB-CFEFC61AE74C}"/>
    <cellStyle name="40% - Accent5 2 2 4 2 3" xfId="11783" xr:uid="{EF881E55-0CC6-4D09-A53B-99FFDBDD23CC}"/>
    <cellStyle name="40% - Accent5 2 2 4 3" xfId="5414" xr:uid="{00000000-0005-0000-0000-00005F060000}"/>
    <cellStyle name="40% - Accent5 2 2 4 3 2" xfId="13856" xr:uid="{870557EE-5978-4CD7-895F-4C06558A5D1A}"/>
    <cellStyle name="40% - Accent5 2 2 4 4" xfId="9638" xr:uid="{0B94D5AC-1980-46A0-A59D-B95B0101304C}"/>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57C67F2D-3E4B-436B-8724-7D6032A41004}"/>
    <cellStyle name="40% - Accent5 2 2 5 2 3" xfId="12196" xr:uid="{3935D692-ECFC-4FE4-8DE4-48787EE86EF0}"/>
    <cellStyle name="40% - Accent5 2 2 5 3" xfId="5827" xr:uid="{00000000-0005-0000-0000-000063060000}"/>
    <cellStyle name="40% - Accent5 2 2 5 3 2" xfId="14269" xr:uid="{4AD2274C-10CD-41DB-AE00-E5CA0AB143E9}"/>
    <cellStyle name="40% - Accent5 2 2 5 4" xfId="10051" xr:uid="{AC348C03-554C-490E-B98A-0D307C2E6E04}"/>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80BD2B0E-E9EE-4A93-A107-964243E33841}"/>
    <cellStyle name="40% - Accent5 2 2 6 2 3" xfId="12609" xr:uid="{5A5D0777-62B5-4550-B713-E5E572763274}"/>
    <cellStyle name="40% - Accent5 2 2 6 3" xfId="6240" xr:uid="{00000000-0005-0000-0000-000067060000}"/>
    <cellStyle name="40% - Accent5 2 2 6 3 2" xfId="14682" xr:uid="{30E489C5-2144-4AAA-AA0D-75718D3E3314}"/>
    <cellStyle name="40% - Accent5 2 2 6 4" xfId="10464" xr:uid="{C3B39B3D-8D33-4867-9A56-863EC39AAB19}"/>
    <cellStyle name="40% - Accent5 2 2 7" xfId="2346" xr:uid="{00000000-0005-0000-0000-000068060000}"/>
    <cellStyle name="40% - Accent5 2 2 7 2" xfId="6653" xr:uid="{00000000-0005-0000-0000-000069060000}"/>
    <cellStyle name="40% - Accent5 2 2 7 2 2" xfId="15095" xr:uid="{9C3D4F65-FE09-4624-BB7D-695ED7ABB613}"/>
    <cellStyle name="40% - Accent5 2 2 7 3" xfId="10877" xr:uid="{3C43E38F-E988-4F66-B25E-68B427D96E7C}"/>
    <cellStyle name="40% - Accent5 2 2 8" xfId="4587" xr:uid="{00000000-0005-0000-0000-00006A060000}"/>
    <cellStyle name="40% - Accent5 2 2 8 2" xfId="13029" xr:uid="{B033C6F0-C65A-4D1A-B94F-DDD29C7547BE}"/>
    <cellStyle name="40% - Accent5 2 2 9" xfId="8811" xr:uid="{B4466EAB-B11B-4E7D-8328-075171C79BFA}"/>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1F7A29F3-7405-4D4B-9888-DA0F81A31E35}"/>
    <cellStyle name="40% - Accent5 2 3 2 2 3" xfId="11372" xr:uid="{2AB33C25-15EC-4C50-8CAC-040185E00012}"/>
    <cellStyle name="40% - Accent5 2 3 2 3" xfId="5003" xr:uid="{00000000-0005-0000-0000-00006F060000}"/>
    <cellStyle name="40% - Accent5 2 3 2 3 2" xfId="13445" xr:uid="{8326BB22-1F20-4396-8BD9-43C2F872094C}"/>
    <cellStyle name="40% - Accent5 2 3 2 4" xfId="9227" xr:uid="{8236AA08-B40F-460B-A747-C756FD11039E}"/>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2CF5283F-2381-4556-9FB6-BA01DDF48D04}"/>
    <cellStyle name="40% - Accent5 2 3 3 2 3" xfId="11785" xr:uid="{B9282A2D-D228-44B1-B121-E2D5B9D01FE8}"/>
    <cellStyle name="40% - Accent5 2 3 3 3" xfId="5416" xr:uid="{00000000-0005-0000-0000-000073060000}"/>
    <cellStyle name="40% - Accent5 2 3 3 3 2" xfId="13858" xr:uid="{CC984B45-9596-4414-A93E-5BA0D301D39F}"/>
    <cellStyle name="40% - Accent5 2 3 3 4" xfId="9640" xr:uid="{92F9E16B-31C4-434E-A529-7DB34BFE3487}"/>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6EA7175D-990B-4723-8108-FAD54F783C5E}"/>
    <cellStyle name="40% - Accent5 2 3 4 2 3" xfId="12198" xr:uid="{19D5746D-FF9E-465B-BD54-21CCE2AE91D5}"/>
    <cellStyle name="40% - Accent5 2 3 4 3" xfId="5829" xr:uid="{00000000-0005-0000-0000-000077060000}"/>
    <cellStyle name="40% - Accent5 2 3 4 3 2" xfId="14271" xr:uid="{5B1E99F3-7F79-4AF5-9D26-3BDE7320B09E}"/>
    <cellStyle name="40% - Accent5 2 3 4 4" xfId="10053" xr:uid="{602D08D9-3D45-4CDE-BC94-92B501B41712}"/>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31D723D7-EEDD-4E95-AF7C-12ED7DC5486B}"/>
    <cellStyle name="40% - Accent5 2 3 5 2 3" xfId="12611" xr:uid="{C3A1E7D7-165D-4419-8531-66D66FC9FB3A}"/>
    <cellStyle name="40% - Accent5 2 3 5 3" xfId="6242" xr:uid="{00000000-0005-0000-0000-00007B060000}"/>
    <cellStyle name="40% - Accent5 2 3 5 3 2" xfId="14684" xr:uid="{5A066954-7FA6-45AE-9374-873A928B88B2}"/>
    <cellStyle name="40% - Accent5 2 3 5 4" xfId="10466" xr:uid="{DEDD3455-A270-4424-AD96-4F4ABA50E88C}"/>
    <cellStyle name="40% - Accent5 2 3 6" xfId="2348" xr:uid="{00000000-0005-0000-0000-00007C060000}"/>
    <cellStyle name="40% - Accent5 2 3 6 2" xfId="6655" xr:uid="{00000000-0005-0000-0000-00007D060000}"/>
    <cellStyle name="40% - Accent5 2 3 6 2 2" xfId="15097" xr:uid="{B1C59ACE-0A09-41C0-874E-766CD7D37F1A}"/>
    <cellStyle name="40% - Accent5 2 3 6 3" xfId="10879" xr:uid="{94C02F98-51AF-465C-9237-EF1FACF047AE}"/>
    <cellStyle name="40% - Accent5 2 3 7" xfId="4589" xr:uid="{00000000-0005-0000-0000-00007E060000}"/>
    <cellStyle name="40% - Accent5 2 3 7 2" xfId="13031" xr:uid="{B168C842-5D8A-429C-BE79-29F5016A7466}"/>
    <cellStyle name="40% - Accent5 2 3 8" xfId="8813" xr:uid="{0A0320DF-1188-4FB5-8240-AF972596D511}"/>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E402A705-9FAC-4CEA-949F-92172A47FFC1}"/>
    <cellStyle name="40% - Accent5 2 4 2 3" xfId="11369" xr:uid="{9989C3ED-C17B-4E6C-8F41-D459AA3BCF1B}"/>
    <cellStyle name="40% - Accent5 2 4 3" xfId="5000" xr:uid="{00000000-0005-0000-0000-000082060000}"/>
    <cellStyle name="40% - Accent5 2 4 3 2" xfId="13442" xr:uid="{BD5BDA64-F67D-4DC7-B974-878670DB0B1C}"/>
    <cellStyle name="40% - Accent5 2 4 4" xfId="9224" xr:uid="{F3B658F1-5079-492D-9647-2907E0926A7B}"/>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934FADE2-360E-421D-9624-45A59EF99FF4}"/>
    <cellStyle name="40% - Accent5 2 5 2 3" xfId="11782" xr:uid="{534E9377-CD75-4E33-BA5B-1AD49ABC0F3B}"/>
    <cellStyle name="40% - Accent5 2 5 3" xfId="5413" xr:uid="{00000000-0005-0000-0000-000086060000}"/>
    <cellStyle name="40% - Accent5 2 5 3 2" xfId="13855" xr:uid="{0DA31532-A7A6-43EF-8192-A57F49911960}"/>
    <cellStyle name="40% - Accent5 2 5 4" xfId="9637" xr:uid="{AE00A103-6234-4499-801F-2225BE37DAEC}"/>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9A948830-5694-4F99-9474-35FFD0A204D1}"/>
    <cellStyle name="40% - Accent5 2 6 2 3" xfId="12195" xr:uid="{54B1FC34-D73D-41FF-B958-144ADBA37462}"/>
    <cellStyle name="40% - Accent5 2 6 3" xfId="5826" xr:uid="{00000000-0005-0000-0000-00008A060000}"/>
    <cellStyle name="40% - Accent5 2 6 3 2" xfId="14268" xr:uid="{C9A74109-9E33-4D73-B8E2-9B9528BE6887}"/>
    <cellStyle name="40% - Accent5 2 6 4" xfId="10050" xr:uid="{270F58F0-28E0-4E1C-B95E-84177211A3A6}"/>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3729072B-9303-4BBD-B878-C175FFF0B606}"/>
    <cellStyle name="40% - Accent5 2 7 2 3" xfId="12608" xr:uid="{674F6311-2844-4F84-AEAB-33FF09748DDF}"/>
    <cellStyle name="40% - Accent5 2 7 3" xfId="6239" xr:uid="{00000000-0005-0000-0000-00008E060000}"/>
    <cellStyle name="40% - Accent5 2 7 3 2" xfId="14681" xr:uid="{1FC059CC-E042-4438-8BB4-675C5AE5E9B8}"/>
    <cellStyle name="40% - Accent5 2 7 4" xfId="10463" xr:uid="{D9AF6745-766A-40C2-B986-5E6C6A3075B2}"/>
    <cellStyle name="40% - Accent5 2 8" xfId="2345" xr:uid="{00000000-0005-0000-0000-00008F060000}"/>
    <cellStyle name="40% - Accent5 2 8 2" xfId="6652" xr:uid="{00000000-0005-0000-0000-000090060000}"/>
    <cellStyle name="40% - Accent5 2 8 2 2" xfId="15094" xr:uid="{A52CC79C-2A53-4D91-AF65-E0DA3975AB62}"/>
    <cellStyle name="40% - Accent5 2 8 3" xfId="10876" xr:uid="{B66F65EB-30A6-4151-A28F-D7088F9654D7}"/>
    <cellStyle name="40% - Accent5 2 9" xfId="4586" xr:uid="{00000000-0005-0000-0000-000091060000}"/>
    <cellStyle name="40% - Accent5 2 9 2" xfId="13028" xr:uid="{B1D008C6-A055-4100-A69C-C59BC67840AF}"/>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6D41FC93-C036-446D-9244-1FFC16DB0585}"/>
    <cellStyle name="40% - Accent5 3 2 2 2 3" xfId="11374" xr:uid="{11BD2806-C9F8-4329-A367-A5A5D93B241C}"/>
    <cellStyle name="40% - Accent5 3 2 2 3" xfId="5005" xr:uid="{00000000-0005-0000-0000-000097060000}"/>
    <cellStyle name="40% - Accent5 3 2 2 3 2" xfId="13447" xr:uid="{06D1BAF4-FA11-4F4D-AE13-150ECF27CD99}"/>
    <cellStyle name="40% - Accent5 3 2 2 4" xfId="9229" xr:uid="{01FD6B2B-7912-4277-BD3A-96EB401AB274}"/>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F4CA060D-3638-4683-8225-F0FFB5B4A262}"/>
    <cellStyle name="40% - Accent5 3 2 3 2 3" xfId="11787" xr:uid="{32468BE4-8838-4074-B5B8-FA84E2698871}"/>
    <cellStyle name="40% - Accent5 3 2 3 3" xfId="5418" xr:uid="{00000000-0005-0000-0000-00009B060000}"/>
    <cellStyle name="40% - Accent5 3 2 3 3 2" xfId="13860" xr:uid="{7300C477-0727-449E-A9EF-8D37F3BD3EEB}"/>
    <cellStyle name="40% - Accent5 3 2 3 4" xfId="9642" xr:uid="{3208BBAC-476B-45E1-9BEC-B9B29888CEEF}"/>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CD342C35-878E-4C29-82EF-B8C85EFCFABF}"/>
    <cellStyle name="40% - Accent5 3 2 4 2 3" xfId="12200" xr:uid="{B1246636-1B67-4F8F-B1B1-E1B0B66F7445}"/>
    <cellStyle name="40% - Accent5 3 2 4 3" xfId="5831" xr:uid="{00000000-0005-0000-0000-00009F060000}"/>
    <cellStyle name="40% - Accent5 3 2 4 3 2" xfId="14273" xr:uid="{67DA9135-AA18-4F4B-B57B-D8EB4DD79DD9}"/>
    <cellStyle name="40% - Accent5 3 2 4 4" xfId="10055" xr:uid="{A6B66751-5AAD-4538-93E9-C982E808DC88}"/>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4D522FA0-0F87-4CEA-93F4-425E43B327E9}"/>
    <cellStyle name="40% - Accent5 3 2 5 2 3" xfId="12613" xr:uid="{8070D94A-DE3D-4C7F-A183-1CC6C0E49AA6}"/>
    <cellStyle name="40% - Accent5 3 2 5 3" xfId="6244" xr:uid="{00000000-0005-0000-0000-0000A3060000}"/>
    <cellStyle name="40% - Accent5 3 2 5 3 2" xfId="14686" xr:uid="{2FB30A14-707A-459F-A3A2-D8C030FE2005}"/>
    <cellStyle name="40% - Accent5 3 2 5 4" xfId="10468" xr:uid="{EC29B971-A6C0-4ECC-A10E-42723AA6E3F1}"/>
    <cellStyle name="40% - Accent5 3 2 6" xfId="2350" xr:uid="{00000000-0005-0000-0000-0000A4060000}"/>
    <cellStyle name="40% - Accent5 3 2 6 2" xfId="6657" xr:uid="{00000000-0005-0000-0000-0000A5060000}"/>
    <cellStyle name="40% - Accent5 3 2 6 2 2" xfId="15099" xr:uid="{1D7D1573-76D3-4460-8221-BFC7F33D0E8F}"/>
    <cellStyle name="40% - Accent5 3 2 6 3" xfId="10881" xr:uid="{40F4AA71-6804-46D5-B30C-4BDB81C56B5A}"/>
    <cellStyle name="40% - Accent5 3 2 7" xfId="4591" xr:uid="{00000000-0005-0000-0000-0000A6060000}"/>
    <cellStyle name="40% - Accent5 3 2 7 2" xfId="13033" xr:uid="{FF879A0E-6775-49BD-AA2D-1EE338440DE0}"/>
    <cellStyle name="40% - Accent5 3 2 8" xfId="8815" xr:uid="{99BB5C44-D355-418B-A664-32EE6A775016}"/>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7CEAA801-C758-43B6-BE7A-075DC0EE6892}"/>
    <cellStyle name="40% - Accent5 3 3 2 3" xfId="11373" xr:uid="{58A797D3-F873-4E6A-866D-DE8E3B630F70}"/>
    <cellStyle name="40% - Accent5 3 3 3" xfId="5004" xr:uid="{00000000-0005-0000-0000-0000AA060000}"/>
    <cellStyle name="40% - Accent5 3 3 3 2" xfId="13446" xr:uid="{FDEA23AE-E643-4455-9E07-4B50E36C6AEC}"/>
    <cellStyle name="40% - Accent5 3 3 4" xfId="9228" xr:uid="{162974E6-55FA-4564-B38A-21750C103A02}"/>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2C66401B-887A-4C60-A50A-842B28C9974A}"/>
    <cellStyle name="40% - Accent5 3 4 2 3" xfId="11786" xr:uid="{92BA50E2-7A1E-4EA0-A9EA-4F4B2D158AFE}"/>
    <cellStyle name="40% - Accent5 3 4 3" xfId="5417" xr:uid="{00000000-0005-0000-0000-0000AE060000}"/>
    <cellStyle name="40% - Accent5 3 4 3 2" xfId="13859" xr:uid="{46A71AB9-4A67-4C8F-BFBE-127DEEEDD2ED}"/>
    <cellStyle name="40% - Accent5 3 4 4" xfId="9641" xr:uid="{8BCD37D6-7A22-454B-BD3D-28BB1AD8F683}"/>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566C5918-8C02-43A7-A12B-EF0DBFB059AD}"/>
    <cellStyle name="40% - Accent5 3 5 2 3" xfId="12199" xr:uid="{1929A106-00ED-4A60-98FB-C86C0CECBDD8}"/>
    <cellStyle name="40% - Accent5 3 5 3" xfId="5830" xr:uid="{00000000-0005-0000-0000-0000B2060000}"/>
    <cellStyle name="40% - Accent5 3 5 3 2" xfId="14272" xr:uid="{EB90AD93-132A-463C-9D5A-0F3DF17ED0CE}"/>
    <cellStyle name="40% - Accent5 3 5 4" xfId="10054" xr:uid="{DF4F313A-CD01-4374-A9CF-A94ECC789E37}"/>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B1CABCA7-C3D3-48D2-A341-C7113FE2D2BE}"/>
    <cellStyle name="40% - Accent5 3 6 2 3" xfId="12612" xr:uid="{8BFE1503-8C9A-4C73-8359-B6B683890F4D}"/>
    <cellStyle name="40% - Accent5 3 6 3" xfId="6243" xr:uid="{00000000-0005-0000-0000-0000B6060000}"/>
    <cellStyle name="40% - Accent5 3 6 3 2" xfId="14685" xr:uid="{B1CE85E5-D17A-4D89-8432-FBA23CC48A62}"/>
    <cellStyle name="40% - Accent5 3 6 4" xfId="10467" xr:uid="{D5F982A8-EF34-452B-965E-0B64A4D5C110}"/>
    <cellStyle name="40% - Accent5 3 7" xfId="2349" xr:uid="{00000000-0005-0000-0000-0000B7060000}"/>
    <cellStyle name="40% - Accent5 3 7 2" xfId="6656" xr:uid="{00000000-0005-0000-0000-0000B8060000}"/>
    <cellStyle name="40% - Accent5 3 7 2 2" xfId="15098" xr:uid="{9DA7F5F4-B126-484C-B09A-25CC319AAACA}"/>
    <cellStyle name="40% - Accent5 3 7 3" xfId="10880" xr:uid="{883C4997-08EC-43AC-B43E-2C817472051D}"/>
    <cellStyle name="40% - Accent5 3 8" xfId="4590" xr:uid="{00000000-0005-0000-0000-0000B9060000}"/>
    <cellStyle name="40% - Accent5 3 8 2" xfId="13032" xr:uid="{19324A80-78E4-4831-94C7-1A4C9418D12A}"/>
    <cellStyle name="40% - Accent5 3 9" xfId="8814" xr:uid="{DAA3463F-E710-439F-90EA-9573245AD566}"/>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E28B3253-CABF-4DB7-B4D3-4CA9B099D39D}"/>
    <cellStyle name="40% - Accent5 4 2 2 3" xfId="11375" xr:uid="{4CE1DA36-D088-4FBC-AE47-1B0DA6524F51}"/>
    <cellStyle name="40% - Accent5 4 2 3" xfId="5006" xr:uid="{00000000-0005-0000-0000-0000BE060000}"/>
    <cellStyle name="40% - Accent5 4 2 3 2" xfId="13448" xr:uid="{0993C3DD-9FBE-48B6-99FD-94FAF9FBB36D}"/>
    <cellStyle name="40% - Accent5 4 2 4" xfId="9230" xr:uid="{21715D45-6659-400A-A995-A5FFB0DDEE44}"/>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DBCE4ED8-9FE9-4CA1-8E23-7B2914976C1E}"/>
    <cellStyle name="40% - Accent5 4 3 2 3" xfId="11788" xr:uid="{D1AFEDC6-2BE4-4689-BCBA-32A7FC6A325E}"/>
    <cellStyle name="40% - Accent5 4 3 3" xfId="5419" xr:uid="{00000000-0005-0000-0000-0000C2060000}"/>
    <cellStyle name="40% - Accent5 4 3 3 2" xfId="13861" xr:uid="{97F4041B-F402-46E0-8BE3-48B918C145AE}"/>
    <cellStyle name="40% - Accent5 4 3 4" xfId="9643" xr:uid="{14A1AA23-91FC-4B8C-A370-3EFA5D5FB279}"/>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EB3D6F58-8DAC-43C2-923D-6FBB2165D8BC}"/>
    <cellStyle name="40% - Accent5 4 4 2 3" xfId="12201" xr:uid="{7F2C4681-6F89-4AD2-AF03-16203C8333C2}"/>
    <cellStyle name="40% - Accent5 4 4 3" xfId="5832" xr:uid="{00000000-0005-0000-0000-0000C6060000}"/>
    <cellStyle name="40% - Accent5 4 4 3 2" xfId="14274" xr:uid="{90268C81-DE85-4127-90C6-E0D28EDF302F}"/>
    <cellStyle name="40% - Accent5 4 4 4" xfId="10056" xr:uid="{AD5E1160-33D7-48DF-96AE-886A716206C0}"/>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F3B941BF-6395-4AD3-9D9F-083D9DBF8876}"/>
    <cellStyle name="40% - Accent5 4 5 2 3" xfId="12614" xr:uid="{63B2C745-16C7-4506-BC73-3BB4970018EF}"/>
    <cellStyle name="40% - Accent5 4 5 3" xfId="6245" xr:uid="{00000000-0005-0000-0000-0000CA060000}"/>
    <cellStyle name="40% - Accent5 4 5 3 2" xfId="14687" xr:uid="{9BEAF3A8-8ABF-4F02-9E59-A87BB600C2E2}"/>
    <cellStyle name="40% - Accent5 4 5 4" xfId="10469" xr:uid="{747F4A15-D4E8-4D9E-AE6E-070730BD3349}"/>
    <cellStyle name="40% - Accent5 4 6" xfId="2351" xr:uid="{00000000-0005-0000-0000-0000CB060000}"/>
    <cellStyle name="40% - Accent5 4 6 2" xfId="6658" xr:uid="{00000000-0005-0000-0000-0000CC060000}"/>
    <cellStyle name="40% - Accent5 4 6 2 2" xfId="15100" xr:uid="{D6A9825D-9730-459C-9F5F-308560E495DA}"/>
    <cellStyle name="40% - Accent5 4 6 3" xfId="10882" xr:uid="{18C6DD03-ECDA-486C-B27A-E718CF9394AD}"/>
    <cellStyle name="40% - Accent5 4 7" xfId="4592" xr:uid="{00000000-0005-0000-0000-0000CD060000}"/>
    <cellStyle name="40% - Accent5 4 7 2" xfId="13034" xr:uid="{DCBA97C3-44C4-40EF-A64B-FED85D799774}"/>
    <cellStyle name="40% - Accent5 4 8" xfId="8816" xr:uid="{161491E0-4B40-41F1-8533-64DF6A619D91}"/>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A1F893BA-321C-49E4-99AE-24E7B140193E}"/>
    <cellStyle name="40% - Accent5 5 2 3" xfId="11368" xr:uid="{171622BF-FB90-40AA-B3C8-72A140637CA5}"/>
    <cellStyle name="40% - Accent5 5 3" xfId="4999" xr:uid="{00000000-0005-0000-0000-0000D1060000}"/>
    <cellStyle name="40% - Accent5 5 3 2" xfId="13441" xr:uid="{F71F4CE6-A168-4F4B-B1A1-EED4121F1812}"/>
    <cellStyle name="40% - Accent5 5 4" xfId="9223" xr:uid="{BD1CB567-CD72-4E2A-A83C-90F080075FF0}"/>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1D2A249F-0EDD-484F-AEED-9F95E75EC129}"/>
    <cellStyle name="40% - Accent5 6 2 3" xfId="11781" xr:uid="{B603FB23-9246-4902-AE03-695395FAA3C9}"/>
    <cellStyle name="40% - Accent5 6 3" xfId="5412" xr:uid="{00000000-0005-0000-0000-0000D5060000}"/>
    <cellStyle name="40% - Accent5 6 3 2" xfId="13854" xr:uid="{FE26E106-1094-4058-BDB7-461A0F1BB779}"/>
    <cellStyle name="40% - Accent5 6 4" xfId="9636" xr:uid="{BCA1880D-4326-424E-8F24-9C62960B025D}"/>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BD55E3D6-DD5B-4D25-8249-75296DEABB64}"/>
    <cellStyle name="40% - Accent5 7 2 3" xfId="12194" xr:uid="{9A15A611-0782-4D87-8EAB-8771FDF7FD82}"/>
    <cellStyle name="40% - Accent5 7 3" xfId="5825" xr:uid="{00000000-0005-0000-0000-0000D9060000}"/>
    <cellStyle name="40% - Accent5 7 3 2" xfId="14267" xr:uid="{024E96BD-4133-4EBB-A911-FC88B1467C66}"/>
    <cellStyle name="40% - Accent5 7 4" xfId="10049" xr:uid="{0F198E54-9FE9-4F43-930E-A8D77C53DF12}"/>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393889B1-A1DF-4E80-985F-546EC5F73A10}"/>
    <cellStyle name="40% - Accent5 8 2 3" xfId="12607" xr:uid="{AD012C69-D9AA-4366-9A31-A89830C0EDA3}"/>
    <cellStyle name="40% - Accent5 8 3" xfId="6238" xr:uid="{00000000-0005-0000-0000-0000DD060000}"/>
    <cellStyle name="40% - Accent5 8 3 2" xfId="14680" xr:uid="{5F73BA8F-C0E4-45F3-8FFD-225CDD1A7255}"/>
    <cellStyle name="40% - Accent5 8 4" xfId="10462" xr:uid="{9AF6942C-A03C-4A57-87B5-574FEF0CF838}"/>
    <cellStyle name="40% - Accent5 9" xfId="2344" xr:uid="{00000000-0005-0000-0000-0000DE060000}"/>
    <cellStyle name="40% - Accent5 9 2" xfId="6651" xr:uid="{00000000-0005-0000-0000-0000DF060000}"/>
    <cellStyle name="40% - Accent5 9 2 2" xfId="15093" xr:uid="{64E4F96C-D10D-47CA-BE3B-63547C38B019}"/>
    <cellStyle name="40% - Accent5 9 3" xfId="10875" xr:uid="{BA1F2A60-D197-48DB-A8D8-7714516C8611}"/>
    <cellStyle name="40% - Accent6" xfId="89" builtinId="51" customBuiltin="1"/>
    <cellStyle name="40% - Accent6 10" xfId="4593" xr:uid="{00000000-0005-0000-0000-0000E1060000}"/>
    <cellStyle name="40% - Accent6 10 2" xfId="13035" xr:uid="{A68EFFEA-2A17-4C10-9CBE-BF317922515C}"/>
    <cellStyle name="40% - Accent6 11" xfId="8817" xr:uid="{AC116FC7-3049-4DE5-AE01-743AC5E9C0C4}"/>
    <cellStyle name="40% - Accent6 2" xfId="90" xr:uid="{00000000-0005-0000-0000-0000E2060000}"/>
    <cellStyle name="40% - Accent6 2 10" xfId="8818" xr:uid="{3FC08D46-1E62-4264-992A-3920B567F51D}"/>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205A81D9-065D-4548-A05F-4A1F3FEEA739}"/>
    <cellStyle name="40% - Accent6 2 2 2 2 2 3" xfId="11379" xr:uid="{425B91F1-1081-44FC-AEFE-C595022FFAC0}"/>
    <cellStyle name="40% - Accent6 2 2 2 2 3" xfId="5010" xr:uid="{00000000-0005-0000-0000-0000E8060000}"/>
    <cellStyle name="40% - Accent6 2 2 2 2 3 2" xfId="13452" xr:uid="{CC77CAEB-49C5-4BD6-9E47-77ABA972D161}"/>
    <cellStyle name="40% - Accent6 2 2 2 2 4" xfId="9234" xr:uid="{E20C6F7A-1052-48BD-8262-0333384993AB}"/>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21C89CC3-6FA3-451E-9FD2-24FB28AC4030}"/>
    <cellStyle name="40% - Accent6 2 2 2 3 2 3" xfId="11792" xr:uid="{2B700A1F-A7AE-4D3F-9DA8-E3DFDE4367F9}"/>
    <cellStyle name="40% - Accent6 2 2 2 3 3" xfId="5423" xr:uid="{00000000-0005-0000-0000-0000EC060000}"/>
    <cellStyle name="40% - Accent6 2 2 2 3 3 2" xfId="13865" xr:uid="{96EE8BA4-15F0-4C6D-B2D1-6DE9AB2CFB70}"/>
    <cellStyle name="40% - Accent6 2 2 2 3 4" xfId="9647" xr:uid="{490B6E7E-B6B8-4946-9146-0C0F786D950D}"/>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3BBA7AE0-CBE9-4246-AD7F-3B291FE5E9F2}"/>
    <cellStyle name="40% - Accent6 2 2 2 4 2 3" xfId="12205" xr:uid="{47DBA161-67CD-4730-A37D-4324EF64359D}"/>
    <cellStyle name="40% - Accent6 2 2 2 4 3" xfId="5836" xr:uid="{00000000-0005-0000-0000-0000F0060000}"/>
    <cellStyle name="40% - Accent6 2 2 2 4 3 2" xfId="14278" xr:uid="{D16F7D7E-D9DD-4429-85F8-EFC917F5304E}"/>
    <cellStyle name="40% - Accent6 2 2 2 4 4" xfId="10060" xr:uid="{A3A65521-4E64-412E-8C1B-C1E6677AAD5C}"/>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66974829-A0FE-4D49-9A3C-FE71BC318AA2}"/>
    <cellStyle name="40% - Accent6 2 2 2 5 2 3" xfId="12618" xr:uid="{BBE6CFF3-FC68-46C2-AA3A-F9E53CB3213E}"/>
    <cellStyle name="40% - Accent6 2 2 2 5 3" xfId="6249" xr:uid="{00000000-0005-0000-0000-0000F4060000}"/>
    <cellStyle name="40% - Accent6 2 2 2 5 3 2" xfId="14691" xr:uid="{6C075D6B-B49F-4DFA-A1C4-A98AB47703E0}"/>
    <cellStyle name="40% - Accent6 2 2 2 5 4" xfId="10473" xr:uid="{CE58E7F2-F0D4-47D9-ADF4-B46876DF0464}"/>
    <cellStyle name="40% - Accent6 2 2 2 6" xfId="2355" xr:uid="{00000000-0005-0000-0000-0000F5060000}"/>
    <cellStyle name="40% - Accent6 2 2 2 6 2" xfId="6662" xr:uid="{00000000-0005-0000-0000-0000F6060000}"/>
    <cellStyle name="40% - Accent6 2 2 2 6 2 2" xfId="15104" xr:uid="{6007A697-1A8C-4553-B847-19FBF533053A}"/>
    <cellStyle name="40% - Accent6 2 2 2 6 3" xfId="10886" xr:uid="{F077C839-21F9-400E-868F-BBBA115354AF}"/>
    <cellStyle name="40% - Accent6 2 2 2 7" xfId="4596" xr:uid="{00000000-0005-0000-0000-0000F7060000}"/>
    <cellStyle name="40% - Accent6 2 2 2 7 2" xfId="13038" xr:uid="{F4C6C093-82EC-477C-BD24-913A60E00122}"/>
    <cellStyle name="40% - Accent6 2 2 2 8" xfId="8820" xr:uid="{4BC2369D-0C6C-4367-9377-BC7F6D87D8E2}"/>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070BC99E-8570-4612-B9EE-3F8AF36648C7}"/>
    <cellStyle name="40% - Accent6 2 2 3 2 3" xfId="11378" xr:uid="{44B71469-D0D1-424F-A523-F2DA74559AA1}"/>
    <cellStyle name="40% - Accent6 2 2 3 3" xfId="5009" xr:uid="{00000000-0005-0000-0000-0000FB060000}"/>
    <cellStyle name="40% - Accent6 2 2 3 3 2" xfId="13451" xr:uid="{77DE17C3-F735-4990-94D9-B2AD71C95365}"/>
    <cellStyle name="40% - Accent6 2 2 3 4" xfId="9233" xr:uid="{FC79BD56-BB4E-42B4-9B19-E3649951950E}"/>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A328AC7B-29F2-4069-972F-B1FA0929C264}"/>
    <cellStyle name="40% - Accent6 2 2 4 2 3" xfId="11791" xr:uid="{E89D61CB-986C-480D-9004-9CF2313E38AC}"/>
    <cellStyle name="40% - Accent6 2 2 4 3" xfId="5422" xr:uid="{00000000-0005-0000-0000-0000FF060000}"/>
    <cellStyle name="40% - Accent6 2 2 4 3 2" xfId="13864" xr:uid="{AC9DC07C-898D-4060-977E-A65C9457D302}"/>
    <cellStyle name="40% - Accent6 2 2 4 4" xfId="9646" xr:uid="{804D5986-CF6E-4D68-BEC3-F9DB0FE3C6E9}"/>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46824DFE-B6C0-4BEA-857C-6D29EF654750}"/>
    <cellStyle name="40% - Accent6 2 2 5 2 3" xfId="12204" xr:uid="{2F3CD1C1-C8BC-4F29-B6B2-FEEEC684347C}"/>
    <cellStyle name="40% - Accent6 2 2 5 3" xfId="5835" xr:uid="{00000000-0005-0000-0000-000003070000}"/>
    <cellStyle name="40% - Accent6 2 2 5 3 2" xfId="14277" xr:uid="{89986F4E-E99C-4842-B05C-6DE3190C9A6C}"/>
    <cellStyle name="40% - Accent6 2 2 5 4" xfId="10059" xr:uid="{3A0D3150-19DB-4C8E-A33B-8DE2F96120FA}"/>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376C275D-9AD7-457C-AAA9-EE77491A69A8}"/>
    <cellStyle name="40% - Accent6 2 2 6 2 3" xfId="12617" xr:uid="{663552BA-E7E2-456D-A5E4-2B0B6F45986D}"/>
    <cellStyle name="40% - Accent6 2 2 6 3" xfId="6248" xr:uid="{00000000-0005-0000-0000-000007070000}"/>
    <cellStyle name="40% - Accent6 2 2 6 3 2" xfId="14690" xr:uid="{8B194727-563C-47D8-8F45-447F135E94EA}"/>
    <cellStyle name="40% - Accent6 2 2 6 4" xfId="10472" xr:uid="{39C119DB-1F9F-4332-892E-30425A27206F}"/>
    <cellStyle name="40% - Accent6 2 2 7" xfId="2354" xr:uid="{00000000-0005-0000-0000-000008070000}"/>
    <cellStyle name="40% - Accent6 2 2 7 2" xfId="6661" xr:uid="{00000000-0005-0000-0000-000009070000}"/>
    <cellStyle name="40% - Accent6 2 2 7 2 2" xfId="15103" xr:uid="{DCC216D8-D454-4E72-9C6C-75CC4DB2767B}"/>
    <cellStyle name="40% - Accent6 2 2 7 3" xfId="10885" xr:uid="{0115FCDF-1B02-4981-97DD-7607A47767AB}"/>
    <cellStyle name="40% - Accent6 2 2 8" xfId="4595" xr:uid="{00000000-0005-0000-0000-00000A070000}"/>
    <cellStyle name="40% - Accent6 2 2 8 2" xfId="13037" xr:uid="{4454049A-4F4A-4A8C-99CC-19CD8922AB65}"/>
    <cellStyle name="40% - Accent6 2 2 9" xfId="8819" xr:uid="{CFA0A40C-121D-4FA4-A418-E8D579CC6082}"/>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207347F2-7C17-404C-B988-6B854523395E}"/>
    <cellStyle name="40% - Accent6 2 3 2 2 3" xfId="11380" xr:uid="{4EBB7EED-2243-46C6-855C-33676C2B17CE}"/>
    <cellStyle name="40% - Accent6 2 3 2 3" xfId="5011" xr:uid="{00000000-0005-0000-0000-00000F070000}"/>
    <cellStyle name="40% - Accent6 2 3 2 3 2" xfId="13453" xr:uid="{1007D3EC-9ED7-4478-9AF1-C1615500C504}"/>
    <cellStyle name="40% - Accent6 2 3 2 4" xfId="9235" xr:uid="{0C019973-ACE0-49D6-B5E1-3B8A3DBF823E}"/>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1B65B60C-8C1A-4912-B5E1-834BB0A98622}"/>
    <cellStyle name="40% - Accent6 2 3 3 2 3" xfId="11793" xr:uid="{A2BD7597-A268-4264-A00D-D969C5A86EB5}"/>
    <cellStyle name="40% - Accent6 2 3 3 3" xfId="5424" xr:uid="{00000000-0005-0000-0000-000013070000}"/>
    <cellStyle name="40% - Accent6 2 3 3 3 2" xfId="13866" xr:uid="{CE57C7B8-82AF-451A-9B22-A361DBDD9E2C}"/>
    <cellStyle name="40% - Accent6 2 3 3 4" xfId="9648" xr:uid="{C9A7E33A-2DBE-4F9C-9575-1257180425D9}"/>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25222790-B721-44C5-92E3-AC9904C6EBA2}"/>
    <cellStyle name="40% - Accent6 2 3 4 2 3" xfId="12206" xr:uid="{01ACB81B-4DF0-47B3-914A-B18DD72DFD1D}"/>
    <cellStyle name="40% - Accent6 2 3 4 3" xfId="5837" xr:uid="{00000000-0005-0000-0000-000017070000}"/>
    <cellStyle name="40% - Accent6 2 3 4 3 2" xfId="14279" xr:uid="{F91E9E64-FD8A-4F6B-A2C4-8A428F3FED8C}"/>
    <cellStyle name="40% - Accent6 2 3 4 4" xfId="10061" xr:uid="{FBB8C672-92E6-431D-A4BF-5DCC29CE8CCE}"/>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E8C8F628-20AB-4D3F-8528-145AC6F24D00}"/>
    <cellStyle name="40% - Accent6 2 3 5 2 3" xfId="12619" xr:uid="{71861DC6-B1EA-42CA-8CA0-7DDC0D3E08F7}"/>
    <cellStyle name="40% - Accent6 2 3 5 3" xfId="6250" xr:uid="{00000000-0005-0000-0000-00001B070000}"/>
    <cellStyle name="40% - Accent6 2 3 5 3 2" xfId="14692" xr:uid="{F963EC35-D1C9-4C09-8FA7-E43874355321}"/>
    <cellStyle name="40% - Accent6 2 3 5 4" xfId="10474" xr:uid="{AF2B1DB3-0B17-444F-B3F6-13EB808E67DA}"/>
    <cellStyle name="40% - Accent6 2 3 6" xfId="2356" xr:uid="{00000000-0005-0000-0000-00001C070000}"/>
    <cellStyle name="40% - Accent6 2 3 6 2" xfId="6663" xr:uid="{00000000-0005-0000-0000-00001D070000}"/>
    <cellStyle name="40% - Accent6 2 3 6 2 2" xfId="15105" xr:uid="{DE1E44A9-8537-46F5-93CE-8BD4F7D2802B}"/>
    <cellStyle name="40% - Accent6 2 3 6 3" xfId="10887" xr:uid="{FF85BD3E-4BDC-4E36-B81C-93A1FB8CF580}"/>
    <cellStyle name="40% - Accent6 2 3 7" xfId="4597" xr:uid="{00000000-0005-0000-0000-00001E070000}"/>
    <cellStyle name="40% - Accent6 2 3 7 2" xfId="13039" xr:uid="{8274799B-2C7F-4C10-B5FA-00C4BCB1A233}"/>
    <cellStyle name="40% - Accent6 2 3 8" xfId="8821" xr:uid="{F076273C-82ED-48ED-A0CB-CDA9FEE5692F}"/>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4F108FF0-DDFC-40BD-84A6-3CE29E95485B}"/>
    <cellStyle name="40% - Accent6 2 4 2 3" xfId="11377" xr:uid="{C046BCA4-C053-4E46-A19E-F444588A2A62}"/>
    <cellStyle name="40% - Accent6 2 4 3" xfId="5008" xr:uid="{00000000-0005-0000-0000-000022070000}"/>
    <cellStyle name="40% - Accent6 2 4 3 2" xfId="13450" xr:uid="{1F0D5982-17C9-4773-8BFC-D7962F9CF5C2}"/>
    <cellStyle name="40% - Accent6 2 4 4" xfId="9232" xr:uid="{A71FC127-5C6C-4F22-8F5E-87547B770AE2}"/>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EE7FDD52-5AD5-4BD2-9E97-540302C90FC7}"/>
    <cellStyle name="40% - Accent6 2 5 2 3" xfId="11790" xr:uid="{C16F5A40-BA79-4C02-B108-9404C2F97AA3}"/>
    <cellStyle name="40% - Accent6 2 5 3" xfId="5421" xr:uid="{00000000-0005-0000-0000-000026070000}"/>
    <cellStyle name="40% - Accent6 2 5 3 2" xfId="13863" xr:uid="{F71EEEB2-58F4-44CE-9A9E-CE0BC79C8AC1}"/>
    <cellStyle name="40% - Accent6 2 5 4" xfId="9645" xr:uid="{E66B2DB0-B1A6-45E1-8F28-D90B744A8A3D}"/>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B57B306F-3A42-475D-956D-9B42A89C9960}"/>
    <cellStyle name="40% - Accent6 2 6 2 3" xfId="12203" xr:uid="{CAF6F495-0047-419E-AA94-0958157E204C}"/>
    <cellStyle name="40% - Accent6 2 6 3" xfId="5834" xr:uid="{00000000-0005-0000-0000-00002A070000}"/>
    <cellStyle name="40% - Accent6 2 6 3 2" xfId="14276" xr:uid="{275DF732-71D0-4058-9523-B62A92C9387B}"/>
    <cellStyle name="40% - Accent6 2 6 4" xfId="10058" xr:uid="{C72993CD-A792-4CFA-828D-6368454E6B8C}"/>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204BD38C-29B0-4C17-8D8A-F49BC2A9A0BC}"/>
    <cellStyle name="40% - Accent6 2 7 2 3" xfId="12616" xr:uid="{6D76F555-520F-4786-A6E6-C3E9AE411A06}"/>
    <cellStyle name="40% - Accent6 2 7 3" xfId="6247" xr:uid="{00000000-0005-0000-0000-00002E070000}"/>
    <cellStyle name="40% - Accent6 2 7 3 2" xfId="14689" xr:uid="{501A0C8F-4359-429B-9F54-AF6332B141C5}"/>
    <cellStyle name="40% - Accent6 2 7 4" xfId="10471" xr:uid="{EE1C3807-B1FA-45C2-9FD5-BBC27629E1FD}"/>
    <cellStyle name="40% - Accent6 2 8" xfId="2353" xr:uid="{00000000-0005-0000-0000-00002F070000}"/>
    <cellStyle name="40% - Accent6 2 8 2" xfId="6660" xr:uid="{00000000-0005-0000-0000-000030070000}"/>
    <cellStyle name="40% - Accent6 2 8 2 2" xfId="15102" xr:uid="{4D681785-6937-4871-B701-B9F726DDCEDB}"/>
    <cellStyle name="40% - Accent6 2 8 3" xfId="10884" xr:uid="{BCC4229D-DFFF-480D-9571-B120141C9F0E}"/>
    <cellStyle name="40% - Accent6 2 9" xfId="4594" xr:uid="{00000000-0005-0000-0000-000031070000}"/>
    <cellStyle name="40% - Accent6 2 9 2" xfId="13036" xr:uid="{30318D34-FE8B-4F31-94A5-2B3C8255A498}"/>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D310704C-457C-4454-9981-648DADF47CE5}"/>
    <cellStyle name="40% - Accent6 3 2 2 2 3" xfId="11382" xr:uid="{B72FFD5C-0923-43BB-AED6-78C3735DAA88}"/>
    <cellStyle name="40% - Accent6 3 2 2 3" xfId="5013" xr:uid="{00000000-0005-0000-0000-000037070000}"/>
    <cellStyle name="40% - Accent6 3 2 2 3 2" xfId="13455" xr:uid="{592D5D0C-BB89-46CD-921E-5C9EC9F86E01}"/>
    <cellStyle name="40% - Accent6 3 2 2 4" xfId="9237" xr:uid="{D521FB2D-ECFD-48DB-BF21-AD21DAF3A1CF}"/>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2DD747A9-575C-4C0D-9690-6218917A315F}"/>
    <cellStyle name="40% - Accent6 3 2 3 2 3" xfId="11795" xr:uid="{277FF1ED-C39E-4711-BFCA-545EB96A7E1B}"/>
    <cellStyle name="40% - Accent6 3 2 3 3" xfId="5426" xr:uid="{00000000-0005-0000-0000-00003B070000}"/>
    <cellStyle name="40% - Accent6 3 2 3 3 2" xfId="13868" xr:uid="{C5188444-3E3A-47C8-BDA3-E48326920A89}"/>
    <cellStyle name="40% - Accent6 3 2 3 4" xfId="9650" xr:uid="{34B75F31-C744-4D41-BF5C-3EE00E92AAC4}"/>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D9BE8C21-8A73-4D9B-9AD1-A5B86E650E4D}"/>
    <cellStyle name="40% - Accent6 3 2 4 2 3" xfId="12208" xr:uid="{21841129-3117-41AD-ACBC-576822A789AD}"/>
    <cellStyle name="40% - Accent6 3 2 4 3" xfId="5839" xr:uid="{00000000-0005-0000-0000-00003F070000}"/>
    <cellStyle name="40% - Accent6 3 2 4 3 2" xfId="14281" xr:uid="{083C4ACD-A574-4B34-86AD-267944079D09}"/>
    <cellStyle name="40% - Accent6 3 2 4 4" xfId="10063" xr:uid="{B9F3A44A-3701-4853-8B0E-059ABFE65271}"/>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1C1E655B-8ED4-4470-9428-B4DF3723A224}"/>
    <cellStyle name="40% - Accent6 3 2 5 2 3" xfId="12621" xr:uid="{0582B246-60DA-4505-9224-42C2F9ED25EE}"/>
    <cellStyle name="40% - Accent6 3 2 5 3" xfId="6252" xr:uid="{00000000-0005-0000-0000-000043070000}"/>
    <cellStyle name="40% - Accent6 3 2 5 3 2" xfId="14694" xr:uid="{0F121BB4-6364-44B4-BB83-C064C320B2A3}"/>
    <cellStyle name="40% - Accent6 3 2 5 4" xfId="10476" xr:uid="{8DBE775C-B11C-4FF7-8149-C50CE7528B05}"/>
    <cellStyle name="40% - Accent6 3 2 6" xfId="2358" xr:uid="{00000000-0005-0000-0000-000044070000}"/>
    <cellStyle name="40% - Accent6 3 2 6 2" xfId="6665" xr:uid="{00000000-0005-0000-0000-000045070000}"/>
    <cellStyle name="40% - Accent6 3 2 6 2 2" xfId="15107" xr:uid="{36756911-770F-4F03-ACEF-C114D5001F15}"/>
    <cellStyle name="40% - Accent6 3 2 6 3" xfId="10889" xr:uid="{AD9E926A-8A88-4E8F-AA84-0637168AD4F1}"/>
    <cellStyle name="40% - Accent6 3 2 7" xfId="4599" xr:uid="{00000000-0005-0000-0000-000046070000}"/>
    <cellStyle name="40% - Accent6 3 2 7 2" xfId="13041" xr:uid="{B0547496-793D-4476-9B58-4530B537BBCE}"/>
    <cellStyle name="40% - Accent6 3 2 8" xfId="8823" xr:uid="{96108818-7A0C-48BE-A1C9-744E9862B77F}"/>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2609FD19-8560-463E-8DFC-CB2794C06F5E}"/>
    <cellStyle name="40% - Accent6 3 3 2 3" xfId="11381" xr:uid="{BD69A520-39B9-40F0-8D23-3E7CF979F56F}"/>
    <cellStyle name="40% - Accent6 3 3 3" xfId="5012" xr:uid="{00000000-0005-0000-0000-00004A070000}"/>
    <cellStyle name="40% - Accent6 3 3 3 2" xfId="13454" xr:uid="{914E01A9-159C-49A7-B496-26B2DC8DA0E4}"/>
    <cellStyle name="40% - Accent6 3 3 4" xfId="9236" xr:uid="{EC085720-F9A5-4D91-8D8A-3472EFEF903E}"/>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139B3243-5D57-4473-823C-39D10DCDDD30}"/>
    <cellStyle name="40% - Accent6 3 4 2 3" xfId="11794" xr:uid="{7E530CF9-09D0-4B2A-92FF-BD3120861EB7}"/>
    <cellStyle name="40% - Accent6 3 4 3" xfId="5425" xr:uid="{00000000-0005-0000-0000-00004E070000}"/>
    <cellStyle name="40% - Accent6 3 4 3 2" xfId="13867" xr:uid="{9C69B926-072F-491E-9807-1B4410E1C33C}"/>
    <cellStyle name="40% - Accent6 3 4 4" xfId="9649" xr:uid="{1F8CF935-B808-4936-9AF4-6AA0AF6129DE}"/>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02FE5B3A-96B4-47F6-AC74-85C421DDA2C9}"/>
    <cellStyle name="40% - Accent6 3 5 2 3" xfId="12207" xr:uid="{7642E31F-571B-4B3C-A62A-C33EF789455D}"/>
    <cellStyle name="40% - Accent6 3 5 3" xfId="5838" xr:uid="{00000000-0005-0000-0000-000052070000}"/>
    <cellStyle name="40% - Accent6 3 5 3 2" xfId="14280" xr:uid="{B4245828-9E37-44B4-81AE-57698380234A}"/>
    <cellStyle name="40% - Accent6 3 5 4" xfId="10062" xr:uid="{25395F14-5DB5-471B-BCF0-9DA58A05DFFA}"/>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EB0E9057-4EBC-4BEC-B0C6-3EE83BCCE2BB}"/>
    <cellStyle name="40% - Accent6 3 6 2 3" xfId="12620" xr:uid="{668F49AC-ED12-4331-9190-61A24C558474}"/>
    <cellStyle name="40% - Accent6 3 6 3" xfId="6251" xr:uid="{00000000-0005-0000-0000-000056070000}"/>
    <cellStyle name="40% - Accent6 3 6 3 2" xfId="14693" xr:uid="{9C1D4F8F-DB84-432F-A337-2A8EE0F6103E}"/>
    <cellStyle name="40% - Accent6 3 6 4" xfId="10475" xr:uid="{3C1D190B-666F-4845-97C7-C76CAFFA2B9D}"/>
    <cellStyle name="40% - Accent6 3 7" xfId="2357" xr:uid="{00000000-0005-0000-0000-000057070000}"/>
    <cellStyle name="40% - Accent6 3 7 2" xfId="6664" xr:uid="{00000000-0005-0000-0000-000058070000}"/>
    <cellStyle name="40% - Accent6 3 7 2 2" xfId="15106" xr:uid="{32385A82-5ED1-4311-9A79-07FCB1084B64}"/>
    <cellStyle name="40% - Accent6 3 7 3" xfId="10888" xr:uid="{977DDB2B-BDE5-402E-AFA0-EE8820F5EB56}"/>
    <cellStyle name="40% - Accent6 3 8" xfId="4598" xr:uid="{00000000-0005-0000-0000-000059070000}"/>
    <cellStyle name="40% - Accent6 3 8 2" xfId="13040" xr:uid="{BF97A39D-41C6-411F-88E7-3A5490D917AC}"/>
    <cellStyle name="40% - Accent6 3 9" xfId="8822" xr:uid="{4E86A63F-E3FE-4C6E-908A-467310F4C7D4}"/>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15C1FFEA-CD9D-41D4-B849-37D1059FDB4E}"/>
    <cellStyle name="40% - Accent6 4 2 2 3" xfId="11383" xr:uid="{AB3DFBB1-AD49-4ACA-A67D-492668CF314B}"/>
    <cellStyle name="40% - Accent6 4 2 3" xfId="5014" xr:uid="{00000000-0005-0000-0000-00005E070000}"/>
    <cellStyle name="40% - Accent6 4 2 3 2" xfId="13456" xr:uid="{A49FEA51-E80F-46D4-85F5-9EF6A915A35D}"/>
    <cellStyle name="40% - Accent6 4 2 4" xfId="9238" xr:uid="{6C87D994-735B-47EB-9F9B-E8A1656CC430}"/>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8CF11193-AAEA-4FEB-965E-EAE608FB050C}"/>
    <cellStyle name="40% - Accent6 4 3 2 3" xfId="11796" xr:uid="{4664B8A5-4AB0-4EE0-95D5-B5C6ADE786A4}"/>
    <cellStyle name="40% - Accent6 4 3 3" xfId="5427" xr:uid="{00000000-0005-0000-0000-000062070000}"/>
    <cellStyle name="40% - Accent6 4 3 3 2" xfId="13869" xr:uid="{947582F6-2E17-4AA1-AE75-A85606B05F9C}"/>
    <cellStyle name="40% - Accent6 4 3 4" xfId="9651" xr:uid="{8702BD78-EF86-4BC6-848E-E844AEFB441B}"/>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FD1ACAF0-9372-4AB5-A250-389BDD80F826}"/>
    <cellStyle name="40% - Accent6 4 4 2 3" xfId="12209" xr:uid="{548F795D-4932-43CD-9F57-22FE13D0BE33}"/>
    <cellStyle name="40% - Accent6 4 4 3" xfId="5840" xr:uid="{00000000-0005-0000-0000-000066070000}"/>
    <cellStyle name="40% - Accent6 4 4 3 2" xfId="14282" xr:uid="{6D775F90-E7A3-4709-A9FF-BB80599D5CB8}"/>
    <cellStyle name="40% - Accent6 4 4 4" xfId="10064" xr:uid="{277D7186-80A7-4D5C-80C5-1789D2E67AF1}"/>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689EDE9D-7AE4-4327-9379-01F2CFFC0721}"/>
    <cellStyle name="40% - Accent6 4 5 2 3" xfId="12622" xr:uid="{5022699D-7413-4EFF-9BCC-F5CBFCA60F89}"/>
    <cellStyle name="40% - Accent6 4 5 3" xfId="6253" xr:uid="{00000000-0005-0000-0000-00006A070000}"/>
    <cellStyle name="40% - Accent6 4 5 3 2" xfId="14695" xr:uid="{03B5EE2E-95FE-40D6-919D-3DE60B125EEA}"/>
    <cellStyle name="40% - Accent6 4 5 4" xfId="10477" xr:uid="{594E15AB-BE62-40FA-805C-A6F9DFD37B27}"/>
    <cellStyle name="40% - Accent6 4 6" xfId="2359" xr:uid="{00000000-0005-0000-0000-00006B070000}"/>
    <cellStyle name="40% - Accent6 4 6 2" xfId="6666" xr:uid="{00000000-0005-0000-0000-00006C070000}"/>
    <cellStyle name="40% - Accent6 4 6 2 2" xfId="15108" xr:uid="{DB0474A4-C6C3-41B7-BE70-9B9BD204D19C}"/>
    <cellStyle name="40% - Accent6 4 6 3" xfId="10890" xr:uid="{66B61F42-362B-4297-BC60-938F5D0B33D8}"/>
    <cellStyle name="40% - Accent6 4 7" xfId="4600" xr:uid="{00000000-0005-0000-0000-00006D070000}"/>
    <cellStyle name="40% - Accent6 4 7 2" xfId="13042" xr:uid="{0420A022-55E5-4AC3-90E9-CFDB221EEE00}"/>
    <cellStyle name="40% - Accent6 4 8" xfId="8824" xr:uid="{A3A1065E-CDE7-422B-845C-10D450660A27}"/>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515C5B84-E832-48E0-A004-207C62C5A651}"/>
    <cellStyle name="40% - Accent6 5 2 3" xfId="11376" xr:uid="{8577056B-5E7C-44BF-A532-1A4DC265A32E}"/>
    <cellStyle name="40% - Accent6 5 3" xfId="5007" xr:uid="{00000000-0005-0000-0000-000071070000}"/>
    <cellStyle name="40% - Accent6 5 3 2" xfId="13449" xr:uid="{69B46A09-EE89-4638-9500-DC2114B78F14}"/>
    <cellStyle name="40% - Accent6 5 4" xfId="9231" xr:uid="{DFBB40CC-AB5E-40E5-8283-CC770C3C4A38}"/>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AF3DDA05-C8DE-40F0-BE4A-32DF2C127C3E}"/>
    <cellStyle name="40% - Accent6 6 2 3" xfId="11789" xr:uid="{7A66FB98-B9E4-40F6-B8A4-4898CC2FA811}"/>
    <cellStyle name="40% - Accent6 6 3" xfId="5420" xr:uid="{00000000-0005-0000-0000-000075070000}"/>
    <cellStyle name="40% - Accent6 6 3 2" xfId="13862" xr:uid="{B3B9EDB8-42E3-4319-B56D-6C744D262F57}"/>
    <cellStyle name="40% - Accent6 6 4" xfId="9644" xr:uid="{6A5A6C12-8A95-4B36-ACDE-3F4BC3AB5B31}"/>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B6E5FD14-C6D1-439A-839C-F7BF9FE61C5C}"/>
    <cellStyle name="40% - Accent6 7 2 3" xfId="12202" xr:uid="{096173CF-EC00-4732-B490-356EEA81CA5C}"/>
    <cellStyle name="40% - Accent6 7 3" xfId="5833" xr:uid="{00000000-0005-0000-0000-000079070000}"/>
    <cellStyle name="40% - Accent6 7 3 2" xfId="14275" xr:uid="{8CDDDAAD-E161-42D3-B105-D3A826464DBD}"/>
    <cellStyle name="40% - Accent6 7 4" xfId="10057" xr:uid="{96A23785-B61A-4A8D-8B56-F953F04C48BF}"/>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0A6933FF-AB2A-45FA-B37B-6232F114B092}"/>
    <cellStyle name="40% - Accent6 8 2 3" xfId="12615" xr:uid="{5980C4A8-5244-4D73-871D-903162C73051}"/>
    <cellStyle name="40% - Accent6 8 3" xfId="6246" xr:uid="{00000000-0005-0000-0000-00007D070000}"/>
    <cellStyle name="40% - Accent6 8 3 2" xfId="14688" xr:uid="{E8F8CB00-AF93-4B76-821E-10BE5E3DEC6D}"/>
    <cellStyle name="40% - Accent6 8 4" xfId="10470" xr:uid="{3A13ECF0-B21F-4A06-88CF-993105E0A769}"/>
    <cellStyle name="40% - Accent6 9" xfId="2352" xr:uid="{00000000-0005-0000-0000-00007E070000}"/>
    <cellStyle name="40% - Accent6 9 2" xfId="6659" xr:uid="{00000000-0005-0000-0000-00007F070000}"/>
    <cellStyle name="40% - Accent6 9 2 2" xfId="15101" xr:uid="{0F420775-4119-42A1-83C4-3A4CE029D8BE}"/>
    <cellStyle name="40% - Accent6 9 3" xfId="10883" xr:uid="{C63FAF3D-671B-4C92-A04D-A7255447D756}"/>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7BFBB2E4-8533-4258-A80A-C872EEE7CF7C}"/>
    <cellStyle name="Comma 4 2 2 2 10 3" xfId="11208" xr:uid="{6A93EBAC-D7B4-4A8D-BCC6-EDDF91A73929}"/>
    <cellStyle name="Comma 4 2 2 2 11" xfId="4601" xr:uid="{00000000-0005-0000-0000-0000A3070000}"/>
    <cellStyle name="Comma 4 2 2 2 11 2" xfId="13043" xr:uid="{381823DB-0A66-483C-9810-44EF61DA2EB6}"/>
    <cellStyle name="Comma 4 2 2 2 12" xfId="8825" xr:uid="{8E1A1CA1-DD0F-40F3-A438-B057C650DC1B}"/>
    <cellStyle name="Comma 4 2 2 2 2" xfId="129" xr:uid="{00000000-0005-0000-0000-0000A4070000}"/>
    <cellStyle name="Comma 4 2 2 2 2 10" xfId="4602" xr:uid="{00000000-0005-0000-0000-0000A5070000}"/>
    <cellStyle name="Comma 4 2 2 2 2 10 2" xfId="13044" xr:uid="{C7123F4D-DF70-40EF-A25C-6EEB4C643718}"/>
    <cellStyle name="Comma 4 2 2 2 2 11" xfId="8826" xr:uid="{ED2D3456-33A5-43BF-BAC9-5F1167A97889}"/>
    <cellStyle name="Comma 4 2 2 2 2 2" xfId="130" xr:uid="{00000000-0005-0000-0000-0000A6070000}"/>
    <cellStyle name="Comma 4 2 2 2 2 2 10" xfId="8827" xr:uid="{92E58E91-E8CB-4DC8-A584-6F38C52A4E22}"/>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FC1DA466-D922-4266-89BE-DEE330D5A6A4}"/>
    <cellStyle name="Comma 4 2 2 2 2 2 2 2 3" xfId="11386" xr:uid="{E33A25DB-6985-46C0-80D5-E92D2EC2AF2B}"/>
    <cellStyle name="Comma 4 2 2 2 2 2 2 3" xfId="5017" xr:uid="{00000000-0005-0000-0000-0000AA070000}"/>
    <cellStyle name="Comma 4 2 2 2 2 2 2 3 2" xfId="13459" xr:uid="{4FEDA74C-DEF2-4E17-9306-197272F457D3}"/>
    <cellStyle name="Comma 4 2 2 2 2 2 2 4" xfId="9241" xr:uid="{0E5791AB-AF93-47BE-A32D-3080BCB041B8}"/>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E387EC9B-5C9B-4E2A-ADDC-CBBC483D6B44}"/>
    <cellStyle name="Comma 4 2 2 2 2 2 3 2 3" xfId="11799" xr:uid="{859F3F36-D0C0-4550-BB82-54A5FBA6F867}"/>
    <cellStyle name="Comma 4 2 2 2 2 2 3 3" xfId="5430" xr:uid="{00000000-0005-0000-0000-0000AE070000}"/>
    <cellStyle name="Comma 4 2 2 2 2 2 3 3 2" xfId="13872" xr:uid="{137C4420-A360-4A85-A99D-DD84C323C949}"/>
    <cellStyle name="Comma 4 2 2 2 2 2 3 4" xfId="9654" xr:uid="{8D960FA1-A56F-4286-8BF6-054D541A4DA4}"/>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F1FF4DFF-AC5C-439E-A9C7-FF6D4D1E8D3B}"/>
    <cellStyle name="Comma 4 2 2 2 2 2 4 2 3" xfId="12212" xr:uid="{083DD1CF-571C-4875-8984-74D274413A6D}"/>
    <cellStyle name="Comma 4 2 2 2 2 2 4 3" xfId="5843" xr:uid="{00000000-0005-0000-0000-0000B2070000}"/>
    <cellStyle name="Comma 4 2 2 2 2 2 4 3 2" xfId="14285" xr:uid="{5C86E975-7DCD-46D8-804B-A65AEB8BE2DB}"/>
    <cellStyle name="Comma 4 2 2 2 2 2 4 4" xfId="10067" xr:uid="{22DC66AE-EBA4-4C4F-A33F-3F0CE3418223}"/>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9CCA0588-A38C-4218-8405-1621D39B1985}"/>
    <cellStyle name="Comma 4 2 2 2 2 2 5 2 3" xfId="12625" xr:uid="{DBD7183D-F9D4-471B-B7FE-17D656B0C483}"/>
    <cellStyle name="Comma 4 2 2 2 2 2 5 3" xfId="6256" xr:uid="{00000000-0005-0000-0000-0000B6070000}"/>
    <cellStyle name="Comma 4 2 2 2 2 2 5 3 2" xfId="14698" xr:uid="{37325EC9-2803-4E60-BE97-7DFF4520DC20}"/>
    <cellStyle name="Comma 4 2 2 2 2 2 5 4" xfId="10480" xr:uid="{3C061723-5CB8-4701-BFEC-3FEAACFF63CD}"/>
    <cellStyle name="Comma 4 2 2 2 2 2 6" xfId="2384" xr:uid="{00000000-0005-0000-0000-0000B7070000}"/>
    <cellStyle name="Comma 4 2 2 2 2 2 6 2" xfId="6669" xr:uid="{00000000-0005-0000-0000-0000B8070000}"/>
    <cellStyle name="Comma 4 2 2 2 2 2 6 2 2" xfId="15111" xr:uid="{6A6994BA-C181-43EB-979D-6DEFC3159DB6}"/>
    <cellStyle name="Comma 4 2 2 2 2 2 6 3" xfId="10893" xr:uid="{91A28C71-7FE2-463D-A92D-AA86667A8F2C}"/>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D95AF190-C192-417F-B90D-9C9D3F2DAFBD}"/>
    <cellStyle name="Comma 4 2 2 2 2 2 8 3" xfId="11210" xr:uid="{A9ACE588-507E-4BEC-8A88-43835C3781FE}"/>
    <cellStyle name="Comma 4 2 2 2 2 2 9" xfId="4603" xr:uid="{00000000-0005-0000-0000-0000BC070000}"/>
    <cellStyle name="Comma 4 2 2 2 2 2 9 2" xfId="13045" xr:uid="{1F5B3682-178D-47FE-8974-FA77D670DD0A}"/>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E0C4F395-D317-4505-A53F-0F4F8D024846}"/>
    <cellStyle name="Comma 4 2 2 2 2 3 2 3" xfId="11385" xr:uid="{6FD26727-9BD3-4698-B072-0E501137DAEB}"/>
    <cellStyle name="Comma 4 2 2 2 2 3 3" xfId="5016" xr:uid="{00000000-0005-0000-0000-0000C0070000}"/>
    <cellStyle name="Comma 4 2 2 2 2 3 3 2" xfId="13458" xr:uid="{56F4183F-1C5D-4644-8DEC-EC51324E82D4}"/>
    <cellStyle name="Comma 4 2 2 2 2 3 4" xfId="9240" xr:uid="{C3B65D4B-7087-4D9B-BED9-02F4AA00FD99}"/>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A9345EBD-5C39-4FCF-AF48-9ED9C4432DC3}"/>
    <cellStyle name="Comma 4 2 2 2 2 4 2 3" xfId="11798" xr:uid="{2F89E7A1-E890-4DD8-A7A5-E4C93A2971F3}"/>
    <cellStyle name="Comma 4 2 2 2 2 4 3" xfId="5429" xr:uid="{00000000-0005-0000-0000-0000C4070000}"/>
    <cellStyle name="Comma 4 2 2 2 2 4 3 2" xfId="13871" xr:uid="{83B20F44-7337-424B-8D5E-ED29D522FD3C}"/>
    <cellStyle name="Comma 4 2 2 2 2 4 4" xfId="9653" xr:uid="{00F06E9B-8501-423C-B9BE-567A541CEF49}"/>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4D86EE99-F058-411F-A0AA-461B51BD2A03}"/>
    <cellStyle name="Comma 4 2 2 2 2 5 2 3" xfId="12211" xr:uid="{A13BA3A7-5BA8-4E0A-B3F2-B37E88376447}"/>
    <cellStyle name="Comma 4 2 2 2 2 5 3" xfId="5842" xr:uid="{00000000-0005-0000-0000-0000C8070000}"/>
    <cellStyle name="Comma 4 2 2 2 2 5 3 2" xfId="14284" xr:uid="{837DC278-9E6F-4094-BC38-ABA2BA09764C}"/>
    <cellStyle name="Comma 4 2 2 2 2 5 4" xfId="10066" xr:uid="{FC03F29B-F848-41AB-B8D8-41633CEC0D1B}"/>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99A19596-1B6A-43A0-8214-C1DB719D838C}"/>
    <cellStyle name="Comma 4 2 2 2 2 6 2 3" xfId="12624" xr:uid="{E7E6D03C-2358-494F-992B-2CFE51F057EA}"/>
    <cellStyle name="Comma 4 2 2 2 2 6 3" xfId="6255" xr:uid="{00000000-0005-0000-0000-0000CC070000}"/>
    <cellStyle name="Comma 4 2 2 2 2 6 3 2" xfId="14697" xr:uid="{95D750BF-A206-4FAF-8570-8B9ACDCB58A1}"/>
    <cellStyle name="Comma 4 2 2 2 2 6 4" xfId="10479" xr:uid="{4EE020F1-A45F-49B3-BCB3-76A9BFCB1D56}"/>
    <cellStyle name="Comma 4 2 2 2 2 7" xfId="2383" xr:uid="{00000000-0005-0000-0000-0000CD070000}"/>
    <cellStyle name="Comma 4 2 2 2 2 7 2" xfId="6668" xr:uid="{00000000-0005-0000-0000-0000CE070000}"/>
    <cellStyle name="Comma 4 2 2 2 2 7 2 2" xfId="15110" xr:uid="{EAFA9D3A-22C0-4389-B609-8FB2EF2728E4}"/>
    <cellStyle name="Comma 4 2 2 2 2 7 3" xfId="10892" xr:uid="{86099859-C31F-43D1-89E8-7FBF0D80501F}"/>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861EB48E-EAC4-4151-B7DA-3BDE814E8DC3}"/>
    <cellStyle name="Comma 4 2 2 2 2 9 3" xfId="11209" xr:uid="{43B7A32A-62F9-4763-88E0-9817E2C950D2}"/>
    <cellStyle name="Comma 4 2 2 2 3" xfId="131" xr:uid="{00000000-0005-0000-0000-0000D2070000}"/>
    <cellStyle name="Comma 4 2 2 2 3 10" xfId="8828" xr:uid="{C6EE4007-2B8C-46DF-98D0-50A192E08A56}"/>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9D655AB0-1B60-40E4-B39B-EA5425FE28B3}"/>
    <cellStyle name="Comma 4 2 2 2 3 2 2 3" xfId="11387" xr:uid="{6CB31060-D331-48B5-9428-A3E187788E20}"/>
    <cellStyle name="Comma 4 2 2 2 3 2 3" xfId="5018" xr:uid="{00000000-0005-0000-0000-0000D6070000}"/>
    <cellStyle name="Comma 4 2 2 2 3 2 3 2" xfId="13460" xr:uid="{E3E655F1-006F-4E3A-9AC1-61117267D627}"/>
    <cellStyle name="Comma 4 2 2 2 3 2 4" xfId="9242" xr:uid="{5E3C28C8-EADC-4F14-80D3-6D8A4B9596D5}"/>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F627B773-8796-4F31-A223-6B3FAA65283C}"/>
    <cellStyle name="Comma 4 2 2 2 3 3 2 3" xfId="11800" xr:uid="{5ED958DD-E4E7-4341-8BD4-B8E478A868FF}"/>
    <cellStyle name="Comma 4 2 2 2 3 3 3" xfId="5431" xr:uid="{00000000-0005-0000-0000-0000DA070000}"/>
    <cellStyle name="Comma 4 2 2 2 3 3 3 2" xfId="13873" xr:uid="{ABBE5799-6444-46EA-B085-07998400305F}"/>
    <cellStyle name="Comma 4 2 2 2 3 3 4" xfId="9655" xr:uid="{5B6E1BEE-7548-4E69-A3EA-2981DAC4D45A}"/>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23605245-C4D2-4812-99D1-D4FE17DCFBD7}"/>
    <cellStyle name="Comma 4 2 2 2 3 4 2 3" xfId="12213" xr:uid="{247CC0B5-BE2D-4380-9F9C-D556DD3C945F}"/>
    <cellStyle name="Comma 4 2 2 2 3 4 3" xfId="5844" xr:uid="{00000000-0005-0000-0000-0000DE070000}"/>
    <cellStyle name="Comma 4 2 2 2 3 4 3 2" xfId="14286" xr:uid="{DECC893B-6DD5-44F4-A64A-0FC71B761EDD}"/>
    <cellStyle name="Comma 4 2 2 2 3 4 4" xfId="10068" xr:uid="{2F444B97-FC1C-479D-9B4E-E04C9DB30CB9}"/>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D62C661C-094B-4447-852B-CFB3AE379499}"/>
    <cellStyle name="Comma 4 2 2 2 3 5 2 3" xfId="12626" xr:uid="{11E3FFE0-C45C-456B-91FF-5A4F4D4C2572}"/>
    <cellStyle name="Comma 4 2 2 2 3 5 3" xfId="6257" xr:uid="{00000000-0005-0000-0000-0000E2070000}"/>
    <cellStyle name="Comma 4 2 2 2 3 5 3 2" xfId="14699" xr:uid="{99575794-6CBD-4F84-A310-445CE14B2257}"/>
    <cellStyle name="Comma 4 2 2 2 3 5 4" xfId="10481" xr:uid="{8C8320CA-CF20-4D8C-9081-8C93272572A6}"/>
    <cellStyle name="Comma 4 2 2 2 3 6" xfId="2385" xr:uid="{00000000-0005-0000-0000-0000E3070000}"/>
    <cellStyle name="Comma 4 2 2 2 3 6 2" xfId="6670" xr:uid="{00000000-0005-0000-0000-0000E4070000}"/>
    <cellStyle name="Comma 4 2 2 2 3 6 2 2" xfId="15112" xr:uid="{B5C5E560-8D00-4F2C-9C05-28A41A9BE264}"/>
    <cellStyle name="Comma 4 2 2 2 3 6 3" xfId="10894" xr:uid="{B86AA020-522E-41A7-B2BB-E52075D7B8EE}"/>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98586C8E-5445-4C39-8DAE-454642637707}"/>
    <cellStyle name="Comma 4 2 2 2 3 8 3" xfId="11211" xr:uid="{9D69F9E5-FF8F-4B2E-B124-3816815BC105}"/>
    <cellStyle name="Comma 4 2 2 2 3 9" xfId="4604" xr:uid="{00000000-0005-0000-0000-0000E8070000}"/>
    <cellStyle name="Comma 4 2 2 2 3 9 2" xfId="13046" xr:uid="{3C4FE34F-B30D-4102-B416-5B1793D84C3C}"/>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6A379021-053E-4208-AC88-A89158B9A798}"/>
    <cellStyle name="Comma 4 2 2 2 4 2 3" xfId="11384" xr:uid="{70B582A0-14F3-4AE3-930C-DC2A46C78E52}"/>
    <cellStyle name="Comma 4 2 2 2 4 3" xfId="5015" xr:uid="{00000000-0005-0000-0000-0000EC070000}"/>
    <cellStyle name="Comma 4 2 2 2 4 3 2" xfId="13457" xr:uid="{86E39B97-8C19-4AF6-AF08-DF773631FB8E}"/>
    <cellStyle name="Comma 4 2 2 2 4 4" xfId="9239" xr:uid="{95B5D7C6-3E50-4055-AC2F-952462E34FCC}"/>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D3C65557-7823-43D4-B671-FF5B8738DB88}"/>
    <cellStyle name="Comma 4 2 2 2 5 2 3" xfId="11797" xr:uid="{630499DE-F4F5-4D3B-986E-6C14A332D4B3}"/>
    <cellStyle name="Comma 4 2 2 2 5 3" xfId="5428" xr:uid="{00000000-0005-0000-0000-0000F0070000}"/>
    <cellStyle name="Comma 4 2 2 2 5 3 2" xfId="13870" xr:uid="{E71F94EE-EA91-4BF3-9B32-07219A339042}"/>
    <cellStyle name="Comma 4 2 2 2 5 4" xfId="9652" xr:uid="{F54D1EC1-59AD-41EE-9B5C-6C1FDAEE38C1}"/>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D66DE2E0-900C-4280-BDA4-7F55D8D3DF77}"/>
    <cellStyle name="Comma 4 2 2 2 6 2 3" xfId="12210" xr:uid="{2BDD8F62-E3B4-4BD4-80EA-7825973A5CD0}"/>
    <cellStyle name="Comma 4 2 2 2 6 3" xfId="5841" xr:uid="{00000000-0005-0000-0000-0000F4070000}"/>
    <cellStyle name="Comma 4 2 2 2 6 3 2" xfId="14283" xr:uid="{2A772435-E2E8-4E24-A1C4-5F7EB41977F0}"/>
    <cellStyle name="Comma 4 2 2 2 6 4" xfId="10065" xr:uid="{4ADE6D99-D4E2-474B-AA6B-77057D4A935E}"/>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F68FE5AE-3B04-4DEE-8E58-9875914F058B}"/>
    <cellStyle name="Comma 4 2 2 2 7 2 3" xfId="12623" xr:uid="{E43A9471-991D-43B4-B4F6-37B097A68E8C}"/>
    <cellStyle name="Comma 4 2 2 2 7 3" xfId="6254" xr:uid="{00000000-0005-0000-0000-0000F8070000}"/>
    <cellStyle name="Comma 4 2 2 2 7 3 2" xfId="14696" xr:uid="{AAE8B692-D1B9-4606-B4D6-8796449B1D10}"/>
    <cellStyle name="Comma 4 2 2 2 7 4" xfId="10478" xr:uid="{6C4CA86E-C9F2-468F-9FA6-EF4F2C3510AB}"/>
    <cellStyle name="Comma 4 2 2 2 8" xfId="2382" xr:uid="{00000000-0005-0000-0000-0000F9070000}"/>
    <cellStyle name="Comma 4 2 2 2 8 2" xfId="6667" xr:uid="{00000000-0005-0000-0000-0000FA070000}"/>
    <cellStyle name="Comma 4 2 2 2 8 2 2" xfId="15109" xr:uid="{E1A3DD73-1094-4EEE-B44A-B2305438C477}"/>
    <cellStyle name="Comma 4 2 2 2 8 3" xfId="10891" xr:uid="{6A90590F-7E63-4852-B9AF-8684FFFFDAFC}"/>
    <cellStyle name="Comma 4 2 2 2 9" xfId="2381" xr:uid="{00000000-0005-0000-0000-0000FB070000}"/>
    <cellStyle name="Comma 4 2 2 3" xfId="132" xr:uid="{00000000-0005-0000-0000-0000FC070000}"/>
    <cellStyle name="Comma 4 2 2 3 10" xfId="4605" xr:uid="{00000000-0005-0000-0000-0000FD070000}"/>
    <cellStyle name="Comma 4 2 2 3 10 2" xfId="13047" xr:uid="{ABF240E6-8D6B-4062-ADCA-0EA95450F64D}"/>
    <cellStyle name="Comma 4 2 2 3 11" xfId="8829" xr:uid="{9D0BA7E4-089A-450E-978F-BFED97A76032}"/>
    <cellStyle name="Comma 4 2 2 3 2" xfId="133" xr:uid="{00000000-0005-0000-0000-0000FE070000}"/>
    <cellStyle name="Comma 4 2 2 3 2 10" xfId="8830" xr:uid="{538BDB59-F7CC-4629-A8B9-92BFD0DA513E}"/>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C2F8C516-4CC7-4F86-8C43-EE27B32E1DEB}"/>
    <cellStyle name="Comma 4 2 2 3 2 2 2 3" xfId="11389" xr:uid="{A941D105-C061-4570-BCCD-3716CDDB1486}"/>
    <cellStyle name="Comma 4 2 2 3 2 2 3" xfId="5020" xr:uid="{00000000-0005-0000-0000-000002080000}"/>
    <cellStyle name="Comma 4 2 2 3 2 2 3 2" xfId="13462" xr:uid="{18161557-977C-4D47-A54D-2357127B2EAD}"/>
    <cellStyle name="Comma 4 2 2 3 2 2 4" xfId="9244" xr:uid="{170F05B9-8F1E-41D5-9D6D-D076B398BC01}"/>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B26ABA0C-2057-4E75-8638-5F51FC632FA8}"/>
    <cellStyle name="Comma 4 2 2 3 2 3 2 3" xfId="11802" xr:uid="{3A25F168-95F4-43E2-BBD6-D778AE6C9346}"/>
    <cellStyle name="Comma 4 2 2 3 2 3 3" xfId="5433" xr:uid="{00000000-0005-0000-0000-000006080000}"/>
    <cellStyle name="Comma 4 2 2 3 2 3 3 2" xfId="13875" xr:uid="{A4D08E6F-507B-43A1-9F27-F2C3A09EF0AC}"/>
    <cellStyle name="Comma 4 2 2 3 2 3 4" xfId="9657" xr:uid="{6F1A5C70-794A-4D81-A09F-C6AC0A09977D}"/>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CE820038-13F7-4DD7-B99F-C71D2C1300C6}"/>
    <cellStyle name="Comma 4 2 2 3 2 4 2 3" xfId="12215" xr:uid="{AD50E4F8-9477-49B3-B790-EA1C33A38B5F}"/>
    <cellStyle name="Comma 4 2 2 3 2 4 3" xfId="5846" xr:uid="{00000000-0005-0000-0000-00000A080000}"/>
    <cellStyle name="Comma 4 2 2 3 2 4 3 2" xfId="14288" xr:uid="{F7DB149C-1E51-48D2-86A3-FB07CB714AC7}"/>
    <cellStyle name="Comma 4 2 2 3 2 4 4" xfId="10070" xr:uid="{A8223133-7D44-47FB-A2E3-C82973B1ED45}"/>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AD27FA53-D912-4ACF-BD90-2BBB276BA55F}"/>
    <cellStyle name="Comma 4 2 2 3 2 5 2 3" xfId="12628" xr:uid="{1F803B06-8CED-4464-9721-CA8739525E96}"/>
    <cellStyle name="Comma 4 2 2 3 2 5 3" xfId="6259" xr:uid="{00000000-0005-0000-0000-00000E080000}"/>
    <cellStyle name="Comma 4 2 2 3 2 5 3 2" xfId="14701" xr:uid="{7AD622AD-D810-4493-8E38-34DB8318DA76}"/>
    <cellStyle name="Comma 4 2 2 3 2 5 4" xfId="10483" xr:uid="{30AB15C6-393E-4F77-ADAD-C5FCDEDBAED6}"/>
    <cellStyle name="Comma 4 2 2 3 2 6" xfId="2387" xr:uid="{00000000-0005-0000-0000-00000F080000}"/>
    <cellStyle name="Comma 4 2 2 3 2 6 2" xfId="6672" xr:uid="{00000000-0005-0000-0000-000010080000}"/>
    <cellStyle name="Comma 4 2 2 3 2 6 2 2" xfId="15114" xr:uid="{4F102EEC-5F75-4E0C-9F86-FF55434E1096}"/>
    <cellStyle name="Comma 4 2 2 3 2 6 3" xfId="10896" xr:uid="{694A647E-2A84-4EF2-82A6-C54C0720D688}"/>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5EDAA7F8-0E0D-4F43-A7F0-C27799A4046E}"/>
    <cellStyle name="Comma 4 2 2 3 2 8 3" xfId="11213" xr:uid="{F136A7C2-561F-4D1B-A430-0C95A2866978}"/>
    <cellStyle name="Comma 4 2 2 3 2 9" xfId="4606" xr:uid="{00000000-0005-0000-0000-000014080000}"/>
    <cellStyle name="Comma 4 2 2 3 2 9 2" xfId="13048" xr:uid="{15CD9385-7422-458A-89B7-C42D85715A67}"/>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48735DA2-FDB6-4096-A7C7-4F5D12784145}"/>
    <cellStyle name="Comma 4 2 2 3 3 2 3" xfId="11388" xr:uid="{FD05CAA5-1476-44AE-8B47-15BD9D225131}"/>
    <cellStyle name="Comma 4 2 2 3 3 3" xfId="5019" xr:uid="{00000000-0005-0000-0000-000018080000}"/>
    <cellStyle name="Comma 4 2 2 3 3 3 2" xfId="13461" xr:uid="{D879DF76-C707-4C77-AEAB-B32F71B6A725}"/>
    <cellStyle name="Comma 4 2 2 3 3 4" xfId="9243" xr:uid="{E967FA77-4A3E-4AFA-A28B-AFE9F24BF1BD}"/>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422E4895-F479-4486-98F6-C1784CBFEE1F}"/>
    <cellStyle name="Comma 4 2 2 3 4 2 3" xfId="11801" xr:uid="{B431D689-3570-421C-8BA5-99CB68555744}"/>
    <cellStyle name="Comma 4 2 2 3 4 3" xfId="5432" xr:uid="{00000000-0005-0000-0000-00001C080000}"/>
    <cellStyle name="Comma 4 2 2 3 4 3 2" xfId="13874" xr:uid="{DF18230C-32E6-4399-A4FC-93BD56A2A79A}"/>
    <cellStyle name="Comma 4 2 2 3 4 4" xfId="9656" xr:uid="{1E1648A9-C037-4EF9-8C7B-AA9390FA0D8E}"/>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4C398254-9A88-4977-A78E-069D9CCDE018}"/>
    <cellStyle name="Comma 4 2 2 3 5 2 3" xfId="12214" xr:uid="{B8928192-0536-4B0A-90BE-100F442D47F8}"/>
    <cellStyle name="Comma 4 2 2 3 5 3" xfId="5845" xr:uid="{00000000-0005-0000-0000-000020080000}"/>
    <cellStyle name="Comma 4 2 2 3 5 3 2" xfId="14287" xr:uid="{62532BC4-280B-44C3-8D2F-92C7056FBEA4}"/>
    <cellStyle name="Comma 4 2 2 3 5 4" xfId="10069" xr:uid="{2A5E71CA-0DA7-4355-8BC7-77BBEB4CC65B}"/>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4ED20771-7347-4D69-A18B-93E3AA6A700B}"/>
    <cellStyle name="Comma 4 2 2 3 6 2 3" xfId="12627" xr:uid="{CC9A1815-D0D9-46E6-B99F-3B739D0665B5}"/>
    <cellStyle name="Comma 4 2 2 3 6 3" xfId="6258" xr:uid="{00000000-0005-0000-0000-000024080000}"/>
    <cellStyle name="Comma 4 2 2 3 6 3 2" xfId="14700" xr:uid="{58EA5D3A-7E33-4B59-BB5A-F4077E57B506}"/>
    <cellStyle name="Comma 4 2 2 3 6 4" xfId="10482" xr:uid="{2BB86127-AD5D-4490-9301-E16DE8CBE271}"/>
    <cellStyle name="Comma 4 2 2 3 7" xfId="2386" xr:uid="{00000000-0005-0000-0000-000025080000}"/>
    <cellStyle name="Comma 4 2 2 3 7 2" xfId="6671" xr:uid="{00000000-0005-0000-0000-000026080000}"/>
    <cellStyle name="Comma 4 2 2 3 7 2 2" xfId="15113" xr:uid="{3127632A-7B5E-442C-AEEF-CC9593D9A27E}"/>
    <cellStyle name="Comma 4 2 2 3 7 3" xfId="10895" xr:uid="{4B542C2A-100B-4E4B-862C-8943B6E02254}"/>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9BBDDB5A-10CA-4FA1-B54E-AAA86EB437B1}"/>
    <cellStyle name="Comma 4 2 2 3 9 3" xfId="11212" xr:uid="{75259807-FAE9-4D12-9DAB-A3E3A0C14038}"/>
    <cellStyle name="Comma 4 2 2 4" xfId="134" xr:uid="{00000000-0005-0000-0000-00002A080000}"/>
    <cellStyle name="Comma 4 2 2 4 10" xfId="8831" xr:uid="{759CFBD2-8E1F-465A-A9A5-F23E10F0912D}"/>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318899CD-6829-4C84-9B40-A1E659BEF53A}"/>
    <cellStyle name="Comma 4 2 2 4 2 2 3" xfId="11390" xr:uid="{B951603A-BDB6-4E7D-8460-491AA89C5139}"/>
    <cellStyle name="Comma 4 2 2 4 2 3" xfId="5021" xr:uid="{00000000-0005-0000-0000-00002E080000}"/>
    <cellStyle name="Comma 4 2 2 4 2 3 2" xfId="13463" xr:uid="{F402E4F6-1D52-4CB1-8CF7-42B6F7B3F4E8}"/>
    <cellStyle name="Comma 4 2 2 4 2 4" xfId="9245" xr:uid="{38B461CE-CA72-431D-A8E0-77745256679A}"/>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9407725A-6CED-4019-A22D-88105D970464}"/>
    <cellStyle name="Comma 4 2 2 4 3 2 3" xfId="11803" xr:uid="{AE68C9CD-8DE5-4724-9DE8-17F2648443AE}"/>
    <cellStyle name="Comma 4 2 2 4 3 3" xfId="5434" xr:uid="{00000000-0005-0000-0000-000032080000}"/>
    <cellStyle name="Comma 4 2 2 4 3 3 2" xfId="13876" xr:uid="{E433B30B-B88A-4222-9E07-CC8D59F71850}"/>
    <cellStyle name="Comma 4 2 2 4 3 4" xfId="9658" xr:uid="{D67D3A8C-8F11-40F6-A03A-7489A0A674BD}"/>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A92F8735-86ED-44F5-A0C2-CF756A46AF22}"/>
    <cellStyle name="Comma 4 2 2 4 4 2 3" xfId="12216" xr:uid="{62E88AE6-D1EF-421C-8F81-AE5440B0BFA1}"/>
    <cellStyle name="Comma 4 2 2 4 4 3" xfId="5847" xr:uid="{00000000-0005-0000-0000-000036080000}"/>
    <cellStyle name="Comma 4 2 2 4 4 3 2" xfId="14289" xr:uid="{CB45789E-C83D-4810-BD8F-D642A6902482}"/>
    <cellStyle name="Comma 4 2 2 4 4 4" xfId="10071" xr:uid="{6B7265CE-083C-457F-A2AE-19AFE7443311}"/>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A2CA81AD-494C-440D-AB1C-F858BC7DE113}"/>
    <cellStyle name="Comma 4 2 2 4 5 2 3" xfId="12629" xr:uid="{0633FFA6-666F-4864-B2A2-735B23D58C2A}"/>
    <cellStyle name="Comma 4 2 2 4 5 3" xfId="6260" xr:uid="{00000000-0005-0000-0000-00003A080000}"/>
    <cellStyle name="Comma 4 2 2 4 5 3 2" xfId="14702" xr:uid="{284889C5-A6A4-4C05-A651-257407402EDA}"/>
    <cellStyle name="Comma 4 2 2 4 5 4" xfId="10484" xr:uid="{17019065-3DB3-4EB8-A70A-5B5DFB9839B0}"/>
    <cellStyle name="Comma 4 2 2 4 6" xfId="2388" xr:uid="{00000000-0005-0000-0000-00003B080000}"/>
    <cellStyle name="Comma 4 2 2 4 6 2" xfId="6673" xr:uid="{00000000-0005-0000-0000-00003C080000}"/>
    <cellStyle name="Comma 4 2 2 4 6 2 2" xfId="15115" xr:uid="{095DC0C8-4FE7-4F79-9E16-23B6E15997CB}"/>
    <cellStyle name="Comma 4 2 2 4 6 3" xfId="10897" xr:uid="{D3F3154B-90B6-4D12-9407-F0E80B0A45D1}"/>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6297F04B-0276-434F-A918-AC08D1A41E3B}"/>
    <cellStyle name="Comma 4 2 2 4 8 3" xfId="11214" xr:uid="{2A5036B1-55DE-43B6-B69C-943B89751FFE}"/>
    <cellStyle name="Comma 4 2 2 4 9" xfId="4607" xr:uid="{00000000-0005-0000-0000-000040080000}"/>
    <cellStyle name="Comma 4 2 2 4 9 2" xfId="13049" xr:uid="{D5D58CC6-3142-44C9-AA16-0D0475C5380E}"/>
    <cellStyle name="Comma 4 2 2 5" xfId="135" xr:uid="{00000000-0005-0000-0000-000041080000}"/>
    <cellStyle name="Comma 4 2 2 5 10" xfId="8832" xr:uid="{BD35C5F6-A5A6-48E1-AC46-3CCED3BFD089}"/>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F9396CCB-53BC-47CF-8AD9-2C6F92003056}"/>
    <cellStyle name="Comma 4 2 2 5 2 2 3" xfId="11391" xr:uid="{338834D4-CC7B-4709-9CFA-6A92552BF024}"/>
    <cellStyle name="Comma 4 2 2 5 2 3" xfId="5022" xr:uid="{00000000-0005-0000-0000-000045080000}"/>
    <cellStyle name="Comma 4 2 2 5 2 3 2" xfId="13464" xr:uid="{C0022B2A-8002-4174-BBED-C61EC88BF15A}"/>
    <cellStyle name="Comma 4 2 2 5 2 4" xfId="9246" xr:uid="{6B9F3578-4F89-4255-A5DF-5304F82CA73E}"/>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68F368DC-73AA-4B83-9649-A84DE6486E3F}"/>
    <cellStyle name="Comma 4 2 2 5 3 2 3" xfId="11804" xr:uid="{B9805842-8C9E-475E-BC77-FA8F5C6E1209}"/>
    <cellStyle name="Comma 4 2 2 5 3 3" xfId="5435" xr:uid="{00000000-0005-0000-0000-000049080000}"/>
    <cellStyle name="Comma 4 2 2 5 3 3 2" xfId="13877" xr:uid="{1A701FCB-207D-4AF9-B84D-483F8F932A44}"/>
    <cellStyle name="Comma 4 2 2 5 3 4" xfId="9659" xr:uid="{5BB3E07C-E880-4E27-B8D8-4E4B99B53455}"/>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3E823790-3D13-48FB-B311-BE19B1767912}"/>
    <cellStyle name="Comma 4 2 2 5 4 2 3" xfId="12217" xr:uid="{1BEAFDC9-9D79-4ED6-95CC-92272CBCA704}"/>
    <cellStyle name="Comma 4 2 2 5 4 3" xfId="5848" xr:uid="{00000000-0005-0000-0000-00004D080000}"/>
    <cellStyle name="Comma 4 2 2 5 4 3 2" xfId="14290" xr:uid="{C181FFA9-11D7-4187-A13B-C5C61D5E8462}"/>
    <cellStyle name="Comma 4 2 2 5 4 4" xfId="10072" xr:uid="{0E2668D0-5DB1-4B9D-9E3D-494DAD64FA6D}"/>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AEE93CE9-5002-4C60-AE28-A10BBF0F4DA1}"/>
    <cellStyle name="Comma 4 2 2 5 5 2 3" xfId="12630" xr:uid="{771928E8-F06B-417C-946B-D9EAEAF248E8}"/>
    <cellStyle name="Comma 4 2 2 5 5 3" xfId="6261" xr:uid="{00000000-0005-0000-0000-000051080000}"/>
    <cellStyle name="Comma 4 2 2 5 5 3 2" xfId="14703" xr:uid="{44686D76-EE9E-411A-AB1C-CED738AA2DB4}"/>
    <cellStyle name="Comma 4 2 2 5 5 4" xfId="10485" xr:uid="{F582BEA7-E95A-4EC9-89D3-08984C816A5C}"/>
    <cellStyle name="Comma 4 2 2 5 6" xfId="2389" xr:uid="{00000000-0005-0000-0000-000052080000}"/>
    <cellStyle name="Comma 4 2 2 5 6 2" xfId="6674" xr:uid="{00000000-0005-0000-0000-000053080000}"/>
    <cellStyle name="Comma 4 2 2 5 6 2 2" xfId="15116" xr:uid="{035FE7B6-CF89-475B-8027-1ADFD88A1685}"/>
    <cellStyle name="Comma 4 2 2 5 6 3" xfId="10898" xr:uid="{A595489C-3F03-4F63-A07D-36C39A8E6D21}"/>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FFC26F1A-3D7A-4E6D-BC2B-5C99396A2F5B}"/>
    <cellStyle name="Comma 4 2 2 5 8 3" xfId="11215" xr:uid="{8B5320F3-B32D-451B-84C8-FBC16E66353D}"/>
    <cellStyle name="Comma 4 2 2 5 9" xfId="4608" xr:uid="{00000000-0005-0000-0000-000057080000}"/>
    <cellStyle name="Comma 4 2 2 5 9 2" xfId="13050" xr:uid="{0AD6F024-E843-4259-AB3C-4B43DA28A414}"/>
    <cellStyle name="Comma 4 2 3" xfId="136" xr:uid="{00000000-0005-0000-0000-000058080000}"/>
    <cellStyle name="Comma 4 2 3 10" xfId="2768" xr:uid="{00000000-0005-0000-0000-000059080000}"/>
    <cellStyle name="Comma 4 2 3 10 2" xfId="6992" xr:uid="{00000000-0005-0000-0000-00005A080000}"/>
    <cellStyle name="Comma 4 2 3 10 2 2" xfId="15434" xr:uid="{203F2648-5E8A-42E0-922A-6DFB0CF3AD4E}"/>
    <cellStyle name="Comma 4 2 3 10 3" xfId="11216" xr:uid="{AAF4CA7F-548C-4007-9F53-7FD3ED000743}"/>
    <cellStyle name="Comma 4 2 3 11" xfId="4609" xr:uid="{00000000-0005-0000-0000-00005B080000}"/>
    <cellStyle name="Comma 4 2 3 11 2" xfId="13051" xr:uid="{070A48FD-FE4B-4CD7-93EE-87EB00088DFB}"/>
    <cellStyle name="Comma 4 2 3 12" xfId="8833" xr:uid="{BCFF6338-61AC-435F-8E5C-3C2A6C8B5397}"/>
    <cellStyle name="Comma 4 2 3 2" xfId="137" xr:uid="{00000000-0005-0000-0000-00005C080000}"/>
    <cellStyle name="Comma 4 2 3 2 10" xfId="4610" xr:uid="{00000000-0005-0000-0000-00005D080000}"/>
    <cellStyle name="Comma 4 2 3 2 10 2" xfId="13052" xr:uid="{EEDDEA84-E0D3-441F-B082-4D6186B04A67}"/>
    <cellStyle name="Comma 4 2 3 2 11" xfId="8834" xr:uid="{70589C38-7BA7-40DA-9E2D-A084F0A0C147}"/>
    <cellStyle name="Comma 4 2 3 2 2" xfId="138" xr:uid="{00000000-0005-0000-0000-00005E080000}"/>
    <cellStyle name="Comma 4 2 3 2 2 10" xfId="8835" xr:uid="{4A086200-1EAF-422E-A596-27D3CAF83408}"/>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86D0B296-FDC4-4001-A9F0-EB54972EACBB}"/>
    <cellStyle name="Comma 4 2 3 2 2 2 2 3" xfId="11394" xr:uid="{DDF6F527-1917-43FC-9347-61FA16099D82}"/>
    <cellStyle name="Comma 4 2 3 2 2 2 3" xfId="5025" xr:uid="{00000000-0005-0000-0000-000062080000}"/>
    <cellStyle name="Comma 4 2 3 2 2 2 3 2" xfId="13467" xr:uid="{8CC2D858-E04A-42A1-8D3F-23ED13F3F8AC}"/>
    <cellStyle name="Comma 4 2 3 2 2 2 4" xfId="9249" xr:uid="{19D85715-CA2E-4AEB-A660-5D7D3167FB14}"/>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A23E862F-05F8-4E2D-BEDC-EDE5FB425E8B}"/>
    <cellStyle name="Comma 4 2 3 2 2 3 2 3" xfId="11807" xr:uid="{DC079AE3-E753-41C1-A513-4A7A47E1B21A}"/>
    <cellStyle name="Comma 4 2 3 2 2 3 3" xfId="5438" xr:uid="{00000000-0005-0000-0000-000066080000}"/>
    <cellStyle name="Comma 4 2 3 2 2 3 3 2" xfId="13880" xr:uid="{58E21C87-4A9C-4DB1-95EC-408CF643D188}"/>
    <cellStyle name="Comma 4 2 3 2 2 3 4" xfId="9662" xr:uid="{400B9F03-5A02-4E86-A71E-5AC3ABDAFDA8}"/>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81495129-CDED-415C-8616-F61E0EBD2DE9}"/>
    <cellStyle name="Comma 4 2 3 2 2 4 2 3" xfId="12220" xr:uid="{3936A8BC-862F-48A9-BAEC-A8BC6071B7E0}"/>
    <cellStyle name="Comma 4 2 3 2 2 4 3" xfId="5851" xr:uid="{00000000-0005-0000-0000-00006A080000}"/>
    <cellStyle name="Comma 4 2 3 2 2 4 3 2" xfId="14293" xr:uid="{48E135B2-C9B6-494B-9798-16EB98BCC6E3}"/>
    <cellStyle name="Comma 4 2 3 2 2 4 4" xfId="10075" xr:uid="{AE2F4955-342D-46D8-8E9E-709AAA06CB04}"/>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4E08D2DC-4482-4BD8-8D52-37765CED5622}"/>
    <cellStyle name="Comma 4 2 3 2 2 5 2 3" xfId="12633" xr:uid="{E330CEFC-9CF2-45C1-AA23-E9AC8C380466}"/>
    <cellStyle name="Comma 4 2 3 2 2 5 3" xfId="6264" xr:uid="{00000000-0005-0000-0000-00006E080000}"/>
    <cellStyle name="Comma 4 2 3 2 2 5 3 2" xfId="14706" xr:uid="{1F6C3A8A-0890-4454-8706-CF8BC680997B}"/>
    <cellStyle name="Comma 4 2 3 2 2 5 4" xfId="10488" xr:uid="{CF59CA6C-C911-4940-86F5-579F094D8D17}"/>
    <cellStyle name="Comma 4 2 3 2 2 6" xfId="2392" xr:uid="{00000000-0005-0000-0000-00006F080000}"/>
    <cellStyle name="Comma 4 2 3 2 2 6 2" xfId="6677" xr:uid="{00000000-0005-0000-0000-000070080000}"/>
    <cellStyle name="Comma 4 2 3 2 2 6 2 2" xfId="15119" xr:uid="{5A79FA0B-41A2-44D4-A394-9E259ED00034}"/>
    <cellStyle name="Comma 4 2 3 2 2 6 3" xfId="10901" xr:uid="{1DABEC4F-91AD-472D-A0FB-E318CD3BAEF8}"/>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47CE2F86-B8B5-4743-A0EA-B83AFF82661F}"/>
    <cellStyle name="Comma 4 2 3 2 2 8 3" xfId="11218" xr:uid="{785DBBF9-B188-458A-A634-205EAEB611FA}"/>
    <cellStyle name="Comma 4 2 3 2 2 9" xfId="4611" xr:uid="{00000000-0005-0000-0000-000074080000}"/>
    <cellStyle name="Comma 4 2 3 2 2 9 2" xfId="13053" xr:uid="{D70DC01D-5408-4A22-A246-D45A7BB681B7}"/>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4DE421A9-1D1B-4793-9051-8F2423ED428A}"/>
    <cellStyle name="Comma 4 2 3 2 3 2 3" xfId="11393" xr:uid="{0B145E4E-0FC0-4EB6-84E4-B3B95A14C0C3}"/>
    <cellStyle name="Comma 4 2 3 2 3 3" xfId="5024" xr:uid="{00000000-0005-0000-0000-000078080000}"/>
    <cellStyle name="Comma 4 2 3 2 3 3 2" xfId="13466" xr:uid="{257D3F91-5B60-4E6C-9870-6EE1257C3ECD}"/>
    <cellStyle name="Comma 4 2 3 2 3 4" xfId="9248" xr:uid="{69B97027-D3D2-495B-A8FE-BC0E61F1CE47}"/>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35FC8BC6-7918-4384-AC90-1668A0FFBA1C}"/>
    <cellStyle name="Comma 4 2 3 2 4 2 3" xfId="11806" xr:uid="{3FDE5F8F-8589-4900-830C-BC98714E7903}"/>
    <cellStyle name="Comma 4 2 3 2 4 3" xfId="5437" xr:uid="{00000000-0005-0000-0000-00007C080000}"/>
    <cellStyle name="Comma 4 2 3 2 4 3 2" xfId="13879" xr:uid="{725EEA8C-1A05-447C-AD5F-5D4E62FC1E69}"/>
    <cellStyle name="Comma 4 2 3 2 4 4" xfId="9661" xr:uid="{22A2F3B9-E3B1-4D32-819A-E42108BF8526}"/>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B6863438-AC9C-45F7-84A2-5C6D4EBD916B}"/>
    <cellStyle name="Comma 4 2 3 2 5 2 3" xfId="12219" xr:uid="{0210A63B-DA4E-4DD0-94AF-963406AB87CF}"/>
    <cellStyle name="Comma 4 2 3 2 5 3" xfId="5850" xr:uid="{00000000-0005-0000-0000-000080080000}"/>
    <cellStyle name="Comma 4 2 3 2 5 3 2" xfId="14292" xr:uid="{FDDF4C7A-B420-4C72-AB8A-C864738A604D}"/>
    <cellStyle name="Comma 4 2 3 2 5 4" xfId="10074" xr:uid="{FE343BBA-FD9F-406E-B4AE-601A19974B09}"/>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F27A38DF-69C7-4C24-82EA-E21E6C71EDD5}"/>
    <cellStyle name="Comma 4 2 3 2 6 2 3" xfId="12632" xr:uid="{0482C1FE-B6CD-48E4-9BF3-8AF498D37433}"/>
    <cellStyle name="Comma 4 2 3 2 6 3" xfId="6263" xr:uid="{00000000-0005-0000-0000-000084080000}"/>
    <cellStyle name="Comma 4 2 3 2 6 3 2" xfId="14705" xr:uid="{0F38699B-C543-4260-91AE-A906E1FA58E6}"/>
    <cellStyle name="Comma 4 2 3 2 6 4" xfId="10487" xr:uid="{66C21739-E3FE-4131-BA4E-F064DFD0C6E4}"/>
    <cellStyle name="Comma 4 2 3 2 7" xfId="2391" xr:uid="{00000000-0005-0000-0000-000085080000}"/>
    <cellStyle name="Comma 4 2 3 2 7 2" xfId="6676" xr:uid="{00000000-0005-0000-0000-000086080000}"/>
    <cellStyle name="Comma 4 2 3 2 7 2 2" xfId="15118" xr:uid="{F7E378FB-6F95-44AC-A99B-9B6FF121C9A6}"/>
    <cellStyle name="Comma 4 2 3 2 7 3" xfId="10900" xr:uid="{D0B33BE4-8FE7-4443-9A11-6FADF2C265D3}"/>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70D85DDF-E6DF-4450-88C6-707B602267CC}"/>
    <cellStyle name="Comma 4 2 3 2 9 3" xfId="11217" xr:uid="{B9C618BF-61B2-4F87-8255-7A316B2C116B}"/>
    <cellStyle name="Comma 4 2 3 3" xfId="139" xr:uid="{00000000-0005-0000-0000-00008A080000}"/>
    <cellStyle name="Comma 4 2 3 3 10" xfId="8836" xr:uid="{116C427B-704A-4BB8-8BEF-A8C4CE470D2F}"/>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D51BFCAE-338A-4E73-80EE-D9FE3C143A75}"/>
    <cellStyle name="Comma 4 2 3 3 2 2 3" xfId="11395" xr:uid="{631A9210-EDC9-4651-848C-3055BF2D4AB9}"/>
    <cellStyle name="Comma 4 2 3 3 2 3" xfId="5026" xr:uid="{00000000-0005-0000-0000-00008E080000}"/>
    <cellStyle name="Comma 4 2 3 3 2 3 2" xfId="13468" xr:uid="{47149CFA-A00B-463E-AEC1-5785BCC2A937}"/>
    <cellStyle name="Comma 4 2 3 3 2 4" xfId="9250" xr:uid="{8B0DDD71-F238-41DB-B854-0797244C4FFB}"/>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C0B44CE2-199D-4F09-8613-A86D42C24C3D}"/>
    <cellStyle name="Comma 4 2 3 3 3 2 3" xfId="11808" xr:uid="{E8308CBB-A6EE-478E-8A2B-DEFFACB2BD9A}"/>
    <cellStyle name="Comma 4 2 3 3 3 3" xfId="5439" xr:uid="{00000000-0005-0000-0000-000092080000}"/>
    <cellStyle name="Comma 4 2 3 3 3 3 2" xfId="13881" xr:uid="{56CC6F9C-4504-453F-B328-8357DBF72480}"/>
    <cellStyle name="Comma 4 2 3 3 3 4" xfId="9663" xr:uid="{10AC59C6-DCBB-4A39-AE99-D566DBF3559A}"/>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46A2EF54-430E-49C5-9FC2-F07E05BEF250}"/>
    <cellStyle name="Comma 4 2 3 3 4 2 3" xfId="12221" xr:uid="{73CC723F-443C-44C9-9ED5-232F968CCB23}"/>
    <cellStyle name="Comma 4 2 3 3 4 3" xfId="5852" xr:uid="{00000000-0005-0000-0000-000096080000}"/>
    <cellStyle name="Comma 4 2 3 3 4 3 2" xfId="14294" xr:uid="{C01087E4-75AD-4E7B-AC6D-78FA28E88782}"/>
    <cellStyle name="Comma 4 2 3 3 4 4" xfId="10076" xr:uid="{F32FA1D0-82E6-4BB7-A0BD-BBFB349DCF21}"/>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EA3EB71C-CF58-48D4-A557-0D8A98A4E318}"/>
    <cellStyle name="Comma 4 2 3 3 5 2 3" xfId="12634" xr:uid="{912E41BD-F103-48E1-8E96-85A54FC7208B}"/>
    <cellStyle name="Comma 4 2 3 3 5 3" xfId="6265" xr:uid="{00000000-0005-0000-0000-00009A080000}"/>
    <cellStyle name="Comma 4 2 3 3 5 3 2" xfId="14707" xr:uid="{8A960160-5A73-4F57-A1D9-7857A270DA89}"/>
    <cellStyle name="Comma 4 2 3 3 5 4" xfId="10489" xr:uid="{50CC8803-385E-4791-A329-26A205373EC4}"/>
    <cellStyle name="Comma 4 2 3 3 6" xfId="2393" xr:uid="{00000000-0005-0000-0000-00009B080000}"/>
    <cellStyle name="Comma 4 2 3 3 6 2" xfId="6678" xr:uid="{00000000-0005-0000-0000-00009C080000}"/>
    <cellStyle name="Comma 4 2 3 3 6 2 2" xfId="15120" xr:uid="{EDCF0141-F02D-4500-AAE5-2C34D541A5A4}"/>
    <cellStyle name="Comma 4 2 3 3 6 3" xfId="10902" xr:uid="{06E11CF7-C842-4BA0-8EC8-4185AF5CC524}"/>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C43F92D8-F9CB-4FFF-8296-BAE15B4E801A}"/>
    <cellStyle name="Comma 4 2 3 3 8 3" xfId="11219" xr:uid="{932C12E0-8C3C-453D-B757-14E17A1D9E54}"/>
    <cellStyle name="Comma 4 2 3 3 9" xfId="4612" xr:uid="{00000000-0005-0000-0000-0000A0080000}"/>
    <cellStyle name="Comma 4 2 3 3 9 2" xfId="13054" xr:uid="{26F079D6-6486-4E3F-9E6B-38ED75439B12}"/>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577653E1-2D1B-4C71-9D33-60641722E2C4}"/>
    <cellStyle name="Comma 4 2 3 4 2 3" xfId="11392" xr:uid="{6936D39A-6F32-4ECF-9146-4268354562A9}"/>
    <cellStyle name="Comma 4 2 3 4 3" xfId="5023" xr:uid="{00000000-0005-0000-0000-0000A4080000}"/>
    <cellStyle name="Comma 4 2 3 4 3 2" xfId="13465" xr:uid="{0BD710E4-C4CE-43E9-9F9D-3E2EBF98EB0A}"/>
    <cellStyle name="Comma 4 2 3 4 4" xfId="9247" xr:uid="{FF57AB7B-F4BB-444D-B794-17B7C0E056E6}"/>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5C4A9124-9D42-40B3-90A2-24D6AB973FBB}"/>
    <cellStyle name="Comma 4 2 3 5 2 3" xfId="11805" xr:uid="{1D674189-A195-48B9-A0C4-A04087888D4A}"/>
    <cellStyle name="Comma 4 2 3 5 3" xfId="5436" xr:uid="{00000000-0005-0000-0000-0000A8080000}"/>
    <cellStyle name="Comma 4 2 3 5 3 2" xfId="13878" xr:uid="{F6CE0C4B-5D1C-45FE-B73A-1EBA5C441762}"/>
    <cellStyle name="Comma 4 2 3 5 4" xfId="9660" xr:uid="{A91BD88C-BCC8-44C9-A634-BD60B75E2497}"/>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B4F529C1-02B7-4243-8F99-04CD2DEDB1AD}"/>
    <cellStyle name="Comma 4 2 3 6 2 3" xfId="12218" xr:uid="{BA5037F3-8F57-45D9-B05F-2B2481121666}"/>
    <cellStyle name="Comma 4 2 3 6 3" xfId="5849" xr:uid="{00000000-0005-0000-0000-0000AC080000}"/>
    <cellStyle name="Comma 4 2 3 6 3 2" xfId="14291" xr:uid="{4F92314E-7D26-4F1C-9F99-80FD7026FD15}"/>
    <cellStyle name="Comma 4 2 3 6 4" xfId="10073" xr:uid="{4910A3FD-930E-4FDA-9169-2C27CDA338B5}"/>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8422BC99-A2A5-4CF6-9D02-E91267B57396}"/>
    <cellStyle name="Comma 4 2 3 7 2 3" xfId="12631" xr:uid="{AC338307-B498-41D2-A5A8-6B32DF6FF153}"/>
    <cellStyle name="Comma 4 2 3 7 3" xfId="6262" xr:uid="{00000000-0005-0000-0000-0000B0080000}"/>
    <cellStyle name="Comma 4 2 3 7 3 2" xfId="14704" xr:uid="{5843A128-445D-4F0B-B744-6AC912A4B0A8}"/>
    <cellStyle name="Comma 4 2 3 7 4" xfId="10486" xr:uid="{A74C7DC6-6630-4699-8504-30E3009F4A46}"/>
    <cellStyle name="Comma 4 2 3 8" xfId="2390" xr:uid="{00000000-0005-0000-0000-0000B1080000}"/>
    <cellStyle name="Comma 4 2 3 8 2" xfId="6675" xr:uid="{00000000-0005-0000-0000-0000B2080000}"/>
    <cellStyle name="Comma 4 2 3 8 2 2" xfId="15117" xr:uid="{04DA3BCE-FB43-4E96-99CC-10096E0F3BFE}"/>
    <cellStyle name="Comma 4 2 3 8 3" xfId="10899" xr:uid="{9591AD51-62CC-4FDF-B679-209BD84ECF16}"/>
    <cellStyle name="Comma 4 2 3 9" xfId="2373" xr:uid="{00000000-0005-0000-0000-0000B3080000}"/>
    <cellStyle name="Comma 4 2 4" xfId="140" xr:uid="{00000000-0005-0000-0000-0000B4080000}"/>
    <cellStyle name="Comma 4 2 4 10" xfId="4613" xr:uid="{00000000-0005-0000-0000-0000B5080000}"/>
    <cellStyle name="Comma 4 2 4 10 2" xfId="13055" xr:uid="{718D5896-26BE-47BC-AC6F-9F9DDD02FF1D}"/>
    <cellStyle name="Comma 4 2 4 11" xfId="8837" xr:uid="{4DDBFF6F-7EBC-4BFF-A487-EDF2033DB1E6}"/>
    <cellStyle name="Comma 4 2 4 2" xfId="141" xr:uid="{00000000-0005-0000-0000-0000B6080000}"/>
    <cellStyle name="Comma 4 2 4 2 10" xfId="8838" xr:uid="{C545BA7F-ED0B-433F-8236-FB7221A243A8}"/>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9489E804-8C03-46E2-9F50-EF1521D3463E}"/>
    <cellStyle name="Comma 4 2 4 2 2 2 3" xfId="11397" xr:uid="{F803D09D-1DA7-4711-B86E-BACC75377F64}"/>
    <cellStyle name="Comma 4 2 4 2 2 3" xfId="5028" xr:uid="{00000000-0005-0000-0000-0000BA080000}"/>
    <cellStyle name="Comma 4 2 4 2 2 3 2" xfId="13470" xr:uid="{AFBFE0F0-6490-48A7-849A-11BB603095F6}"/>
    <cellStyle name="Comma 4 2 4 2 2 4" xfId="9252" xr:uid="{87BE2DAB-224E-448A-9CF5-99F3789A8E4C}"/>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E6D3BC65-092D-42CD-9AC0-61A57157D2C8}"/>
    <cellStyle name="Comma 4 2 4 2 3 2 3" xfId="11810" xr:uid="{6A5CF48E-EE82-439F-B2FC-69795F98CC02}"/>
    <cellStyle name="Comma 4 2 4 2 3 3" xfId="5441" xr:uid="{00000000-0005-0000-0000-0000BE080000}"/>
    <cellStyle name="Comma 4 2 4 2 3 3 2" xfId="13883" xr:uid="{6DF36ABF-69AC-403D-B45C-D127B7290238}"/>
    <cellStyle name="Comma 4 2 4 2 3 4" xfId="9665" xr:uid="{0CCCEDE2-2AA8-4B7B-8F82-7A7BBDFAA656}"/>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A8BC78FE-7371-4471-BB99-B455AF18E78C}"/>
    <cellStyle name="Comma 4 2 4 2 4 2 3" xfId="12223" xr:uid="{E3183308-7ED2-460C-BA97-6B81DAA930A0}"/>
    <cellStyle name="Comma 4 2 4 2 4 3" xfId="5854" xr:uid="{00000000-0005-0000-0000-0000C2080000}"/>
    <cellStyle name="Comma 4 2 4 2 4 3 2" xfId="14296" xr:uid="{0E6387CD-3329-459A-AF93-94B3C69A6054}"/>
    <cellStyle name="Comma 4 2 4 2 4 4" xfId="10078" xr:uid="{3AF48AA6-F7E3-4C27-B7D6-9EF656901548}"/>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0D0DA514-4F71-49D9-A3A3-21202D319B1D}"/>
    <cellStyle name="Comma 4 2 4 2 5 2 3" xfId="12636" xr:uid="{B79EA2B6-5900-451C-B3F2-93E5118EF358}"/>
    <cellStyle name="Comma 4 2 4 2 5 3" xfId="6267" xr:uid="{00000000-0005-0000-0000-0000C6080000}"/>
    <cellStyle name="Comma 4 2 4 2 5 3 2" xfId="14709" xr:uid="{45C8134B-2FC7-47CD-A7A6-F0C1696E231E}"/>
    <cellStyle name="Comma 4 2 4 2 5 4" xfId="10491" xr:uid="{750323ED-4A37-4D6A-9CED-298A26C1A29F}"/>
    <cellStyle name="Comma 4 2 4 2 6" xfId="2395" xr:uid="{00000000-0005-0000-0000-0000C7080000}"/>
    <cellStyle name="Comma 4 2 4 2 6 2" xfId="6680" xr:uid="{00000000-0005-0000-0000-0000C8080000}"/>
    <cellStyle name="Comma 4 2 4 2 6 2 2" xfId="15122" xr:uid="{9B5F1439-1643-4D4C-9F87-6FB5BA370E80}"/>
    <cellStyle name="Comma 4 2 4 2 6 3" xfId="10904" xr:uid="{3230EEB5-2AAE-4943-8F03-57385E7ADE4B}"/>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3E13F84B-CF19-41A8-BBFD-888B5C7712BA}"/>
    <cellStyle name="Comma 4 2 4 2 8 3" xfId="11221" xr:uid="{69BD24AB-7F7A-4EE8-87D2-0E6334590D04}"/>
    <cellStyle name="Comma 4 2 4 2 9" xfId="4614" xr:uid="{00000000-0005-0000-0000-0000CC080000}"/>
    <cellStyle name="Comma 4 2 4 2 9 2" xfId="13056" xr:uid="{DDC9F6BE-F4E1-4845-8F1F-1EC82DE5C6B9}"/>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D3BF9771-8180-43BE-BD52-ED8AE4E2F37E}"/>
    <cellStyle name="Comma 4 2 4 3 2 3" xfId="11396" xr:uid="{8C82DD7C-945B-465C-BE4E-041DE1F4EAFC}"/>
    <cellStyle name="Comma 4 2 4 3 3" xfId="5027" xr:uid="{00000000-0005-0000-0000-0000D0080000}"/>
    <cellStyle name="Comma 4 2 4 3 3 2" xfId="13469" xr:uid="{80AAF397-85B2-4CA4-B1AF-4592D2C5C2DD}"/>
    <cellStyle name="Comma 4 2 4 3 4" xfId="9251" xr:uid="{FB36118F-7D3F-43B9-9492-A5EFEFDC8477}"/>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33F34450-429D-48A3-83DB-24C3F4E8D726}"/>
    <cellStyle name="Comma 4 2 4 4 2 3" xfId="11809" xr:uid="{902E67B5-D97C-41D5-99F5-B97BC984E670}"/>
    <cellStyle name="Comma 4 2 4 4 3" xfId="5440" xr:uid="{00000000-0005-0000-0000-0000D4080000}"/>
    <cellStyle name="Comma 4 2 4 4 3 2" xfId="13882" xr:uid="{767C0476-A220-409A-9651-407ED0ECCC96}"/>
    <cellStyle name="Comma 4 2 4 4 4" xfId="9664" xr:uid="{D4846B24-021F-4A5F-A30E-90D045F491EC}"/>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CE407932-E3E5-4D2F-8A4C-B333EA632D90}"/>
    <cellStyle name="Comma 4 2 4 5 2 3" xfId="12222" xr:uid="{146B280C-2EA7-4F94-AF77-338470D79D8D}"/>
    <cellStyle name="Comma 4 2 4 5 3" xfId="5853" xr:uid="{00000000-0005-0000-0000-0000D8080000}"/>
    <cellStyle name="Comma 4 2 4 5 3 2" xfId="14295" xr:uid="{784DEACF-C906-48BA-A6F9-E69A7C3D7533}"/>
    <cellStyle name="Comma 4 2 4 5 4" xfId="10077" xr:uid="{AB6CBED4-9480-4A14-A391-FCA70ABA7D7F}"/>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08BDC180-8F57-4DA9-AC7B-7563EE0BE3B5}"/>
    <cellStyle name="Comma 4 2 4 6 2 3" xfId="12635" xr:uid="{2FFDE517-2D09-4E53-BB7B-B5697993A281}"/>
    <cellStyle name="Comma 4 2 4 6 3" xfId="6266" xr:uid="{00000000-0005-0000-0000-0000DC080000}"/>
    <cellStyle name="Comma 4 2 4 6 3 2" xfId="14708" xr:uid="{34F635A2-A99D-47E3-BB28-D71637DABA70}"/>
    <cellStyle name="Comma 4 2 4 6 4" xfId="10490" xr:uid="{D11ED5A1-FDA5-44D1-A146-C8E71B228B68}"/>
    <cellStyle name="Comma 4 2 4 7" xfId="2394" xr:uid="{00000000-0005-0000-0000-0000DD080000}"/>
    <cellStyle name="Comma 4 2 4 7 2" xfId="6679" xr:uid="{00000000-0005-0000-0000-0000DE080000}"/>
    <cellStyle name="Comma 4 2 4 7 2 2" xfId="15121" xr:uid="{FA3F57B9-79AA-452D-BB93-DCC755CD259D}"/>
    <cellStyle name="Comma 4 2 4 7 3" xfId="10903" xr:uid="{046CF1EC-E40B-4AC0-803C-949FB0306760}"/>
    <cellStyle name="Comma 4 2 4 8" xfId="2369" xr:uid="{00000000-0005-0000-0000-0000DF080000}"/>
    <cellStyle name="Comma 4 2 4 9" xfId="2772" xr:uid="{00000000-0005-0000-0000-0000E0080000}"/>
    <cellStyle name="Comma 4 2 4 9 2" xfId="6996" xr:uid="{00000000-0005-0000-0000-0000E1080000}"/>
    <cellStyle name="Comma 4 2 4 9 2 2" xfId="15438" xr:uid="{ACECD5AA-0081-41B0-9D11-C2CFCB566DD4}"/>
    <cellStyle name="Comma 4 2 4 9 3" xfId="11220" xr:uid="{259F1045-12AA-4B42-BE14-FA3FEA4C76E6}"/>
    <cellStyle name="Comma 4 2 5" xfId="142" xr:uid="{00000000-0005-0000-0000-0000E2080000}"/>
    <cellStyle name="Comma 4 2 5 10" xfId="8839" xr:uid="{E9EA8CF9-EFE7-4DDF-8771-FBA0C1CF2B6E}"/>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74FD02A0-24B3-49BD-A828-39D0200471AC}"/>
    <cellStyle name="Comma 4 2 5 2 2 3" xfId="11398" xr:uid="{E4ABB0E1-1FE0-4597-B624-DD2B1B23B98B}"/>
    <cellStyle name="Comma 4 2 5 2 3" xfId="5029" xr:uid="{00000000-0005-0000-0000-0000E6080000}"/>
    <cellStyle name="Comma 4 2 5 2 3 2" xfId="13471" xr:uid="{FE9D2673-3648-488F-8666-81C34B50D89F}"/>
    <cellStyle name="Comma 4 2 5 2 4" xfId="9253" xr:uid="{1660757B-B070-40E8-B86C-171593B8F515}"/>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1F105723-28FA-4675-B464-C8F3E055B131}"/>
    <cellStyle name="Comma 4 2 5 3 2 3" xfId="11811" xr:uid="{9F4A9800-073F-4BEA-A3A8-3739380E2291}"/>
    <cellStyle name="Comma 4 2 5 3 3" xfId="5442" xr:uid="{00000000-0005-0000-0000-0000EA080000}"/>
    <cellStyle name="Comma 4 2 5 3 3 2" xfId="13884" xr:uid="{2E199556-045A-4D76-91D2-DB6061FCD0B3}"/>
    <cellStyle name="Comma 4 2 5 3 4" xfId="9666" xr:uid="{08DB9D8C-CA8C-40AA-95A9-820455B3A0CB}"/>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C6EC2AA9-7880-4544-8810-24D8F36D6021}"/>
    <cellStyle name="Comma 4 2 5 4 2 3" xfId="12224" xr:uid="{2FA486A7-2E57-45BC-B6BF-8398EE6A90B8}"/>
    <cellStyle name="Comma 4 2 5 4 3" xfId="5855" xr:uid="{00000000-0005-0000-0000-0000EE080000}"/>
    <cellStyle name="Comma 4 2 5 4 3 2" xfId="14297" xr:uid="{D3A4AFF5-B450-4E47-8D9F-16A4218964E7}"/>
    <cellStyle name="Comma 4 2 5 4 4" xfId="10079" xr:uid="{DE97FBE1-EF4D-48C0-B712-C294E318AFCE}"/>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90FCA101-D890-4E22-80D8-A10B6272EE54}"/>
    <cellStyle name="Comma 4 2 5 5 2 3" xfId="12637" xr:uid="{ABD9E648-588E-429A-80A0-BE79601CC1A4}"/>
    <cellStyle name="Comma 4 2 5 5 3" xfId="6268" xr:uid="{00000000-0005-0000-0000-0000F2080000}"/>
    <cellStyle name="Comma 4 2 5 5 3 2" xfId="14710" xr:uid="{1EA60CAE-D295-437B-BA77-B096EA716709}"/>
    <cellStyle name="Comma 4 2 5 5 4" xfId="10492" xr:uid="{49D23819-78A1-41A8-845A-FC29EB556F1E}"/>
    <cellStyle name="Comma 4 2 5 6" xfId="2396" xr:uid="{00000000-0005-0000-0000-0000F3080000}"/>
    <cellStyle name="Comma 4 2 5 6 2" xfId="6681" xr:uid="{00000000-0005-0000-0000-0000F4080000}"/>
    <cellStyle name="Comma 4 2 5 6 2 2" xfId="15123" xr:uid="{8DB0E675-B95F-4A31-89C6-6F6783F65137}"/>
    <cellStyle name="Comma 4 2 5 6 3" xfId="10905" xr:uid="{ECE6B821-412F-4299-8E74-5BEDBA19BDD3}"/>
    <cellStyle name="Comma 4 2 5 7" xfId="2367" xr:uid="{00000000-0005-0000-0000-0000F5080000}"/>
    <cellStyle name="Comma 4 2 5 8" xfId="2774" xr:uid="{00000000-0005-0000-0000-0000F6080000}"/>
    <cellStyle name="Comma 4 2 5 8 2" xfId="6998" xr:uid="{00000000-0005-0000-0000-0000F7080000}"/>
    <cellStyle name="Comma 4 2 5 8 2 2" xfId="15440" xr:uid="{9389315B-1E25-41AF-ABD7-22BEB3B34B5E}"/>
    <cellStyle name="Comma 4 2 5 8 3" xfId="11222" xr:uid="{092B8C36-3502-46B8-BABC-28D183EAC2A5}"/>
    <cellStyle name="Comma 4 2 5 9" xfId="4615" xr:uid="{00000000-0005-0000-0000-0000F8080000}"/>
    <cellStyle name="Comma 4 2 5 9 2" xfId="13057" xr:uid="{7B4EF448-4481-4FF6-8F08-E72ADD3E3675}"/>
    <cellStyle name="Comma 4 2 6" xfId="143" xr:uid="{00000000-0005-0000-0000-0000F9080000}"/>
    <cellStyle name="Comma 4 2 6 10" xfId="8840" xr:uid="{446CCB94-3834-4CAA-83F5-97C47AD84B72}"/>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981D31AD-6739-46C9-8B16-9277A15CAC32}"/>
    <cellStyle name="Comma 4 2 6 2 2 3" xfId="11399" xr:uid="{D18AFC96-D245-4675-9092-87C34557C261}"/>
    <cellStyle name="Comma 4 2 6 2 3" xfId="5030" xr:uid="{00000000-0005-0000-0000-0000FD080000}"/>
    <cellStyle name="Comma 4 2 6 2 3 2" xfId="13472" xr:uid="{8797D9CF-4C93-480F-9ED2-283066C96F3E}"/>
    <cellStyle name="Comma 4 2 6 2 4" xfId="9254" xr:uid="{E2820FCE-BFB0-44FC-A438-ED2C8124DBC4}"/>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8DCE0663-D5E8-4157-8974-ED1F4F350892}"/>
    <cellStyle name="Comma 4 2 6 3 2 3" xfId="11812" xr:uid="{8C88A30A-DB82-498C-8E00-F86CD2E77388}"/>
    <cellStyle name="Comma 4 2 6 3 3" xfId="5443" xr:uid="{00000000-0005-0000-0000-000001090000}"/>
    <cellStyle name="Comma 4 2 6 3 3 2" xfId="13885" xr:uid="{F43BB8AE-E148-44BA-97D3-1A9AB35EEBBA}"/>
    <cellStyle name="Comma 4 2 6 3 4" xfId="9667" xr:uid="{CB40649E-DAC5-49DD-A8B2-A57D68B0A139}"/>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318A4EA5-0F40-4487-A0F6-76D23FBA20B5}"/>
    <cellStyle name="Comma 4 2 6 4 2 3" xfId="12225" xr:uid="{2EFDB263-B63C-46E0-AF46-04DBC0A4104A}"/>
    <cellStyle name="Comma 4 2 6 4 3" xfId="5856" xr:uid="{00000000-0005-0000-0000-000005090000}"/>
    <cellStyle name="Comma 4 2 6 4 3 2" xfId="14298" xr:uid="{A9B32F40-61D9-4299-934E-68CD0CBF11F0}"/>
    <cellStyle name="Comma 4 2 6 4 4" xfId="10080" xr:uid="{6302115D-88FA-4003-921B-DDA2F3E0B8A4}"/>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36D6C3E7-656F-4A15-A790-395C1F9CE264}"/>
    <cellStyle name="Comma 4 2 6 5 2 3" xfId="12638" xr:uid="{D4E9329F-DC3F-4727-8A19-5A4FFEB4BBD3}"/>
    <cellStyle name="Comma 4 2 6 5 3" xfId="6269" xr:uid="{00000000-0005-0000-0000-000009090000}"/>
    <cellStyle name="Comma 4 2 6 5 3 2" xfId="14711" xr:uid="{83DBC12D-14C5-4D0C-9D10-5A246D6E8A27}"/>
    <cellStyle name="Comma 4 2 6 5 4" xfId="10493" xr:uid="{C8E1EBDA-6366-49F3-B165-2A190A4E0486}"/>
    <cellStyle name="Comma 4 2 6 6" xfId="2397" xr:uid="{00000000-0005-0000-0000-00000A090000}"/>
    <cellStyle name="Comma 4 2 6 6 2" xfId="6682" xr:uid="{00000000-0005-0000-0000-00000B090000}"/>
    <cellStyle name="Comma 4 2 6 6 2 2" xfId="15124" xr:uid="{DC5BD837-83D8-47B9-8171-F298201FD70B}"/>
    <cellStyle name="Comma 4 2 6 6 3" xfId="10906" xr:uid="{DD2A5B22-1335-4F80-AB98-294A7F2F020D}"/>
    <cellStyle name="Comma 4 2 6 7" xfId="2366" xr:uid="{00000000-0005-0000-0000-00000C090000}"/>
    <cellStyle name="Comma 4 2 6 8" xfId="2775" xr:uid="{00000000-0005-0000-0000-00000D090000}"/>
    <cellStyle name="Comma 4 2 6 8 2" xfId="6999" xr:uid="{00000000-0005-0000-0000-00000E090000}"/>
    <cellStyle name="Comma 4 2 6 8 2 2" xfId="15441" xr:uid="{57059093-DE28-458B-A1FF-AA969A3E30A7}"/>
    <cellStyle name="Comma 4 2 6 8 3" xfId="11223" xr:uid="{51CA8BB4-C77E-4787-A6D7-9904E00BBC5A}"/>
    <cellStyle name="Comma 4 2 6 9" xfId="4616" xr:uid="{00000000-0005-0000-0000-00000F090000}"/>
    <cellStyle name="Comma 4 2 6 9 2" xfId="13058" xr:uid="{872DF18C-E1BE-4AC0-ABA4-BEA83C1C1C88}"/>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2BAF096C-0C9E-418E-BEFC-B793DC34E9D3}"/>
    <cellStyle name="Comma 4 3 2 10 3" xfId="11224" xr:uid="{2BE7A180-F33C-4952-BA6D-7D138E20999C}"/>
    <cellStyle name="Comma 4 3 2 11" xfId="4617" xr:uid="{00000000-0005-0000-0000-000014090000}"/>
    <cellStyle name="Comma 4 3 2 11 2" xfId="13059" xr:uid="{60A35005-A7D1-4315-9D7D-C0FFF9C7DB50}"/>
    <cellStyle name="Comma 4 3 2 12" xfId="8841" xr:uid="{063320C3-35FA-428C-9A7C-38A6386A68CC}"/>
    <cellStyle name="Comma 4 3 2 2" xfId="146" xr:uid="{00000000-0005-0000-0000-000015090000}"/>
    <cellStyle name="Comma 4 3 2 2 10" xfId="4618" xr:uid="{00000000-0005-0000-0000-000016090000}"/>
    <cellStyle name="Comma 4 3 2 2 10 2" xfId="13060" xr:uid="{E858A47D-736C-4DE2-A1E9-66C7EB7F7C52}"/>
    <cellStyle name="Comma 4 3 2 2 11" xfId="8842" xr:uid="{B09B13FA-2F94-4A8F-A835-9C761F8C4A7D}"/>
    <cellStyle name="Comma 4 3 2 2 2" xfId="147" xr:uid="{00000000-0005-0000-0000-000017090000}"/>
    <cellStyle name="Comma 4 3 2 2 2 10" xfId="8843" xr:uid="{08D0B828-5CD9-43A2-8CDB-12A074DF399D}"/>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392A2B76-48B3-46C3-AC2E-5292FE507151}"/>
    <cellStyle name="Comma 4 3 2 2 2 2 2 3" xfId="11402" xr:uid="{6046ED69-7ED2-4104-B16E-830623515FA6}"/>
    <cellStyle name="Comma 4 3 2 2 2 2 3" xfId="5033" xr:uid="{00000000-0005-0000-0000-00001B090000}"/>
    <cellStyle name="Comma 4 3 2 2 2 2 3 2" xfId="13475" xr:uid="{B80D15D0-F50B-4AC1-9718-9CC7DAD44065}"/>
    <cellStyle name="Comma 4 3 2 2 2 2 4" xfId="9257" xr:uid="{E5306BD3-0B11-4478-BB42-CCA69D44FC57}"/>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8E7F6472-31D2-4059-9621-D008A3BB7A0D}"/>
    <cellStyle name="Comma 4 3 2 2 2 3 2 3" xfId="11815" xr:uid="{7375919B-2BA1-4104-8324-28A2646C1786}"/>
    <cellStyle name="Comma 4 3 2 2 2 3 3" xfId="5446" xr:uid="{00000000-0005-0000-0000-00001F090000}"/>
    <cellStyle name="Comma 4 3 2 2 2 3 3 2" xfId="13888" xr:uid="{34E20867-E9D3-41C4-A3DD-CB462430B179}"/>
    <cellStyle name="Comma 4 3 2 2 2 3 4" xfId="9670" xr:uid="{6EA4351B-41AA-463C-87B1-E36FBF742DC3}"/>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F587942E-3BD3-4913-A9C9-29824E7A6FB0}"/>
    <cellStyle name="Comma 4 3 2 2 2 4 2 3" xfId="12228" xr:uid="{2571554C-61C0-4455-A05C-45310F47BC73}"/>
    <cellStyle name="Comma 4 3 2 2 2 4 3" xfId="5859" xr:uid="{00000000-0005-0000-0000-000023090000}"/>
    <cellStyle name="Comma 4 3 2 2 2 4 3 2" xfId="14301" xr:uid="{14AC4471-24C5-4DE5-9ECD-A4E9E6523B7B}"/>
    <cellStyle name="Comma 4 3 2 2 2 4 4" xfId="10083" xr:uid="{2B647681-00CC-407A-88E1-D61D788DD991}"/>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D2EC4D76-E4E1-4DBC-B743-075298F74D60}"/>
    <cellStyle name="Comma 4 3 2 2 2 5 2 3" xfId="12641" xr:uid="{5D2F0D59-F9A8-49E2-902D-72E0FB0F28B9}"/>
    <cellStyle name="Comma 4 3 2 2 2 5 3" xfId="6272" xr:uid="{00000000-0005-0000-0000-000027090000}"/>
    <cellStyle name="Comma 4 3 2 2 2 5 3 2" xfId="14714" xr:uid="{ADFBFB31-4B28-4758-83F1-ABF365F6FC5C}"/>
    <cellStyle name="Comma 4 3 2 2 2 5 4" xfId="10496" xr:uid="{A6BDF996-F0E0-4ACF-8153-60BC0AA11399}"/>
    <cellStyle name="Comma 4 3 2 2 2 6" xfId="2400" xr:uid="{00000000-0005-0000-0000-000028090000}"/>
    <cellStyle name="Comma 4 3 2 2 2 6 2" xfId="6685" xr:uid="{00000000-0005-0000-0000-000029090000}"/>
    <cellStyle name="Comma 4 3 2 2 2 6 2 2" xfId="15127" xr:uid="{19D978C7-6BCD-4453-98F2-0FAFDCA647A8}"/>
    <cellStyle name="Comma 4 3 2 2 2 6 3" xfId="10909" xr:uid="{46C45038-13F3-4204-8A70-9E30476579B7}"/>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ECF5B3E9-B77F-4493-8EE4-3793B0605B5A}"/>
    <cellStyle name="Comma 4 3 2 2 2 8 3" xfId="11226" xr:uid="{C135ECC4-B627-4605-9806-0B2E3C175051}"/>
    <cellStyle name="Comma 4 3 2 2 2 9" xfId="4619" xr:uid="{00000000-0005-0000-0000-00002D090000}"/>
    <cellStyle name="Comma 4 3 2 2 2 9 2" xfId="13061" xr:uid="{9173F39A-CDC9-41F1-B9C5-0499263E3688}"/>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21CAA03C-E842-4E74-9B89-69D8E930BA2A}"/>
    <cellStyle name="Comma 4 3 2 2 3 2 3" xfId="11401" xr:uid="{359C8756-D59E-478F-809A-480FC2342FA9}"/>
    <cellStyle name="Comma 4 3 2 2 3 3" xfId="5032" xr:uid="{00000000-0005-0000-0000-000031090000}"/>
    <cellStyle name="Comma 4 3 2 2 3 3 2" xfId="13474" xr:uid="{36DDF8BB-5080-4577-A082-AD92B85C074E}"/>
    <cellStyle name="Comma 4 3 2 2 3 4" xfId="9256" xr:uid="{9BC201F2-AD14-4CAD-9AF3-81407589974D}"/>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DE4EF5EA-7287-45F3-AF93-9D16A07A48B0}"/>
    <cellStyle name="Comma 4 3 2 2 4 2 3" xfId="11814" xr:uid="{3D890334-666B-42F7-85A2-3481DC8761D9}"/>
    <cellStyle name="Comma 4 3 2 2 4 3" xfId="5445" xr:uid="{00000000-0005-0000-0000-000035090000}"/>
    <cellStyle name="Comma 4 3 2 2 4 3 2" xfId="13887" xr:uid="{9162A232-57DB-4EEA-9B2D-FD1155A8B98C}"/>
    <cellStyle name="Comma 4 3 2 2 4 4" xfId="9669" xr:uid="{F0FD0116-2834-4A04-A32D-1DDD27031955}"/>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CE98ABC5-8DF3-47B8-908A-1B072A391196}"/>
    <cellStyle name="Comma 4 3 2 2 5 2 3" xfId="12227" xr:uid="{71C62949-A47C-464C-A9F3-A5804619764F}"/>
    <cellStyle name="Comma 4 3 2 2 5 3" xfId="5858" xr:uid="{00000000-0005-0000-0000-000039090000}"/>
    <cellStyle name="Comma 4 3 2 2 5 3 2" xfId="14300" xr:uid="{179E0C07-C3FC-477C-BE87-8D38A0440B36}"/>
    <cellStyle name="Comma 4 3 2 2 5 4" xfId="10082" xr:uid="{5389D0D5-4606-40D1-82B1-C1E86591609A}"/>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89CB6659-47C9-4D9E-99C1-3F3AD80154CC}"/>
    <cellStyle name="Comma 4 3 2 2 6 2 3" xfId="12640" xr:uid="{D40141B9-4A54-4631-9EDE-CD9CA46DDC13}"/>
    <cellStyle name="Comma 4 3 2 2 6 3" xfId="6271" xr:uid="{00000000-0005-0000-0000-00003D090000}"/>
    <cellStyle name="Comma 4 3 2 2 6 3 2" xfId="14713" xr:uid="{771045F4-6AF3-4317-8D40-9600E58B67E6}"/>
    <cellStyle name="Comma 4 3 2 2 6 4" xfId="10495" xr:uid="{49EFE13E-ACE2-40F7-9590-F37C7552554A}"/>
    <cellStyle name="Comma 4 3 2 2 7" xfId="2399" xr:uid="{00000000-0005-0000-0000-00003E090000}"/>
    <cellStyle name="Comma 4 3 2 2 7 2" xfId="6684" xr:uid="{00000000-0005-0000-0000-00003F090000}"/>
    <cellStyle name="Comma 4 3 2 2 7 2 2" xfId="15126" xr:uid="{0B6BAC8E-6DE3-48FA-B847-10F74C76A1D7}"/>
    <cellStyle name="Comma 4 3 2 2 7 3" xfId="10908" xr:uid="{6CE7CCE1-DB77-47C1-AF2F-6A61DD709559}"/>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0E504AD4-EA00-4AE9-B362-6F6C027D6075}"/>
    <cellStyle name="Comma 4 3 2 2 9 3" xfId="11225" xr:uid="{E09EC9EA-F333-4982-A3E7-20A48C723288}"/>
    <cellStyle name="Comma 4 3 2 3" xfId="148" xr:uid="{00000000-0005-0000-0000-000043090000}"/>
    <cellStyle name="Comma 4 3 2 3 10" xfId="8844" xr:uid="{AEA7855B-D285-4F5E-BCCE-94C35B2C1E59}"/>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4E6E9652-77CC-4347-B37E-43FF56A38D45}"/>
    <cellStyle name="Comma 4 3 2 3 2 2 3" xfId="11403" xr:uid="{0A59DB31-DF5C-4EE8-B064-4B15FFABD9F9}"/>
    <cellStyle name="Comma 4 3 2 3 2 3" xfId="5034" xr:uid="{00000000-0005-0000-0000-000047090000}"/>
    <cellStyle name="Comma 4 3 2 3 2 3 2" xfId="13476" xr:uid="{4DAD3087-59FC-4863-A215-1043757D6800}"/>
    <cellStyle name="Comma 4 3 2 3 2 4" xfId="9258" xr:uid="{11D1EA3E-415C-460C-8EDF-F6AE1AFF57E6}"/>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A63F466D-5FA9-40E7-B4E5-F2F7AB4F1D04}"/>
    <cellStyle name="Comma 4 3 2 3 3 2 3" xfId="11816" xr:uid="{696917CD-DDDE-406B-BE04-24D0D33CB361}"/>
    <cellStyle name="Comma 4 3 2 3 3 3" xfId="5447" xr:uid="{00000000-0005-0000-0000-00004B090000}"/>
    <cellStyle name="Comma 4 3 2 3 3 3 2" xfId="13889" xr:uid="{AB38AEA3-4DC9-45E2-B066-8F2327CC7C8F}"/>
    <cellStyle name="Comma 4 3 2 3 3 4" xfId="9671" xr:uid="{AA7A3E94-E6A1-4E79-BBF1-C6BD7E20E717}"/>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94FF09E7-5D4A-4DF8-B203-D50AB41706D0}"/>
    <cellStyle name="Comma 4 3 2 3 4 2 3" xfId="12229" xr:uid="{F1598FA4-1B56-43DC-A3B2-4C7176280F61}"/>
    <cellStyle name="Comma 4 3 2 3 4 3" xfId="5860" xr:uid="{00000000-0005-0000-0000-00004F090000}"/>
    <cellStyle name="Comma 4 3 2 3 4 3 2" xfId="14302" xr:uid="{E78DA40B-E477-4B81-A431-89912352486D}"/>
    <cellStyle name="Comma 4 3 2 3 4 4" xfId="10084" xr:uid="{B5DBCD0F-74FE-4382-AA70-92F28AE336EF}"/>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2B7546B9-5F99-4194-9514-19E6615FB56D}"/>
    <cellStyle name="Comma 4 3 2 3 5 2 3" xfId="12642" xr:uid="{6A7503C9-8E6A-43C7-80B1-42332D58B13F}"/>
    <cellStyle name="Comma 4 3 2 3 5 3" xfId="6273" xr:uid="{00000000-0005-0000-0000-000053090000}"/>
    <cellStyle name="Comma 4 3 2 3 5 3 2" xfId="14715" xr:uid="{3AFFCDC0-3D0A-4095-8FF5-C1C37D104CD4}"/>
    <cellStyle name="Comma 4 3 2 3 5 4" xfId="10497" xr:uid="{AC41B89F-EB1F-43C3-9528-D23F783753C3}"/>
    <cellStyle name="Comma 4 3 2 3 6" xfId="2401" xr:uid="{00000000-0005-0000-0000-000054090000}"/>
    <cellStyle name="Comma 4 3 2 3 6 2" xfId="6686" xr:uid="{00000000-0005-0000-0000-000055090000}"/>
    <cellStyle name="Comma 4 3 2 3 6 2 2" xfId="15128" xr:uid="{891F32C3-8E9E-4936-9DDA-DB3EB453211C}"/>
    <cellStyle name="Comma 4 3 2 3 6 3" xfId="10910" xr:uid="{D5E1DDB7-382B-4BBC-A4CA-9D12A0C063D3}"/>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6B78841F-A4C9-4AA0-8DCD-D2C077EBB0E3}"/>
    <cellStyle name="Comma 4 3 2 3 8 3" xfId="11227" xr:uid="{E8CF0E72-AD7C-49A4-AEBA-5F9DD9F952A4}"/>
    <cellStyle name="Comma 4 3 2 3 9" xfId="4620" xr:uid="{00000000-0005-0000-0000-000059090000}"/>
    <cellStyle name="Comma 4 3 2 3 9 2" xfId="13062" xr:uid="{32029446-58BE-40EA-A7A7-BE41213611CB}"/>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33992753-1EB5-4004-ABCF-A89968450C20}"/>
    <cellStyle name="Comma 4 3 2 4 2 3" xfId="11400" xr:uid="{3AF8AC23-004B-4A8C-A18F-A380C4F3C909}"/>
    <cellStyle name="Comma 4 3 2 4 3" xfId="5031" xr:uid="{00000000-0005-0000-0000-00005D090000}"/>
    <cellStyle name="Comma 4 3 2 4 3 2" xfId="13473" xr:uid="{698DEB28-B26F-4FC0-9D6A-267F4273AC76}"/>
    <cellStyle name="Comma 4 3 2 4 4" xfId="9255" xr:uid="{5E1971E5-7AF0-49EB-A3B5-73889880E269}"/>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906E9C34-4EBB-44B6-96B9-23F6E3BEB057}"/>
    <cellStyle name="Comma 4 3 2 5 2 3" xfId="11813" xr:uid="{BD5723CB-5E94-4080-A839-5E19EC10BC42}"/>
    <cellStyle name="Comma 4 3 2 5 3" xfId="5444" xr:uid="{00000000-0005-0000-0000-000061090000}"/>
    <cellStyle name="Comma 4 3 2 5 3 2" xfId="13886" xr:uid="{C1CB667E-CB34-4417-A335-9C088AEEB411}"/>
    <cellStyle name="Comma 4 3 2 5 4" xfId="9668" xr:uid="{D9CD54A9-2E9C-4A6C-8D17-CEEEF2BB8742}"/>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1EE71D89-8A82-4CE7-B41E-09590A579E39}"/>
    <cellStyle name="Comma 4 3 2 6 2 3" xfId="12226" xr:uid="{F20842F3-C711-4240-9203-7FB0335A01F7}"/>
    <cellStyle name="Comma 4 3 2 6 3" xfId="5857" xr:uid="{00000000-0005-0000-0000-000065090000}"/>
    <cellStyle name="Comma 4 3 2 6 3 2" xfId="14299" xr:uid="{3FE348B7-18B7-4527-AD82-23E3063067AC}"/>
    <cellStyle name="Comma 4 3 2 6 4" xfId="10081" xr:uid="{807EF24D-14E3-4D1B-81E7-6BA350334CDF}"/>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8633C03B-280D-4220-9174-4DB7241591FD}"/>
    <cellStyle name="Comma 4 3 2 7 2 3" xfId="12639" xr:uid="{F431E6FE-4AA6-4977-80D4-75AE7B463F5D}"/>
    <cellStyle name="Comma 4 3 2 7 3" xfId="6270" xr:uid="{00000000-0005-0000-0000-000069090000}"/>
    <cellStyle name="Comma 4 3 2 7 3 2" xfId="14712" xr:uid="{0DDBD807-CE67-493A-8D66-9B0EB3ED79A9}"/>
    <cellStyle name="Comma 4 3 2 7 4" xfId="10494" xr:uid="{36FC8368-A423-4035-9FF0-8971E983617D}"/>
    <cellStyle name="Comma 4 3 2 8" xfId="2398" xr:uid="{00000000-0005-0000-0000-00006A090000}"/>
    <cellStyle name="Comma 4 3 2 8 2" xfId="6683" xr:uid="{00000000-0005-0000-0000-00006B090000}"/>
    <cellStyle name="Comma 4 3 2 8 2 2" xfId="15125" xr:uid="{C5E1C59D-F8E5-468E-A5D3-C8E9764B0F8C}"/>
    <cellStyle name="Comma 4 3 2 8 3" xfId="10907" xr:uid="{05D7A008-E544-4E17-968E-273AF1EEF54C}"/>
    <cellStyle name="Comma 4 3 2 9" xfId="2365" xr:uid="{00000000-0005-0000-0000-00006C090000}"/>
    <cellStyle name="Comma 4 3 3" xfId="149" xr:uid="{00000000-0005-0000-0000-00006D090000}"/>
    <cellStyle name="Comma 4 3 3 10" xfId="4621" xr:uid="{00000000-0005-0000-0000-00006E090000}"/>
    <cellStyle name="Comma 4 3 3 10 2" xfId="13063" xr:uid="{D099B4D5-3ADE-4E06-9FD8-66FEB6B145BC}"/>
    <cellStyle name="Comma 4 3 3 11" xfId="8845" xr:uid="{633D4F2C-51DE-486E-AC5D-4D8266ED9C5D}"/>
    <cellStyle name="Comma 4 3 3 2" xfId="150" xr:uid="{00000000-0005-0000-0000-00006F090000}"/>
    <cellStyle name="Comma 4 3 3 2 10" xfId="8846" xr:uid="{47DB0B5D-644C-4C46-9E25-77B8433C74F2}"/>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B1E1043A-B201-4822-A989-D84D96549AD5}"/>
    <cellStyle name="Comma 4 3 3 2 2 2 3" xfId="11405" xr:uid="{8C58DA10-7FB3-4F78-8195-F7EF7C73B0D0}"/>
    <cellStyle name="Comma 4 3 3 2 2 3" xfId="5036" xr:uid="{00000000-0005-0000-0000-000073090000}"/>
    <cellStyle name="Comma 4 3 3 2 2 3 2" xfId="13478" xr:uid="{2F9DC93C-9191-4357-968E-FA5F2562D429}"/>
    <cellStyle name="Comma 4 3 3 2 2 4" xfId="9260" xr:uid="{96A31327-52CF-4690-AA01-0D39A82267FF}"/>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628A7E80-969A-4579-ADD5-79C520344021}"/>
    <cellStyle name="Comma 4 3 3 2 3 2 3" xfId="11818" xr:uid="{A1E1F12E-686B-402B-AB5C-9DD0DB966EB0}"/>
    <cellStyle name="Comma 4 3 3 2 3 3" xfId="5449" xr:uid="{00000000-0005-0000-0000-000077090000}"/>
    <cellStyle name="Comma 4 3 3 2 3 3 2" xfId="13891" xr:uid="{FD1D8653-B36E-4713-AF0C-84871F9118C1}"/>
    <cellStyle name="Comma 4 3 3 2 3 4" xfId="9673" xr:uid="{198DE3D5-83B5-4BB2-AAEC-E396EAFA3F3D}"/>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56410CD2-7758-4E39-8A5C-E15F52207384}"/>
    <cellStyle name="Comma 4 3 3 2 4 2 3" xfId="12231" xr:uid="{9BA530C8-DFA0-4831-9037-08BFC8EEA3CA}"/>
    <cellStyle name="Comma 4 3 3 2 4 3" xfId="5862" xr:uid="{00000000-0005-0000-0000-00007B090000}"/>
    <cellStyle name="Comma 4 3 3 2 4 3 2" xfId="14304" xr:uid="{75E8318F-5F7D-48F2-A3A8-0CD35A9AAE8F}"/>
    <cellStyle name="Comma 4 3 3 2 4 4" xfId="10086" xr:uid="{9621FB53-8FB3-4794-B131-832BC949541A}"/>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5DDF4D93-C530-455C-A3F0-F8B560DF45EE}"/>
    <cellStyle name="Comma 4 3 3 2 5 2 3" xfId="12644" xr:uid="{E315C3E6-A69E-41EC-9E9B-9D2D414D7A76}"/>
    <cellStyle name="Comma 4 3 3 2 5 3" xfId="6275" xr:uid="{00000000-0005-0000-0000-00007F090000}"/>
    <cellStyle name="Comma 4 3 3 2 5 3 2" xfId="14717" xr:uid="{F40608D0-2634-40C6-A2B7-35B9D79A006A}"/>
    <cellStyle name="Comma 4 3 3 2 5 4" xfId="10499" xr:uid="{DA10C341-8711-4F8F-B2E1-7BC6F578DE90}"/>
    <cellStyle name="Comma 4 3 3 2 6" xfId="2403" xr:uid="{00000000-0005-0000-0000-000080090000}"/>
    <cellStyle name="Comma 4 3 3 2 6 2" xfId="6688" xr:uid="{00000000-0005-0000-0000-000081090000}"/>
    <cellStyle name="Comma 4 3 3 2 6 2 2" xfId="15130" xr:uid="{53A55119-B9B4-40B2-9C78-8E359F655F7E}"/>
    <cellStyle name="Comma 4 3 3 2 6 3" xfId="10912" xr:uid="{42E9A9A0-0497-450B-9AE0-7570DFB5EBF6}"/>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05789F9E-B24E-4F80-95C9-7EDB7BF30FEB}"/>
    <cellStyle name="Comma 4 3 3 2 8 3" xfId="11229" xr:uid="{7134EE59-8DB7-41FE-9171-623B061E0CBB}"/>
    <cellStyle name="Comma 4 3 3 2 9" xfId="4622" xr:uid="{00000000-0005-0000-0000-000085090000}"/>
    <cellStyle name="Comma 4 3 3 2 9 2" xfId="13064" xr:uid="{997578D3-2697-434A-9886-73C2ED97CF0F}"/>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B6116339-6619-4E44-B707-A6B024AB6180}"/>
    <cellStyle name="Comma 4 3 3 3 2 3" xfId="11404" xr:uid="{FCF23035-08D7-400A-93D3-81E7D13DD2B0}"/>
    <cellStyle name="Comma 4 3 3 3 3" xfId="5035" xr:uid="{00000000-0005-0000-0000-000089090000}"/>
    <cellStyle name="Comma 4 3 3 3 3 2" xfId="13477" xr:uid="{B74DA749-AE49-4E09-874B-B30598C1C4BF}"/>
    <cellStyle name="Comma 4 3 3 3 4" xfId="9259" xr:uid="{3BE5B510-22EF-4335-97B9-75AA9119DE4E}"/>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67B2ABD2-6254-4272-8754-20E7D399F5BA}"/>
    <cellStyle name="Comma 4 3 3 4 2 3" xfId="11817" xr:uid="{27995893-8A47-401B-973D-10EAEC000CB6}"/>
    <cellStyle name="Comma 4 3 3 4 3" xfId="5448" xr:uid="{00000000-0005-0000-0000-00008D090000}"/>
    <cellStyle name="Comma 4 3 3 4 3 2" xfId="13890" xr:uid="{FF439B64-342C-4A87-BB8D-0CCD1DF68324}"/>
    <cellStyle name="Comma 4 3 3 4 4" xfId="9672" xr:uid="{5E0DABD0-5C2C-4A97-A1E5-DD67B2C3590F}"/>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428C3C5A-A9DE-45A5-A582-674253421F3F}"/>
    <cellStyle name="Comma 4 3 3 5 2 3" xfId="12230" xr:uid="{F5DB75E0-ECF2-475B-8763-BCA176062A94}"/>
    <cellStyle name="Comma 4 3 3 5 3" xfId="5861" xr:uid="{00000000-0005-0000-0000-000091090000}"/>
    <cellStyle name="Comma 4 3 3 5 3 2" xfId="14303" xr:uid="{77B685AD-21C6-49D0-8DEF-F3006E911BE1}"/>
    <cellStyle name="Comma 4 3 3 5 4" xfId="10085" xr:uid="{710E520C-2347-4BC3-ADEA-771253252396}"/>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4DC879D1-0558-4766-95F5-6CAA1B84B865}"/>
    <cellStyle name="Comma 4 3 3 6 2 3" xfId="12643" xr:uid="{CABF936F-3377-4FE1-B687-4B0646C46A11}"/>
    <cellStyle name="Comma 4 3 3 6 3" xfId="6274" xr:uid="{00000000-0005-0000-0000-000095090000}"/>
    <cellStyle name="Comma 4 3 3 6 3 2" xfId="14716" xr:uid="{8892CC7C-458B-4F36-BE8C-96235411A56F}"/>
    <cellStyle name="Comma 4 3 3 6 4" xfId="10498" xr:uid="{41996DD7-01CF-46A5-9848-48BFFA67C650}"/>
    <cellStyle name="Comma 4 3 3 7" xfId="2402" xr:uid="{00000000-0005-0000-0000-000096090000}"/>
    <cellStyle name="Comma 4 3 3 7 2" xfId="6687" xr:uid="{00000000-0005-0000-0000-000097090000}"/>
    <cellStyle name="Comma 4 3 3 7 2 2" xfId="15129" xr:uid="{9C3E9305-600C-4C31-ADD1-992D7D8F2D93}"/>
    <cellStyle name="Comma 4 3 3 7 3" xfId="10911" xr:uid="{81C8F307-99BC-4CE8-93D5-76443786186D}"/>
    <cellStyle name="Comma 4 3 3 8" xfId="2361" xr:uid="{00000000-0005-0000-0000-000098090000}"/>
    <cellStyle name="Comma 4 3 3 9" xfId="2780" xr:uid="{00000000-0005-0000-0000-000099090000}"/>
    <cellStyle name="Comma 4 3 3 9 2" xfId="7004" xr:uid="{00000000-0005-0000-0000-00009A090000}"/>
    <cellStyle name="Comma 4 3 3 9 2 2" xfId="15446" xr:uid="{628677B0-9567-45B4-890E-397C48D80581}"/>
    <cellStyle name="Comma 4 3 3 9 3" xfId="11228" xr:uid="{1EBB93B2-C616-4A68-8562-7EA9D70C7DCC}"/>
    <cellStyle name="Comma 4 3 4" xfId="151" xr:uid="{00000000-0005-0000-0000-00009B090000}"/>
    <cellStyle name="Comma 4 3 4 10" xfId="8847" xr:uid="{17E03CED-FF45-4AF3-B11C-D1396C24CC15}"/>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41F6DCAC-A97F-4FA3-8E6B-D222098ADAA8}"/>
    <cellStyle name="Comma 4 3 4 2 2 3" xfId="11406" xr:uid="{539F893F-EEEF-470E-AD7F-2FBB78FDA941}"/>
    <cellStyle name="Comma 4 3 4 2 3" xfId="5037" xr:uid="{00000000-0005-0000-0000-00009F090000}"/>
    <cellStyle name="Comma 4 3 4 2 3 2" xfId="13479" xr:uid="{75B15AD5-E6AF-44A2-964F-92D9FF537089}"/>
    <cellStyle name="Comma 4 3 4 2 4" xfId="9261" xr:uid="{2B51561A-7C03-46D5-A78A-BEF847FE4486}"/>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52DEE1BA-56E5-4B69-AEAA-E162FA164326}"/>
    <cellStyle name="Comma 4 3 4 3 2 3" xfId="11819" xr:uid="{AA5AF694-9DA2-4FF8-A3E6-01BCC648BB5A}"/>
    <cellStyle name="Comma 4 3 4 3 3" xfId="5450" xr:uid="{00000000-0005-0000-0000-0000A3090000}"/>
    <cellStyle name="Comma 4 3 4 3 3 2" xfId="13892" xr:uid="{7E5DD313-F5AC-439D-8432-9A76CEBD083B}"/>
    <cellStyle name="Comma 4 3 4 3 4" xfId="9674" xr:uid="{1BF50CC4-E10A-4D70-ABB9-AA06109AC891}"/>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25C4FD8A-5F66-4528-82C2-2CE6F45AC1DE}"/>
    <cellStyle name="Comma 4 3 4 4 2 3" xfId="12232" xr:uid="{D6A62C4D-9690-4E9B-82E8-CCD22009C040}"/>
    <cellStyle name="Comma 4 3 4 4 3" xfId="5863" xr:uid="{00000000-0005-0000-0000-0000A7090000}"/>
    <cellStyle name="Comma 4 3 4 4 3 2" xfId="14305" xr:uid="{54BF4458-6C41-461C-BC89-B8F8E79E4F7A}"/>
    <cellStyle name="Comma 4 3 4 4 4" xfId="10087" xr:uid="{01F520BE-CA3C-4772-B15F-4A961A49D89A}"/>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8812FEFF-BA37-40E1-9F94-DE96F576DFC4}"/>
    <cellStyle name="Comma 4 3 4 5 2 3" xfId="12645" xr:uid="{055B7ECE-E0CF-4785-BEEB-43B6150EBEFA}"/>
    <cellStyle name="Comma 4 3 4 5 3" xfId="6276" xr:uid="{00000000-0005-0000-0000-0000AB090000}"/>
    <cellStyle name="Comma 4 3 4 5 3 2" xfId="14718" xr:uid="{104D8863-7D0E-4914-B972-6C0946D239F1}"/>
    <cellStyle name="Comma 4 3 4 5 4" xfId="10500" xr:uid="{16A7266A-6F27-477D-BC7B-0E18D3AB8329}"/>
    <cellStyle name="Comma 4 3 4 6" xfId="2404" xr:uid="{00000000-0005-0000-0000-0000AC090000}"/>
    <cellStyle name="Comma 4 3 4 6 2" xfId="6689" xr:uid="{00000000-0005-0000-0000-0000AD090000}"/>
    <cellStyle name="Comma 4 3 4 6 2 2" xfId="15131" xr:uid="{BFC69D68-6F31-4B80-B00C-B0B54E3FD643}"/>
    <cellStyle name="Comma 4 3 4 6 3" xfId="10913" xr:uid="{F138CFBF-ED1C-4383-A5BC-C1AA7F32D031}"/>
    <cellStyle name="Comma 4 3 4 7" xfId="2700" xr:uid="{00000000-0005-0000-0000-0000AE090000}"/>
    <cellStyle name="Comma 4 3 4 8" xfId="2782" xr:uid="{00000000-0005-0000-0000-0000AF090000}"/>
    <cellStyle name="Comma 4 3 4 8 2" xfId="7006" xr:uid="{00000000-0005-0000-0000-0000B0090000}"/>
    <cellStyle name="Comma 4 3 4 8 2 2" xfId="15448" xr:uid="{B604E8C5-CBAB-40F0-A4A1-CF4ABDFFB191}"/>
    <cellStyle name="Comma 4 3 4 8 3" xfId="11230" xr:uid="{316DF10A-C520-46A8-83A0-E12F9E69330F}"/>
    <cellStyle name="Comma 4 3 4 9" xfId="4623" xr:uid="{00000000-0005-0000-0000-0000B1090000}"/>
    <cellStyle name="Comma 4 3 4 9 2" xfId="13065" xr:uid="{B5FB1101-500C-40F1-AC46-E1F428DBFEFC}"/>
    <cellStyle name="Comma 4 3 5" xfId="152" xr:uid="{00000000-0005-0000-0000-0000B2090000}"/>
    <cellStyle name="Comma 4 3 5 10" xfId="8848" xr:uid="{A541CF6E-817C-4749-91BF-7EECB559F22C}"/>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93F8C0FF-8F89-4952-8EA8-6CD70BC5B2AD}"/>
    <cellStyle name="Comma 4 3 5 2 2 3" xfId="11407" xr:uid="{68F8FB09-2AEA-4E19-ACE6-59A4DBE5EF7E}"/>
    <cellStyle name="Comma 4 3 5 2 3" xfId="5038" xr:uid="{00000000-0005-0000-0000-0000B6090000}"/>
    <cellStyle name="Comma 4 3 5 2 3 2" xfId="13480" xr:uid="{8314DBE9-19C7-411A-9296-F57FB0277B35}"/>
    <cellStyle name="Comma 4 3 5 2 4" xfId="9262" xr:uid="{7152A13A-A308-41AE-9D37-60DE3C4D39F6}"/>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087DD7C9-9430-47E6-8DA0-1872AA7A9A99}"/>
    <cellStyle name="Comma 4 3 5 3 2 3" xfId="11820" xr:uid="{EEC4CE88-F400-4353-89CB-5530A5092FAF}"/>
    <cellStyle name="Comma 4 3 5 3 3" xfId="5451" xr:uid="{00000000-0005-0000-0000-0000BA090000}"/>
    <cellStyle name="Comma 4 3 5 3 3 2" xfId="13893" xr:uid="{6694BEDA-41E1-4E89-B28A-9919F934F832}"/>
    <cellStyle name="Comma 4 3 5 3 4" xfId="9675" xr:uid="{A2C0CB2F-08A4-4192-8308-9E9B1FD4E466}"/>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E6AA0B3A-D77F-4C50-849D-ECD6BC37E2FC}"/>
    <cellStyle name="Comma 4 3 5 4 2 3" xfId="12233" xr:uid="{6B9E45EC-A749-466F-92A6-EE89100726ED}"/>
    <cellStyle name="Comma 4 3 5 4 3" xfId="5864" xr:uid="{00000000-0005-0000-0000-0000BE090000}"/>
    <cellStyle name="Comma 4 3 5 4 3 2" xfId="14306" xr:uid="{2E99B827-D474-4ABD-9A07-3172EA7A61C8}"/>
    <cellStyle name="Comma 4 3 5 4 4" xfId="10088" xr:uid="{90273559-76DF-4188-A8AF-8411FFAA5E71}"/>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74A3C1E4-B89C-4EC5-B421-036FB758C996}"/>
    <cellStyle name="Comma 4 3 5 5 2 3" xfId="12646" xr:uid="{460E9600-F555-44FF-AF7E-9BFA3590B21B}"/>
    <cellStyle name="Comma 4 3 5 5 3" xfId="6277" xr:uid="{00000000-0005-0000-0000-0000C2090000}"/>
    <cellStyle name="Comma 4 3 5 5 3 2" xfId="14719" xr:uid="{E252D2AE-1F3D-43E8-9FD6-7A3C6DBD6DD9}"/>
    <cellStyle name="Comma 4 3 5 5 4" xfId="10501" xr:uid="{7A234747-DE26-41AD-B52B-0528949AC17C}"/>
    <cellStyle name="Comma 4 3 5 6" xfId="2405" xr:uid="{00000000-0005-0000-0000-0000C3090000}"/>
    <cellStyle name="Comma 4 3 5 6 2" xfId="6690" xr:uid="{00000000-0005-0000-0000-0000C4090000}"/>
    <cellStyle name="Comma 4 3 5 6 2 2" xfId="15132" xr:uid="{4CFCE8A3-3A20-4CAA-81D5-24252042ED4E}"/>
    <cellStyle name="Comma 4 3 5 6 3" xfId="10914" xr:uid="{843FE2B9-F23B-4B60-8F4F-6DF7A0DD76A5}"/>
    <cellStyle name="Comma 4 3 5 7" xfId="2701" xr:uid="{00000000-0005-0000-0000-0000C5090000}"/>
    <cellStyle name="Comma 4 3 5 8" xfId="2783" xr:uid="{00000000-0005-0000-0000-0000C6090000}"/>
    <cellStyle name="Comma 4 3 5 8 2" xfId="7007" xr:uid="{00000000-0005-0000-0000-0000C7090000}"/>
    <cellStyle name="Comma 4 3 5 8 2 2" xfId="15449" xr:uid="{CF297A55-491D-4877-961E-20C1BCC9CD9C}"/>
    <cellStyle name="Comma 4 3 5 8 3" xfId="11231" xr:uid="{DE9A3CF8-9FAC-4357-B5F6-B848D8B3E959}"/>
    <cellStyle name="Comma 4 3 5 9" xfId="4624" xr:uid="{00000000-0005-0000-0000-0000C8090000}"/>
    <cellStyle name="Comma 4 3 5 9 2" xfId="13066" xr:uid="{198A3FE3-23D5-4D7F-B14D-2F3BFD44C122}"/>
    <cellStyle name="Comma 4 4" xfId="153" xr:uid="{00000000-0005-0000-0000-0000C9090000}"/>
    <cellStyle name="Comma 4 4 10" xfId="2784" xr:uid="{00000000-0005-0000-0000-0000CA090000}"/>
    <cellStyle name="Comma 4 4 10 2" xfId="7008" xr:uid="{00000000-0005-0000-0000-0000CB090000}"/>
    <cellStyle name="Comma 4 4 10 2 2" xfId="15450" xr:uid="{4DACED26-39E3-42B3-82D8-4D9E8F62C63C}"/>
    <cellStyle name="Comma 4 4 10 3" xfId="11232" xr:uid="{E05DE868-806E-404B-BFAF-4BA7893AF4DA}"/>
    <cellStyle name="Comma 4 4 11" xfId="4625" xr:uid="{00000000-0005-0000-0000-0000CC090000}"/>
    <cellStyle name="Comma 4 4 11 2" xfId="13067" xr:uid="{56726502-3D28-4B93-86E3-3030D7A9D246}"/>
    <cellStyle name="Comma 4 4 12" xfId="8849" xr:uid="{63BCDF78-45C9-4BD7-9CB7-A5AEAA0F03FC}"/>
    <cellStyle name="Comma 4 4 2" xfId="154" xr:uid="{00000000-0005-0000-0000-0000CD090000}"/>
    <cellStyle name="Comma 4 4 2 10" xfId="4626" xr:uid="{00000000-0005-0000-0000-0000CE090000}"/>
    <cellStyle name="Comma 4 4 2 10 2" xfId="13068" xr:uid="{D1BACEE0-3B57-475E-88AC-1D137A48D29C}"/>
    <cellStyle name="Comma 4 4 2 11" xfId="8850" xr:uid="{681D1BE7-3DB9-4BBD-96F3-BC9E32746EE6}"/>
    <cellStyle name="Comma 4 4 2 2" xfId="155" xr:uid="{00000000-0005-0000-0000-0000CF090000}"/>
    <cellStyle name="Comma 4 4 2 2 10" xfId="8851" xr:uid="{50D8E2DE-E2F8-4BF5-9BB4-6522A04F6CA9}"/>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72066CBC-868B-416E-8F96-59837B0FDB47}"/>
    <cellStyle name="Comma 4 4 2 2 2 2 3" xfId="11410" xr:uid="{4C0263AB-2C01-40C7-894C-909718666F8F}"/>
    <cellStyle name="Comma 4 4 2 2 2 3" xfId="5041" xr:uid="{00000000-0005-0000-0000-0000D3090000}"/>
    <cellStyle name="Comma 4 4 2 2 2 3 2" xfId="13483" xr:uid="{A7090606-B467-46BC-899A-07B5230AFB21}"/>
    <cellStyle name="Comma 4 4 2 2 2 4" xfId="9265" xr:uid="{E7797FA7-C1EB-4775-9644-FC25842A19C6}"/>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C556A99B-2315-461D-9747-18F68C1857B8}"/>
    <cellStyle name="Comma 4 4 2 2 3 2 3" xfId="11823" xr:uid="{5B9BE77F-6D17-4475-BF49-02B082CC9F51}"/>
    <cellStyle name="Comma 4 4 2 2 3 3" xfId="5454" xr:uid="{00000000-0005-0000-0000-0000D7090000}"/>
    <cellStyle name="Comma 4 4 2 2 3 3 2" xfId="13896" xr:uid="{E7C84CF5-4839-4436-8062-89EFAACFAA8F}"/>
    <cellStyle name="Comma 4 4 2 2 3 4" xfId="9678" xr:uid="{9118BB19-6429-4DD7-9ED6-FCAD4EDD3849}"/>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2F6CC405-5FD3-4C8C-A1E3-4B0E6505D8DD}"/>
    <cellStyle name="Comma 4 4 2 2 4 2 3" xfId="12236" xr:uid="{E83C49A3-9DE3-45C0-8E91-B15F228ABF0C}"/>
    <cellStyle name="Comma 4 4 2 2 4 3" xfId="5867" xr:uid="{00000000-0005-0000-0000-0000DB090000}"/>
    <cellStyle name="Comma 4 4 2 2 4 3 2" xfId="14309" xr:uid="{73FC4798-C750-4E69-A4CE-5363C679F47F}"/>
    <cellStyle name="Comma 4 4 2 2 4 4" xfId="10091" xr:uid="{DC7EAA1F-6039-4C96-9396-485A5C78370D}"/>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6534D3A5-C39B-49B1-B088-BD123D7D333B}"/>
    <cellStyle name="Comma 4 4 2 2 5 2 3" xfId="12649" xr:uid="{71DB7709-1BF0-4109-B9A7-850A86A3E93E}"/>
    <cellStyle name="Comma 4 4 2 2 5 3" xfId="6280" xr:uid="{00000000-0005-0000-0000-0000DF090000}"/>
    <cellStyle name="Comma 4 4 2 2 5 3 2" xfId="14722" xr:uid="{06A222EA-6407-4613-B535-7B28FAB5BC41}"/>
    <cellStyle name="Comma 4 4 2 2 5 4" xfId="10504" xr:uid="{6C29A85F-6455-494A-B937-2D01BAB6E728}"/>
    <cellStyle name="Comma 4 4 2 2 6" xfId="2408" xr:uid="{00000000-0005-0000-0000-0000E0090000}"/>
    <cellStyle name="Comma 4 4 2 2 6 2" xfId="6693" xr:uid="{00000000-0005-0000-0000-0000E1090000}"/>
    <cellStyle name="Comma 4 4 2 2 6 2 2" xfId="15135" xr:uid="{78E7FD0A-49A2-43C6-889D-56D4F2B16A11}"/>
    <cellStyle name="Comma 4 4 2 2 6 3" xfId="10917" xr:uid="{8770889A-ECD1-4EBC-9D65-786B7201AF78}"/>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96A681FE-8E18-46B5-862E-42A008D5E637}"/>
    <cellStyle name="Comma 4 4 2 2 8 3" xfId="11234" xr:uid="{517A095D-F84F-4842-B55A-71AEA8435336}"/>
    <cellStyle name="Comma 4 4 2 2 9" xfId="4627" xr:uid="{00000000-0005-0000-0000-0000E5090000}"/>
    <cellStyle name="Comma 4 4 2 2 9 2" xfId="13069" xr:uid="{459D0424-03F5-496C-8F72-DD25070EC695}"/>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5C9DD008-16A6-4638-B705-AC5690A08DE6}"/>
    <cellStyle name="Comma 4 4 2 3 2 3" xfId="11409" xr:uid="{46F5A4D9-5D72-421A-87A3-54DA18892155}"/>
    <cellStyle name="Comma 4 4 2 3 3" xfId="5040" xr:uid="{00000000-0005-0000-0000-0000E9090000}"/>
    <cellStyle name="Comma 4 4 2 3 3 2" xfId="13482" xr:uid="{3485C829-2130-468C-AB25-F06BAB8171D0}"/>
    <cellStyle name="Comma 4 4 2 3 4" xfId="9264" xr:uid="{6F1E6B9C-1043-4E09-96D4-AD7991BB3424}"/>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7D35AABD-2E8E-4B4E-832D-A853AEC4FDD4}"/>
    <cellStyle name="Comma 4 4 2 4 2 3" xfId="11822" xr:uid="{F6067FCF-3852-4742-ACFB-CF51DCC03492}"/>
    <cellStyle name="Comma 4 4 2 4 3" xfId="5453" xr:uid="{00000000-0005-0000-0000-0000ED090000}"/>
    <cellStyle name="Comma 4 4 2 4 3 2" xfId="13895" xr:uid="{E45A826F-E0E6-408C-A62A-9237DEA2ACE6}"/>
    <cellStyle name="Comma 4 4 2 4 4" xfId="9677" xr:uid="{46309274-6CA6-4CE2-BB9D-6E80F832E76C}"/>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50D64D09-B4DC-4E29-B2E1-4F38F1D4ABF7}"/>
    <cellStyle name="Comma 4 4 2 5 2 3" xfId="12235" xr:uid="{3B48AA75-EEAC-4295-9CAA-7B6F3C25C48D}"/>
    <cellStyle name="Comma 4 4 2 5 3" xfId="5866" xr:uid="{00000000-0005-0000-0000-0000F1090000}"/>
    <cellStyle name="Comma 4 4 2 5 3 2" xfId="14308" xr:uid="{A83D8372-6D06-46FD-AA67-88A99BA38B3F}"/>
    <cellStyle name="Comma 4 4 2 5 4" xfId="10090" xr:uid="{12030D0A-E84B-4BAE-B049-6296800D6746}"/>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2D644E43-B9CE-4D6B-877E-B96792E0F4F9}"/>
    <cellStyle name="Comma 4 4 2 6 2 3" xfId="12648" xr:uid="{11582D00-04A6-4ED8-B767-4726F6177E9F}"/>
    <cellStyle name="Comma 4 4 2 6 3" xfId="6279" xr:uid="{00000000-0005-0000-0000-0000F5090000}"/>
    <cellStyle name="Comma 4 4 2 6 3 2" xfId="14721" xr:uid="{C4C46DDE-7AF5-4BC5-9858-C57618787750}"/>
    <cellStyle name="Comma 4 4 2 6 4" xfId="10503" xr:uid="{70B884D5-76DC-455A-96B4-45010CB902E4}"/>
    <cellStyle name="Comma 4 4 2 7" xfId="2407" xr:uid="{00000000-0005-0000-0000-0000F6090000}"/>
    <cellStyle name="Comma 4 4 2 7 2" xfId="6692" xr:uid="{00000000-0005-0000-0000-0000F7090000}"/>
    <cellStyle name="Comma 4 4 2 7 2 2" xfId="15134" xr:uid="{1CBB57D8-FE3E-437C-8585-6C20B492F294}"/>
    <cellStyle name="Comma 4 4 2 7 3" xfId="10916" xr:uid="{3847D2A9-C700-4A65-8FB5-0AE9A5BEDB45}"/>
    <cellStyle name="Comma 4 4 2 8" xfId="2703" xr:uid="{00000000-0005-0000-0000-0000F8090000}"/>
    <cellStyle name="Comma 4 4 2 9" xfId="2785" xr:uid="{00000000-0005-0000-0000-0000F9090000}"/>
    <cellStyle name="Comma 4 4 2 9 2" xfId="7009" xr:uid="{00000000-0005-0000-0000-0000FA090000}"/>
    <cellStyle name="Comma 4 4 2 9 2 2" xfId="15451" xr:uid="{E799938B-9D1E-4291-B44F-10CD647AA253}"/>
    <cellStyle name="Comma 4 4 2 9 3" xfId="11233" xr:uid="{68204B3D-DE34-490E-9C95-6082EC876231}"/>
    <cellStyle name="Comma 4 4 3" xfId="156" xr:uid="{00000000-0005-0000-0000-0000FB090000}"/>
    <cellStyle name="Comma 4 4 3 10" xfId="8852" xr:uid="{530D1E9A-EAD5-486D-A617-939F62BBB2C2}"/>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D26F2276-9D44-4203-B1BB-5D3247ECE7E6}"/>
    <cellStyle name="Comma 4 4 3 2 2 3" xfId="11411" xr:uid="{461A8337-0276-4051-987B-6C5A7FF67247}"/>
    <cellStyle name="Comma 4 4 3 2 3" xfId="5042" xr:uid="{00000000-0005-0000-0000-0000FF090000}"/>
    <cellStyle name="Comma 4 4 3 2 3 2" xfId="13484" xr:uid="{8FDE3D1F-9736-4A34-9C2D-EDDA501FF6F2}"/>
    <cellStyle name="Comma 4 4 3 2 4" xfId="9266" xr:uid="{2AD5DB8E-A3FD-4DAB-8778-3961EC9AA949}"/>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D198FF9B-172B-4627-80B7-8DB5B8582080}"/>
    <cellStyle name="Comma 4 4 3 3 2 3" xfId="11824" xr:uid="{4D6AA5F0-7985-4448-9D0A-B410ED2D6782}"/>
    <cellStyle name="Comma 4 4 3 3 3" xfId="5455" xr:uid="{00000000-0005-0000-0000-0000030A0000}"/>
    <cellStyle name="Comma 4 4 3 3 3 2" xfId="13897" xr:uid="{CA4786C0-094E-47C3-BDE5-76404BA228F4}"/>
    <cellStyle name="Comma 4 4 3 3 4" xfId="9679" xr:uid="{AB49E454-FCCE-4BDD-9909-BA8328BF57C9}"/>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FB3EF98D-74AD-44FB-9F15-AFBFDB7B72DE}"/>
    <cellStyle name="Comma 4 4 3 4 2 3" xfId="12237" xr:uid="{6F4EFA83-D752-4E9F-BACA-DB8EB88D6A1B}"/>
    <cellStyle name="Comma 4 4 3 4 3" xfId="5868" xr:uid="{00000000-0005-0000-0000-0000070A0000}"/>
    <cellStyle name="Comma 4 4 3 4 3 2" xfId="14310" xr:uid="{DFB66688-F93B-460E-9170-3EB2FB4EF778}"/>
    <cellStyle name="Comma 4 4 3 4 4" xfId="10092" xr:uid="{DC6158DF-3F2D-436E-BAFA-677A7E3E9AEE}"/>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A0905ED8-693D-411F-993F-E9D468136841}"/>
    <cellStyle name="Comma 4 4 3 5 2 3" xfId="12650" xr:uid="{B2D3F4B7-EE39-47BB-B66E-B2E046AA53E3}"/>
    <cellStyle name="Comma 4 4 3 5 3" xfId="6281" xr:uid="{00000000-0005-0000-0000-00000B0A0000}"/>
    <cellStyle name="Comma 4 4 3 5 3 2" xfId="14723" xr:uid="{AFE2FB49-2DA3-488A-AE87-38DDD81FB8C2}"/>
    <cellStyle name="Comma 4 4 3 5 4" xfId="10505" xr:uid="{CAA0C2BD-66E1-4B6A-956A-E90127D83483}"/>
    <cellStyle name="Comma 4 4 3 6" xfId="2409" xr:uid="{00000000-0005-0000-0000-00000C0A0000}"/>
    <cellStyle name="Comma 4 4 3 6 2" xfId="6694" xr:uid="{00000000-0005-0000-0000-00000D0A0000}"/>
    <cellStyle name="Comma 4 4 3 6 2 2" xfId="15136" xr:uid="{6C1940D6-ECED-47CF-A6F4-47DB57B32C75}"/>
    <cellStyle name="Comma 4 4 3 6 3" xfId="10918" xr:uid="{2455DCAD-E017-4277-B4D8-CEED68186C41}"/>
    <cellStyle name="Comma 4 4 3 7" xfId="2705" xr:uid="{00000000-0005-0000-0000-00000E0A0000}"/>
    <cellStyle name="Comma 4 4 3 8" xfId="2787" xr:uid="{00000000-0005-0000-0000-00000F0A0000}"/>
    <cellStyle name="Comma 4 4 3 8 2" xfId="7011" xr:uid="{00000000-0005-0000-0000-0000100A0000}"/>
    <cellStyle name="Comma 4 4 3 8 2 2" xfId="15453" xr:uid="{29BB0251-94AD-4F1B-89C5-C23DD0C746FB}"/>
    <cellStyle name="Comma 4 4 3 8 3" xfId="11235" xr:uid="{7D9B0E65-7881-4DE5-AE70-89A3E5D3F465}"/>
    <cellStyle name="Comma 4 4 3 9" xfId="4628" xr:uid="{00000000-0005-0000-0000-0000110A0000}"/>
    <cellStyle name="Comma 4 4 3 9 2" xfId="13070" xr:uid="{B96895D2-3B0A-4949-8A3C-165C6B772878}"/>
    <cellStyle name="Comma 4 4 4" xfId="690" xr:uid="{00000000-0005-0000-0000-0000120A0000}"/>
    <cellStyle name="Comma 4 4 4 2" xfId="2961" xr:uid="{00000000-0005-0000-0000-0000130A0000}"/>
    <cellStyle name="Comma 4 4 4 2 2" xfId="7184" xr:uid="{00000000-0005-0000-0000-0000140A0000}"/>
    <cellStyle name="Comma 4 4 4 2 2 2" xfId="15626" xr:uid="{D43A215B-5C34-4D82-AD59-A70371F03543}"/>
    <cellStyle name="Comma 4 4 4 2 3" xfId="11408" xr:uid="{5BF8B024-A6E1-4463-8A78-5699AC748EC7}"/>
    <cellStyle name="Comma 4 4 4 3" xfId="5039" xr:uid="{00000000-0005-0000-0000-0000150A0000}"/>
    <cellStyle name="Comma 4 4 4 3 2" xfId="13481" xr:uid="{3C191FF2-9706-4E3C-B7BC-C7C4A6654BEB}"/>
    <cellStyle name="Comma 4 4 4 4" xfId="9263" xr:uid="{C5444E5B-B71E-43EB-92CD-D24AAA0B28DE}"/>
    <cellStyle name="Comma 4 4 5" xfId="1143" xr:uid="{00000000-0005-0000-0000-0000160A0000}"/>
    <cellStyle name="Comma 4 4 5 2" xfId="3374" xr:uid="{00000000-0005-0000-0000-0000170A0000}"/>
    <cellStyle name="Comma 4 4 5 2 2" xfId="7597" xr:uid="{00000000-0005-0000-0000-0000180A0000}"/>
    <cellStyle name="Comma 4 4 5 2 2 2" xfId="16039" xr:uid="{25C3D92A-4750-4E92-8BE7-9EE25DA8DB84}"/>
    <cellStyle name="Comma 4 4 5 2 3" xfId="11821" xr:uid="{79BA482A-1D61-497C-AC1A-530E5D716A86}"/>
    <cellStyle name="Comma 4 4 5 3" xfId="5452" xr:uid="{00000000-0005-0000-0000-0000190A0000}"/>
    <cellStyle name="Comma 4 4 5 3 2" xfId="13894" xr:uid="{C80509FF-2566-470D-A03C-366469D1515C}"/>
    <cellStyle name="Comma 4 4 5 4" xfId="9676" xr:uid="{160C2DAC-7F94-4C7E-827E-6364C5D388E7}"/>
    <cellStyle name="Comma 4 4 6" xfId="1557" xr:uid="{00000000-0005-0000-0000-00001A0A0000}"/>
    <cellStyle name="Comma 4 4 6 2" xfId="3787" xr:uid="{00000000-0005-0000-0000-00001B0A0000}"/>
    <cellStyle name="Comma 4 4 6 2 2" xfId="8010" xr:uid="{00000000-0005-0000-0000-00001C0A0000}"/>
    <cellStyle name="Comma 4 4 6 2 2 2" xfId="16452" xr:uid="{FFC73610-4B21-4678-8821-848EEDAF4812}"/>
    <cellStyle name="Comma 4 4 6 2 3" xfId="12234" xr:uid="{FEFF63D7-8448-4CBA-9F16-5259FE7A09E3}"/>
    <cellStyle name="Comma 4 4 6 3" xfId="5865" xr:uid="{00000000-0005-0000-0000-00001D0A0000}"/>
    <cellStyle name="Comma 4 4 6 3 2" xfId="14307" xr:uid="{061F5183-88D4-4C6B-B49D-8BEEA122908E}"/>
    <cellStyle name="Comma 4 4 6 4" xfId="10089" xr:uid="{5386971E-FC30-493F-8738-EDC1489C258D}"/>
    <cellStyle name="Comma 4 4 7" xfId="1971" xr:uid="{00000000-0005-0000-0000-00001E0A0000}"/>
    <cellStyle name="Comma 4 4 7 2" xfId="4200" xr:uid="{00000000-0005-0000-0000-00001F0A0000}"/>
    <cellStyle name="Comma 4 4 7 2 2" xfId="8423" xr:uid="{00000000-0005-0000-0000-0000200A0000}"/>
    <cellStyle name="Comma 4 4 7 2 2 2" xfId="16865" xr:uid="{B532C6D1-8E18-4279-8BFB-DD6065D696E9}"/>
    <cellStyle name="Comma 4 4 7 2 3" xfId="12647" xr:uid="{F33F6D42-ACD5-4F6D-B24D-52192517D4D5}"/>
    <cellStyle name="Comma 4 4 7 3" xfId="6278" xr:uid="{00000000-0005-0000-0000-0000210A0000}"/>
    <cellStyle name="Comma 4 4 7 3 2" xfId="14720" xr:uid="{E55DC148-8998-45CA-B943-4255FA324CFA}"/>
    <cellStyle name="Comma 4 4 7 4" xfId="10502" xr:uid="{8BC27A94-7DB2-444A-AD84-8304373F4883}"/>
    <cellStyle name="Comma 4 4 8" xfId="2406" xr:uid="{00000000-0005-0000-0000-0000220A0000}"/>
    <cellStyle name="Comma 4 4 8 2" xfId="6691" xr:uid="{00000000-0005-0000-0000-0000230A0000}"/>
    <cellStyle name="Comma 4 4 8 2 2" xfId="15133" xr:uid="{ACB360CB-474F-4E6F-919C-CD8A2A8826A7}"/>
    <cellStyle name="Comma 4 4 8 3" xfId="10915" xr:uid="{5BEBDB38-735E-4AA8-9020-F1548CD2DE9F}"/>
    <cellStyle name="Comma 4 4 9" xfId="2702" xr:uid="{00000000-0005-0000-0000-0000240A0000}"/>
    <cellStyle name="Comma 4 5" xfId="157" xr:uid="{00000000-0005-0000-0000-0000250A0000}"/>
    <cellStyle name="Comma 4 5 10" xfId="4629" xr:uid="{00000000-0005-0000-0000-0000260A0000}"/>
    <cellStyle name="Comma 4 5 10 2" xfId="13071" xr:uid="{E6554D6E-9116-487C-B077-456AECA8AD90}"/>
    <cellStyle name="Comma 4 5 11" xfId="8853" xr:uid="{D7D1E7E4-B6BC-42DB-A7E3-7C3E6F46AC78}"/>
    <cellStyle name="Comma 4 5 2" xfId="158" xr:uid="{00000000-0005-0000-0000-0000270A0000}"/>
    <cellStyle name="Comma 4 5 2 10" xfId="8854" xr:uid="{BAD5464C-B334-476E-AA9F-081BE11588FA}"/>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EBBB9E8A-DCB4-4BAB-A642-F77173A72F44}"/>
    <cellStyle name="Comma 4 5 2 2 2 3" xfId="11413" xr:uid="{D9D62831-37E1-46AE-B9E2-B5E207FCD2A5}"/>
    <cellStyle name="Comma 4 5 2 2 3" xfId="5044" xr:uid="{00000000-0005-0000-0000-00002B0A0000}"/>
    <cellStyle name="Comma 4 5 2 2 3 2" xfId="13486" xr:uid="{81E79269-B7CD-4F23-8D5C-FC26898A9D58}"/>
    <cellStyle name="Comma 4 5 2 2 4" xfId="9268" xr:uid="{1C1153BE-4E9B-4F1F-8C52-8C4FA61F54A9}"/>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3C82C720-FC48-40A0-867C-8E7FCA296B47}"/>
    <cellStyle name="Comma 4 5 2 3 2 3" xfId="11826" xr:uid="{4C343501-028C-4B97-8606-46C977B6327F}"/>
    <cellStyle name="Comma 4 5 2 3 3" xfId="5457" xr:uid="{00000000-0005-0000-0000-00002F0A0000}"/>
    <cellStyle name="Comma 4 5 2 3 3 2" xfId="13899" xr:uid="{12E1FD14-DFAF-40B2-BB51-ECF8A55B77EF}"/>
    <cellStyle name="Comma 4 5 2 3 4" xfId="9681" xr:uid="{89992720-3A68-4ADD-A500-E93BBB7C6DE3}"/>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F07721DF-A6D9-4106-83B8-813FACAC2412}"/>
    <cellStyle name="Comma 4 5 2 4 2 3" xfId="12239" xr:uid="{411EFB1C-FE51-4BE4-8F00-17C6ACCAA37F}"/>
    <cellStyle name="Comma 4 5 2 4 3" xfId="5870" xr:uid="{00000000-0005-0000-0000-0000330A0000}"/>
    <cellStyle name="Comma 4 5 2 4 3 2" xfId="14312" xr:uid="{D9EAE4CD-2EA3-4B0A-B531-7A0DA7749F74}"/>
    <cellStyle name="Comma 4 5 2 4 4" xfId="10094" xr:uid="{886F5859-AD4E-4619-BF20-A2FAA80FE9A4}"/>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D9746009-9FA1-4CBF-8468-AEB2270AEEC5}"/>
    <cellStyle name="Comma 4 5 2 5 2 3" xfId="12652" xr:uid="{054166A9-B106-41C8-A5AD-3C9DABD2B8E0}"/>
    <cellStyle name="Comma 4 5 2 5 3" xfId="6283" xr:uid="{00000000-0005-0000-0000-0000370A0000}"/>
    <cellStyle name="Comma 4 5 2 5 3 2" xfId="14725" xr:uid="{DEF19EB8-635A-4207-B8C3-8AB21AD4B708}"/>
    <cellStyle name="Comma 4 5 2 5 4" xfId="10507" xr:uid="{E4B40C17-1345-4924-B701-5BE533742408}"/>
    <cellStyle name="Comma 4 5 2 6" xfId="2411" xr:uid="{00000000-0005-0000-0000-0000380A0000}"/>
    <cellStyle name="Comma 4 5 2 6 2" xfId="6696" xr:uid="{00000000-0005-0000-0000-0000390A0000}"/>
    <cellStyle name="Comma 4 5 2 6 2 2" xfId="15138" xr:uid="{91AA0242-73CF-4940-8A01-4EE0D660EAF9}"/>
    <cellStyle name="Comma 4 5 2 6 3" xfId="10920" xr:uid="{29B7656A-8CE3-414B-BC64-BCF7C6298677}"/>
    <cellStyle name="Comma 4 5 2 7" xfId="2707" xr:uid="{00000000-0005-0000-0000-00003A0A0000}"/>
    <cellStyle name="Comma 4 5 2 8" xfId="2789" xr:uid="{00000000-0005-0000-0000-00003B0A0000}"/>
    <cellStyle name="Comma 4 5 2 8 2" xfId="7013" xr:uid="{00000000-0005-0000-0000-00003C0A0000}"/>
    <cellStyle name="Comma 4 5 2 8 2 2" xfId="15455" xr:uid="{4557BB87-FEBC-4B4B-902D-A59EDC3E1594}"/>
    <cellStyle name="Comma 4 5 2 8 3" xfId="11237" xr:uid="{033203AC-E024-486D-9EA5-A8A703D294F5}"/>
    <cellStyle name="Comma 4 5 2 9" xfId="4630" xr:uid="{00000000-0005-0000-0000-00003D0A0000}"/>
    <cellStyle name="Comma 4 5 2 9 2" xfId="13072" xr:uid="{C732E585-9D13-46CD-B95D-302AEF38F1E5}"/>
    <cellStyle name="Comma 4 5 3" xfId="694" xr:uid="{00000000-0005-0000-0000-00003E0A0000}"/>
    <cellStyle name="Comma 4 5 3 2" xfId="2965" xr:uid="{00000000-0005-0000-0000-00003F0A0000}"/>
    <cellStyle name="Comma 4 5 3 2 2" xfId="7188" xr:uid="{00000000-0005-0000-0000-0000400A0000}"/>
    <cellStyle name="Comma 4 5 3 2 2 2" xfId="15630" xr:uid="{EA30D066-9620-4C64-B6C5-749A8D25BA5E}"/>
    <cellStyle name="Comma 4 5 3 2 3" xfId="11412" xr:uid="{A5F82B41-365E-4532-A4DA-BE3BFF41D723}"/>
    <cellStyle name="Comma 4 5 3 3" xfId="5043" xr:uid="{00000000-0005-0000-0000-0000410A0000}"/>
    <cellStyle name="Comma 4 5 3 3 2" xfId="13485" xr:uid="{A7F2209C-2D0E-4C4D-9934-998341BD4C96}"/>
    <cellStyle name="Comma 4 5 3 4" xfId="9267" xr:uid="{FB6C981B-747E-4938-8DF9-9511D0495D2F}"/>
    <cellStyle name="Comma 4 5 4" xfId="1147" xr:uid="{00000000-0005-0000-0000-0000420A0000}"/>
    <cellStyle name="Comma 4 5 4 2" xfId="3378" xr:uid="{00000000-0005-0000-0000-0000430A0000}"/>
    <cellStyle name="Comma 4 5 4 2 2" xfId="7601" xr:uid="{00000000-0005-0000-0000-0000440A0000}"/>
    <cellStyle name="Comma 4 5 4 2 2 2" xfId="16043" xr:uid="{E7BF7BDD-6466-4397-A38C-4D3339B732F9}"/>
    <cellStyle name="Comma 4 5 4 2 3" xfId="11825" xr:uid="{1353FE96-C980-4641-A9F0-00B1A7D4E0EA}"/>
    <cellStyle name="Comma 4 5 4 3" xfId="5456" xr:uid="{00000000-0005-0000-0000-0000450A0000}"/>
    <cellStyle name="Comma 4 5 4 3 2" xfId="13898" xr:uid="{75130C5B-379B-477F-AABB-87D2E2EFB4F8}"/>
    <cellStyle name="Comma 4 5 4 4" xfId="9680" xr:uid="{C76F4235-69CB-45DD-98F5-27C62FAD84D7}"/>
    <cellStyle name="Comma 4 5 5" xfId="1561" xr:uid="{00000000-0005-0000-0000-0000460A0000}"/>
    <cellStyle name="Comma 4 5 5 2" xfId="3791" xr:uid="{00000000-0005-0000-0000-0000470A0000}"/>
    <cellStyle name="Comma 4 5 5 2 2" xfId="8014" xr:uid="{00000000-0005-0000-0000-0000480A0000}"/>
    <cellStyle name="Comma 4 5 5 2 2 2" xfId="16456" xr:uid="{2B6151DF-2564-4D24-A8E9-54A8D95A7A9F}"/>
    <cellStyle name="Comma 4 5 5 2 3" xfId="12238" xr:uid="{95452DF1-4F6A-4560-A9FD-8829249CADE8}"/>
    <cellStyle name="Comma 4 5 5 3" xfId="5869" xr:uid="{00000000-0005-0000-0000-0000490A0000}"/>
    <cellStyle name="Comma 4 5 5 3 2" xfId="14311" xr:uid="{1599AEC3-E5AE-4AAF-A57B-AD7DA3FC69B1}"/>
    <cellStyle name="Comma 4 5 5 4" xfId="10093" xr:uid="{9A95B0D6-A040-4A5A-9376-1E468F7889E9}"/>
    <cellStyle name="Comma 4 5 6" xfId="1975" xr:uid="{00000000-0005-0000-0000-00004A0A0000}"/>
    <cellStyle name="Comma 4 5 6 2" xfId="4204" xr:uid="{00000000-0005-0000-0000-00004B0A0000}"/>
    <cellStyle name="Comma 4 5 6 2 2" xfId="8427" xr:uid="{00000000-0005-0000-0000-00004C0A0000}"/>
    <cellStyle name="Comma 4 5 6 2 2 2" xfId="16869" xr:uid="{255A6A90-7646-4AAB-8514-6AAC58E1A25D}"/>
    <cellStyle name="Comma 4 5 6 2 3" xfId="12651" xr:uid="{87530767-31FC-4E7F-9A90-A3AD29A5A9AE}"/>
    <cellStyle name="Comma 4 5 6 3" xfId="6282" xr:uid="{00000000-0005-0000-0000-00004D0A0000}"/>
    <cellStyle name="Comma 4 5 6 3 2" xfId="14724" xr:uid="{5841C89A-83C0-4A26-A5C3-72428BA3F3F3}"/>
    <cellStyle name="Comma 4 5 6 4" xfId="10506" xr:uid="{69BFA6D1-0E5C-418B-87EF-3704FFEED760}"/>
    <cellStyle name="Comma 4 5 7" xfId="2410" xr:uid="{00000000-0005-0000-0000-00004E0A0000}"/>
    <cellStyle name="Comma 4 5 7 2" xfId="6695" xr:uid="{00000000-0005-0000-0000-00004F0A0000}"/>
    <cellStyle name="Comma 4 5 7 2 2" xfId="15137" xr:uid="{08C87A5E-2EC1-4684-B1EA-138B864691F5}"/>
    <cellStyle name="Comma 4 5 7 3" xfId="10919" xr:uid="{E56F96D1-3A62-44E1-8E0E-66DAAEBFA644}"/>
    <cellStyle name="Comma 4 5 8" xfId="2706" xr:uid="{00000000-0005-0000-0000-0000500A0000}"/>
    <cellStyle name="Comma 4 5 9" xfId="2788" xr:uid="{00000000-0005-0000-0000-0000510A0000}"/>
    <cellStyle name="Comma 4 5 9 2" xfId="7012" xr:uid="{00000000-0005-0000-0000-0000520A0000}"/>
    <cellStyle name="Comma 4 5 9 2 2" xfId="15454" xr:uid="{C8DABB8B-0528-4880-9E91-023C3C219597}"/>
    <cellStyle name="Comma 4 5 9 3" xfId="11236" xr:uid="{F8789CA0-0A83-44D2-85FC-2E7107C58F62}"/>
    <cellStyle name="Comma 4 6" xfId="159" xr:uid="{00000000-0005-0000-0000-0000530A0000}"/>
    <cellStyle name="Comma 4 6 10" xfId="8855" xr:uid="{DD544553-2C7A-41AD-81B6-6DABA228F641}"/>
    <cellStyle name="Comma 4 6 2" xfId="696" xr:uid="{00000000-0005-0000-0000-0000540A0000}"/>
    <cellStyle name="Comma 4 6 2 2" xfId="2967" xr:uid="{00000000-0005-0000-0000-0000550A0000}"/>
    <cellStyle name="Comma 4 6 2 2 2" xfId="7190" xr:uid="{00000000-0005-0000-0000-0000560A0000}"/>
    <cellStyle name="Comma 4 6 2 2 2 2" xfId="15632" xr:uid="{C817CF04-A3B4-4B68-B14E-B54B9CCFFDEB}"/>
    <cellStyle name="Comma 4 6 2 2 3" xfId="11414" xr:uid="{2BCEE7D8-6C2B-4F02-AB92-24ABC1F02F1F}"/>
    <cellStyle name="Comma 4 6 2 3" xfId="5045" xr:uid="{00000000-0005-0000-0000-0000570A0000}"/>
    <cellStyle name="Comma 4 6 2 3 2" xfId="13487" xr:uid="{1A4666FA-67F7-47CD-B4AE-9607F550BCA6}"/>
    <cellStyle name="Comma 4 6 2 4" xfId="9269" xr:uid="{9468F2A9-FE18-4EC8-AF6E-B984008844F1}"/>
    <cellStyle name="Comma 4 6 3" xfId="1149" xr:uid="{00000000-0005-0000-0000-0000580A0000}"/>
    <cellStyle name="Comma 4 6 3 2" xfId="3380" xr:uid="{00000000-0005-0000-0000-0000590A0000}"/>
    <cellStyle name="Comma 4 6 3 2 2" xfId="7603" xr:uid="{00000000-0005-0000-0000-00005A0A0000}"/>
    <cellStyle name="Comma 4 6 3 2 2 2" xfId="16045" xr:uid="{57AF328B-6349-4D17-82A9-1A50616ED41B}"/>
    <cellStyle name="Comma 4 6 3 2 3" xfId="11827" xr:uid="{7AE9375E-E8C4-4274-A42F-7E131D1160C6}"/>
    <cellStyle name="Comma 4 6 3 3" xfId="5458" xr:uid="{00000000-0005-0000-0000-00005B0A0000}"/>
    <cellStyle name="Comma 4 6 3 3 2" xfId="13900" xr:uid="{9966B168-AFE2-495D-8EB7-EC9993DF9EBC}"/>
    <cellStyle name="Comma 4 6 3 4" xfId="9682" xr:uid="{4F84211C-13C9-458E-B0EB-5A30AD816DE9}"/>
    <cellStyle name="Comma 4 6 4" xfId="1563" xr:uid="{00000000-0005-0000-0000-00005C0A0000}"/>
    <cellStyle name="Comma 4 6 4 2" xfId="3793" xr:uid="{00000000-0005-0000-0000-00005D0A0000}"/>
    <cellStyle name="Comma 4 6 4 2 2" xfId="8016" xr:uid="{00000000-0005-0000-0000-00005E0A0000}"/>
    <cellStyle name="Comma 4 6 4 2 2 2" xfId="16458" xr:uid="{F8775FF9-C86A-47D2-AA83-EE5E67788DEF}"/>
    <cellStyle name="Comma 4 6 4 2 3" xfId="12240" xr:uid="{58DE3E5D-F7C3-4E58-B91A-85F824AEB640}"/>
    <cellStyle name="Comma 4 6 4 3" xfId="5871" xr:uid="{00000000-0005-0000-0000-00005F0A0000}"/>
    <cellStyle name="Comma 4 6 4 3 2" xfId="14313" xr:uid="{8016A2B3-AF7D-41F8-B2E8-74C54CFD08C8}"/>
    <cellStyle name="Comma 4 6 4 4" xfId="10095" xr:uid="{C1E89B52-8B8E-429C-8377-210D186A3BD9}"/>
    <cellStyle name="Comma 4 6 5" xfId="1977" xr:uid="{00000000-0005-0000-0000-0000600A0000}"/>
    <cellStyle name="Comma 4 6 5 2" xfId="4206" xr:uid="{00000000-0005-0000-0000-0000610A0000}"/>
    <cellStyle name="Comma 4 6 5 2 2" xfId="8429" xr:uid="{00000000-0005-0000-0000-0000620A0000}"/>
    <cellStyle name="Comma 4 6 5 2 2 2" xfId="16871" xr:uid="{577F4161-963A-4797-B250-9C73D870D6ED}"/>
    <cellStyle name="Comma 4 6 5 2 3" xfId="12653" xr:uid="{DCC063DF-867F-4421-8997-944C9B22ED12}"/>
    <cellStyle name="Comma 4 6 5 3" xfId="6284" xr:uid="{00000000-0005-0000-0000-0000630A0000}"/>
    <cellStyle name="Comma 4 6 5 3 2" xfId="14726" xr:uid="{3DB46BFF-EE1D-44A9-B751-DE9894B87E7E}"/>
    <cellStyle name="Comma 4 6 5 4" xfId="10508" xr:uid="{2C6717FC-2674-48E3-8E8E-DABCA2E735D3}"/>
    <cellStyle name="Comma 4 6 6" xfId="2412" xr:uid="{00000000-0005-0000-0000-0000640A0000}"/>
    <cellStyle name="Comma 4 6 6 2" xfId="6697" xr:uid="{00000000-0005-0000-0000-0000650A0000}"/>
    <cellStyle name="Comma 4 6 6 2 2" xfId="15139" xr:uid="{FC9AA191-725E-4507-AB6D-76BB69043BBB}"/>
    <cellStyle name="Comma 4 6 6 3" xfId="10921" xr:uid="{2573690E-5E1C-40EC-B17C-77EDF2A55132}"/>
    <cellStyle name="Comma 4 6 7" xfId="2708" xr:uid="{00000000-0005-0000-0000-0000660A0000}"/>
    <cellStyle name="Comma 4 6 8" xfId="2790" xr:uid="{00000000-0005-0000-0000-0000670A0000}"/>
    <cellStyle name="Comma 4 6 8 2" xfId="7014" xr:uid="{00000000-0005-0000-0000-0000680A0000}"/>
    <cellStyle name="Comma 4 6 8 2 2" xfId="15456" xr:uid="{64BF52D6-30FA-4997-B64C-4BE8B451BC8A}"/>
    <cellStyle name="Comma 4 6 8 3" xfId="11238" xr:uid="{FBEDA5D4-569B-4FFC-843E-248A86D1875F}"/>
    <cellStyle name="Comma 4 6 9" xfId="4631" xr:uid="{00000000-0005-0000-0000-0000690A0000}"/>
    <cellStyle name="Comma 4 6 9 2" xfId="13073" xr:uid="{C245A9A8-7913-47A0-84A3-C03B65A88EB4}"/>
    <cellStyle name="Comma 4 7" xfId="160" xr:uid="{00000000-0005-0000-0000-00006A0A0000}"/>
    <cellStyle name="Comma 4 7 10" xfId="8856" xr:uid="{22FF36B7-B634-4229-BEEA-93463D49A507}"/>
    <cellStyle name="Comma 4 7 2" xfId="697" xr:uid="{00000000-0005-0000-0000-00006B0A0000}"/>
    <cellStyle name="Comma 4 7 2 2" xfId="2968" xr:uid="{00000000-0005-0000-0000-00006C0A0000}"/>
    <cellStyle name="Comma 4 7 2 2 2" xfId="7191" xr:uid="{00000000-0005-0000-0000-00006D0A0000}"/>
    <cellStyle name="Comma 4 7 2 2 2 2" xfId="15633" xr:uid="{1AF0AFA4-033B-4B00-8C8E-DEE335527E75}"/>
    <cellStyle name="Comma 4 7 2 2 3" xfId="11415" xr:uid="{7355BDAB-5417-4481-9EA1-9F10F3EE4E78}"/>
    <cellStyle name="Comma 4 7 2 3" xfId="5046" xr:uid="{00000000-0005-0000-0000-00006E0A0000}"/>
    <cellStyle name="Comma 4 7 2 3 2" xfId="13488" xr:uid="{D11AD4A4-A911-44A5-9603-439255E5F96B}"/>
    <cellStyle name="Comma 4 7 2 4" xfId="9270" xr:uid="{24A77622-A754-4EAD-AECA-282D3AC8C900}"/>
    <cellStyle name="Comma 4 7 3" xfId="1150" xr:uid="{00000000-0005-0000-0000-00006F0A0000}"/>
    <cellStyle name="Comma 4 7 3 2" xfId="3381" xr:uid="{00000000-0005-0000-0000-0000700A0000}"/>
    <cellStyle name="Comma 4 7 3 2 2" xfId="7604" xr:uid="{00000000-0005-0000-0000-0000710A0000}"/>
    <cellStyle name="Comma 4 7 3 2 2 2" xfId="16046" xr:uid="{11C622C6-31C1-458F-BABD-491F95DC7C6D}"/>
    <cellStyle name="Comma 4 7 3 2 3" xfId="11828" xr:uid="{508FCFF7-E621-447A-BA37-B0791D69BA88}"/>
    <cellStyle name="Comma 4 7 3 3" xfId="5459" xr:uid="{00000000-0005-0000-0000-0000720A0000}"/>
    <cellStyle name="Comma 4 7 3 3 2" xfId="13901" xr:uid="{0C43CB61-A333-4917-A7CD-2182EBEF610E}"/>
    <cellStyle name="Comma 4 7 3 4" xfId="9683" xr:uid="{7290FBDA-FB73-4497-A393-C83F3E305716}"/>
    <cellStyle name="Comma 4 7 4" xfId="1564" xr:uid="{00000000-0005-0000-0000-0000730A0000}"/>
    <cellStyle name="Comma 4 7 4 2" xfId="3794" xr:uid="{00000000-0005-0000-0000-0000740A0000}"/>
    <cellStyle name="Comma 4 7 4 2 2" xfId="8017" xr:uid="{00000000-0005-0000-0000-0000750A0000}"/>
    <cellStyle name="Comma 4 7 4 2 2 2" xfId="16459" xr:uid="{1E05BFCD-0B2A-4074-8907-9D2B58B6B0CE}"/>
    <cellStyle name="Comma 4 7 4 2 3" xfId="12241" xr:uid="{C297A053-60C5-4D39-8AA4-F41E8BA77701}"/>
    <cellStyle name="Comma 4 7 4 3" xfId="5872" xr:uid="{00000000-0005-0000-0000-0000760A0000}"/>
    <cellStyle name="Comma 4 7 4 3 2" xfId="14314" xr:uid="{5E6FB2DE-D221-4249-8AE5-976A8629C0D1}"/>
    <cellStyle name="Comma 4 7 4 4" xfId="10096" xr:uid="{36F18001-A9B0-428B-853C-4426B1B31116}"/>
    <cellStyle name="Comma 4 7 5" xfId="1978" xr:uid="{00000000-0005-0000-0000-0000770A0000}"/>
    <cellStyle name="Comma 4 7 5 2" xfId="4207" xr:uid="{00000000-0005-0000-0000-0000780A0000}"/>
    <cellStyle name="Comma 4 7 5 2 2" xfId="8430" xr:uid="{00000000-0005-0000-0000-0000790A0000}"/>
    <cellStyle name="Comma 4 7 5 2 2 2" xfId="16872" xr:uid="{CCD8F7DA-1FDE-414F-81E7-5764AE8BA7EF}"/>
    <cellStyle name="Comma 4 7 5 2 3" xfId="12654" xr:uid="{48EB4093-41AB-470A-8254-3B97E70A84AB}"/>
    <cellStyle name="Comma 4 7 5 3" xfId="6285" xr:uid="{00000000-0005-0000-0000-00007A0A0000}"/>
    <cellStyle name="Comma 4 7 5 3 2" xfId="14727" xr:uid="{D40BA7B5-2E4A-4C44-B370-FDC5A5CAE2D6}"/>
    <cellStyle name="Comma 4 7 5 4" xfId="10509" xr:uid="{DDC45D5D-A77F-4917-91CA-9C5410FC55EA}"/>
    <cellStyle name="Comma 4 7 6" xfId="2413" xr:uid="{00000000-0005-0000-0000-00007B0A0000}"/>
    <cellStyle name="Comma 4 7 6 2" xfId="6698" xr:uid="{00000000-0005-0000-0000-00007C0A0000}"/>
    <cellStyle name="Comma 4 7 6 2 2" xfId="15140" xr:uid="{499AB943-607E-4B91-B876-DCF0363E5C1A}"/>
    <cellStyle name="Comma 4 7 6 3" xfId="10922" xr:uid="{C6862EA5-AB90-4C2E-902C-D1BD6EC5415B}"/>
    <cellStyle name="Comma 4 7 7" xfId="2709" xr:uid="{00000000-0005-0000-0000-00007D0A0000}"/>
    <cellStyle name="Comma 4 7 8" xfId="2791" xr:uid="{00000000-0005-0000-0000-00007E0A0000}"/>
    <cellStyle name="Comma 4 7 8 2" xfId="7015" xr:uid="{00000000-0005-0000-0000-00007F0A0000}"/>
    <cellStyle name="Comma 4 7 8 2 2" xfId="15457" xr:uid="{28730DA0-FC00-4E42-BA60-93B243662719}"/>
    <cellStyle name="Comma 4 7 8 3" xfId="11239" xr:uid="{9C0CB465-AAB1-40BE-A61D-7817D50882B4}"/>
    <cellStyle name="Comma 4 7 9" xfId="4632" xr:uid="{00000000-0005-0000-0000-0000800A0000}"/>
    <cellStyle name="Comma 4 7 9 2" xfId="13074" xr:uid="{9DD528CB-CD5A-4712-8AC1-CD8A9E88F4A3}"/>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1266902D-6819-4682-A459-30D6423C7992}"/>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89910F7A-79B5-449B-957A-4261F1C9DE63}"/>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1A8779BD-09DC-4785-B44C-7BFD3442E68C}"/>
    <cellStyle name="Currency 14 3 2 3" xfId="17165" xr:uid="{F253AB20-2A3E-4E84-A021-E1885896C66E}"/>
    <cellStyle name="Currency 14 3 3" xfId="17162" xr:uid="{B1BFFB4C-9026-402E-8637-ADE60A3A12EF}"/>
    <cellStyle name="Currency 14 4" xfId="12945" xr:uid="{6915F088-AD38-42F2-B524-6C37076430E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8E506B1D-5059-4BA6-8B14-76A4DA4C34F9}"/>
    <cellStyle name="Currency 3 2 2 10 3" xfId="11240" xr:uid="{C298A912-8E92-4C00-BCA6-98EB723975F7}"/>
    <cellStyle name="Currency 3 2 2 11" xfId="4633" xr:uid="{00000000-0005-0000-0000-0000A50A0000}"/>
    <cellStyle name="Currency 3 2 2 11 2" xfId="13075" xr:uid="{0BE693B9-DA64-40DE-9397-A4D5D815AC32}"/>
    <cellStyle name="Currency 3 2 2 12" xfId="8857" xr:uid="{23662417-7875-4ED3-9D92-90B7BE87959A}"/>
    <cellStyle name="Currency 3 2 2 2" xfId="179" xr:uid="{00000000-0005-0000-0000-0000A60A0000}"/>
    <cellStyle name="Currency 3 2 2 2 10" xfId="4634" xr:uid="{00000000-0005-0000-0000-0000A70A0000}"/>
    <cellStyle name="Currency 3 2 2 2 10 2" xfId="13076" xr:uid="{8868497A-7457-440F-9D9B-9E329BFD3C21}"/>
    <cellStyle name="Currency 3 2 2 2 11" xfId="8858" xr:uid="{D6ACF4F5-2C83-45D9-B07D-F76E14A90848}"/>
    <cellStyle name="Currency 3 2 2 2 2" xfId="180" xr:uid="{00000000-0005-0000-0000-0000A80A0000}"/>
    <cellStyle name="Currency 3 2 2 2 2 10" xfId="8859" xr:uid="{170506B2-9277-4C68-8FFA-A7BD410288BE}"/>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B60892D3-4D64-4993-AB85-B982A86D0E81}"/>
    <cellStyle name="Currency 3 2 2 2 2 2 2 3" xfId="11418" xr:uid="{F20619AA-94B8-43E0-B7EE-9AFDF669F626}"/>
    <cellStyle name="Currency 3 2 2 2 2 2 3" xfId="5049" xr:uid="{00000000-0005-0000-0000-0000AC0A0000}"/>
    <cellStyle name="Currency 3 2 2 2 2 2 3 2" xfId="13491" xr:uid="{72AD4117-E3FB-47D5-B42A-9F81136BA822}"/>
    <cellStyle name="Currency 3 2 2 2 2 2 4" xfId="9273" xr:uid="{C3795D61-6112-4E59-B55E-DB98BC696AC1}"/>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BF780CB0-3EB3-443D-A548-DF212B60EBFD}"/>
    <cellStyle name="Currency 3 2 2 2 2 3 2 3" xfId="11831" xr:uid="{27619E3E-2C34-4AC5-802E-3B2274BBE066}"/>
    <cellStyle name="Currency 3 2 2 2 2 3 3" xfId="5462" xr:uid="{00000000-0005-0000-0000-0000B00A0000}"/>
    <cellStyle name="Currency 3 2 2 2 2 3 3 2" xfId="13904" xr:uid="{43476C0A-9FF1-43F8-AAE8-CBB012A692B1}"/>
    <cellStyle name="Currency 3 2 2 2 2 3 4" xfId="9686" xr:uid="{E8A8D23B-20ED-4978-86C3-87BE8DF677BF}"/>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116ED366-E904-4E21-8E1F-6B3C300A0B34}"/>
    <cellStyle name="Currency 3 2 2 2 2 4 2 3" xfId="12244" xr:uid="{5446F671-CC5A-4335-9EFC-A8F1455CC5B4}"/>
    <cellStyle name="Currency 3 2 2 2 2 4 3" xfId="5875" xr:uid="{00000000-0005-0000-0000-0000B40A0000}"/>
    <cellStyle name="Currency 3 2 2 2 2 4 3 2" xfId="14317" xr:uid="{8B20D747-3017-4BE9-B764-D1B63B0D1325}"/>
    <cellStyle name="Currency 3 2 2 2 2 4 4" xfId="10099" xr:uid="{45277B05-BDC0-4FB9-A43D-A6F44C8D33BF}"/>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6964989E-B198-47A0-8164-1972A94F24D1}"/>
    <cellStyle name="Currency 3 2 2 2 2 5 2 3" xfId="12657" xr:uid="{D5A38B52-7BD6-47C7-B095-42822EB4217C}"/>
    <cellStyle name="Currency 3 2 2 2 2 5 3" xfId="6288" xr:uid="{00000000-0005-0000-0000-0000B80A0000}"/>
    <cellStyle name="Currency 3 2 2 2 2 5 3 2" xfId="14730" xr:uid="{A134311E-8239-4816-B46D-4FAC346102BB}"/>
    <cellStyle name="Currency 3 2 2 2 2 5 4" xfId="10512" xr:uid="{1059D6E1-CCB2-4DD3-810E-C273721CFFBD}"/>
    <cellStyle name="Currency 3 2 2 2 2 6" xfId="2416" xr:uid="{00000000-0005-0000-0000-0000B90A0000}"/>
    <cellStyle name="Currency 3 2 2 2 2 6 2" xfId="6701" xr:uid="{00000000-0005-0000-0000-0000BA0A0000}"/>
    <cellStyle name="Currency 3 2 2 2 2 6 2 2" xfId="15143" xr:uid="{EDFF86B8-6DFD-4C10-A103-C48FA86E6AA5}"/>
    <cellStyle name="Currency 3 2 2 2 2 6 3" xfId="10925" xr:uid="{D568EA38-848F-4526-9B9F-F1628360A853}"/>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21BF4E66-9CE1-4B6A-8845-79B0395AAC6C}"/>
    <cellStyle name="Currency 3 2 2 2 2 8 3" xfId="11242" xr:uid="{8BCB2DD4-F69A-488D-916E-62DD2612BB4F}"/>
    <cellStyle name="Currency 3 2 2 2 2 9" xfId="4635" xr:uid="{00000000-0005-0000-0000-0000BE0A0000}"/>
    <cellStyle name="Currency 3 2 2 2 2 9 2" xfId="13077" xr:uid="{43A9F754-0486-44CF-8FC1-A244C7D846CD}"/>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755FBEDE-FE25-4CFC-BD0C-E4CABEE8978D}"/>
    <cellStyle name="Currency 3 2 2 2 3 2 3" xfId="11417" xr:uid="{56B47C40-50AF-4175-ACCF-94A0E5CFE074}"/>
    <cellStyle name="Currency 3 2 2 2 3 3" xfId="5048" xr:uid="{00000000-0005-0000-0000-0000C20A0000}"/>
    <cellStyle name="Currency 3 2 2 2 3 3 2" xfId="13490" xr:uid="{DDF411BC-3F64-4992-8AE8-058C247B45B9}"/>
    <cellStyle name="Currency 3 2 2 2 3 4" xfId="9272" xr:uid="{BF136FFD-A83D-4615-B1AE-C84E28CA9E38}"/>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121EA7B1-2A4C-4DD2-83A1-E0D97C587726}"/>
    <cellStyle name="Currency 3 2 2 2 4 2 3" xfId="11830" xr:uid="{8BA92657-2CC6-4BF5-8C53-EBB013DC251D}"/>
    <cellStyle name="Currency 3 2 2 2 4 3" xfId="5461" xr:uid="{00000000-0005-0000-0000-0000C60A0000}"/>
    <cellStyle name="Currency 3 2 2 2 4 3 2" xfId="13903" xr:uid="{CC62C4D8-F10F-42DC-AC95-006C3534D900}"/>
    <cellStyle name="Currency 3 2 2 2 4 4" xfId="9685" xr:uid="{D6B5B304-77D1-4CC3-B1B3-E0687C61599E}"/>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3775BFDB-46DB-49F3-928F-4BEC7C536429}"/>
    <cellStyle name="Currency 3 2 2 2 5 2 3" xfId="12243" xr:uid="{5B67A540-8D2B-4D57-845A-C2B4E6483568}"/>
    <cellStyle name="Currency 3 2 2 2 5 3" xfId="5874" xr:uid="{00000000-0005-0000-0000-0000CA0A0000}"/>
    <cellStyle name="Currency 3 2 2 2 5 3 2" xfId="14316" xr:uid="{5A89F594-089A-4E99-BF09-2F94E423963B}"/>
    <cellStyle name="Currency 3 2 2 2 5 4" xfId="10098" xr:uid="{47C148F8-B04F-48D4-B4B2-B1340D8951AA}"/>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EC918A80-300D-4CAD-8E7F-B15F7D38451C}"/>
    <cellStyle name="Currency 3 2 2 2 6 2 3" xfId="12656" xr:uid="{D1476703-EE78-4D36-9AC0-B1A48E325C08}"/>
    <cellStyle name="Currency 3 2 2 2 6 3" xfId="6287" xr:uid="{00000000-0005-0000-0000-0000CE0A0000}"/>
    <cellStyle name="Currency 3 2 2 2 6 3 2" xfId="14729" xr:uid="{668D6A58-B02E-46A8-B570-664B8972B513}"/>
    <cellStyle name="Currency 3 2 2 2 6 4" xfId="10511" xr:uid="{44B4DA0C-B31A-4EA0-B3C1-E5D050EA0E0E}"/>
    <cellStyle name="Currency 3 2 2 2 7" xfId="2415" xr:uid="{00000000-0005-0000-0000-0000CF0A0000}"/>
    <cellStyle name="Currency 3 2 2 2 7 2" xfId="6700" xr:uid="{00000000-0005-0000-0000-0000D00A0000}"/>
    <cellStyle name="Currency 3 2 2 2 7 2 2" xfId="15142" xr:uid="{7A72E23A-B8FA-477A-A7EF-DD1D8817552C}"/>
    <cellStyle name="Currency 3 2 2 2 7 3" xfId="10924" xr:uid="{FA651CEF-4A5C-458E-A5E4-45882E13D3EF}"/>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16696D22-FEB2-4EAA-BFD7-43397AD1B019}"/>
    <cellStyle name="Currency 3 2 2 2 9 3" xfId="11241" xr:uid="{B66B2A7A-387C-480E-932A-220E915AE691}"/>
    <cellStyle name="Currency 3 2 2 3" xfId="181" xr:uid="{00000000-0005-0000-0000-0000D40A0000}"/>
    <cellStyle name="Currency 3 2 2 3 10" xfId="8860" xr:uid="{58063771-D8FC-4E62-BD79-061E15EC85EB}"/>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9F66C3D7-CA32-4262-9945-C2E27FE0F0C8}"/>
    <cellStyle name="Currency 3 2 2 3 2 2 3" xfId="11419" xr:uid="{DF80C645-6D73-430B-AAD6-FBEA0ADC164D}"/>
    <cellStyle name="Currency 3 2 2 3 2 3" xfId="5050" xr:uid="{00000000-0005-0000-0000-0000D80A0000}"/>
    <cellStyle name="Currency 3 2 2 3 2 3 2" xfId="13492" xr:uid="{34C90DF2-162B-4640-A1A8-B898C2EAAAFB}"/>
    <cellStyle name="Currency 3 2 2 3 2 4" xfId="9274" xr:uid="{45EFD06B-330B-4C1D-BA97-24DB0429EC7A}"/>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1E9F7BFA-A84C-4493-B69B-4BB543C1EC80}"/>
    <cellStyle name="Currency 3 2 2 3 3 2 3" xfId="11832" xr:uid="{F04D576E-E534-4569-B16F-C8D706A4BBA2}"/>
    <cellStyle name="Currency 3 2 2 3 3 3" xfId="5463" xr:uid="{00000000-0005-0000-0000-0000DC0A0000}"/>
    <cellStyle name="Currency 3 2 2 3 3 3 2" xfId="13905" xr:uid="{64BE25D0-7D85-4F24-A4C4-AEBED051319D}"/>
    <cellStyle name="Currency 3 2 2 3 3 4" xfId="9687" xr:uid="{EC01A8D0-9E2F-4C1F-AAA9-0B11603C0F9D}"/>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7BA03777-696F-46A9-AE99-CEC86032E315}"/>
    <cellStyle name="Currency 3 2 2 3 4 2 3" xfId="12245" xr:uid="{E4A65779-559D-460E-B9D0-001317B08CC3}"/>
    <cellStyle name="Currency 3 2 2 3 4 3" xfId="5876" xr:uid="{00000000-0005-0000-0000-0000E00A0000}"/>
    <cellStyle name="Currency 3 2 2 3 4 3 2" xfId="14318" xr:uid="{25C74022-70ED-4A6A-A7B7-12D190A7E01E}"/>
    <cellStyle name="Currency 3 2 2 3 4 4" xfId="10100" xr:uid="{8665326C-C02C-4DC6-9B4C-A1905C69E58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A856417E-EEDD-4495-A1DB-C1FC37095640}"/>
    <cellStyle name="Currency 3 2 2 3 5 2 3" xfId="12658" xr:uid="{E89B8C27-0353-4EA1-BE90-950F9241BC1B}"/>
    <cellStyle name="Currency 3 2 2 3 5 3" xfId="6289" xr:uid="{00000000-0005-0000-0000-0000E40A0000}"/>
    <cellStyle name="Currency 3 2 2 3 5 3 2" xfId="14731" xr:uid="{E77010F3-73BE-4824-9D6A-65B39ABE7FF2}"/>
    <cellStyle name="Currency 3 2 2 3 5 4" xfId="10513" xr:uid="{FE0DA49A-0A1E-4310-B826-2F17CDA6852A}"/>
    <cellStyle name="Currency 3 2 2 3 6" xfId="2417" xr:uid="{00000000-0005-0000-0000-0000E50A0000}"/>
    <cellStyle name="Currency 3 2 2 3 6 2" xfId="6702" xr:uid="{00000000-0005-0000-0000-0000E60A0000}"/>
    <cellStyle name="Currency 3 2 2 3 6 2 2" xfId="15144" xr:uid="{ABF4DB74-84F6-4D27-9943-51278D31B099}"/>
    <cellStyle name="Currency 3 2 2 3 6 3" xfId="10926" xr:uid="{BBE183F5-1E44-4D5B-8253-2F17B206FCB1}"/>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C1E85CB8-1362-4206-8E38-B5846BD4320F}"/>
    <cellStyle name="Currency 3 2 2 3 8 3" xfId="11243" xr:uid="{457D3508-2311-4B26-948A-3CC4AF664643}"/>
    <cellStyle name="Currency 3 2 2 3 9" xfId="4636" xr:uid="{00000000-0005-0000-0000-0000EA0A0000}"/>
    <cellStyle name="Currency 3 2 2 3 9 2" xfId="13078" xr:uid="{835E4E36-3B38-4437-A34D-F33812686F87}"/>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76CE54BA-1D19-4222-BD21-79C5CF15B90B}"/>
    <cellStyle name="Currency 3 2 2 4 2 3" xfId="11416" xr:uid="{6590FC68-D586-465B-A80A-9C70373B2375}"/>
    <cellStyle name="Currency 3 2 2 4 3" xfId="5047" xr:uid="{00000000-0005-0000-0000-0000EE0A0000}"/>
    <cellStyle name="Currency 3 2 2 4 3 2" xfId="13489" xr:uid="{68F2305C-7588-4B31-AD3E-8F5931A6C3F6}"/>
    <cellStyle name="Currency 3 2 2 4 4" xfId="9271" xr:uid="{83E40011-AA2E-4317-8570-566758E3D53B}"/>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12981FE4-452F-447C-B012-9EE031C491A5}"/>
    <cellStyle name="Currency 3 2 2 5 2 3" xfId="11829" xr:uid="{465FFCDE-FAC2-42ED-B481-BC07AFA9B1AE}"/>
    <cellStyle name="Currency 3 2 2 5 3" xfId="5460" xr:uid="{00000000-0005-0000-0000-0000F20A0000}"/>
    <cellStyle name="Currency 3 2 2 5 3 2" xfId="13902" xr:uid="{96CBA76A-6C83-4603-9798-F6BD4F672DC1}"/>
    <cellStyle name="Currency 3 2 2 5 4" xfId="9684" xr:uid="{F62AC370-6AB9-4BD3-9DCC-DB62FB126430}"/>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5DCFF0A0-3BAB-4E9C-801D-41FA51B0FCF4}"/>
    <cellStyle name="Currency 3 2 2 6 2 3" xfId="12242" xr:uid="{B244B7C4-610F-434B-B400-D972411F3730}"/>
    <cellStyle name="Currency 3 2 2 6 3" xfId="5873" xr:uid="{00000000-0005-0000-0000-0000F60A0000}"/>
    <cellStyle name="Currency 3 2 2 6 3 2" xfId="14315" xr:uid="{0BBB78D4-D50B-4EE1-A4D9-7E13ED4AAE49}"/>
    <cellStyle name="Currency 3 2 2 6 4" xfId="10097" xr:uid="{96541CC2-A22A-4794-BA3C-7F93335F3F86}"/>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C6A3D426-79E4-4F5F-9E2B-012EFD900D9A}"/>
    <cellStyle name="Currency 3 2 2 7 2 3" xfId="12655" xr:uid="{834C5B59-E2CC-4A7F-9A90-D83C819263CB}"/>
    <cellStyle name="Currency 3 2 2 7 3" xfId="6286" xr:uid="{00000000-0005-0000-0000-0000FA0A0000}"/>
    <cellStyle name="Currency 3 2 2 7 3 2" xfId="14728" xr:uid="{9D474738-2E61-4CC0-A791-C44C32E5791F}"/>
    <cellStyle name="Currency 3 2 2 7 4" xfId="10510" xr:uid="{1BE87522-11EA-4A9E-AF28-9E0CCC3F05B8}"/>
    <cellStyle name="Currency 3 2 2 8" xfId="2414" xr:uid="{00000000-0005-0000-0000-0000FB0A0000}"/>
    <cellStyle name="Currency 3 2 2 8 2" xfId="6699" xr:uid="{00000000-0005-0000-0000-0000FC0A0000}"/>
    <cellStyle name="Currency 3 2 2 8 2 2" xfId="15141" xr:uid="{B1C5A1A1-1B1E-4C7D-A792-CE12130900F0}"/>
    <cellStyle name="Currency 3 2 2 8 3" xfId="10923" xr:uid="{40AC5E03-892B-4603-BA29-CB2246948C04}"/>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E716A12F-7F7F-4DD1-806E-FE4DCF94170C}"/>
    <cellStyle name="Currency 3 2 3 11" xfId="8861" xr:uid="{49069408-675E-4AD4-9B20-A2960CF469F7}"/>
    <cellStyle name="Currency 3 2 3 2" xfId="183" xr:uid="{00000000-0005-0000-0000-0000000B0000}"/>
    <cellStyle name="Currency 3 2 3 2 10" xfId="8862" xr:uid="{98FF9AB1-25BA-45AE-9C1F-2A578A7E030B}"/>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C0E3A8E1-4FC5-4B43-8081-6FFA60FA424A}"/>
    <cellStyle name="Currency 3 2 3 2 2 2 3" xfId="11421" xr:uid="{2012BBA2-601C-4837-AF30-F927A5F57A48}"/>
    <cellStyle name="Currency 3 2 3 2 2 3" xfId="5052" xr:uid="{00000000-0005-0000-0000-0000040B0000}"/>
    <cellStyle name="Currency 3 2 3 2 2 3 2" xfId="13494" xr:uid="{158068BA-9567-49BF-B11E-3ED1A105E09A}"/>
    <cellStyle name="Currency 3 2 3 2 2 4" xfId="9276" xr:uid="{90B17817-D317-4553-B7FA-511BD9B60DB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2BABBA18-0D0E-4CE2-ACA0-DEF632D5F646}"/>
    <cellStyle name="Currency 3 2 3 2 3 2 3" xfId="11834" xr:uid="{81BB3CF2-FDAF-4C49-964B-4B2D639B789F}"/>
    <cellStyle name="Currency 3 2 3 2 3 3" xfId="5465" xr:uid="{00000000-0005-0000-0000-0000080B0000}"/>
    <cellStyle name="Currency 3 2 3 2 3 3 2" xfId="13907" xr:uid="{C6FF8FDE-41FB-4ABB-AFDD-B17BBDB5DA6B}"/>
    <cellStyle name="Currency 3 2 3 2 3 4" xfId="9689" xr:uid="{8C3A42F5-4AC7-40EE-82CD-82B612E2F95C}"/>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07B3E778-7D0C-49A6-B04E-28C6766CF534}"/>
    <cellStyle name="Currency 3 2 3 2 4 2 3" xfId="12247" xr:uid="{FEF01792-EB2B-4B1A-BE7A-55DCC2AAE9E4}"/>
    <cellStyle name="Currency 3 2 3 2 4 3" xfId="5878" xr:uid="{00000000-0005-0000-0000-00000C0B0000}"/>
    <cellStyle name="Currency 3 2 3 2 4 3 2" xfId="14320" xr:uid="{2E9F6A05-BE65-43C8-A0CD-DC4412F27F57}"/>
    <cellStyle name="Currency 3 2 3 2 4 4" xfId="10102" xr:uid="{0D48C741-866F-4468-BFA0-9960A5D4A926}"/>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D867B5DC-D83A-4C60-AC9B-54E08F1F03E3}"/>
    <cellStyle name="Currency 3 2 3 2 5 2 3" xfId="12660" xr:uid="{F51FDB7B-9480-4BAA-9E6D-024FFCD933B2}"/>
    <cellStyle name="Currency 3 2 3 2 5 3" xfId="6291" xr:uid="{00000000-0005-0000-0000-0000100B0000}"/>
    <cellStyle name="Currency 3 2 3 2 5 3 2" xfId="14733" xr:uid="{C324B977-6E32-44D4-9477-C529B0E96D3A}"/>
    <cellStyle name="Currency 3 2 3 2 5 4" xfId="10515" xr:uid="{E2C5D67C-A98C-43BB-AF25-F5DC6FADB81C}"/>
    <cellStyle name="Currency 3 2 3 2 6" xfId="2419" xr:uid="{00000000-0005-0000-0000-0000110B0000}"/>
    <cellStyle name="Currency 3 2 3 2 6 2" xfId="6704" xr:uid="{00000000-0005-0000-0000-0000120B0000}"/>
    <cellStyle name="Currency 3 2 3 2 6 2 2" xfId="15146" xr:uid="{ABF1641A-407D-4B6C-8141-C3F323FA9AE9}"/>
    <cellStyle name="Currency 3 2 3 2 6 3" xfId="10928" xr:uid="{709873DE-403D-41AC-A8F9-EDE67DD307A7}"/>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8A0144D9-D83E-4BE3-A833-FD5047B2C687}"/>
    <cellStyle name="Currency 3 2 3 2 8 3" xfId="11245" xr:uid="{D56F7D09-19E7-443F-AF2B-30D53B93C2BD}"/>
    <cellStyle name="Currency 3 2 3 2 9" xfId="4638" xr:uid="{00000000-0005-0000-0000-0000160B0000}"/>
    <cellStyle name="Currency 3 2 3 2 9 2" xfId="13080" xr:uid="{6923438A-941C-4E24-8E49-FC1D13889246}"/>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4122FE9F-1F54-4F9D-B1CE-ABEB52AE12CC}"/>
    <cellStyle name="Currency 3 2 3 3 2 3" xfId="11420" xr:uid="{AA954413-C612-4A36-8E42-2E214A502003}"/>
    <cellStyle name="Currency 3 2 3 3 3" xfId="5051" xr:uid="{00000000-0005-0000-0000-00001A0B0000}"/>
    <cellStyle name="Currency 3 2 3 3 3 2" xfId="13493" xr:uid="{6A4BCBDE-45F2-47AA-AD64-FEA109BEB458}"/>
    <cellStyle name="Currency 3 2 3 3 4" xfId="9275" xr:uid="{5D90C0B9-0BEF-48F3-98B7-A4F6B37BF2CE}"/>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B66A5010-0F9E-4EBF-B3D3-1003E8EA1A3F}"/>
    <cellStyle name="Currency 3 2 3 4 2 3" xfId="11833" xr:uid="{38CFB7BA-048E-46ED-B776-BFDAC678ECE1}"/>
    <cellStyle name="Currency 3 2 3 4 3" xfId="5464" xr:uid="{00000000-0005-0000-0000-00001E0B0000}"/>
    <cellStyle name="Currency 3 2 3 4 3 2" xfId="13906" xr:uid="{5DB46978-AED6-41E5-A459-09C261C972D6}"/>
    <cellStyle name="Currency 3 2 3 4 4" xfId="9688" xr:uid="{0952FF41-3053-4FE0-A5F1-4CC6CB850FE0}"/>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498CA00F-3C55-4E40-9808-2694217EDFAE}"/>
    <cellStyle name="Currency 3 2 3 5 2 3" xfId="12246" xr:uid="{9C3AB6AE-F8ED-4E17-A8C6-27F2365288F5}"/>
    <cellStyle name="Currency 3 2 3 5 3" xfId="5877" xr:uid="{00000000-0005-0000-0000-0000220B0000}"/>
    <cellStyle name="Currency 3 2 3 5 3 2" xfId="14319" xr:uid="{47DEC3E2-EC0D-4F4B-96B5-510F8D3122BF}"/>
    <cellStyle name="Currency 3 2 3 5 4" xfId="10101" xr:uid="{6CD17674-CAD1-44BE-8218-76069AFC7A0E}"/>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645638B9-0EF8-4A70-972C-93A7D125E17C}"/>
    <cellStyle name="Currency 3 2 3 6 2 3" xfId="12659" xr:uid="{CDF82651-FC49-409A-81C3-672EB219CE1F}"/>
    <cellStyle name="Currency 3 2 3 6 3" xfId="6290" xr:uid="{00000000-0005-0000-0000-0000260B0000}"/>
    <cellStyle name="Currency 3 2 3 6 3 2" xfId="14732" xr:uid="{7041383C-A36D-4161-AD2C-3C5729402C0A}"/>
    <cellStyle name="Currency 3 2 3 6 4" xfId="10514" xr:uid="{CE02804D-733A-4060-A4EE-96B17D172995}"/>
    <cellStyle name="Currency 3 2 3 7" xfId="2418" xr:uid="{00000000-0005-0000-0000-0000270B0000}"/>
    <cellStyle name="Currency 3 2 3 7 2" xfId="6703" xr:uid="{00000000-0005-0000-0000-0000280B0000}"/>
    <cellStyle name="Currency 3 2 3 7 2 2" xfId="15145" xr:uid="{D6534993-3C00-42D5-BF8B-A13F25BED26E}"/>
    <cellStyle name="Currency 3 2 3 7 3" xfId="10927" xr:uid="{1F24F37A-CD00-47E0-B56F-1F209076D2D9}"/>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8E9BA8C1-B98F-49FE-91E2-04B6D4F60CC4}"/>
    <cellStyle name="Currency 3 2 3 9 3" xfId="11244" xr:uid="{5BE56CD9-7D3B-4519-8F70-8B0D1E392970}"/>
    <cellStyle name="Currency 3 2 4" xfId="184" xr:uid="{00000000-0005-0000-0000-00002C0B0000}"/>
    <cellStyle name="Currency 3 2 4 10" xfId="8863" xr:uid="{E6DC15CB-9029-4F46-9E97-213012EAA9BC}"/>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08D18ABC-DB0A-4FBD-83F5-B373FF854F43}"/>
    <cellStyle name="Currency 3 2 4 2 2 3" xfId="11422" xr:uid="{8DE63D52-179C-418C-A0A1-2BF701BF681E}"/>
    <cellStyle name="Currency 3 2 4 2 3" xfId="5053" xr:uid="{00000000-0005-0000-0000-0000300B0000}"/>
    <cellStyle name="Currency 3 2 4 2 3 2" xfId="13495" xr:uid="{17F66670-B164-4120-8653-E7AF911EB601}"/>
    <cellStyle name="Currency 3 2 4 2 4" xfId="9277" xr:uid="{22BAFC48-1EBC-496E-BF38-87B9F39F495C}"/>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F53A42CC-177D-41A3-A04B-59E32E8F2937}"/>
    <cellStyle name="Currency 3 2 4 3 2 3" xfId="11835" xr:uid="{FFB1CCF0-D07F-498A-A805-C89CF5460040}"/>
    <cellStyle name="Currency 3 2 4 3 3" xfId="5466" xr:uid="{00000000-0005-0000-0000-0000340B0000}"/>
    <cellStyle name="Currency 3 2 4 3 3 2" xfId="13908" xr:uid="{2125D419-B9AA-4F12-9482-3957CE8746BD}"/>
    <cellStyle name="Currency 3 2 4 3 4" xfId="9690" xr:uid="{AFC6DDEC-9071-44D4-A831-659976830643}"/>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CB2088BC-ED66-4B73-BAE8-C890FA572749}"/>
    <cellStyle name="Currency 3 2 4 4 2 3" xfId="12248" xr:uid="{1F12602D-A734-4DE9-9CA0-CA0896974107}"/>
    <cellStyle name="Currency 3 2 4 4 3" xfId="5879" xr:uid="{00000000-0005-0000-0000-0000380B0000}"/>
    <cellStyle name="Currency 3 2 4 4 3 2" xfId="14321" xr:uid="{BB300F8C-070B-43DA-9FA8-4AE93DBE413E}"/>
    <cellStyle name="Currency 3 2 4 4 4" xfId="10103" xr:uid="{40E26F00-6BC8-497C-97CC-D4C5A7144B5B}"/>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F8A027E4-02FD-4296-A25B-C2F0BF79081B}"/>
    <cellStyle name="Currency 3 2 4 5 2 3" xfId="12661" xr:uid="{AF0F4C97-99E9-423C-BC3C-24DC610AE4C3}"/>
    <cellStyle name="Currency 3 2 4 5 3" xfId="6292" xr:uid="{00000000-0005-0000-0000-00003C0B0000}"/>
    <cellStyle name="Currency 3 2 4 5 3 2" xfId="14734" xr:uid="{06B0D441-D615-45D5-A08D-95B55EDF3BF3}"/>
    <cellStyle name="Currency 3 2 4 5 4" xfId="10516" xr:uid="{A9B04B25-E4BB-4DD5-B323-5596EC596131}"/>
    <cellStyle name="Currency 3 2 4 6" xfId="2420" xr:uid="{00000000-0005-0000-0000-00003D0B0000}"/>
    <cellStyle name="Currency 3 2 4 6 2" xfId="6705" xr:uid="{00000000-0005-0000-0000-00003E0B0000}"/>
    <cellStyle name="Currency 3 2 4 6 2 2" xfId="15147" xr:uid="{16BEBF96-EA31-4784-A1F0-F58215337E16}"/>
    <cellStyle name="Currency 3 2 4 6 3" xfId="10929" xr:uid="{9BC969C8-CF2B-412E-AFBE-2EEFC7D5D206}"/>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B8D09F00-AC0C-42B7-ACE8-3F62172B8801}"/>
    <cellStyle name="Currency 3 2 4 8 3" xfId="11246" xr:uid="{16D60535-972B-4899-8B6E-03DF1E0C4BDE}"/>
    <cellStyle name="Currency 3 2 4 9" xfId="4639" xr:uid="{00000000-0005-0000-0000-0000420B0000}"/>
    <cellStyle name="Currency 3 2 4 9 2" xfId="13081" xr:uid="{816BBF0D-B889-4E68-BCD9-4B3DD4C0D889}"/>
    <cellStyle name="Currency 3 2 5" xfId="185" xr:uid="{00000000-0005-0000-0000-0000430B0000}"/>
    <cellStyle name="Currency 3 2 5 10" xfId="8864" xr:uid="{9A0D534D-EA76-4F22-9737-710FCBAC382E}"/>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DC873AAF-64FB-46CF-A245-4902C22E4E6A}"/>
    <cellStyle name="Currency 3 2 5 2 2 3" xfId="11423" xr:uid="{B7B1D6B0-5952-4CF5-A54F-6388DC3EA0C4}"/>
    <cellStyle name="Currency 3 2 5 2 3" xfId="5054" xr:uid="{00000000-0005-0000-0000-0000470B0000}"/>
    <cellStyle name="Currency 3 2 5 2 3 2" xfId="13496" xr:uid="{93EA8C19-D3D5-4663-9F1E-3042A4F69EB4}"/>
    <cellStyle name="Currency 3 2 5 2 4" xfId="9278" xr:uid="{36517BF9-B155-4F92-B696-8246008C9DDC}"/>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79B2C3A9-D082-48F7-9A4B-6E2C37E4713F}"/>
    <cellStyle name="Currency 3 2 5 3 2 3" xfId="11836" xr:uid="{DF10B28E-2BE5-427E-A63F-2D377C2E321A}"/>
    <cellStyle name="Currency 3 2 5 3 3" xfId="5467" xr:uid="{00000000-0005-0000-0000-00004B0B0000}"/>
    <cellStyle name="Currency 3 2 5 3 3 2" xfId="13909" xr:uid="{A090630A-0A09-41BE-8D3C-3FFDC133DEB8}"/>
    <cellStyle name="Currency 3 2 5 3 4" xfId="9691" xr:uid="{A6494688-44D9-4531-B53C-7C64403FD36B}"/>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4144661F-95FC-4FBE-93B6-065432E685FD}"/>
    <cellStyle name="Currency 3 2 5 4 2 3" xfId="12249" xr:uid="{5F3AB6EC-ABB7-4E7F-BCC6-EE875F8E86E4}"/>
    <cellStyle name="Currency 3 2 5 4 3" xfId="5880" xr:uid="{00000000-0005-0000-0000-00004F0B0000}"/>
    <cellStyle name="Currency 3 2 5 4 3 2" xfId="14322" xr:uid="{70216C2D-2373-46A0-92EB-151813329B1B}"/>
    <cellStyle name="Currency 3 2 5 4 4" xfId="10104" xr:uid="{DC1743C3-C954-4D42-BB83-2DE6434217AD}"/>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DB081228-E420-4CE5-9FD0-98498C6E687D}"/>
    <cellStyle name="Currency 3 2 5 5 2 3" xfId="12662" xr:uid="{074B5215-6E43-49DA-870F-B9F57F848732}"/>
    <cellStyle name="Currency 3 2 5 5 3" xfId="6293" xr:uid="{00000000-0005-0000-0000-0000530B0000}"/>
    <cellStyle name="Currency 3 2 5 5 3 2" xfId="14735" xr:uid="{C4EBD567-A554-40B0-85F7-5DD7CC854EE0}"/>
    <cellStyle name="Currency 3 2 5 5 4" xfId="10517" xr:uid="{A7A3795E-D280-4228-9BA5-8446043BE924}"/>
    <cellStyle name="Currency 3 2 5 6" xfId="2421" xr:uid="{00000000-0005-0000-0000-0000540B0000}"/>
    <cellStyle name="Currency 3 2 5 6 2" xfId="6706" xr:uid="{00000000-0005-0000-0000-0000550B0000}"/>
    <cellStyle name="Currency 3 2 5 6 2 2" xfId="15148" xr:uid="{1AE95D83-439E-4E09-AFF9-38FD84D51167}"/>
    <cellStyle name="Currency 3 2 5 6 3" xfId="10930" xr:uid="{A6730725-F0B4-435C-8850-DE986FB972A1}"/>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D4BE4657-27DF-422B-A91B-E4C44345FC42}"/>
    <cellStyle name="Currency 3 2 5 8 3" xfId="11247" xr:uid="{3268EFEF-55D7-49B0-B16C-ECB1D5D1A7AD}"/>
    <cellStyle name="Currency 3 2 5 9" xfId="4640" xr:uid="{00000000-0005-0000-0000-0000590B0000}"/>
    <cellStyle name="Currency 3 2 5 9 2" xfId="13082" xr:uid="{1C750CE4-2821-4C80-9CA0-DE7C1F7F2E0F}"/>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58A4072A-3000-4B49-A191-73DA0ABABAE8}"/>
    <cellStyle name="Currency 5 2 2 2 10 3" xfId="11248" xr:uid="{EB5BE952-6907-4FEA-9A55-1EE9DA13813F}"/>
    <cellStyle name="Currency 5 2 2 2 11" xfId="4641" xr:uid="{00000000-0005-0000-0000-00006C0B0000}"/>
    <cellStyle name="Currency 5 2 2 2 11 2" xfId="13083" xr:uid="{ED1D4101-C14E-4011-8EE6-FACA6A6A08D8}"/>
    <cellStyle name="Currency 5 2 2 2 12" xfId="8865" xr:uid="{E61F256D-ED87-4BE2-A0D2-1A9EE713FD95}"/>
    <cellStyle name="Currency 5 2 2 2 2" xfId="197" xr:uid="{00000000-0005-0000-0000-00006D0B0000}"/>
    <cellStyle name="Currency 5 2 2 2 2 10" xfId="4642" xr:uid="{00000000-0005-0000-0000-00006E0B0000}"/>
    <cellStyle name="Currency 5 2 2 2 2 10 2" xfId="13084" xr:uid="{95FEF50C-7B10-4438-B9AD-AB3DDC186E6E}"/>
    <cellStyle name="Currency 5 2 2 2 2 11" xfId="8866" xr:uid="{0209AEB6-D241-4AD4-AB3C-D38E6635DBDD}"/>
    <cellStyle name="Currency 5 2 2 2 2 2" xfId="198" xr:uid="{00000000-0005-0000-0000-00006F0B0000}"/>
    <cellStyle name="Currency 5 2 2 2 2 2 10" xfId="8867" xr:uid="{E7381782-B8B7-4696-872F-BDFCB5CCB979}"/>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87EB165F-1B9E-4C2C-918E-48BCA7B01A85}"/>
    <cellStyle name="Currency 5 2 2 2 2 2 2 2 3" xfId="11426" xr:uid="{98DBB9CA-2B7A-428B-85AB-DC2C1F719CB7}"/>
    <cellStyle name="Currency 5 2 2 2 2 2 2 3" xfId="5057" xr:uid="{00000000-0005-0000-0000-0000730B0000}"/>
    <cellStyle name="Currency 5 2 2 2 2 2 2 3 2" xfId="13499" xr:uid="{4F76EB58-696C-4C66-AD9C-7AD1E2A753B0}"/>
    <cellStyle name="Currency 5 2 2 2 2 2 2 4" xfId="9281" xr:uid="{1A850157-40A8-4BE6-8653-67D565F777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64829756-5CB1-4173-8986-CE286DBD2432}"/>
    <cellStyle name="Currency 5 2 2 2 2 2 3 2 3" xfId="11839" xr:uid="{28A177B9-C507-4F39-8AF5-0F5582A02945}"/>
    <cellStyle name="Currency 5 2 2 2 2 2 3 3" xfId="5470" xr:uid="{00000000-0005-0000-0000-0000770B0000}"/>
    <cellStyle name="Currency 5 2 2 2 2 2 3 3 2" xfId="13912" xr:uid="{531D6A24-E4CC-4AC4-86BE-3DAD8817636F}"/>
    <cellStyle name="Currency 5 2 2 2 2 2 3 4" xfId="9694" xr:uid="{CEEF9732-BD64-49EB-B3E0-6001BD342E6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C00CCFB8-E984-4E3D-A2C9-BF2FBB0725C2}"/>
    <cellStyle name="Currency 5 2 2 2 2 2 4 2 3" xfId="12252" xr:uid="{8BB0F0E0-1BF6-49B7-B327-7A6766913996}"/>
    <cellStyle name="Currency 5 2 2 2 2 2 4 3" xfId="5883" xr:uid="{00000000-0005-0000-0000-00007B0B0000}"/>
    <cellStyle name="Currency 5 2 2 2 2 2 4 3 2" xfId="14325" xr:uid="{BF679EDB-6B92-42AF-A3B3-B75017214AF5}"/>
    <cellStyle name="Currency 5 2 2 2 2 2 4 4" xfId="10107" xr:uid="{BC37096B-9D78-4C4E-A95F-B7DDD0B235F9}"/>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92381062-ACA4-4AC4-B377-6E77697D0D17}"/>
    <cellStyle name="Currency 5 2 2 2 2 2 5 2 3" xfId="12665" xr:uid="{A48D777D-AE4D-405E-AE51-3657A69BB5EC}"/>
    <cellStyle name="Currency 5 2 2 2 2 2 5 3" xfId="6296" xr:uid="{00000000-0005-0000-0000-00007F0B0000}"/>
    <cellStyle name="Currency 5 2 2 2 2 2 5 3 2" xfId="14738" xr:uid="{31BC6FA2-8712-4FBE-8BD8-95A4E998A798}"/>
    <cellStyle name="Currency 5 2 2 2 2 2 5 4" xfId="10520" xr:uid="{A42DEF71-F10C-491B-B388-B6065E6149E4}"/>
    <cellStyle name="Currency 5 2 2 2 2 2 6" xfId="2424" xr:uid="{00000000-0005-0000-0000-0000800B0000}"/>
    <cellStyle name="Currency 5 2 2 2 2 2 6 2" xfId="6709" xr:uid="{00000000-0005-0000-0000-0000810B0000}"/>
    <cellStyle name="Currency 5 2 2 2 2 2 6 2 2" xfId="15151" xr:uid="{B74D6A64-6DAF-4E99-8374-8D04E41C650F}"/>
    <cellStyle name="Currency 5 2 2 2 2 2 6 3" xfId="10933" xr:uid="{21651DEC-C4B5-415B-811A-A70BD64B8F29}"/>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5CF26D20-F300-43D6-95DC-6961FB94BEFF}"/>
    <cellStyle name="Currency 5 2 2 2 2 2 8 3" xfId="11250" xr:uid="{E2094DDC-4456-4C45-BC63-A2A906AD76EB}"/>
    <cellStyle name="Currency 5 2 2 2 2 2 9" xfId="4643" xr:uid="{00000000-0005-0000-0000-0000850B0000}"/>
    <cellStyle name="Currency 5 2 2 2 2 2 9 2" xfId="13085" xr:uid="{379CECC7-2ED0-4C32-ADDE-2CCE6B0AA2E3}"/>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5B147360-A1EF-4C9D-98E7-64513D6D2427}"/>
    <cellStyle name="Currency 5 2 2 2 2 3 2 3" xfId="11425" xr:uid="{B8EF7CD1-EC2B-4B6F-A3D9-1F9AB097AE76}"/>
    <cellStyle name="Currency 5 2 2 2 2 3 3" xfId="5056" xr:uid="{00000000-0005-0000-0000-0000890B0000}"/>
    <cellStyle name="Currency 5 2 2 2 2 3 3 2" xfId="13498" xr:uid="{137BFB88-E3A2-4DE9-AEEC-947177BD830F}"/>
    <cellStyle name="Currency 5 2 2 2 2 3 4" xfId="9280" xr:uid="{DEDBD877-8E66-4BDE-A943-26E8A5651335}"/>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AA018027-9C39-49CE-9C6D-C4881665C915}"/>
    <cellStyle name="Currency 5 2 2 2 2 4 2 3" xfId="11838" xr:uid="{90CEE45E-1848-42AD-BD04-1EF4435D8BCE}"/>
    <cellStyle name="Currency 5 2 2 2 2 4 3" xfId="5469" xr:uid="{00000000-0005-0000-0000-00008D0B0000}"/>
    <cellStyle name="Currency 5 2 2 2 2 4 3 2" xfId="13911" xr:uid="{A8AE9119-8E51-45C4-9B16-69CC5AE7B04A}"/>
    <cellStyle name="Currency 5 2 2 2 2 4 4" xfId="9693" xr:uid="{1B9FA391-8A28-411D-A7C2-6B8B461A123D}"/>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9163C694-BBDC-4E5E-BEB6-3460417B131B}"/>
    <cellStyle name="Currency 5 2 2 2 2 5 2 3" xfId="12251" xr:uid="{408F8621-CF06-4B72-A352-EC6D38991E70}"/>
    <cellStyle name="Currency 5 2 2 2 2 5 3" xfId="5882" xr:uid="{00000000-0005-0000-0000-0000910B0000}"/>
    <cellStyle name="Currency 5 2 2 2 2 5 3 2" xfId="14324" xr:uid="{5D5A26A4-2796-4522-8B38-68782BA5627C}"/>
    <cellStyle name="Currency 5 2 2 2 2 5 4" xfId="10106" xr:uid="{301CA2D5-75B1-4F31-A749-039F471D60AC}"/>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F7F22FC0-EC8E-41D8-A22B-80B2C9F1D31E}"/>
    <cellStyle name="Currency 5 2 2 2 2 6 2 3" xfId="12664" xr:uid="{DD155401-3AE1-43ED-9283-B9D18FF59065}"/>
    <cellStyle name="Currency 5 2 2 2 2 6 3" xfId="6295" xr:uid="{00000000-0005-0000-0000-0000950B0000}"/>
    <cellStyle name="Currency 5 2 2 2 2 6 3 2" xfId="14737" xr:uid="{52232E77-AAED-41BD-B822-E4A32EC8F422}"/>
    <cellStyle name="Currency 5 2 2 2 2 6 4" xfId="10519" xr:uid="{A96B58E7-6D8E-4740-8391-891E43990611}"/>
    <cellStyle name="Currency 5 2 2 2 2 7" xfId="2423" xr:uid="{00000000-0005-0000-0000-0000960B0000}"/>
    <cellStyle name="Currency 5 2 2 2 2 7 2" xfId="6708" xr:uid="{00000000-0005-0000-0000-0000970B0000}"/>
    <cellStyle name="Currency 5 2 2 2 2 7 2 2" xfId="15150" xr:uid="{BBD0BAFA-83F2-445E-B190-6508E004E2E0}"/>
    <cellStyle name="Currency 5 2 2 2 2 7 3" xfId="10932" xr:uid="{C66280C1-DD21-4CA4-8A1B-73AB8395B98F}"/>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265E970F-A6CC-405A-8F0C-93BFD3AD9900}"/>
    <cellStyle name="Currency 5 2 2 2 2 9 3" xfId="11249" xr:uid="{AD6A332E-1554-4DDA-94FB-177C613F13AC}"/>
    <cellStyle name="Currency 5 2 2 2 3" xfId="199" xr:uid="{00000000-0005-0000-0000-00009B0B0000}"/>
    <cellStyle name="Currency 5 2 2 2 3 10" xfId="8868" xr:uid="{C1D1E528-FB79-4D00-83EA-9902F13E3D3E}"/>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D2C54EB2-CF06-42AB-A1E5-CDF8F64BA0A3}"/>
    <cellStyle name="Currency 5 2 2 2 3 2 2 3" xfId="11427" xr:uid="{F5238C61-B343-49B1-9349-BA9BE2D1C31A}"/>
    <cellStyle name="Currency 5 2 2 2 3 2 3" xfId="5058" xr:uid="{00000000-0005-0000-0000-00009F0B0000}"/>
    <cellStyle name="Currency 5 2 2 2 3 2 3 2" xfId="13500" xr:uid="{DAFC5777-64C9-4ECD-AF09-510E7AAE3BAE}"/>
    <cellStyle name="Currency 5 2 2 2 3 2 4" xfId="9282" xr:uid="{F54326C8-3A74-4796-9719-E304A957083E}"/>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0DC5970B-AB07-4713-8FC6-486ECD670822}"/>
    <cellStyle name="Currency 5 2 2 2 3 3 2 3" xfId="11840" xr:uid="{E92678F1-D37F-4CD1-B95E-37DC52913D17}"/>
    <cellStyle name="Currency 5 2 2 2 3 3 3" xfId="5471" xr:uid="{00000000-0005-0000-0000-0000A30B0000}"/>
    <cellStyle name="Currency 5 2 2 2 3 3 3 2" xfId="13913" xr:uid="{93507E60-1FAD-4FD3-8A7F-40CDE4ECD75E}"/>
    <cellStyle name="Currency 5 2 2 2 3 3 4" xfId="9695" xr:uid="{19BB5623-CB8D-4B24-8462-98A718E26F27}"/>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999AA19F-E5F8-4B52-80A6-27DA6C261947}"/>
    <cellStyle name="Currency 5 2 2 2 3 4 2 3" xfId="12253" xr:uid="{77E01774-8514-48EC-9B76-CD7721675553}"/>
    <cellStyle name="Currency 5 2 2 2 3 4 3" xfId="5884" xr:uid="{00000000-0005-0000-0000-0000A70B0000}"/>
    <cellStyle name="Currency 5 2 2 2 3 4 3 2" xfId="14326" xr:uid="{F8BFC062-8BA5-4156-854A-21FA051D0E83}"/>
    <cellStyle name="Currency 5 2 2 2 3 4 4" xfId="10108" xr:uid="{6B5DEFE9-DC48-471C-8278-8678A143147E}"/>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F5CDB7C3-DDE8-40CD-AE21-402B6B6BF067}"/>
    <cellStyle name="Currency 5 2 2 2 3 5 2 3" xfId="12666" xr:uid="{CD755241-D0EC-4B37-BA75-B09B4316C3C4}"/>
    <cellStyle name="Currency 5 2 2 2 3 5 3" xfId="6297" xr:uid="{00000000-0005-0000-0000-0000AB0B0000}"/>
    <cellStyle name="Currency 5 2 2 2 3 5 3 2" xfId="14739" xr:uid="{22FE1858-0F74-4BBB-8B8C-B077DBC6432B}"/>
    <cellStyle name="Currency 5 2 2 2 3 5 4" xfId="10521" xr:uid="{F1613BB7-7E65-4EA0-BE9F-63D4B0B47870}"/>
    <cellStyle name="Currency 5 2 2 2 3 6" xfId="2425" xr:uid="{00000000-0005-0000-0000-0000AC0B0000}"/>
    <cellStyle name="Currency 5 2 2 2 3 6 2" xfId="6710" xr:uid="{00000000-0005-0000-0000-0000AD0B0000}"/>
    <cellStyle name="Currency 5 2 2 2 3 6 2 2" xfId="15152" xr:uid="{A7AFFF3C-6E42-48EA-97B9-9D40713215A6}"/>
    <cellStyle name="Currency 5 2 2 2 3 6 3" xfId="10934" xr:uid="{0D791C07-0586-4209-BE26-BF13DA8E7B3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B13E3A8F-6956-4750-BE93-B556562EB640}"/>
    <cellStyle name="Currency 5 2 2 2 3 8 3" xfId="11251" xr:uid="{E90B241B-ADFC-47DE-8DA4-42EB83473FA7}"/>
    <cellStyle name="Currency 5 2 2 2 3 9" xfId="4644" xr:uid="{00000000-0005-0000-0000-0000B10B0000}"/>
    <cellStyle name="Currency 5 2 2 2 3 9 2" xfId="13086" xr:uid="{B6DE4997-4E53-4FFE-8117-6D08F2255B02}"/>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5D0AFBEB-6893-45FB-8DA6-E30DD96C3D6A}"/>
    <cellStyle name="Currency 5 2 2 2 4 2 3" xfId="11424" xr:uid="{F4F3FD44-FDA4-4040-8B8A-A81E1F1D1355}"/>
    <cellStyle name="Currency 5 2 2 2 4 3" xfId="5055" xr:uid="{00000000-0005-0000-0000-0000B50B0000}"/>
    <cellStyle name="Currency 5 2 2 2 4 3 2" xfId="13497" xr:uid="{53AAEF3F-978F-4095-8C5C-18A18D6C880F}"/>
    <cellStyle name="Currency 5 2 2 2 4 4" xfId="9279" xr:uid="{06D39346-12F8-48D4-B2BF-5C7E8E13F434}"/>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E087FB3C-A364-4B5F-BAEA-9B67E7AC1076}"/>
    <cellStyle name="Currency 5 2 2 2 5 2 3" xfId="11837" xr:uid="{FF357339-763F-4F8A-B35F-8701316F4B31}"/>
    <cellStyle name="Currency 5 2 2 2 5 3" xfId="5468" xr:uid="{00000000-0005-0000-0000-0000B90B0000}"/>
    <cellStyle name="Currency 5 2 2 2 5 3 2" xfId="13910" xr:uid="{9E410884-98FB-4D03-AD77-D11540F98EEC}"/>
    <cellStyle name="Currency 5 2 2 2 5 4" xfId="9692" xr:uid="{F6FF934F-7C71-4EA3-A02F-F97066D6F725}"/>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A9C85922-930E-44D5-8335-5AA6BECD9527}"/>
    <cellStyle name="Currency 5 2 2 2 6 2 3" xfId="12250" xr:uid="{547FC0DE-F9D1-4ABD-903B-ED5722B05C3B}"/>
    <cellStyle name="Currency 5 2 2 2 6 3" xfId="5881" xr:uid="{00000000-0005-0000-0000-0000BD0B0000}"/>
    <cellStyle name="Currency 5 2 2 2 6 3 2" xfId="14323" xr:uid="{19AD9772-BDB5-4C6E-93DC-F148DC612686}"/>
    <cellStyle name="Currency 5 2 2 2 6 4" xfId="10105" xr:uid="{BEC2726E-C1E6-44A7-B834-9809D96E9047}"/>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8C6BF7C4-614C-4DA8-B482-1E56FAD163E2}"/>
    <cellStyle name="Currency 5 2 2 2 7 2 3" xfId="12663" xr:uid="{209CE7CA-F570-4840-A051-7564B5B42B3F}"/>
    <cellStyle name="Currency 5 2 2 2 7 3" xfId="6294" xr:uid="{00000000-0005-0000-0000-0000C10B0000}"/>
    <cellStyle name="Currency 5 2 2 2 7 3 2" xfId="14736" xr:uid="{DAB428AB-2423-4634-891D-3C55313C7DDC}"/>
    <cellStyle name="Currency 5 2 2 2 7 4" xfId="10518" xr:uid="{316642CD-D589-486D-A3E6-6AB5BAB67464}"/>
    <cellStyle name="Currency 5 2 2 2 8" xfId="2422" xr:uid="{00000000-0005-0000-0000-0000C20B0000}"/>
    <cellStyle name="Currency 5 2 2 2 8 2" xfId="6707" xr:uid="{00000000-0005-0000-0000-0000C30B0000}"/>
    <cellStyle name="Currency 5 2 2 2 8 2 2" xfId="15149" xr:uid="{63A105EF-2211-40C3-B512-30D477596299}"/>
    <cellStyle name="Currency 5 2 2 2 8 3" xfId="10931" xr:uid="{3BAE4AF7-C552-446C-A46E-30650201F1B6}"/>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C647E1AD-42C2-44B0-91AE-A1899C2027D8}"/>
    <cellStyle name="Currency 5 2 2 3 11" xfId="8869" xr:uid="{FB39465A-FCA4-46A4-8F72-8B4F24316511}"/>
    <cellStyle name="Currency 5 2 2 3 2" xfId="201" xr:uid="{00000000-0005-0000-0000-0000C70B0000}"/>
    <cellStyle name="Currency 5 2 2 3 2 10" xfId="8870" xr:uid="{2440AEC1-40E8-432F-A687-A61DFA26FB3A}"/>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DA91D089-0325-48B9-A757-A14B2F0E0064}"/>
    <cellStyle name="Currency 5 2 2 3 2 2 2 3" xfId="11429" xr:uid="{E4B10618-32C0-4CC3-9A33-184F036A9A7D}"/>
    <cellStyle name="Currency 5 2 2 3 2 2 3" xfId="5060" xr:uid="{00000000-0005-0000-0000-0000CB0B0000}"/>
    <cellStyle name="Currency 5 2 2 3 2 2 3 2" xfId="13502" xr:uid="{00D9AE67-4BC5-480E-AD40-07BBD3806D24}"/>
    <cellStyle name="Currency 5 2 2 3 2 2 4" xfId="9284" xr:uid="{4911CBEC-C626-4D68-8B22-9DCD81F18CF8}"/>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176F36A6-5334-4306-A35F-D7858C9199F5}"/>
    <cellStyle name="Currency 5 2 2 3 2 3 2 3" xfId="11842" xr:uid="{DE5DDAB8-EB90-4DE7-A01E-92640A3F4A00}"/>
    <cellStyle name="Currency 5 2 2 3 2 3 3" xfId="5473" xr:uid="{00000000-0005-0000-0000-0000CF0B0000}"/>
    <cellStyle name="Currency 5 2 2 3 2 3 3 2" xfId="13915" xr:uid="{16FF5922-A120-472F-8DFA-0F6A9E00519F}"/>
    <cellStyle name="Currency 5 2 2 3 2 3 4" xfId="9697" xr:uid="{4F53E08F-2AD8-494E-8BF2-2C37EA26FA5D}"/>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EDECED26-0E25-438E-ADED-055CC232E0E6}"/>
    <cellStyle name="Currency 5 2 2 3 2 4 2 3" xfId="12255" xr:uid="{4291FB80-E6BC-4A52-8630-58C49055BB2A}"/>
    <cellStyle name="Currency 5 2 2 3 2 4 3" xfId="5886" xr:uid="{00000000-0005-0000-0000-0000D30B0000}"/>
    <cellStyle name="Currency 5 2 2 3 2 4 3 2" xfId="14328" xr:uid="{4B05EB76-9F21-499C-8C7F-D18DC1999DCB}"/>
    <cellStyle name="Currency 5 2 2 3 2 4 4" xfId="10110" xr:uid="{E0C8EEE3-4FFB-4906-A68B-FB615E57600B}"/>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DE361B03-A461-4DA5-ACB5-24111C5C32D8}"/>
    <cellStyle name="Currency 5 2 2 3 2 5 2 3" xfId="12668" xr:uid="{873AF86E-81C4-416B-B4FC-03B17B88CEDC}"/>
    <cellStyle name="Currency 5 2 2 3 2 5 3" xfId="6299" xr:uid="{00000000-0005-0000-0000-0000D70B0000}"/>
    <cellStyle name="Currency 5 2 2 3 2 5 3 2" xfId="14741" xr:uid="{1A2C8957-735B-446F-BE63-69C1890F9E06}"/>
    <cellStyle name="Currency 5 2 2 3 2 5 4" xfId="10523" xr:uid="{7D35ED4E-2E72-4EE3-B8F9-9019C111340A}"/>
    <cellStyle name="Currency 5 2 2 3 2 6" xfId="2427" xr:uid="{00000000-0005-0000-0000-0000D80B0000}"/>
    <cellStyle name="Currency 5 2 2 3 2 6 2" xfId="6712" xr:uid="{00000000-0005-0000-0000-0000D90B0000}"/>
    <cellStyle name="Currency 5 2 2 3 2 6 2 2" xfId="15154" xr:uid="{0DEB083C-F9C3-4C47-B4A3-7792B5455002}"/>
    <cellStyle name="Currency 5 2 2 3 2 6 3" xfId="10936" xr:uid="{C6BBE623-82D9-4E33-B407-42CC8ED32048}"/>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1C90FA20-B2FA-43C6-8F26-7BE6D9347429}"/>
    <cellStyle name="Currency 5 2 2 3 2 8 3" xfId="11253" xr:uid="{B69CF18E-FEAA-427F-B2A3-F829CA2FAD3B}"/>
    <cellStyle name="Currency 5 2 2 3 2 9" xfId="4646" xr:uid="{00000000-0005-0000-0000-0000DD0B0000}"/>
    <cellStyle name="Currency 5 2 2 3 2 9 2" xfId="13088" xr:uid="{3FC377E4-398B-46F5-B8A8-9B0C69B99047}"/>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A446027D-AE4B-4E95-A646-BD9F63CC3F3B}"/>
    <cellStyle name="Currency 5 2 2 3 3 2 3" xfId="11428" xr:uid="{5F624986-7B34-410E-9A23-78D20AB838E4}"/>
    <cellStyle name="Currency 5 2 2 3 3 3" xfId="5059" xr:uid="{00000000-0005-0000-0000-0000E10B0000}"/>
    <cellStyle name="Currency 5 2 2 3 3 3 2" xfId="13501" xr:uid="{C1BAC22F-991D-4701-8F78-77CF05D99167}"/>
    <cellStyle name="Currency 5 2 2 3 3 4" xfId="9283" xr:uid="{6A9E3725-0C59-497C-8547-4FC63963F939}"/>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CCE3344C-2B5C-446F-9C38-EE4C65F50BE3}"/>
    <cellStyle name="Currency 5 2 2 3 4 2 3" xfId="11841" xr:uid="{EDBFC155-5746-47B7-9621-9AA44A940D52}"/>
    <cellStyle name="Currency 5 2 2 3 4 3" xfId="5472" xr:uid="{00000000-0005-0000-0000-0000E50B0000}"/>
    <cellStyle name="Currency 5 2 2 3 4 3 2" xfId="13914" xr:uid="{1F90D398-AA46-4DFD-890D-8E2E0BB24F34}"/>
    <cellStyle name="Currency 5 2 2 3 4 4" xfId="9696" xr:uid="{E33CEF39-D64E-48A3-8FBA-2E34A7A3061B}"/>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DB51A853-F796-48F8-8737-C4F906723EED}"/>
    <cellStyle name="Currency 5 2 2 3 5 2 3" xfId="12254" xr:uid="{2E747ECF-4AEA-4F51-8545-0BC484152811}"/>
    <cellStyle name="Currency 5 2 2 3 5 3" xfId="5885" xr:uid="{00000000-0005-0000-0000-0000E90B0000}"/>
    <cellStyle name="Currency 5 2 2 3 5 3 2" xfId="14327" xr:uid="{C930DBCF-43AA-4AF4-A831-2C7120386CBF}"/>
    <cellStyle name="Currency 5 2 2 3 5 4" xfId="10109" xr:uid="{292441F8-2478-43BE-BE1A-F7CC67344B6D}"/>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3D82EBF2-893D-4CB7-AE00-A5D428BB7B14}"/>
    <cellStyle name="Currency 5 2 2 3 6 2 3" xfId="12667" xr:uid="{EC0CC42B-2CD7-4BA4-AC0E-B43D1D31A59D}"/>
    <cellStyle name="Currency 5 2 2 3 6 3" xfId="6298" xr:uid="{00000000-0005-0000-0000-0000ED0B0000}"/>
    <cellStyle name="Currency 5 2 2 3 6 3 2" xfId="14740" xr:uid="{F0DE13D6-6E06-4A15-BFF9-AFF30C7505B5}"/>
    <cellStyle name="Currency 5 2 2 3 6 4" xfId="10522" xr:uid="{34C742D6-7DFA-426E-BB27-F1D15045B13F}"/>
    <cellStyle name="Currency 5 2 2 3 7" xfId="2426" xr:uid="{00000000-0005-0000-0000-0000EE0B0000}"/>
    <cellStyle name="Currency 5 2 2 3 7 2" xfId="6711" xr:uid="{00000000-0005-0000-0000-0000EF0B0000}"/>
    <cellStyle name="Currency 5 2 2 3 7 2 2" xfId="15153" xr:uid="{2B2B5439-C093-4F9A-934A-CD244DADB244}"/>
    <cellStyle name="Currency 5 2 2 3 7 3" xfId="10935" xr:uid="{A1E5D16A-4F21-48F5-9F17-9D84981D85B5}"/>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98F42C8F-6349-4BC5-8DE5-95741F5FBCBC}"/>
    <cellStyle name="Currency 5 2 2 3 9 3" xfId="11252" xr:uid="{B3B6A453-6DCC-4CF0-8541-34E0475E0AD1}"/>
    <cellStyle name="Currency 5 2 2 4" xfId="202" xr:uid="{00000000-0005-0000-0000-0000F30B0000}"/>
    <cellStyle name="Currency 5 2 2 4 10" xfId="8871" xr:uid="{47240786-AC5F-4F1C-8C67-BD7CF159122D}"/>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099DBDE7-3C15-4184-B72C-6D70627C6D1A}"/>
    <cellStyle name="Currency 5 2 2 4 2 2 3" xfId="11430" xr:uid="{7C3A1D11-056F-40FB-B4F8-2519F7244CAD}"/>
    <cellStyle name="Currency 5 2 2 4 2 3" xfId="5061" xr:uid="{00000000-0005-0000-0000-0000F70B0000}"/>
    <cellStyle name="Currency 5 2 2 4 2 3 2" xfId="13503" xr:uid="{07C71407-7E4B-478B-B5F4-DE9F11889108}"/>
    <cellStyle name="Currency 5 2 2 4 2 4" xfId="9285" xr:uid="{76BB0159-1F29-4B05-84B4-6BFD94B90E97}"/>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A57B6BC6-E028-4B0A-A1C3-A732B8DBE531}"/>
    <cellStyle name="Currency 5 2 2 4 3 2 3" xfId="11843" xr:uid="{EE163BBD-A66D-4A82-9F3F-3C32C46CB176}"/>
    <cellStyle name="Currency 5 2 2 4 3 3" xfId="5474" xr:uid="{00000000-0005-0000-0000-0000FB0B0000}"/>
    <cellStyle name="Currency 5 2 2 4 3 3 2" xfId="13916" xr:uid="{2C908023-FC62-4D06-B391-AC8BF0AAA2CC}"/>
    <cellStyle name="Currency 5 2 2 4 3 4" xfId="9698" xr:uid="{197F6701-5FA5-42D1-9C15-BBE0425ECFAE}"/>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110E12AA-BC6F-45A0-8CE8-AA60E2488439}"/>
    <cellStyle name="Currency 5 2 2 4 4 2 3" xfId="12256" xr:uid="{1512D99F-B0C3-4B6E-B0C8-82292AD0AF0A}"/>
    <cellStyle name="Currency 5 2 2 4 4 3" xfId="5887" xr:uid="{00000000-0005-0000-0000-0000FF0B0000}"/>
    <cellStyle name="Currency 5 2 2 4 4 3 2" xfId="14329" xr:uid="{F0557348-44AD-47CC-8C84-140957CD2A36}"/>
    <cellStyle name="Currency 5 2 2 4 4 4" xfId="10111" xr:uid="{C2D16BC3-7325-4B1E-BC99-B91FD5D20B7D}"/>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B2798B55-3E0F-45F7-A1E6-8BB89778F7C7}"/>
    <cellStyle name="Currency 5 2 2 4 5 2 3" xfId="12669" xr:uid="{3EA51C23-F1BE-42FF-8A77-87BF56F10D8A}"/>
    <cellStyle name="Currency 5 2 2 4 5 3" xfId="6300" xr:uid="{00000000-0005-0000-0000-0000030C0000}"/>
    <cellStyle name="Currency 5 2 2 4 5 3 2" xfId="14742" xr:uid="{45416FE4-18D4-4C0A-AF75-7FFE6EBFFE9B}"/>
    <cellStyle name="Currency 5 2 2 4 5 4" xfId="10524" xr:uid="{3817C5EC-E661-49A5-B818-A296E1E299A3}"/>
    <cellStyle name="Currency 5 2 2 4 6" xfId="2428" xr:uid="{00000000-0005-0000-0000-0000040C0000}"/>
    <cellStyle name="Currency 5 2 2 4 6 2" xfId="6713" xr:uid="{00000000-0005-0000-0000-0000050C0000}"/>
    <cellStyle name="Currency 5 2 2 4 6 2 2" xfId="15155" xr:uid="{3E900902-D719-4C94-8464-3F7B9568543D}"/>
    <cellStyle name="Currency 5 2 2 4 6 3" xfId="10937" xr:uid="{341D8A5C-3B5C-4D1A-8C33-ADD40133A8C4}"/>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7FBC4F0F-B68E-45C1-8910-A23288F397DB}"/>
    <cellStyle name="Currency 5 2 2 4 8 3" xfId="11254" xr:uid="{7CF02F4D-B1EF-4A7F-BE12-E470AC64D6D4}"/>
    <cellStyle name="Currency 5 2 2 4 9" xfId="4647" xr:uid="{00000000-0005-0000-0000-0000090C0000}"/>
    <cellStyle name="Currency 5 2 2 4 9 2" xfId="13089" xr:uid="{2AA0EC33-65AC-4028-A7CC-45A7F4C73593}"/>
    <cellStyle name="Currency 5 2 2 5" xfId="203" xr:uid="{00000000-0005-0000-0000-00000A0C0000}"/>
    <cellStyle name="Currency 5 2 2 5 10" xfId="8872" xr:uid="{5680D246-C26D-4965-A49E-41E05A277BBA}"/>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2F705BEC-A0B0-4930-9AE4-4081D721881B}"/>
    <cellStyle name="Currency 5 2 2 5 2 2 3" xfId="11431" xr:uid="{BB4C9598-8978-44A7-B3CA-ED8BD99F4F7C}"/>
    <cellStyle name="Currency 5 2 2 5 2 3" xfId="5062" xr:uid="{00000000-0005-0000-0000-00000E0C0000}"/>
    <cellStyle name="Currency 5 2 2 5 2 3 2" xfId="13504" xr:uid="{B408EFEC-48B6-4B5E-BA41-8519DB695013}"/>
    <cellStyle name="Currency 5 2 2 5 2 4" xfId="9286" xr:uid="{211F61DD-0972-4520-86B5-5E56FF9793BA}"/>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53127A3E-BC8A-49EC-A93D-D534A1EE8F28}"/>
    <cellStyle name="Currency 5 2 2 5 3 2 3" xfId="11844" xr:uid="{469F3C75-91D3-4A4F-86A9-CD5FDF659F1F}"/>
    <cellStyle name="Currency 5 2 2 5 3 3" xfId="5475" xr:uid="{00000000-0005-0000-0000-0000120C0000}"/>
    <cellStyle name="Currency 5 2 2 5 3 3 2" xfId="13917" xr:uid="{75638305-721D-481D-B993-CD49EE25E73B}"/>
    <cellStyle name="Currency 5 2 2 5 3 4" xfId="9699" xr:uid="{2A764B13-BBFE-4E87-B2A7-485329224A6B}"/>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DEB043C3-0934-4879-B45D-78C11CF033A3}"/>
    <cellStyle name="Currency 5 2 2 5 4 2 3" xfId="12257" xr:uid="{DCDCF339-FCC3-4A94-92F9-D89842147CD0}"/>
    <cellStyle name="Currency 5 2 2 5 4 3" xfId="5888" xr:uid="{00000000-0005-0000-0000-0000160C0000}"/>
    <cellStyle name="Currency 5 2 2 5 4 3 2" xfId="14330" xr:uid="{D36A1A21-10EB-408E-AE8B-DF902FC47ADF}"/>
    <cellStyle name="Currency 5 2 2 5 4 4" xfId="10112" xr:uid="{7CDC1722-8014-4CB0-B323-B57CB0EBA259}"/>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7D584BC2-775D-470D-A954-798CBF232936}"/>
    <cellStyle name="Currency 5 2 2 5 5 2 3" xfId="12670" xr:uid="{F95025B5-DB7E-445A-9067-C1CC888B6F78}"/>
    <cellStyle name="Currency 5 2 2 5 5 3" xfId="6301" xr:uid="{00000000-0005-0000-0000-00001A0C0000}"/>
    <cellStyle name="Currency 5 2 2 5 5 3 2" xfId="14743" xr:uid="{8AECC4B5-8E1C-41CE-89AF-D7FF3A7B0DD2}"/>
    <cellStyle name="Currency 5 2 2 5 5 4" xfId="10525" xr:uid="{DE8C3619-7190-431C-A2F3-B67E37A58CD4}"/>
    <cellStyle name="Currency 5 2 2 5 6" xfId="2429" xr:uid="{00000000-0005-0000-0000-00001B0C0000}"/>
    <cellStyle name="Currency 5 2 2 5 6 2" xfId="6714" xr:uid="{00000000-0005-0000-0000-00001C0C0000}"/>
    <cellStyle name="Currency 5 2 2 5 6 2 2" xfId="15156" xr:uid="{B0737A4D-E96B-40F6-A95E-7646DD4FD56C}"/>
    <cellStyle name="Currency 5 2 2 5 6 3" xfId="10938" xr:uid="{5923359D-C980-432C-9662-8928D37EC4D5}"/>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112D085B-193C-4BE8-A381-5D02E61B9233}"/>
    <cellStyle name="Currency 5 2 2 5 8 3" xfId="11255" xr:uid="{0219D5CB-47E4-4A92-BC58-DC4D69AEFE8A}"/>
    <cellStyle name="Currency 5 2 2 5 9" xfId="4648" xr:uid="{00000000-0005-0000-0000-0000200C0000}"/>
    <cellStyle name="Currency 5 2 2 5 9 2" xfId="13090" xr:uid="{A7F3D781-504F-4B85-B55F-E4C6ADB7581C}"/>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C0D753DA-98CF-49E1-928A-5742C4D95707}"/>
    <cellStyle name="Currency 5 2 4 11" xfId="8873" xr:uid="{61A5CEC1-EB0A-43D7-B453-3AE58F95A2EC}"/>
    <cellStyle name="Currency 5 2 4 2" xfId="206" xr:uid="{00000000-0005-0000-0000-0000250C0000}"/>
    <cellStyle name="Currency 5 2 4 2 10" xfId="8874" xr:uid="{912B6B6D-0743-419F-BAA5-231E1305F9F1}"/>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2AC005DF-5A98-469D-905B-39B433535DC6}"/>
    <cellStyle name="Currency 5 2 4 2 2 2 3" xfId="11433" xr:uid="{0CB83219-693C-4A3A-A96B-75C1E71B8B83}"/>
    <cellStyle name="Currency 5 2 4 2 2 3" xfId="5064" xr:uid="{00000000-0005-0000-0000-0000290C0000}"/>
    <cellStyle name="Currency 5 2 4 2 2 3 2" xfId="13506" xr:uid="{D6185418-CD19-4F64-B9A1-5B69DBF86872}"/>
    <cellStyle name="Currency 5 2 4 2 2 4" xfId="9288" xr:uid="{96D54E8D-B308-4BE2-938C-E5B092805181}"/>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16C2519D-8F00-40B7-A9ED-91C1D4745E0B}"/>
    <cellStyle name="Currency 5 2 4 2 3 2 3" xfId="11846" xr:uid="{117EAD10-C420-4BFB-9E0E-E56886F11159}"/>
    <cellStyle name="Currency 5 2 4 2 3 3" xfId="5477" xr:uid="{00000000-0005-0000-0000-00002D0C0000}"/>
    <cellStyle name="Currency 5 2 4 2 3 3 2" xfId="13919" xr:uid="{B9B4627F-679F-44BD-8EB4-4EE291964987}"/>
    <cellStyle name="Currency 5 2 4 2 3 4" xfId="9701" xr:uid="{2D9F7D84-CFF8-4AF6-88EF-E558B40146FF}"/>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331567CE-BD4E-4422-8548-33DB3F19FC86}"/>
    <cellStyle name="Currency 5 2 4 2 4 2 3" xfId="12259" xr:uid="{65F73A1A-AB94-448E-8F5A-FDFBC6DE9960}"/>
    <cellStyle name="Currency 5 2 4 2 4 3" xfId="5890" xr:uid="{00000000-0005-0000-0000-0000310C0000}"/>
    <cellStyle name="Currency 5 2 4 2 4 3 2" xfId="14332" xr:uid="{760D6247-400E-4269-9736-41B4AE44271A}"/>
    <cellStyle name="Currency 5 2 4 2 4 4" xfId="10114" xr:uid="{FF292E1B-B938-44B5-A499-721EC6FBD1E5}"/>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98C9DEC5-7E89-4E5B-8BEC-FEA20B8A679B}"/>
    <cellStyle name="Currency 5 2 4 2 5 2 3" xfId="12672" xr:uid="{88B98DA2-1106-4CB2-900A-2A38666526FB}"/>
    <cellStyle name="Currency 5 2 4 2 5 3" xfId="6303" xr:uid="{00000000-0005-0000-0000-0000350C0000}"/>
    <cellStyle name="Currency 5 2 4 2 5 3 2" xfId="14745" xr:uid="{79415770-4656-4E0B-ADD0-158C04BD2491}"/>
    <cellStyle name="Currency 5 2 4 2 5 4" xfId="10527" xr:uid="{3114BFBC-A2CB-4F39-AB84-465C662FDE5E}"/>
    <cellStyle name="Currency 5 2 4 2 6" xfId="2431" xr:uid="{00000000-0005-0000-0000-0000360C0000}"/>
    <cellStyle name="Currency 5 2 4 2 6 2" xfId="6716" xr:uid="{00000000-0005-0000-0000-0000370C0000}"/>
    <cellStyle name="Currency 5 2 4 2 6 2 2" xfId="15158" xr:uid="{07E4B117-E275-4848-91EF-FE64257AD9E3}"/>
    <cellStyle name="Currency 5 2 4 2 6 3" xfId="10940" xr:uid="{6D20EEA3-5C22-4186-9C92-E03AF55FBF2D}"/>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C9132D8B-15BD-4D25-B5B2-C7C2221F8FF7}"/>
    <cellStyle name="Currency 5 2 4 2 8 3" xfId="11257" xr:uid="{9065FBD2-FB85-4F75-B2FE-0F8967A77CCA}"/>
    <cellStyle name="Currency 5 2 4 2 9" xfId="4650" xr:uid="{00000000-0005-0000-0000-00003B0C0000}"/>
    <cellStyle name="Currency 5 2 4 2 9 2" xfId="13092" xr:uid="{C64F1CAB-5C5F-4E5D-9D1B-176728CE1A82}"/>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41578935-1922-47BE-8E5B-EA0CD3B94B7B}"/>
    <cellStyle name="Currency 5 2 4 3 2 3" xfId="11432" xr:uid="{4AB628A1-4B4A-4CB0-9467-D8480186C908}"/>
    <cellStyle name="Currency 5 2 4 3 3" xfId="5063" xr:uid="{00000000-0005-0000-0000-00003F0C0000}"/>
    <cellStyle name="Currency 5 2 4 3 3 2" xfId="13505" xr:uid="{5C7B068B-DF1E-4E61-9D81-3915B9D969FE}"/>
    <cellStyle name="Currency 5 2 4 3 4" xfId="9287" xr:uid="{6FEBFE0B-4FF3-4C03-8583-216F263DF937}"/>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E094D855-DC78-4BBF-9082-45C0F83F50E3}"/>
    <cellStyle name="Currency 5 2 4 4 2 3" xfId="11845" xr:uid="{75762DB9-326D-4FE2-9C10-861CEFDBB6D3}"/>
    <cellStyle name="Currency 5 2 4 4 3" xfId="5476" xr:uid="{00000000-0005-0000-0000-0000430C0000}"/>
    <cellStyle name="Currency 5 2 4 4 3 2" xfId="13918" xr:uid="{823F93BD-F0BF-4BD4-8031-C5C8A3C2D067}"/>
    <cellStyle name="Currency 5 2 4 4 4" xfId="9700" xr:uid="{3DF5F904-E347-460A-98EB-564CB5E3F8E6}"/>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DDDAE1D0-D89D-4B11-9AEA-364FC8F39BA4}"/>
    <cellStyle name="Currency 5 2 4 5 2 3" xfId="12258" xr:uid="{6287A55E-3998-46DD-B69E-5CC1454D1B8B}"/>
    <cellStyle name="Currency 5 2 4 5 3" xfId="5889" xr:uid="{00000000-0005-0000-0000-0000470C0000}"/>
    <cellStyle name="Currency 5 2 4 5 3 2" xfId="14331" xr:uid="{D7904B26-CDA2-4A63-A6C4-6983A55CFEFC}"/>
    <cellStyle name="Currency 5 2 4 5 4" xfId="10113" xr:uid="{7CD953ED-AE8D-4B8E-A334-FE0579F5BE2B}"/>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514158E5-2808-4EEA-B98F-FE9B24CA8CB9}"/>
    <cellStyle name="Currency 5 2 4 6 2 3" xfId="12671" xr:uid="{B2B5B02D-E0FF-46C8-8172-0E653657DCF1}"/>
    <cellStyle name="Currency 5 2 4 6 3" xfId="6302" xr:uid="{00000000-0005-0000-0000-00004B0C0000}"/>
    <cellStyle name="Currency 5 2 4 6 3 2" xfId="14744" xr:uid="{3B84D953-5748-4622-A3E5-A277BEA532E6}"/>
    <cellStyle name="Currency 5 2 4 6 4" xfId="10526" xr:uid="{BCFA07A7-F1DE-48E1-B03D-4A2D8120B022}"/>
    <cellStyle name="Currency 5 2 4 7" xfId="2430" xr:uid="{00000000-0005-0000-0000-00004C0C0000}"/>
    <cellStyle name="Currency 5 2 4 7 2" xfId="6715" xr:uid="{00000000-0005-0000-0000-00004D0C0000}"/>
    <cellStyle name="Currency 5 2 4 7 2 2" xfId="15157" xr:uid="{BD6AC27C-463F-4FA0-BBA1-A6D149406D26}"/>
    <cellStyle name="Currency 5 2 4 7 3" xfId="10939" xr:uid="{A27EE4B6-A5B9-4A52-899A-AAFFABEFA7CC}"/>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C1049AEA-DCFD-4FA7-A3C1-12FC1DCF26A8}"/>
    <cellStyle name="Currency 5 2 4 9 3" xfId="11256" xr:uid="{9F7BF365-C37F-41E4-BC55-6A3C94D8A064}"/>
    <cellStyle name="Currency 5 2 5" xfId="207" xr:uid="{00000000-0005-0000-0000-0000510C0000}"/>
    <cellStyle name="Currency 5 2 5 10" xfId="8875" xr:uid="{4AF62DBB-31F3-4CEC-B4C4-A2BF5AE518C8}"/>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9A57305C-FABD-4463-BAA4-97753BA96418}"/>
    <cellStyle name="Currency 5 2 5 2 2 3" xfId="11434" xr:uid="{828B6AA6-FE3B-498A-8BE8-F30714E9857B}"/>
    <cellStyle name="Currency 5 2 5 2 3" xfId="5065" xr:uid="{00000000-0005-0000-0000-0000550C0000}"/>
    <cellStyle name="Currency 5 2 5 2 3 2" xfId="13507" xr:uid="{796A767C-08FD-4077-8834-51817902A73A}"/>
    <cellStyle name="Currency 5 2 5 2 4" xfId="9289" xr:uid="{149C5D93-67C2-4AE0-927C-8C4AF505430F}"/>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86077FDD-730D-403C-BC34-51D0065E2092}"/>
    <cellStyle name="Currency 5 2 5 3 2 3" xfId="11847" xr:uid="{38B869D6-ECF8-4AD7-ACCA-448E182D3066}"/>
    <cellStyle name="Currency 5 2 5 3 3" xfId="5478" xr:uid="{00000000-0005-0000-0000-0000590C0000}"/>
    <cellStyle name="Currency 5 2 5 3 3 2" xfId="13920" xr:uid="{75DD1F9E-B7A9-4DB5-BF8C-47C023ED2004}"/>
    <cellStyle name="Currency 5 2 5 3 4" xfId="9702" xr:uid="{9CCF0270-DE13-48D0-956A-2D1A662CD800}"/>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008BB1D7-8077-4702-9FC4-8BF7CA39BB5B}"/>
    <cellStyle name="Currency 5 2 5 4 2 3" xfId="12260" xr:uid="{66987780-E3A6-4275-8F01-C6ED9DDE650A}"/>
    <cellStyle name="Currency 5 2 5 4 3" xfId="5891" xr:uid="{00000000-0005-0000-0000-00005D0C0000}"/>
    <cellStyle name="Currency 5 2 5 4 3 2" xfId="14333" xr:uid="{10C7942C-298E-4D82-8D58-9F02C2AF05B2}"/>
    <cellStyle name="Currency 5 2 5 4 4" xfId="10115" xr:uid="{5782D368-A0EF-4582-A957-383B92772B70}"/>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2C9888A3-DC5E-4A4C-ABEA-290CFD950FC4}"/>
    <cellStyle name="Currency 5 2 5 5 2 3" xfId="12673" xr:uid="{E7E1A8B5-D457-4875-BB2F-1D995A65F5DB}"/>
    <cellStyle name="Currency 5 2 5 5 3" xfId="6304" xr:uid="{00000000-0005-0000-0000-0000610C0000}"/>
    <cellStyle name="Currency 5 2 5 5 3 2" xfId="14746" xr:uid="{188ACC31-39DA-4AD6-9098-B089A8553B39}"/>
    <cellStyle name="Currency 5 2 5 5 4" xfId="10528" xr:uid="{46B83406-0A35-499F-A0B9-44217678353C}"/>
    <cellStyle name="Currency 5 2 5 6" xfId="2432" xr:uid="{00000000-0005-0000-0000-0000620C0000}"/>
    <cellStyle name="Currency 5 2 5 6 2" xfId="6717" xr:uid="{00000000-0005-0000-0000-0000630C0000}"/>
    <cellStyle name="Currency 5 2 5 6 2 2" xfId="15159" xr:uid="{19CA07BF-E54E-4E7A-9E99-4729CF044024}"/>
    <cellStyle name="Currency 5 2 5 6 3" xfId="10941" xr:uid="{6BA71CB2-BC42-4B28-9C6A-9DE4E55B3510}"/>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7477EB79-6E26-4AF4-81DF-BD1502EA1A5A}"/>
    <cellStyle name="Currency 5 2 5 8 3" xfId="11258" xr:uid="{DBB5AF66-E1B8-475C-8A27-54CBAA4A6411}"/>
    <cellStyle name="Currency 5 2 5 9" xfId="4651" xr:uid="{00000000-0005-0000-0000-0000670C0000}"/>
    <cellStyle name="Currency 5 2 5 9 2" xfId="13093" xr:uid="{128BF16D-F4A9-433C-AF73-14FF4DAC46DB}"/>
    <cellStyle name="Currency 5 2 6" xfId="208" xr:uid="{00000000-0005-0000-0000-0000680C0000}"/>
    <cellStyle name="Currency 5 2 6 10" xfId="8876" xr:uid="{EA861401-9003-46C3-B43E-296666020C25}"/>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17A1B566-48B5-4E56-8C7A-254F54157482}"/>
    <cellStyle name="Currency 5 2 6 2 2 3" xfId="11435" xr:uid="{70E0B9D7-A88C-44DC-8402-C66EF0A33DF0}"/>
    <cellStyle name="Currency 5 2 6 2 3" xfId="5066" xr:uid="{00000000-0005-0000-0000-00006C0C0000}"/>
    <cellStyle name="Currency 5 2 6 2 3 2" xfId="13508" xr:uid="{C116D575-1C6F-41D2-A581-71C4B0ACEBE0}"/>
    <cellStyle name="Currency 5 2 6 2 4" xfId="9290" xr:uid="{49F2B395-42E4-4FDE-B4F3-E0ACB6FC911F}"/>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F5458DFF-B66A-4027-9B87-5A4DCA02833B}"/>
    <cellStyle name="Currency 5 2 6 3 2 3" xfId="11848" xr:uid="{5362F8F7-A59D-4DF9-A27D-DB06632DD932}"/>
    <cellStyle name="Currency 5 2 6 3 3" xfId="5479" xr:uid="{00000000-0005-0000-0000-0000700C0000}"/>
    <cellStyle name="Currency 5 2 6 3 3 2" xfId="13921" xr:uid="{6901C173-C771-4454-90A0-4B9E2C437BFE}"/>
    <cellStyle name="Currency 5 2 6 3 4" xfId="9703" xr:uid="{FCB514AE-A3ED-49AC-BD1B-9F038FB04288}"/>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97AE49EC-A4AC-416D-9E2F-2315260BD9AB}"/>
    <cellStyle name="Currency 5 2 6 4 2 3" xfId="12261" xr:uid="{6B1BF102-8EDE-48AF-AB6D-0D0662120FD1}"/>
    <cellStyle name="Currency 5 2 6 4 3" xfId="5892" xr:uid="{00000000-0005-0000-0000-0000740C0000}"/>
    <cellStyle name="Currency 5 2 6 4 3 2" xfId="14334" xr:uid="{390CAB9B-B8C9-4571-93AE-195D4DFC9649}"/>
    <cellStyle name="Currency 5 2 6 4 4" xfId="10116" xr:uid="{07CD38D0-140B-4871-9DD9-C873385CC3F6}"/>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AF4EB7EE-7236-464A-A706-EBBB2B59BC77}"/>
    <cellStyle name="Currency 5 2 6 5 2 3" xfId="12674" xr:uid="{5CF8A707-1F64-4843-9745-A1B6A42504FB}"/>
    <cellStyle name="Currency 5 2 6 5 3" xfId="6305" xr:uid="{00000000-0005-0000-0000-0000780C0000}"/>
    <cellStyle name="Currency 5 2 6 5 3 2" xfId="14747" xr:uid="{67051773-5E0A-4632-9A22-E3040722C65B}"/>
    <cellStyle name="Currency 5 2 6 5 4" xfId="10529" xr:uid="{6995A5AE-D6E4-4172-91D2-DDA9D3C334E2}"/>
    <cellStyle name="Currency 5 2 6 6" xfId="2433" xr:uid="{00000000-0005-0000-0000-0000790C0000}"/>
    <cellStyle name="Currency 5 2 6 6 2" xfId="6718" xr:uid="{00000000-0005-0000-0000-00007A0C0000}"/>
    <cellStyle name="Currency 5 2 6 6 2 2" xfId="15160" xr:uid="{B481F565-5E67-4FE2-B617-44C3650FD2EF}"/>
    <cellStyle name="Currency 5 2 6 6 3" xfId="10942" xr:uid="{25CC42AC-8779-48D8-9EAE-8E9199434804}"/>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E1F37F55-38AB-43D0-B06C-F839206576DC}"/>
    <cellStyle name="Currency 5 2 6 8 3" xfId="11259" xr:uid="{F3918E46-FB96-4884-9793-6900DC186C9F}"/>
    <cellStyle name="Currency 5 2 6 9" xfId="4652" xr:uid="{00000000-0005-0000-0000-00007E0C0000}"/>
    <cellStyle name="Currency 5 2 6 9 2" xfId="13094" xr:uid="{6DA562EE-977E-498B-A278-4C233C62359D}"/>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028BE978-7869-4B70-B9AF-D72C42F1962A}"/>
    <cellStyle name="Currency 5 3 2 10 3" xfId="11260" xr:uid="{E6BFCCD1-C1FF-4563-B5B4-A2BB35B09E6B}"/>
    <cellStyle name="Currency 5 3 2 11" xfId="4653" xr:uid="{00000000-0005-0000-0000-0000840C0000}"/>
    <cellStyle name="Currency 5 3 2 11 2" xfId="13095" xr:uid="{C184ADA0-8601-4E75-99FE-89C6FB248169}"/>
    <cellStyle name="Currency 5 3 2 12" xfId="8877" xr:uid="{E851A491-C099-4541-98E6-632E3564E94A}"/>
    <cellStyle name="Currency 5 3 2 2" xfId="211" xr:uid="{00000000-0005-0000-0000-0000850C0000}"/>
    <cellStyle name="Currency 5 3 2 2 10" xfId="4654" xr:uid="{00000000-0005-0000-0000-0000860C0000}"/>
    <cellStyle name="Currency 5 3 2 2 10 2" xfId="13096" xr:uid="{F08766CC-0376-470E-A1AF-8563E6A88EF5}"/>
    <cellStyle name="Currency 5 3 2 2 11" xfId="8878" xr:uid="{7FF2AFFA-37E5-4A2F-9908-25828DE14510}"/>
    <cellStyle name="Currency 5 3 2 2 2" xfId="212" xr:uid="{00000000-0005-0000-0000-0000870C0000}"/>
    <cellStyle name="Currency 5 3 2 2 2 10" xfId="8879" xr:uid="{AEAA8E7D-286A-436C-8972-EA747CD97FC4}"/>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B2D177CE-32E3-4D3C-8BEB-21BA4B6D2308}"/>
    <cellStyle name="Currency 5 3 2 2 2 2 2 3" xfId="11438" xr:uid="{63CC83D5-3379-4E0B-84ED-D5373107CCFF}"/>
    <cellStyle name="Currency 5 3 2 2 2 2 3" xfId="5069" xr:uid="{00000000-0005-0000-0000-00008B0C0000}"/>
    <cellStyle name="Currency 5 3 2 2 2 2 3 2" xfId="13511" xr:uid="{4011163C-F474-4594-ACA3-2445B364887A}"/>
    <cellStyle name="Currency 5 3 2 2 2 2 4" xfId="9293" xr:uid="{1BA83146-8C76-4317-AEB5-ACAB51C0C0EF}"/>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DB2DF3D4-D3EE-4E3A-8190-C80EE60690DC}"/>
    <cellStyle name="Currency 5 3 2 2 2 3 2 3" xfId="11851" xr:uid="{68734726-1BD3-4ABF-86A7-02AB3F08D998}"/>
    <cellStyle name="Currency 5 3 2 2 2 3 3" xfId="5482" xr:uid="{00000000-0005-0000-0000-00008F0C0000}"/>
    <cellStyle name="Currency 5 3 2 2 2 3 3 2" xfId="13924" xr:uid="{49AF61C4-B564-4552-8D0F-D3371B770897}"/>
    <cellStyle name="Currency 5 3 2 2 2 3 4" xfId="9706" xr:uid="{C128199E-3922-4D8D-A91A-E6911B287A1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6F2D36A0-9EE6-46F9-B4FC-37EE6C5F9DFD}"/>
    <cellStyle name="Currency 5 3 2 2 2 4 2 3" xfId="12264" xr:uid="{1E5A8DA5-C500-4ABB-A6B6-ADD2C54B9897}"/>
    <cellStyle name="Currency 5 3 2 2 2 4 3" xfId="5895" xr:uid="{00000000-0005-0000-0000-0000930C0000}"/>
    <cellStyle name="Currency 5 3 2 2 2 4 3 2" xfId="14337" xr:uid="{F4EFBB52-4A30-47F3-AD0B-12074F8532C7}"/>
    <cellStyle name="Currency 5 3 2 2 2 4 4" xfId="10119" xr:uid="{6D01ED60-C3B9-4C8A-AE64-FC82600ACE71}"/>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E2FBB32F-E7F1-4FB5-B054-8C10F6542375}"/>
    <cellStyle name="Currency 5 3 2 2 2 5 2 3" xfId="12677" xr:uid="{6FC2A01F-DB88-4E42-ACA5-C358EF74E085}"/>
    <cellStyle name="Currency 5 3 2 2 2 5 3" xfId="6308" xr:uid="{00000000-0005-0000-0000-0000970C0000}"/>
    <cellStyle name="Currency 5 3 2 2 2 5 3 2" xfId="14750" xr:uid="{B978D6EA-0A36-4B8E-8ADC-B11B44CA6C4F}"/>
    <cellStyle name="Currency 5 3 2 2 2 5 4" xfId="10532" xr:uid="{231A5D90-C8EF-4626-AA3B-BEBBB773A3BC}"/>
    <cellStyle name="Currency 5 3 2 2 2 6" xfId="2436" xr:uid="{00000000-0005-0000-0000-0000980C0000}"/>
    <cellStyle name="Currency 5 3 2 2 2 6 2" xfId="6721" xr:uid="{00000000-0005-0000-0000-0000990C0000}"/>
    <cellStyle name="Currency 5 3 2 2 2 6 2 2" xfId="15163" xr:uid="{DCC2C343-553E-4F76-BBFB-390DD0D37DFD}"/>
    <cellStyle name="Currency 5 3 2 2 2 6 3" xfId="10945" xr:uid="{5458B5D8-E0AC-4685-ABF2-4A316873EDBE}"/>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B10C126B-C9DC-4BC9-A3A3-F52D6BC8F80F}"/>
    <cellStyle name="Currency 5 3 2 2 2 8 3" xfId="11262" xr:uid="{A7625544-F5A7-4A20-AABB-23D11C7C22EE}"/>
    <cellStyle name="Currency 5 3 2 2 2 9" xfId="4655" xr:uid="{00000000-0005-0000-0000-00009D0C0000}"/>
    <cellStyle name="Currency 5 3 2 2 2 9 2" xfId="13097" xr:uid="{1E4AA5C2-860C-4B00-9708-125F0248A19E}"/>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D34B7DCA-ECB8-4CDC-ACCA-2FBB6D5E8E12}"/>
    <cellStyle name="Currency 5 3 2 2 3 2 3" xfId="11437" xr:uid="{E470DF86-BED0-4D76-9656-F06D42B33A10}"/>
    <cellStyle name="Currency 5 3 2 2 3 3" xfId="5068" xr:uid="{00000000-0005-0000-0000-0000A10C0000}"/>
    <cellStyle name="Currency 5 3 2 2 3 3 2" xfId="13510" xr:uid="{C6675E67-7D74-498D-B32F-F4BFCB42AC59}"/>
    <cellStyle name="Currency 5 3 2 2 3 4" xfId="9292" xr:uid="{10407777-C6E1-4705-B62F-041509B67165}"/>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94CA5D3A-AC40-4080-88EF-6A5E7D8F2184}"/>
    <cellStyle name="Currency 5 3 2 2 4 2 3" xfId="11850" xr:uid="{26A1D0FF-D1ED-4EC6-8864-64C6ABC0547C}"/>
    <cellStyle name="Currency 5 3 2 2 4 3" xfId="5481" xr:uid="{00000000-0005-0000-0000-0000A50C0000}"/>
    <cellStyle name="Currency 5 3 2 2 4 3 2" xfId="13923" xr:uid="{38A51CE2-0FF7-40CB-B8CD-9B955E6E8267}"/>
    <cellStyle name="Currency 5 3 2 2 4 4" xfId="9705" xr:uid="{BCEA0B76-37F7-4395-B051-469676DF31CD}"/>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6401B918-13D1-4F99-82BD-3DBFA252AE28}"/>
    <cellStyle name="Currency 5 3 2 2 5 2 3" xfId="12263" xr:uid="{2C038DEF-2460-4AD5-BDC2-915A6B14D9F2}"/>
    <cellStyle name="Currency 5 3 2 2 5 3" xfId="5894" xr:uid="{00000000-0005-0000-0000-0000A90C0000}"/>
    <cellStyle name="Currency 5 3 2 2 5 3 2" xfId="14336" xr:uid="{21D09FC7-6D53-4E4B-8BFB-552C2C13E7E4}"/>
    <cellStyle name="Currency 5 3 2 2 5 4" xfId="10118" xr:uid="{50D096CB-BFC3-44BC-B41F-23326BE392E8}"/>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DC545F37-D14A-41E4-8C8B-E36B08FFE7C7}"/>
    <cellStyle name="Currency 5 3 2 2 6 2 3" xfId="12676" xr:uid="{FDBD6409-BFB4-411C-B7BE-C21BEC351CF8}"/>
    <cellStyle name="Currency 5 3 2 2 6 3" xfId="6307" xr:uid="{00000000-0005-0000-0000-0000AD0C0000}"/>
    <cellStyle name="Currency 5 3 2 2 6 3 2" xfId="14749" xr:uid="{275FF3A4-98BE-4E20-B651-82817DE6861D}"/>
    <cellStyle name="Currency 5 3 2 2 6 4" xfId="10531" xr:uid="{F7E91842-B0D5-480D-8051-39EDB5EC0C73}"/>
    <cellStyle name="Currency 5 3 2 2 7" xfId="2435" xr:uid="{00000000-0005-0000-0000-0000AE0C0000}"/>
    <cellStyle name="Currency 5 3 2 2 7 2" xfId="6720" xr:uid="{00000000-0005-0000-0000-0000AF0C0000}"/>
    <cellStyle name="Currency 5 3 2 2 7 2 2" xfId="15162" xr:uid="{81C4B9C4-BA7E-4B3F-AD62-CC846F08C8E9}"/>
    <cellStyle name="Currency 5 3 2 2 7 3" xfId="10944" xr:uid="{22AB2F1F-5DB2-4880-8C52-72731FB7B3ED}"/>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93FBD72B-9C6B-4698-B659-4F8698D8B85A}"/>
    <cellStyle name="Currency 5 3 2 2 9 3" xfId="11261" xr:uid="{748D709D-F087-44CF-926E-4EE2F53A9F2D}"/>
    <cellStyle name="Currency 5 3 2 3" xfId="213" xr:uid="{00000000-0005-0000-0000-0000B30C0000}"/>
    <cellStyle name="Currency 5 3 2 3 10" xfId="8880" xr:uid="{29C61E01-93A0-4E8B-BF89-BC288104899E}"/>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E3369921-8785-4A6D-9E93-854D47E16083}"/>
    <cellStyle name="Currency 5 3 2 3 2 2 3" xfId="11439" xr:uid="{9AE70D54-77D8-4665-AF02-CAB14FD0726F}"/>
    <cellStyle name="Currency 5 3 2 3 2 3" xfId="5070" xr:uid="{00000000-0005-0000-0000-0000B70C0000}"/>
    <cellStyle name="Currency 5 3 2 3 2 3 2" xfId="13512" xr:uid="{B8B7EC28-9818-486C-A7DC-ACB66139182E}"/>
    <cellStyle name="Currency 5 3 2 3 2 4" xfId="9294" xr:uid="{40B8E703-DC93-4EB1-AD74-9728FAB31EB5}"/>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B22994A4-C63D-4B50-8750-0B393D035F24}"/>
    <cellStyle name="Currency 5 3 2 3 3 2 3" xfId="11852" xr:uid="{3FC1100A-61F7-4ADA-A211-27EB03051C6D}"/>
    <cellStyle name="Currency 5 3 2 3 3 3" xfId="5483" xr:uid="{00000000-0005-0000-0000-0000BB0C0000}"/>
    <cellStyle name="Currency 5 3 2 3 3 3 2" xfId="13925" xr:uid="{4BA06E17-CAA2-42BC-A090-85EE6E96FE40}"/>
    <cellStyle name="Currency 5 3 2 3 3 4" xfId="9707" xr:uid="{F7E2B5FD-C0A4-4D64-A4C7-5DE62E8FF922}"/>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1BF56B43-F626-4748-B589-FD9A31675892}"/>
    <cellStyle name="Currency 5 3 2 3 4 2 3" xfId="12265" xr:uid="{CE099565-2D06-471D-B0A5-1B807BFE83A7}"/>
    <cellStyle name="Currency 5 3 2 3 4 3" xfId="5896" xr:uid="{00000000-0005-0000-0000-0000BF0C0000}"/>
    <cellStyle name="Currency 5 3 2 3 4 3 2" xfId="14338" xr:uid="{287B427B-FAF2-4580-B228-921C148E8601}"/>
    <cellStyle name="Currency 5 3 2 3 4 4" xfId="10120" xr:uid="{2A3FB349-2AD5-4E23-BED8-7BE226C2D892}"/>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35125EFD-0560-451C-9753-B5D6D1696747}"/>
    <cellStyle name="Currency 5 3 2 3 5 2 3" xfId="12678" xr:uid="{EC35684B-BA37-4D7C-BF6D-CBB3DA9C11D3}"/>
    <cellStyle name="Currency 5 3 2 3 5 3" xfId="6309" xr:uid="{00000000-0005-0000-0000-0000C30C0000}"/>
    <cellStyle name="Currency 5 3 2 3 5 3 2" xfId="14751" xr:uid="{1E11A0A1-8F36-4E57-857D-A7E63AE9902F}"/>
    <cellStyle name="Currency 5 3 2 3 5 4" xfId="10533" xr:uid="{1B790942-EA51-4EA3-8AA7-1366BD7390C1}"/>
    <cellStyle name="Currency 5 3 2 3 6" xfId="2437" xr:uid="{00000000-0005-0000-0000-0000C40C0000}"/>
    <cellStyle name="Currency 5 3 2 3 6 2" xfId="6722" xr:uid="{00000000-0005-0000-0000-0000C50C0000}"/>
    <cellStyle name="Currency 5 3 2 3 6 2 2" xfId="15164" xr:uid="{571C41DE-E73B-41E4-9430-F43658BD1B2A}"/>
    <cellStyle name="Currency 5 3 2 3 6 3" xfId="10946" xr:uid="{9F065440-EBBE-4CC8-ACE1-2704E7BCA059}"/>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A95FB66C-A222-4906-8A21-9FD4B108B915}"/>
    <cellStyle name="Currency 5 3 2 3 8 3" xfId="11263" xr:uid="{F4238DB9-1EE1-4B0E-B6F1-3C76B020402C}"/>
    <cellStyle name="Currency 5 3 2 3 9" xfId="4656" xr:uid="{00000000-0005-0000-0000-0000C90C0000}"/>
    <cellStyle name="Currency 5 3 2 3 9 2" xfId="13098" xr:uid="{898B3480-1E98-42D2-A2C4-8DD872A0E381}"/>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880AC007-D86A-4A6E-AB14-908A16C364F3}"/>
    <cellStyle name="Currency 5 3 2 4 2 3" xfId="11436" xr:uid="{88C18A35-2C54-479F-B64A-920295466986}"/>
    <cellStyle name="Currency 5 3 2 4 3" xfId="5067" xr:uid="{00000000-0005-0000-0000-0000CD0C0000}"/>
    <cellStyle name="Currency 5 3 2 4 3 2" xfId="13509" xr:uid="{27F8C66C-1974-4FAE-9074-0A01F5B5FD11}"/>
    <cellStyle name="Currency 5 3 2 4 4" xfId="9291" xr:uid="{25CDBE3A-BABF-4823-8280-3904A76266C8}"/>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A82D4270-8485-48EC-B705-5ABFE212EC9D}"/>
    <cellStyle name="Currency 5 3 2 5 2 3" xfId="11849" xr:uid="{907468E5-5949-4C7F-9BFA-4B7FC3C2BB1B}"/>
    <cellStyle name="Currency 5 3 2 5 3" xfId="5480" xr:uid="{00000000-0005-0000-0000-0000D10C0000}"/>
    <cellStyle name="Currency 5 3 2 5 3 2" xfId="13922" xr:uid="{F5811FEE-DB0D-44A9-A6C3-17E7F434F7E5}"/>
    <cellStyle name="Currency 5 3 2 5 4" xfId="9704" xr:uid="{3259A5DD-2B00-43D1-9EC3-1CCB2EB7FC8D}"/>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DC5362FA-D20B-48BA-BD9E-C8D243D32DF8}"/>
    <cellStyle name="Currency 5 3 2 6 2 3" xfId="12262" xr:uid="{3B903567-BC22-45F6-BBF4-838FEBCB91DC}"/>
    <cellStyle name="Currency 5 3 2 6 3" xfId="5893" xr:uid="{00000000-0005-0000-0000-0000D50C0000}"/>
    <cellStyle name="Currency 5 3 2 6 3 2" xfId="14335" xr:uid="{92D49995-46D0-4A90-8833-63FB3ACC824A}"/>
    <cellStyle name="Currency 5 3 2 6 4" xfId="10117" xr:uid="{2C392896-D2CD-402A-B2B5-7F6005B2BACF}"/>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1D27500F-34D6-4792-B585-FFCE198C1A40}"/>
    <cellStyle name="Currency 5 3 2 7 2 3" xfId="12675" xr:uid="{2B6CC743-6761-4F3B-9BC4-DA2DBE058A1C}"/>
    <cellStyle name="Currency 5 3 2 7 3" xfId="6306" xr:uid="{00000000-0005-0000-0000-0000D90C0000}"/>
    <cellStyle name="Currency 5 3 2 7 3 2" xfId="14748" xr:uid="{F4D0D161-03BE-4282-89AE-309FB076D749}"/>
    <cellStyle name="Currency 5 3 2 7 4" xfId="10530" xr:uid="{0EB58330-C63E-4324-87AF-A34FEB493516}"/>
    <cellStyle name="Currency 5 3 2 8" xfId="2434" xr:uid="{00000000-0005-0000-0000-0000DA0C0000}"/>
    <cellStyle name="Currency 5 3 2 8 2" xfId="6719" xr:uid="{00000000-0005-0000-0000-0000DB0C0000}"/>
    <cellStyle name="Currency 5 3 2 8 2 2" xfId="15161" xr:uid="{FC005FBD-D102-453C-AB92-F08D72152C26}"/>
    <cellStyle name="Currency 5 3 2 8 3" xfId="10943" xr:uid="{0AC497EA-68AA-47FA-9481-C9FEB5418107}"/>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2625941A-CEFB-4692-A3BC-E0F49D698CFF}"/>
    <cellStyle name="Currency 5 3 3 11" xfId="8881" xr:uid="{E784A699-7426-485F-9DE9-4A0DE9304567}"/>
    <cellStyle name="Currency 5 3 3 2" xfId="215" xr:uid="{00000000-0005-0000-0000-0000DF0C0000}"/>
    <cellStyle name="Currency 5 3 3 2 10" xfId="8882" xr:uid="{8C231E9E-F5B7-4978-B82D-6F9E7FE86B72}"/>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611BB6F2-1AD1-4110-A9E2-39D555D6CC09}"/>
    <cellStyle name="Currency 5 3 3 2 2 2 3" xfId="11441" xr:uid="{8EBE1F36-4425-4EF3-AC63-E3AC11DF64BD}"/>
    <cellStyle name="Currency 5 3 3 2 2 3" xfId="5072" xr:uid="{00000000-0005-0000-0000-0000E30C0000}"/>
    <cellStyle name="Currency 5 3 3 2 2 3 2" xfId="13514" xr:uid="{73DB1344-D968-4557-AFCD-0070082ED34F}"/>
    <cellStyle name="Currency 5 3 3 2 2 4" xfId="9296" xr:uid="{1A1CDE72-CBC9-4FF6-8ABF-183BE45B4A58}"/>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D39D90A1-84D3-44D4-87ED-1973D78D5166}"/>
    <cellStyle name="Currency 5 3 3 2 3 2 3" xfId="11854" xr:uid="{A29CA6DA-8685-4AE1-A4BB-C884D66572EC}"/>
    <cellStyle name="Currency 5 3 3 2 3 3" xfId="5485" xr:uid="{00000000-0005-0000-0000-0000E70C0000}"/>
    <cellStyle name="Currency 5 3 3 2 3 3 2" xfId="13927" xr:uid="{403E0DE9-0A8F-44B0-B0A8-D07E35FE020A}"/>
    <cellStyle name="Currency 5 3 3 2 3 4" xfId="9709" xr:uid="{8A9F40F6-3C68-4E45-B530-DA26EBCF8D48}"/>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2C79A308-3FEE-47FD-B367-A8106751D724}"/>
    <cellStyle name="Currency 5 3 3 2 4 2 3" xfId="12267" xr:uid="{A1C1A671-BACF-4D17-AE79-2390DA5AC97B}"/>
    <cellStyle name="Currency 5 3 3 2 4 3" xfId="5898" xr:uid="{00000000-0005-0000-0000-0000EB0C0000}"/>
    <cellStyle name="Currency 5 3 3 2 4 3 2" xfId="14340" xr:uid="{1C44B9C9-34D9-4F13-B3E0-5E4867A99F44}"/>
    <cellStyle name="Currency 5 3 3 2 4 4" xfId="10122" xr:uid="{BCC480A3-D831-43AA-B336-0650782ACCED}"/>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F1ABCEC4-2A54-455B-BBB6-36AEB8E2A097}"/>
    <cellStyle name="Currency 5 3 3 2 5 2 3" xfId="12680" xr:uid="{38B6E250-7B31-45DB-AF2B-9DC20FD17550}"/>
    <cellStyle name="Currency 5 3 3 2 5 3" xfId="6311" xr:uid="{00000000-0005-0000-0000-0000EF0C0000}"/>
    <cellStyle name="Currency 5 3 3 2 5 3 2" xfId="14753" xr:uid="{06F63D4E-866B-4298-AD99-3F1DDE9148AA}"/>
    <cellStyle name="Currency 5 3 3 2 5 4" xfId="10535" xr:uid="{97447191-912E-4B13-AAF5-3D88776AC01C}"/>
    <cellStyle name="Currency 5 3 3 2 6" xfId="2439" xr:uid="{00000000-0005-0000-0000-0000F00C0000}"/>
    <cellStyle name="Currency 5 3 3 2 6 2" xfId="6724" xr:uid="{00000000-0005-0000-0000-0000F10C0000}"/>
    <cellStyle name="Currency 5 3 3 2 6 2 2" xfId="15166" xr:uid="{41B04EA7-0C6A-4F05-AC71-E70A7EC147D1}"/>
    <cellStyle name="Currency 5 3 3 2 6 3" xfId="10948" xr:uid="{D457E04E-4B6C-4002-8453-8C68250B1C36}"/>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40801747-7A14-4B16-A674-C8EECF5DA4B2}"/>
    <cellStyle name="Currency 5 3 3 2 8 3" xfId="11265" xr:uid="{A9657DC6-B9FE-40A6-BBFB-9A5E1360CFC6}"/>
    <cellStyle name="Currency 5 3 3 2 9" xfId="4658" xr:uid="{00000000-0005-0000-0000-0000F50C0000}"/>
    <cellStyle name="Currency 5 3 3 2 9 2" xfId="13100" xr:uid="{A30F15ED-0AE4-437C-AE08-C2645B0F5537}"/>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B546D097-9214-48C6-B5CA-E72CE7B98147}"/>
    <cellStyle name="Currency 5 3 3 3 2 3" xfId="11440" xr:uid="{766537D1-42BA-4531-BE4F-07121B925916}"/>
    <cellStyle name="Currency 5 3 3 3 3" xfId="5071" xr:uid="{00000000-0005-0000-0000-0000F90C0000}"/>
    <cellStyle name="Currency 5 3 3 3 3 2" xfId="13513" xr:uid="{60FC9B72-64B1-4207-B541-15DFCD5A6ACB}"/>
    <cellStyle name="Currency 5 3 3 3 4" xfId="9295" xr:uid="{3B7D07E8-8E75-4102-A13A-EA792DCFC8F7}"/>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3C7DA32A-CB00-4BE3-909B-E59052ED0D00}"/>
    <cellStyle name="Currency 5 3 3 4 2 3" xfId="11853" xr:uid="{D1E82765-01DE-4974-84A7-04F43208E414}"/>
    <cellStyle name="Currency 5 3 3 4 3" xfId="5484" xr:uid="{00000000-0005-0000-0000-0000FD0C0000}"/>
    <cellStyle name="Currency 5 3 3 4 3 2" xfId="13926" xr:uid="{822A0D6B-0658-47BE-A134-BB3AD76D2BD1}"/>
    <cellStyle name="Currency 5 3 3 4 4" xfId="9708" xr:uid="{5BB3EA22-96E3-458C-A4BB-BD1CFE77051A}"/>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F3275653-D9B2-4A0F-B1D2-48B55AAB23FB}"/>
    <cellStyle name="Currency 5 3 3 5 2 3" xfId="12266" xr:uid="{72CEBF7B-DB57-46AA-9DB0-F778F3C86680}"/>
    <cellStyle name="Currency 5 3 3 5 3" xfId="5897" xr:uid="{00000000-0005-0000-0000-0000010D0000}"/>
    <cellStyle name="Currency 5 3 3 5 3 2" xfId="14339" xr:uid="{CDBA314F-BC3A-4D8F-A742-7C72A99243E3}"/>
    <cellStyle name="Currency 5 3 3 5 4" xfId="10121" xr:uid="{942F072F-2653-49C6-87CF-BD97B2752309}"/>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77571BD2-E12F-486B-8FC6-BFF88673FAA3}"/>
    <cellStyle name="Currency 5 3 3 6 2 3" xfId="12679" xr:uid="{0C1085F3-7D1C-493E-B7DD-78838B7FADCA}"/>
    <cellStyle name="Currency 5 3 3 6 3" xfId="6310" xr:uid="{00000000-0005-0000-0000-0000050D0000}"/>
    <cellStyle name="Currency 5 3 3 6 3 2" xfId="14752" xr:uid="{5AFFFFF6-17CC-464E-8CCB-CA3283C86B88}"/>
    <cellStyle name="Currency 5 3 3 6 4" xfId="10534" xr:uid="{145CA392-F842-4917-84BA-C01BF0C4FD54}"/>
    <cellStyle name="Currency 5 3 3 7" xfId="2438" xr:uid="{00000000-0005-0000-0000-0000060D0000}"/>
    <cellStyle name="Currency 5 3 3 7 2" xfId="6723" xr:uid="{00000000-0005-0000-0000-0000070D0000}"/>
    <cellStyle name="Currency 5 3 3 7 2 2" xfId="15165" xr:uid="{E610392F-6CA0-4270-9949-8846B613691B}"/>
    <cellStyle name="Currency 5 3 3 7 3" xfId="10947" xr:uid="{A46C248A-85BE-426B-96B6-4D5E6BFB3B4C}"/>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F6B72C3B-8649-4D78-B57D-2AF573EC2EDF}"/>
    <cellStyle name="Currency 5 3 3 9 3" xfId="11264" xr:uid="{A21CD46F-DCC0-4DC0-82F6-8F91D759FF03}"/>
    <cellStyle name="Currency 5 3 4" xfId="216" xr:uid="{00000000-0005-0000-0000-00000B0D0000}"/>
    <cellStyle name="Currency 5 3 4 10" xfId="8883" xr:uid="{D80CB893-E62B-4448-84C6-20DC6CA5F5D4}"/>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5EC94AC3-2B9F-449E-9C0A-99B2CDDBFB44}"/>
    <cellStyle name="Currency 5 3 4 2 2 3" xfId="11442" xr:uid="{B82B7717-DBAC-42C8-819F-720FC201A12C}"/>
    <cellStyle name="Currency 5 3 4 2 3" xfId="5073" xr:uid="{00000000-0005-0000-0000-00000F0D0000}"/>
    <cellStyle name="Currency 5 3 4 2 3 2" xfId="13515" xr:uid="{4E34BDEE-4009-4962-A951-C76B2007D1CC}"/>
    <cellStyle name="Currency 5 3 4 2 4" xfId="9297" xr:uid="{163D97B0-97BC-4502-A429-484F262EB207}"/>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2760AE96-FB8B-4BBC-9C53-56274A44115F}"/>
    <cellStyle name="Currency 5 3 4 3 2 3" xfId="11855" xr:uid="{AC23A8A2-4856-4EFE-B7DF-9F3C738F59FF}"/>
    <cellStyle name="Currency 5 3 4 3 3" xfId="5486" xr:uid="{00000000-0005-0000-0000-0000130D0000}"/>
    <cellStyle name="Currency 5 3 4 3 3 2" xfId="13928" xr:uid="{E498C042-CD86-4C27-9081-087945FF464C}"/>
    <cellStyle name="Currency 5 3 4 3 4" xfId="9710" xr:uid="{2B382748-8318-4056-AA66-6221E563585E}"/>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D5AC7F6F-0692-4515-84A5-DF9AD2648529}"/>
    <cellStyle name="Currency 5 3 4 4 2 3" xfId="12268" xr:uid="{4AAC056A-12A6-455D-A876-F1D2D72FC639}"/>
    <cellStyle name="Currency 5 3 4 4 3" xfId="5899" xr:uid="{00000000-0005-0000-0000-0000170D0000}"/>
    <cellStyle name="Currency 5 3 4 4 3 2" xfId="14341" xr:uid="{1BA7A185-5794-4FF4-98AB-FB12F1B5864E}"/>
    <cellStyle name="Currency 5 3 4 4 4" xfId="10123" xr:uid="{C544949C-50F3-4B25-9148-FA4CBE33A572}"/>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B337DAE5-B68E-44C3-A967-41239D2C7F44}"/>
    <cellStyle name="Currency 5 3 4 5 2 3" xfId="12681" xr:uid="{B4F78490-BF68-4F3A-914D-1AA391DD50CF}"/>
    <cellStyle name="Currency 5 3 4 5 3" xfId="6312" xr:uid="{00000000-0005-0000-0000-00001B0D0000}"/>
    <cellStyle name="Currency 5 3 4 5 3 2" xfId="14754" xr:uid="{AE51045D-C4A0-40CC-9012-6A03D1C069F5}"/>
    <cellStyle name="Currency 5 3 4 5 4" xfId="10536" xr:uid="{5675A736-9D8B-4037-8CDA-610C5EED5398}"/>
    <cellStyle name="Currency 5 3 4 6" xfId="2440" xr:uid="{00000000-0005-0000-0000-00001C0D0000}"/>
    <cellStyle name="Currency 5 3 4 6 2" xfId="6725" xr:uid="{00000000-0005-0000-0000-00001D0D0000}"/>
    <cellStyle name="Currency 5 3 4 6 2 2" xfId="15167" xr:uid="{BA2114A6-5D49-4B0F-8FAC-A1DD3F48D848}"/>
    <cellStyle name="Currency 5 3 4 6 3" xfId="10949" xr:uid="{68AC9919-6E44-4C9C-9240-261A0A29E4CA}"/>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22AE59D9-E87A-4575-9D38-51C1EA0905CB}"/>
    <cellStyle name="Currency 5 3 4 8 3" xfId="11266" xr:uid="{CBBC8DDB-8E1C-457B-986D-8C5F4AA5B317}"/>
    <cellStyle name="Currency 5 3 4 9" xfId="4659" xr:uid="{00000000-0005-0000-0000-0000210D0000}"/>
    <cellStyle name="Currency 5 3 4 9 2" xfId="13101" xr:uid="{438B7219-8935-4916-85A8-CD8D26482D3B}"/>
    <cellStyle name="Currency 5 3 5" xfId="217" xr:uid="{00000000-0005-0000-0000-0000220D0000}"/>
    <cellStyle name="Currency 5 3 5 10" xfId="8884" xr:uid="{2B2720F3-F00A-4DF8-8375-6D9972C6962D}"/>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208F842A-7FFC-446E-BBBE-CB2E41D81865}"/>
    <cellStyle name="Currency 5 3 5 2 2 3" xfId="11443" xr:uid="{E8BA2CB9-C5C9-4B57-BD4A-DD05C09D61A1}"/>
    <cellStyle name="Currency 5 3 5 2 3" xfId="5074" xr:uid="{00000000-0005-0000-0000-0000260D0000}"/>
    <cellStyle name="Currency 5 3 5 2 3 2" xfId="13516" xr:uid="{70FD8593-6A4A-4585-A614-F55690DF4E2E}"/>
    <cellStyle name="Currency 5 3 5 2 4" xfId="9298" xr:uid="{A15F9279-8D66-4BC7-B2D5-D587EF93DB30}"/>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81CC3786-3260-4E37-B270-6F8052FCB8F2}"/>
    <cellStyle name="Currency 5 3 5 3 2 3" xfId="11856" xr:uid="{E6E94DEC-6D4D-4E76-87EF-122A6E94BB67}"/>
    <cellStyle name="Currency 5 3 5 3 3" xfId="5487" xr:uid="{00000000-0005-0000-0000-00002A0D0000}"/>
    <cellStyle name="Currency 5 3 5 3 3 2" xfId="13929" xr:uid="{A0DE0F64-3877-40DC-96E8-0BE4B365EAF7}"/>
    <cellStyle name="Currency 5 3 5 3 4" xfId="9711" xr:uid="{C2EE9EEC-394F-44A1-8713-C66D07816DC9}"/>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F7F6B0B8-9635-4B80-BE1A-FC878EB81728}"/>
    <cellStyle name="Currency 5 3 5 4 2 3" xfId="12269" xr:uid="{2482A4DB-EF32-49A3-9DA9-B592F5FF2CCD}"/>
    <cellStyle name="Currency 5 3 5 4 3" xfId="5900" xr:uid="{00000000-0005-0000-0000-00002E0D0000}"/>
    <cellStyle name="Currency 5 3 5 4 3 2" xfId="14342" xr:uid="{6E33B28E-7E18-4EF8-9A86-F565A36D582B}"/>
    <cellStyle name="Currency 5 3 5 4 4" xfId="10124" xr:uid="{199B13AD-FDE4-4C16-8BB5-42FBFD6F3993}"/>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2F64667F-164C-4C5F-A176-649C8EC02587}"/>
    <cellStyle name="Currency 5 3 5 5 2 3" xfId="12682" xr:uid="{E7334C97-0971-43B0-A8DB-5D9D9EF679C0}"/>
    <cellStyle name="Currency 5 3 5 5 3" xfId="6313" xr:uid="{00000000-0005-0000-0000-0000320D0000}"/>
    <cellStyle name="Currency 5 3 5 5 3 2" xfId="14755" xr:uid="{3BCECE27-7493-4600-8E11-C20777727B1E}"/>
    <cellStyle name="Currency 5 3 5 5 4" xfId="10537" xr:uid="{27637911-3874-48DB-873F-332AB7BEEDBD}"/>
    <cellStyle name="Currency 5 3 5 6" xfId="2441" xr:uid="{00000000-0005-0000-0000-0000330D0000}"/>
    <cellStyle name="Currency 5 3 5 6 2" xfId="6726" xr:uid="{00000000-0005-0000-0000-0000340D0000}"/>
    <cellStyle name="Currency 5 3 5 6 2 2" xfId="15168" xr:uid="{53FE35EF-E986-4FC0-BF9E-C0434BA084D4}"/>
    <cellStyle name="Currency 5 3 5 6 3" xfId="10950" xr:uid="{9E7ED186-DB73-4B95-BBE5-557E5D1DCAB8}"/>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A0052F86-0BAF-4712-A9B2-86FC11B7DE60}"/>
    <cellStyle name="Currency 5 3 5 8 3" xfId="11267" xr:uid="{CC958626-307D-4D09-B358-3C84CFB20931}"/>
    <cellStyle name="Currency 5 3 5 9" xfId="4660" xr:uid="{00000000-0005-0000-0000-0000380D0000}"/>
    <cellStyle name="Currency 5 3 5 9 2" xfId="13102" xr:uid="{42D6A512-81DB-4526-8186-6463CB391925}"/>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EB5229D0-124E-4162-93A2-43372FAF9A7D}"/>
    <cellStyle name="Currency 5 5 11" xfId="8885" xr:uid="{F56A1834-9747-4C37-8C11-B696A553B6AD}"/>
    <cellStyle name="Currency 5 5 2" xfId="220" xr:uid="{00000000-0005-0000-0000-00003D0D0000}"/>
    <cellStyle name="Currency 5 5 2 10" xfId="8886" xr:uid="{B288752B-9A95-4982-BEDF-5C2C0582AF17}"/>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8F5D918A-3B9C-4DC5-94DC-450F4BBBC95D}"/>
    <cellStyle name="Currency 5 5 2 2 2 3" xfId="11445" xr:uid="{48BCE4C5-6CC8-4C0E-A28B-1CF7815839D7}"/>
    <cellStyle name="Currency 5 5 2 2 3" xfId="5076" xr:uid="{00000000-0005-0000-0000-0000410D0000}"/>
    <cellStyle name="Currency 5 5 2 2 3 2" xfId="13518" xr:uid="{87976112-3554-4299-A62F-37011123A68E}"/>
    <cellStyle name="Currency 5 5 2 2 4" xfId="9300" xr:uid="{94909D8C-2795-4DA2-9B54-B9DE9E140E21}"/>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B26A37DB-A870-4528-B95D-3EA65BFF28A0}"/>
    <cellStyle name="Currency 5 5 2 3 2 3" xfId="11858" xr:uid="{E364D44C-0C5C-4DFF-9E7E-C34C51182A9B}"/>
    <cellStyle name="Currency 5 5 2 3 3" xfId="5489" xr:uid="{00000000-0005-0000-0000-0000450D0000}"/>
    <cellStyle name="Currency 5 5 2 3 3 2" xfId="13931" xr:uid="{9030B1C7-ECA6-45B5-B873-6CE486FC31E4}"/>
    <cellStyle name="Currency 5 5 2 3 4" xfId="9713" xr:uid="{0F1E305E-FDF0-4027-9607-D573A9E302D9}"/>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67B711F5-7339-4C41-8121-988FDA6E6DBB}"/>
    <cellStyle name="Currency 5 5 2 4 2 3" xfId="12271" xr:uid="{4E815AA1-7CB2-400B-B824-849E6989DFC6}"/>
    <cellStyle name="Currency 5 5 2 4 3" xfId="5902" xr:uid="{00000000-0005-0000-0000-0000490D0000}"/>
    <cellStyle name="Currency 5 5 2 4 3 2" xfId="14344" xr:uid="{2A5640BB-F8C3-4AD1-8A08-63EAA08FC9F2}"/>
    <cellStyle name="Currency 5 5 2 4 4" xfId="10126" xr:uid="{28BFDF65-CDD5-4E69-8DC4-B8CEAD45F5EF}"/>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3438CE48-D201-4352-BA7F-EBA36C19EA2A}"/>
    <cellStyle name="Currency 5 5 2 5 2 3" xfId="12684" xr:uid="{2307BD95-9FA2-4456-912F-8A8B75ADAFC4}"/>
    <cellStyle name="Currency 5 5 2 5 3" xfId="6315" xr:uid="{00000000-0005-0000-0000-00004D0D0000}"/>
    <cellStyle name="Currency 5 5 2 5 3 2" xfId="14757" xr:uid="{3838A3A2-3BF7-4113-8B05-F791302384D5}"/>
    <cellStyle name="Currency 5 5 2 5 4" xfId="10539" xr:uid="{293BE52A-CC5A-4935-886E-9C51B47CA1BC}"/>
    <cellStyle name="Currency 5 5 2 6" xfId="2443" xr:uid="{00000000-0005-0000-0000-00004E0D0000}"/>
    <cellStyle name="Currency 5 5 2 6 2" xfId="6728" xr:uid="{00000000-0005-0000-0000-00004F0D0000}"/>
    <cellStyle name="Currency 5 5 2 6 2 2" xfId="15170" xr:uid="{6ABD8800-3436-4540-A2EF-137C31B1BF00}"/>
    <cellStyle name="Currency 5 5 2 6 3" xfId="10952" xr:uid="{FE9A5CD0-F2D7-42BD-9AD9-E523571DF8F4}"/>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1ED2A794-10A6-4103-A0B7-38DB7A4AB5A7}"/>
    <cellStyle name="Currency 5 5 2 8 3" xfId="11269" xr:uid="{8ED9A0A9-83A2-4F40-AEAD-8BFE27DC4FD5}"/>
    <cellStyle name="Currency 5 5 2 9" xfId="4662" xr:uid="{00000000-0005-0000-0000-0000530D0000}"/>
    <cellStyle name="Currency 5 5 2 9 2" xfId="13104" xr:uid="{0448E3A9-9592-4504-AEB8-E27499EDDC18}"/>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61D8A331-A7FF-4DEB-8543-8F670F8D856E}"/>
    <cellStyle name="Currency 5 5 3 2 3" xfId="11444" xr:uid="{735F48B5-62EF-474C-8B71-DC52CCE0A7A0}"/>
    <cellStyle name="Currency 5 5 3 3" xfId="5075" xr:uid="{00000000-0005-0000-0000-0000570D0000}"/>
    <cellStyle name="Currency 5 5 3 3 2" xfId="13517" xr:uid="{292F2FCC-AB01-4647-8057-BE46F71F69EE}"/>
    <cellStyle name="Currency 5 5 3 4" xfId="9299" xr:uid="{EE4D134F-3721-4121-A534-00AE690DA05C}"/>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BEE635CC-E73A-432C-A663-BD35F04A0B3B}"/>
    <cellStyle name="Currency 5 5 4 2 3" xfId="11857" xr:uid="{F5FF0602-415E-48A5-A6DE-8FF71DA80A70}"/>
    <cellStyle name="Currency 5 5 4 3" xfId="5488" xr:uid="{00000000-0005-0000-0000-00005B0D0000}"/>
    <cellStyle name="Currency 5 5 4 3 2" xfId="13930" xr:uid="{62D6F612-F3E4-4069-A2CC-9F71F1EBFE34}"/>
    <cellStyle name="Currency 5 5 4 4" xfId="9712" xr:uid="{6C2346EB-0ADF-47D2-A0A5-52A9AA52CED3}"/>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A3849857-35A3-4517-B10F-DEE6D2D86AC6}"/>
    <cellStyle name="Currency 5 5 5 2 3" xfId="12270" xr:uid="{13E06B6E-7668-455B-A445-5EA2C2813D80}"/>
    <cellStyle name="Currency 5 5 5 3" xfId="5901" xr:uid="{00000000-0005-0000-0000-00005F0D0000}"/>
    <cellStyle name="Currency 5 5 5 3 2" xfId="14343" xr:uid="{6E525700-95F3-4E1E-AD6D-7576997B721F}"/>
    <cellStyle name="Currency 5 5 5 4" xfId="10125" xr:uid="{3C592CC3-6F1B-4576-9BC8-8B273C53F0F7}"/>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5AE6B9F7-0B46-4FF5-AD82-AEA4D2B79912}"/>
    <cellStyle name="Currency 5 5 6 2 3" xfId="12683" xr:uid="{A5D0AF40-4C47-4289-BD79-03A54CA9D557}"/>
    <cellStyle name="Currency 5 5 6 3" xfId="6314" xr:uid="{00000000-0005-0000-0000-0000630D0000}"/>
    <cellStyle name="Currency 5 5 6 3 2" xfId="14756" xr:uid="{EA767E52-7E3E-4A4F-9E1F-1DB402D5EBCA}"/>
    <cellStyle name="Currency 5 5 6 4" xfId="10538" xr:uid="{09C1A34E-1856-4CCA-8083-D8426C0ECD63}"/>
    <cellStyle name="Currency 5 5 7" xfId="2442" xr:uid="{00000000-0005-0000-0000-0000640D0000}"/>
    <cellStyle name="Currency 5 5 7 2" xfId="6727" xr:uid="{00000000-0005-0000-0000-0000650D0000}"/>
    <cellStyle name="Currency 5 5 7 2 2" xfId="15169" xr:uid="{2A3FFC67-D425-48BF-A61F-4BD420163A35}"/>
    <cellStyle name="Currency 5 5 7 3" xfId="10951" xr:uid="{98B68BC4-16D6-417D-878D-4FA9F23B45D2}"/>
    <cellStyle name="Currency 5 5 8" xfId="2739" xr:uid="{00000000-0005-0000-0000-0000660D0000}"/>
    <cellStyle name="Currency 5 5 9" xfId="2820" xr:uid="{00000000-0005-0000-0000-0000670D0000}"/>
    <cellStyle name="Currency 5 5 9 2" xfId="7044" xr:uid="{00000000-0005-0000-0000-0000680D0000}"/>
    <cellStyle name="Currency 5 5 9 2 2" xfId="15486" xr:uid="{B37DBAEE-A6D4-4C7A-A1FF-0EBC67A2563D}"/>
    <cellStyle name="Currency 5 5 9 3" xfId="11268" xr:uid="{8B06CA88-E4B1-4CFE-9311-A61606F27374}"/>
    <cellStyle name="Currency 5 6" xfId="221" xr:uid="{00000000-0005-0000-0000-0000690D0000}"/>
    <cellStyle name="Currency 5 6 10" xfId="8887" xr:uid="{BE0D8E3C-A528-4E74-986B-6BC168D97EB1}"/>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D6C99F9A-1CD7-4E3D-B5F1-D3938D79B1AB}"/>
    <cellStyle name="Currency 5 6 2 2 3" xfId="11446" xr:uid="{EBA9A592-E671-4FAE-88ED-F491E2AA7446}"/>
    <cellStyle name="Currency 5 6 2 3" xfId="5077" xr:uid="{00000000-0005-0000-0000-00006D0D0000}"/>
    <cellStyle name="Currency 5 6 2 3 2" xfId="13519" xr:uid="{3225BFF3-6BA0-445C-92E1-D4A9935498F2}"/>
    <cellStyle name="Currency 5 6 2 4" xfId="9301" xr:uid="{309E646B-7BEE-45A6-AADF-8BFC9F95D063}"/>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31617F8D-5D1C-426C-B2C5-5370B153900A}"/>
    <cellStyle name="Currency 5 6 3 2 3" xfId="11859" xr:uid="{55A758A2-495C-4A08-A721-AF3F370BD706}"/>
    <cellStyle name="Currency 5 6 3 3" xfId="5490" xr:uid="{00000000-0005-0000-0000-0000710D0000}"/>
    <cellStyle name="Currency 5 6 3 3 2" xfId="13932" xr:uid="{F78DC0B7-3D82-40D5-B0EA-1FA51F34C5A5}"/>
    <cellStyle name="Currency 5 6 3 4" xfId="9714" xr:uid="{D1E2220E-A908-4EC9-AFA4-E0D811A7E008}"/>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646D3EA7-ADF6-4A5F-9081-0D5979E18473}"/>
    <cellStyle name="Currency 5 6 4 2 3" xfId="12272" xr:uid="{78D115D3-09F9-40CF-8362-32927EAD071C}"/>
    <cellStyle name="Currency 5 6 4 3" xfId="5903" xr:uid="{00000000-0005-0000-0000-0000750D0000}"/>
    <cellStyle name="Currency 5 6 4 3 2" xfId="14345" xr:uid="{E8D57881-7984-46D2-9A43-B880A282231A}"/>
    <cellStyle name="Currency 5 6 4 4" xfId="10127" xr:uid="{63E4FD36-F36F-4B16-B89C-E9E1AC5B9F4D}"/>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25458735-2842-46C1-9BAC-422698836031}"/>
    <cellStyle name="Currency 5 6 5 2 3" xfId="12685" xr:uid="{549B4C7E-0690-45C3-B8E7-B5CB840F8BD9}"/>
    <cellStyle name="Currency 5 6 5 3" xfId="6316" xr:uid="{00000000-0005-0000-0000-0000790D0000}"/>
    <cellStyle name="Currency 5 6 5 3 2" xfId="14758" xr:uid="{71248697-BDD8-4DB2-8F2E-FCEB13A33589}"/>
    <cellStyle name="Currency 5 6 5 4" xfId="10540" xr:uid="{9A5FF8AF-69E7-429A-81F1-226226AA70B8}"/>
    <cellStyle name="Currency 5 6 6" xfId="2444" xr:uid="{00000000-0005-0000-0000-00007A0D0000}"/>
    <cellStyle name="Currency 5 6 6 2" xfId="6729" xr:uid="{00000000-0005-0000-0000-00007B0D0000}"/>
    <cellStyle name="Currency 5 6 6 2 2" xfId="15171" xr:uid="{028CC094-0286-4141-8F9C-9E3E9432356C}"/>
    <cellStyle name="Currency 5 6 6 3" xfId="10953" xr:uid="{8B97DBC9-55AC-428E-8D6B-E21D802F3855}"/>
    <cellStyle name="Currency 5 6 7" xfId="2741" xr:uid="{00000000-0005-0000-0000-00007C0D0000}"/>
    <cellStyle name="Currency 5 6 8" xfId="2822" xr:uid="{00000000-0005-0000-0000-00007D0D0000}"/>
    <cellStyle name="Currency 5 6 8 2" xfId="7046" xr:uid="{00000000-0005-0000-0000-00007E0D0000}"/>
    <cellStyle name="Currency 5 6 8 2 2" xfId="15488" xr:uid="{7B4319EC-FD46-4E29-864E-B9137B67249C}"/>
    <cellStyle name="Currency 5 6 8 3" xfId="11270" xr:uid="{30CDB34A-3F92-495D-B114-A156B35D2A90}"/>
    <cellStyle name="Currency 5 6 9" xfId="4663" xr:uid="{00000000-0005-0000-0000-00007F0D0000}"/>
    <cellStyle name="Currency 5 6 9 2" xfId="13105" xr:uid="{A1986C71-E47C-4CEA-8F70-1D7BBF732247}"/>
    <cellStyle name="Currency 5 7" xfId="222" xr:uid="{00000000-0005-0000-0000-0000800D0000}"/>
    <cellStyle name="Currency 5 7 10" xfId="8888" xr:uid="{56F1F575-432A-4D26-A19C-D1E2125E3B2C}"/>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B0B731BD-C862-4811-BF0B-3EE4E6ECFE60}"/>
    <cellStyle name="Currency 5 7 2 2 3" xfId="11447" xr:uid="{4C7407CB-F81D-462D-A6D4-2433B6E00AFA}"/>
    <cellStyle name="Currency 5 7 2 3" xfId="5078" xr:uid="{00000000-0005-0000-0000-0000840D0000}"/>
    <cellStyle name="Currency 5 7 2 3 2" xfId="13520" xr:uid="{15367CFE-1E5B-4076-B6F2-5B70EF092AAC}"/>
    <cellStyle name="Currency 5 7 2 4" xfId="9302" xr:uid="{D6694CAB-36CA-4E6A-8ADB-C517A502A115}"/>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7A261372-629A-4E22-B998-52A3AA301887}"/>
    <cellStyle name="Currency 5 7 3 2 3" xfId="11860" xr:uid="{0F58C6E4-AFE8-4169-A2AC-CAB5A365AE79}"/>
    <cellStyle name="Currency 5 7 3 3" xfId="5491" xr:uid="{00000000-0005-0000-0000-0000880D0000}"/>
    <cellStyle name="Currency 5 7 3 3 2" xfId="13933" xr:uid="{3998DB4F-983F-4D69-AEE6-93305AE08083}"/>
    <cellStyle name="Currency 5 7 3 4" xfId="9715" xr:uid="{F49C0BC5-E16A-4866-8BBC-A0CF1111D098}"/>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E9611ABA-421D-4AD9-91B1-5AE9360F4DD0}"/>
    <cellStyle name="Currency 5 7 4 2 3" xfId="12273" xr:uid="{BCA282E5-7DFD-461E-A064-B18074C26A3D}"/>
    <cellStyle name="Currency 5 7 4 3" xfId="5904" xr:uid="{00000000-0005-0000-0000-00008C0D0000}"/>
    <cellStyle name="Currency 5 7 4 3 2" xfId="14346" xr:uid="{811076AD-8049-4FEB-9B25-7B5206E8FE6F}"/>
    <cellStyle name="Currency 5 7 4 4" xfId="10128" xr:uid="{7D2D6AC6-59E8-4F3A-BB05-28E8EF04CD79}"/>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5238A419-2546-48D2-9038-1CFFB8609448}"/>
    <cellStyle name="Currency 5 7 5 2 3" xfId="12686" xr:uid="{03051FBE-6A28-4DEA-BBC5-EC64D144F444}"/>
    <cellStyle name="Currency 5 7 5 3" xfId="6317" xr:uid="{00000000-0005-0000-0000-0000900D0000}"/>
    <cellStyle name="Currency 5 7 5 3 2" xfId="14759" xr:uid="{9BD67043-C052-41F9-A0BC-799A0608DAC8}"/>
    <cellStyle name="Currency 5 7 5 4" xfId="10541" xr:uid="{517B31EF-9B09-46B7-A498-ABEF18E20F88}"/>
    <cellStyle name="Currency 5 7 6" xfId="2445" xr:uid="{00000000-0005-0000-0000-0000910D0000}"/>
    <cellStyle name="Currency 5 7 6 2" xfId="6730" xr:uid="{00000000-0005-0000-0000-0000920D0000}"/>
    <cellStyle name="Currency 5 7 6 2 2" xfId="15172" xr:uid="{018A0B48-97DC-417A-8D7E-F7AEE13344F8}"/>
    <cellStyle name="Currency 5 7 6 3" xfId="10954" xr:uid="{29BAABC5-DF2A-4B43-9A18-1555175A64F5}"/>
    <cellStyle name="Currency 5 7 7" xfId="2742" xr:uid="{00000000-0005-0000-0000-0000930D0000}"/>
    <cellStyle name="Currency 5 7 8" xfId="2823" xr:uid="{00000000-0005-0000-0000-0000940D0000}"/>
    <cellStyle name="Currency 5 7 8 2" xfId="7047" xr:uid="{00000000-0005-0000-0000-0000950D0000}"/>
    <cellStyle name="Currency 5 7 8 2 2" xfId="15489" xr:uid="{12700585-64BF-4388-BBC8-D9C97EF45257}"/>
    <cellStyle name="Currency 5 7 8 3" xfId="11271" xr:uid="{5DBD44C4-20DA-4497-8628-D4CFF837A3BA}"/>
    <cellStyle name="Currency 5 7 9" xfId="4664" xr:uid="{00000000-0005-0000-0000-0000960D0000}"/>
    <cellStyle name="Currency 5 7 9 2" xfId="13106" xr:uid="{EBBAC58A-DB8B-450D-AF2B-3D18B0602D32}"/>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096F597F-C1FC-4015-82E8-3D6B2D5FCD23}"/>
    <cellStyle name="Normal 12 10 3" xfId="10955" xr:uid="{00613952-40F6-46CD-B8A7-B1FF98C093F3}"/>
    <cellStyle name="Normal 12 11" xfId="4665" xr:uid="{00000000-0005-0000-0000-0000CC0D0000}"/>
    <cellStyle name="Normal 12 11 2" xfId="13107" xr:uid="{9ADD3540-CAB6-40D5-B612-9AD46DE1642E}"/>
    <cellStyle name="Normal 12 12" xfId="8889" xr:uid="{27833859-7714-49B9-8DD8-B3DFBCE675F6}"/>
    <cellStyle name="Normal 12 2" xfId="260" xr:uid="{00000000-0005-0000-0000-0000CD0D0000}"/>
    <cellStyle name="Normal 12 2 10" xfId="8890" xr:uid="{6DBC0B65-CAA4-44C6-8FE9-1BE8B8B4D0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BF91B8E0-78B8-477C-BF9F-97B8D30319CC}"/>
    <cellStyle name="Normal 12 2 2 2 2 2 3" xfId="11451" xr:uid="{743A9AAC-D9F0-42D2-924D-E8E1B6DC84D3}"/>
    <cellStyle name="Normal 12 2 2 2 2 3" xfId="5082" xr:uid="{00000000-0005-0000-0000-0000D30D0000}"/>
    <cellStyle name="Normal 12 2 2 2 2 3 2" xfId="13524" xr:uid="{970A2E93-939B-4E5E-BCB4-4B6ACEEF3079}"/>
    <cellStyle name="Normal 12 2 2 2 2 4" xfId="9306" xr:uid="{9B323251-9DD5-45C3-9376-8F0EB01B3B22}"/>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0433A6A1-37CF-4824-BC14-53B0D5F574F1}"/>
    <cellStyle name="Normal 12 2 2 2 3 2 3" xfId="11864" xr:uid="{1C4D5E97-99B7-4931-B09F-4BC4B8563673}"/>
    <cellStyle name="Normal 12 2 2 2 3 3" xfId="5495" xr:uid="{00000000-0005-0000-0000-0000D70D0000}"/>
    <cellStyle name="Normal 12 2 2 2 3 3 2" xfId="13937" xr:uid="{F5609606-8BA0-47F6-8A08-B43BF5E1F377}"/>
    <cellStyle name="Normal 12 2 2 2 3 4" xfId="9719" xr:uid="{A44E86A7-E5E0-45F3-8E62-9B6C3B828E92}"/>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4F492554-EF9A-44B2-BA9F-F63E1F2F53A2}"/>
    <cellStyle name="Normal 12 2 2 2 4 2 3" xfId="12277" xr:uid="{398CB1EC-B06F-4AF4-80BA-A991A9A3B95D}"/>
    <cellStyle name="Normal 12 2 2 2 4 3" xfId="5908" xr:uid="{00000000-0005-0000-0000-0000DB0D0000}"/>
    <cellStyle name="Normal 12 2 2 2 4 3 2" xfId="14350" xr:uid="{D4A73752-CD4F-4110-91FC-430FBEBD5793}"/>
    <cellStyle name="Normal 12 2 2 2 4 4" xfId="10132" xr:uid="{A701CEC2-C528-4008-9FF8-EE524A758015}"/>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9E23FA1D-A76F-4B13-B7CA-96F9C09A889D}"/>
    <cellStyle name="Normal 12 2 2 2 5 2 3" xfId="12690" xr:uid="{A0D19409-34B3-4D5C-8ADE-5CD773709DD4}"/>
    <cellStyle name="Normal 12 2 2 2 5 3" xfId="6321" xr:uid="{00000000-0005-0000-0000-0000DF0D0000}"/>
    <cellStyle name="Normal 12 2 2 2 5 3 2" xfId="14763" xr:uid="{F5EB1F4D-10F3-4BFF-9906-A36F9AA34B98}"/>
    <cellStyle name="Normal 12 2 2 2 5 4" xfId="10545" xr:uid="{1B22FB6B-167B-4CD1-80F9-643623C5716C}"/>
    <cellStyle name="Normal 12 2 2 2 6" xfId="2450" xr:uid="{00000000-0005-0000-0000-0000E00D0000}"/>
    <cellStyle name="Normal 12 2 2 2 6 2" xfId="6734" xr:uid="{00000000-0005-0000-0000-0000E10D0000}"/>
    <cellStyle name="Normal 12 2 2 2 6 2 2" xfId="15176" xr:uid="{64B8B343-C863-4F0F-A4C2-A5709F98A0E5}"/>
    <cellStyle name="Normal 12 2 2 2 6 3" xfId="10958" xr:uid="{0809ED3A-2C6C-44E2-A32B-46B0C4C10FAD}"/>
    <cellStyle name="Normal 12 2 2 2 7" xfId="4668" xr:uid="{00000000-0005-0000-0000-0000E20D0000}"/>
    <cellStyle name="Normal 12 2 2 2 7 2" xfId="13110" xr:uid="{BE2E4AA0-58FA-46CA-A861-488273C820A1}"/>
    <cellStyle name="Normal 12 2 2 2 8" xfId="8892" xr:uid="{4229C408-8AD5-48EE-B0FC-6B3B21F552AC}"/>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78FEA7BD-3E40-41B6-B4A2-39466C7B0E40}"/>
    <cellStyle name="Normal 12 2 2 3 2 3" xfId="11450" xr:uid="{44879DFB-BC2E-42DE-A419-F2F638C010E3}"/>
    <cellStyle name="Normal 12 2 2 3 3" xfId="5081" xr:uid="{00000000-0005-0000-0000-0000E60D0000}"/>
    <cellStyle name="Normal 12 2 2 3 3 2" xfId="13523" xr:uid="{F45067E6-B558-4C7E-BEC3-4C7431EBA08B}"/>
    <cellStyle name="Normal 12 2 2 3 4" xfId="9305" xr:uid="{1B9A0DE2-0BA9-4826-8F86-D2D85A695B3C}"/>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A95A68CC-72E2-4ADA-BBB0-BF7F85E7D32E}"/>
    <cellStyle name="Normal 12 2 2 4 2 3" xfId="11863" xr:uid="{344E99FF-812B-4573-B8D7-FC8D0FBF5EB1}"/>
    <cellStyle name="Normal 12 2 2 4 3" xfId="5494" xr:uid="{00000000-0005-0000-0000-0000EA0D0000}"/>
    <cellStyle name="Normal 12 2 2 4 3 2" xfId="13936" xr:uid="{2970AF43-55AE-4A46-B198-4CB534671539}"/>
    <cellStyle name="Normal 12 2 2 4 4" xfId="9718" xr:uid="{7A023F90-666B-4225-8895-44AD67B7DCCC}"/>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E0A4C2FA-89C9-4E76-98B2-4AC713DA43B6}"/>
    <cellStyle name="Normal 12 2 2 5 2 3" xfId="12276" xr:uid="{80059EA9-14AD-4EEB-92F5-D26E230C5A6E}"/>
    <cellStyle name="Normal 12 2 2 5 3" xfId="5907" xr:uid="{00000000-0005-0000-0000-0000EE0D0000}"/>
    <cellStyle name="Normal 12 2 2 5 3 2" xfId="14349" xr:uid="{AB91C795-3497-405B-BB62-6AA892319BE5}"/>
    <cellStyle name="Normal 12 2 2 5 4" xfId="10131" xr:uid="{5608826B-FD9F-4A5F-A4C4-2D4CDB69017C}"/>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71BD8ED1-F7D3-456A-88F5-64B26C0DD4B6}"/>
    <cellStyle name="Normal 12 2 2 6 2 3" xfId="12689" xr:uid="{08D725E1-EE44-4718-BECA-C935DD4B573B}"/>
    <cellStyle name="Normal 12 2 2 6 3" xfId="6320" xr:uid="{00000000-0005-0000-0000-0000F20D0000}"/>
    <cellStyle name="Normal 12 2 2 6 3 2" xfId="14762" xr:uid="{192BEA54-DD76-446D-BC50-B92F434449C4}"/>
    <cellStyle name="Normal 12 2 2 6 4" xfId="10544" xr:uid="{8CEAF709-9990-4F63-A073-DA0D4AD9B3AD}"/>
    <cellStyle name="Normal 12 2 2 7" xfId="2449" xr:uid="{00000000-0005-0000-0000-0000F30D0000}"/>
    <cellStyle name="Normal 12 2 2 7 2" xfId="6733" xr:uid="{00000000-0005-0000-0000-0000F40D0000}"/>
    <cellStyle name="Normal 12 2 2 7 2 2" xfId="15175" xr:uid="{3021E5DF-0829-47FF-95A0-D2DE344CBACB}"/>
    <cellStyle name="Normal 12 2 2 7 3" xfId="10957" xr:uid="{67675F95-6403-4D69-9343-3DFEC6D9B4EF}"/>
    <cellStyle name="Normal 12 2 2 8" xfId="4667" xr:uid="{00000000-0005-0000-0000-0000F50D0000}"/>
    <cellStyle name="Normal 12 2 2 8 2" xfId="13109" xr:uid="{F70350F6-89BB-4397-9DE5-2B75B4172E9F}"/>
    <cellStyle name="Normal 12 2 2 9" xfId="8891" xr:uid="{FB3C5F45-B838-471B-BFB7-C69F5AE7CC0B}"/>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8F6A5108-63AF-46EC-8136-4CCDE1FE1C87}"/>
    <cellStyle name="Normal 12 2 3 2 2 3" xfId="11452" xr:uid="{EE286B04-F817-4740-83EB-0E2C94483495}"/>
    <cellStyle name="Normal 12 2 3 2 3" xfId="5083" xr:uid="{00000000-0005-0000-0000-0000FA0D0000}"/>
    <cellStyle name="Normal 12 2 3 2 3 2" xfId="13525" xr:uid="{0AC0DF42-725F-4036-916B-9C7E4A7CC1C1}"/>
    <cellStyle name="Normal 12 2 3 2 4" xfId="9307" xr:uid="{F16B7ED9-B0E8-4B31-91F3-2D740F206890}"/>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EF3F48D3-7101-4D95-8D1B-20C77018A7D8}"/>
    <cellStyle name="Normal 12 2 3 3 2 3" xfId="11865" xr:uid="{B0B8DBCE-3ADA-48B4-9DCB-9368F2864E9A}"/>
    <cellStyle name="Normal 12 2 3 3 3" xfId="5496" xr:uid="{00000000-0005-0000-0000-0000FE0D0000}"/>
    <cellStyle name="Normal 12 2 3 3 3 2" xfId="13938" xr:uid="{15928B78-2133-4B11-ACAE-81757B18AFE3}"/>
    <cellStyle name="Normal 12 2 3 3 4" xfId="9720" xr:uid="{FFAF9166-A5A7-4786-B1BC-30989F12803A}"/>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48E9A4FD-4667-412D-90B5-3AA39BABE5E2}"/>
    <cellStyle name="Normal 12 2 3 4 2 3" xfId="12278" xr:uid="{0C65142F-22B9-422A-9D78-C11646C0DFE1}"/>
    <cellStyle name="Normal 12 2 3 4 3" xfId="5909" xr:uid="{00000000-0005-0000-0000-0000020E0000}"/>
    <cellStyle name="Normal 12 2 3 4 3 2" xfId="14351" xr:uid="{99971E08-6849-4314-AA82-D4E21E915EA1}"/>
    <cellStyle name="Normal 12 2 3 4 4" xfId="10133" xr:uid="{CD15EC60-3403-473D-8F53-96F9599DD3D1}"/>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A0D0DA13-02C3-4465-A6DA-0A12C2D0B736}"/>
    <cellStyle name="Normal 12 2 3 5 2 3" xfId="12691" xr:uid="{1A784477-3845-419A-84F6-1327DD9CA5A7}"/>
    <cellStyle name="Normal 12 2 3 5 3" xfId="6322" xr:uid="{00000000-0005-0000-0000-0000060E0000}"/>
    <cellStyle name="Normal 12 2 3 5 3 2" xfId="14764" xr:uid="{C6A4E95A-8514-4C8F-A057-DA04E8310797}"/>
    <cellStyle name="Normal 12 2 3 5 4" xfId="10546" xr:uid="{27BCC94F-8EFA-49DA-A7C1-B6E4F6615609}"/>
    <cellStyle name="Normal 12 2 3 6" xfId="2451" xr:uid="{00000000-0005-0000-0000-0000070E0000}"/>
    <cellStyle name="Normal 12 2 3 6 2" xfId="6735" xr:uid="{00000000-0005-0000-0000-0000080E0000}"/>
    <cellStyle name="Normal 12 2 3 6 2 2" xfId="15177" xr:uid="{92D0208E-E828-4D9E-8F1F-8A50F48ACFE6}"/>
    <cellStyle name="Normal 12 2 3 6 3" xfId="10959" xr:uid="{2BC0180B-C48C-43C9-A9F2-A4B3D6D03235}"/>
    <cellStyle name="Normal 12 2 3 7" xfId="4669" xr:uid="{00000000-0005-0000-0000-0000090E0000}"/>
    <cellStyle name="Normal 12 2 3 7 2" xfId="13111" xr:uid="{6775502A-15F2-4494-9FCB-3EE9A0BF769F}"/>
    <cellStyle name="Normal 12 2 3 8" xfId="8893" xr:uid="{B8B95D93-82EB-4831-8E0B-463FB2F7DF9F}"/>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B6AC4092-D09D-49D6-9674-300466E89FC9}"/>
    <cellStyle name="Normal 12 2 4 2 3" xfId="11449" xr:uid="{E07E259A-64D5-415F-9B60-8C9C888B695B}"/>
    <cellStyle name="Normal 12 2 4 3" xfId="5080" xr:uid="{00000000-0005-0000-0000-00000D0E0000}"/>
    <cellStyle name="Normal 12 2 4 3 2" xfId="13522" xr:uid="{B22C04A6-C490-4AB8-AFEC-A59848D73B80}"/>
    <cellStyle name="Normal 12 2 4 4" xfId="9304" xr:uid="{34D6E0A5-F091-447C-BE67-8B37EEA46176}"/>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0D2A0789-1638-4B15-A55C-B475ECE95E5B}"/>
    <cellStyle name="Normal 12 2 5 2 3" xfId="11862" xr:uid="{575DC78E-1FD0-4FEA-9B6D-40B24225BD71}"/>
    <cellStyle name="Normal 12 2 5 3" xfId="5493" xr:uid="{00000000-0005-0000-0000-0000110E0000}"/>
    <cellStyle name="Normal 12 2 5 3 2" xfId="13935" xr:uid="{6937FFBB-7198-444F-BED3-E54F5DBD22CE}"/>
    <cellStyle name="Normal 12 2 5 4" xfId="9717" xr:uid="{FAD3BD75-F89C-4EFC-82FE-A7B2AD520056}"/>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763ED8E8-38AE-46C0-A800-8E478E1A0C54}"/>
    <cellStyle name="Normal 12 2 6 2 3" xfId="12275" xr:uid="{E8F11A97-7B76-4A68-9EC8-50D0EBA0B76B}"/>
    <cellStyle name="Normal 12 2 6 3" xfId="5906" xr:uid="{00000000-0005-0000-0000-0000150E0000}"/>
    <cellStyle name="Normal 12 2 6 3 2" xfId="14348" xr:uid="{228E23CC-9436-4B15-B2FC-94CB1CAB7835}"/>
    <cellStyle name="Normal 12 2 6 4" xfId="10130" xr:uid="{21543D45-2635-45A5-8FB1-073800A8CBFF}"/>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6F1715E8-06F0-49DC-8EA0-F743BCE43F7B}"/>
    <cellStyle name="Normal 12 2 7 2 3" xfId="12688" xr:uid="{4AFB0614-F984-45D6-B7EE-4E5400AD4A35}"/>
    <cellStyle name="Normal 12 2 7 3" xfId="6319" xr:uid="{00000000-0005-0000-0000-0000190E0000}"/>
    <cellStyle name="Normal 12 2 7 3 2" xfId="14761" xr:uid="{BE76B931-3AA3-437D-ACA5-33906076815A}"/>
    <cellStyle name="Normal 12 2 7 4" xfId="10543" xr:uid="{90EA16ED-A48B-489C-98BA-6C30AC08D714}"/>
    <cellStyle name="Normal 12 2 8" xfId="2448" xr:uid="{00000000-0005-0000-0000-00001A0E0000}"/>
    <cellStyle name="Normal 12 2 8 2" xfId="6732" xr:uid="{00000000-0005-0000-0000-00001B0E0000}"/>
    <cellStyle name="Normal 12 2 8 2 2" xfId="15174" xr:uid="{202AF7EB-FB54-45CB-A491-BBB31E806DB1}"/>
    <cellStyle name="Normal 12 2 8 3" xfId="10956" xr:uid="{1DEB1BAE-B010-40CA-ABAF-64F39E36EAFB}"/>
    <cellStyle name="Normal 12 2 9" xfId="4666" xr:uid="{00000000-0005-0000-0000-00001C0E0000}"/>
    <cellStyle name="Normal 12 2 9 2" xfId="13108" xr:uid="{9B89663E-31F7-4780-9A10-7242EA6E94ED}"/>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464B5FB4-1BBF-4889-893C-D66749F01E28}"/>
    <cellStyle name="Normal 12 3 2 2 2 3" xfId="11454" xr:uid="{FC8C8C4A-2545-4DA6-9986-1D853AC54609}"/>
    <cellStyle name="Normal 12 3 2 2 3" xfId="5085" xr:uid="{00000000-0005-0000-0000-0000220E0000}"/>
    <cellStyle name="Normal 12 3 2 2 3 2" xfId="13527" xr:uid="{BE38B76F-8F4B-4633-A70D-6C25955ABB33}"/>
    <cellStyle name="Normal 12 3 2 2 4" xfId="9309" xr:uid="{EF5F651F-9F32-4B43-B9C3-DC4D8FF41758}"/>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797A0A97-8171-4536-9E61-9356EB4AC7C8}"/>
    <cellStyle name="Normal 12 3 2 3 2 3" xfId="11867" xr:uid="{3FADCA19-F258-4B03-A546-2313509DE00E}"/>
    <cellStyle name="Normal 12 3 2 3 3" xfId="5498" xr:uid="{00000000-0005-0000-0000-0000260E0000}"/>
    <cellStyle name="Normal 12 3 2 3 3 2" xfId="13940" xr:uid="{B9252C51-3171-4606-8819-A862F4D4159C}"/>
    <cellStyle name="Normal 12 3 2 3 4" xfId="9722" xr:uid="{9B05ABB5-EC1A-4A6C-8877-77FE22379F7F}"/>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69B212B4-4FD9-4117-AC4C-0CE420EC659C}"/>
    <cellStyle name="Normal 12 3 2 4 2 3" xfId="12280" xr:uid="{49474C27-8048-4EFF-945B-BA2787761B71}"/>
    <cellStyle name="Normal 12 3 2 4 3" xfId="5911" xr:uid="{00000000-0005-0000-0000-00002A0E0000}"/>
    <cellStyle name="Normal 12 3 2 4 3 2" xfId="14353" xr:uid="{533A04B5-74D9-4EC0-8680-92F7EB13C411}"/>
    <cellStyle name="Normal 12 3 2 4 4" xfId="10135" xr:uid="{FD400D6F-4D7F-43FA-8526-C0E314866326}"/>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4A65B86C-1A11-4506-8F1E-8CB89EF159D6}"/>
    <cellStyle name="Normal 12 3 2 5 2 3" xfId="12693" xr:uid="{F13E5A2C-CEA0-4B2A-9343-4F96BA1BF7FD}"/>
    <cellStyle name="Normal 12 3 2 5 3" xfId="6324" xr:uid="{00000000-0005-0000-0000-00002E0E0000}"/>
    <cellStyle name="Normal 12 3 2 5 3 2" xfId="14766" xr:uid="{976AEAF2-EA40-4EC6-B1F6-F7FEC7086D38}"/>
    <cellStyle name="Normal 12 3 2 5 4" xfId="10548" xr:uid="{0A1B774F-D03A-4947-B67D-50AD6C9EA2D7}"/>
    <cellStyle name="Normal 12 3 2 6" xfId="2453" xr:uid="{00000000-0005-0000-0000-00002F0E0000}"/>
    <cellStyle name="Normal 12 3 2 6 2" xfId="6737" xr:uid="{00000000-0005-0000-0000-0000300E0000}"/>
    <cellStyle name="Normal 12 3 2 6 2 2" xfId="15179" xr:uid="{98C96211-9635-49E3-96F2-E26ADDE7A8EB}"/>
    <cellStyle name="Normal 12 3 2 6 3" xfId="10961" xr:uid="{2A43DA74-1121-4A3C-A6B2-B400560C87CB}"/>
    <cellStyle name="Normal 12 3 2 7" xfId="4671" xr:uid="{00000000-0005-0000-0000-0000310E0000}"/>
    <cellStyle name="Normal 12 3 2 7 2" xfId="13113" xr:uid="{63B8C552-14D3-4D1C-B03F-04B995BEA820}"/>
    <cellStyle name="Normal 12 3 2 8" xfId="8895" xr:uid="{2206A61A-3E1F-4C49-A1C2-485955291A61}"/>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D0AEE05C-1F8F-4FD5-906D-3F8144CCBBB7}"/>
    <cellStyle name="Normal 12 3 3 2 3" xfId="11453" xr:uid="{5312B863-B6F1-40E4-8558-903B8404DD03}"/>
    <cellStyle name="Normal 12 3 3 3" xfId="5084" xr:uid="{00000000-0005-0000-0000-0000350E0000}"/>
    <cellStyle name="Normal 12 3 3 3 2" xfId="13526" xr:uid="{1977235A-42AB-4412-85A3-A28AB693BE83}"/>
    <cellStyle name="Normal 12 3 3 4" xfId="9308" xr:uid="{579A8481-8085-40B1-824D-5A9A8FF58F35}"/>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2F39F576-774F-45F4-BB17-A88096DDF2D8}"/>
    <cellStyle name="Normal 12 3 4 2 3" xfId="11866" xr:uid="{C58155B5-55E0-4398-A7E8-D6125E24C873}"/>
    <cellStyle name="Normal 12 3 4 3" xfId="5497" xr:uid="{00000000-0005-0000-0000-0000390E0000}"/>
    <cellStyle name="Normal 12 3 4 3 2" xfId="13939" xr:uid="{F13058B1-6E41-43A5-8BF8-C0A3A9D653A1}"/>
    <cellStyle name="Normal 12 3 4 4" xfId="9721" xr:uid="{73AA19F1-365E-47F1-ABAC-69CDA24A1EF0}"/>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8D7AB893-F762-432A-8194-FDDCF3597621}"/>
    <cellStyle name="Normal 12 3 5 2 3" xfId="12279" xr:uid="{9ED86DD7-2D30-472E-91D8-0F13A41E0BC6}"/>
    <cellStyle name="Normal 12 3 5 3" xfId="5910" xr:uid="{00000000-0005-0000-0000-00003D0E0000}"/>
    <cellStyle name="Normal 12 3 5 3 2" xfId="14352" xr:uid="{C3159A97-D394-4C5F-B793-3DFDC832B0F0}"/>
    <cellStyle name="Normal 12 3 5 4" xfId="10134" xr:uid="{1590AE24-A3FB-464C-8F96-88D46BFD2BF4}"/>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0A5BE9BA-C90D-4052-8216-EA940478C4EA}"/>
    <cellStyle name="Normal 12 3 6 2 3" xfId="12692" xr:uid="{38FDB27B-89FB-4B00-9AD3-CFA0A0BE077F}"/>
    <cellStyle name="Normal 12 3 6 3" xfId="6323" xr:uid="{00000000-0005-0000-0000-0000410E0000}"/>
    <cellStyle name="Normal 12 3 6 3 2" xfId="14765" xr:uid="{3FADD8D4-EEDB-4A65-96A9-A2103228EA2E}"/>
    <cellStyle name="Normal 12 3 6 4" xfId="10547" xr:uid="{FAE07B75-B7C3-4E81-903E-9EB36C660A1B}"/>
    <cellStyle name="Normal 12 3 7" xfId="2452" xr:uid="{00000000-0005-0000-0000-0000420E0000}"/>
    <cellStyle name="Normal 12 3 7 2" xfId="6736" xr:uid="{00000000-0005-0000-0000-0000430E0000}"/>
    <cellStyle name="Normal 12 3 7 2 2" xfId="15178" xr:uid="{2704C6E1-FAB4-4F3F-9502-9806FE5449B9}"/>
    <cellStyle name="Normal 12 3 7 3" xfId="10960" xr:uid="{B04BBB80-3C9B-43D9-96F6-5C248C5E12F3}"/>
    <cellStyle name="Normal 12 3 8" xfId="4670" xr:uid="{00000000-0005-0000-0000-0000440E0000}"/>
    <cellStyle name="Normal 12 3 8 2" xfId="13112" xr:uid="{A0D7E773-0767-4002-B4FF-06DE56C39C58}"/>
    <cellStyle name="Normal 12 3 9" xfId="8894" xr:uid="{8CDC8690-A496-4F05-AC94-CC8B2B6F24E2}"/>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95960D33-2DAF-45AA-AF72-BC2B87598E86}"/>
    <cellStyle name="Normal 12 4 2 2 3" xfId="11455" xr:uid="{C7347850-5ABD-469D-BF2F-23B6EB4D8BA1}"/>
    <cellStyle name="Normal 12 4 2 3" xfId="5086" xr:uid="{00000000-0005-0000-0000-0000490E0000}"/>
    <cellStyle name="Normal 12 4 2 3 2" xfId="13528" xr:uid="{91F3B750-4585-42BD-A367-EC0E60AEAEAB}"/>
    <cellStyle name="Normal 12 4 2 4" xfId="9310" xr:uid="{48941F6A-5DBC-469B-B4BA-34C310C0538F}"/>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5B866453-F518-4B6E-88BB-64D4BBEA9475}"/>
    <cellStyle name="Normal 12 4 3 2 3" xfId="11868" xr:uid="{836332BA-5F73-48C4-9032-4EA111BA319E}"/>
    <cellStyle name="Normal 12 4 3 3" xfId="5499" xr:uid="{00000000-0005-0000-0000-00004D0E0000}"/>
    <cellStyle name="Normal 12 4 3 3 2" xfId="13941" xr:uid="{19C81F9D-F4B6-4E11-9A36-A91E9E56976A}"/>
    <cellStyle name="Normal 12 4 3 4" xfId="9723" xr:uid="{1FD9601A-C09C-4169-91E5-1EFCF4FB2807}"/>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12004035-982F-47B1-8165-2BD346AC70BF}"/>
    <cellStyle name="Normal 12 4 4 2 3" xfId="12281" xr:uid="{4DC37095-E50E-47C7-8A64-48CC9357F971}"/>
    <cellStyle name="Normal 12 4 4 3" xfId="5912" xr:uid="{00000000-0005-0000-0000-0000510E0000}"/>
    <cellStyle name="Normal 12 4 4 3 2" xfId="14354" xr:uid="{36F35250-24BE-433B-80B4-B6D4C59E8297}"/>
    <cellStyle name="Normal 12 4 4 4" xfId="10136" xr:uid="{4D48DD7D-D2A1-4724-9547-D07B63F1E8DC}"/>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75FD06A2-EF93-4AFD-91C2-FF7AD2918F15}"/>
    <cellStyle name="Normal 12 4 5 2 3" xfId="12694" xr:uid="{FB63C735-D136-42CA-996F-33602F102E47}"/>
    <cellStyle name="Normal 12 4 5 3" xfId="6325" xr:uid="{00000000-0005-0000-0000-0000550E0000}"/>
    <cellStyle name="Normal 12 4 5 3 2" xfId="14767" xr:uid="{379AFC75-6964-4C7A-A0A8-7862D1D80574}"/>
    <cellStyle name="Normal 12 4 5 4" xfId="10549" xr:uid="{8EE0ADA0-CE90-4D9A-BB5E-C2BB17DEA955}"/>
    <cellStyle name="Normal 12 4 6" xfId="2454" xr:uid="{00000000-0005-0000-0000-0000560E0000}"/>
    <cellStyle name="Normal 12 4 6 2" xfId="6738" xr:uid="{00000000-0005-0000-0000-0000570E0000}"/>
    <cellStyle name="Normal 12 4 6 2 2" xfId="15180" xr:uid="{B523DDA4-A8A1-4EF2-B498-A7FACBB86E06}"/>
    <cellStyle name="Normal 12 4 6 3" xfId="10962" xr:uid="{E194ECED-D0EE-4D4F-A8F5-4BC3B076051A}"/>
    <cellStyle name="Normal 12 4 7" xfId="4672" xr:uid="{00000000-0005-0000-0000-0000580E0000}"/>
    <cellStyle name="Normal 12 4 7 2" xfId="13114" xr:uid="{66C8628D-9D61-43AB-A206-842639234EC1}"/>
    <cellStyle name="Normal 12 4 8" xfId="8896" xr:uid="{884FF81D-63D1-4E61-8206-A1AAAEEFF092}"/>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48D80C84-25E5-4D49-A690-C1D9C8302765}"/>
    <cellStyle name="Normal 12 6 2 3" xfId="11448" xr:uid="{6A74FDF1-0B1C-4A73-A9F5-9FB64C39B9FB}"/>
    <cellStyle name="Normal 12 6 3" xfId="5079" xr:uid="{00000000-0005-0000-0000-00005D0E0000}"/>
    <cellStyle name="Normal 12 6 3 2" xfId="13521" xr:uid="{5B2921D2-B8FD-4862-A9DA-1DEA808F9436}"/>
    <cellStyle name="Normal 12 6 4" xfId="9303" xr:uid="{418E1DFE-1E00-4814-877C-CCB0769992AE}"/>
    <cellStyle name="Normal 12 7" xfId="1183" xr:uid="{00000000-0005-0000-0000-00005E0E0000}"/>
    <cellStyle name="Normal 12 7 2" xfId="3414" xr:uid="{00000000-0005-0000-0000-00005F0E0000}"/>
    <cellStyle name="Normal 12 7 2 2" xfId="7637" xr:uid="{00000000-0005-0000-0000-0000600E0000}"/>
    <cellStyle name="Normal 12 7 2 2 2" xfId="16079" xr:uid="{B978DD7C-823C-40C8-98DE-ED5A34F26C4B}"/>
    <cellStyle name="Normal 12 7 2 3" xfId="11861" xr:uid="{C4F2BC2C-F2FD-4FC4-BCA7-1AB3C2657515}"/>
    <cellStyle name="Normal 12 7 3" xfId="5492" xr:uid="{00000000-0005-0000-0000-0000610E0000}"/>
    <cellStyle name="Normal 12 7 3 2" xfId="13934" xr:uid="{2EE111ED-1E0D-44CB-8F17-2E0710052BA2}"/>
    <cellStyle name="Normal 12 7 4" xfId="9716" xr:uid="{780A4171-61D0-4DC4-B8BF-8E348F297432}"/>
    <cellStyle name="Normal 12 8" xfId="1597" xr:uid="{00000000-0005-0000-0000-0000620E0000}"/>
    <cellStyle name="Normal 12 8 2" xfId="3827" xr:uid="{00000000-0005-0000-0000-0000630E0000}"/>
    <cellStyle name="Normal 12 8 2 2" xfId="8050" xr:uid="{00000000-0005-0000-0000-0000640E0000}"/>
    <cellStyle name="Normal 12 8 2 2 2" xfId="16492" xr:uid="{EC2E3D05-1D04-464E-829F-A8A662D1E790}"/>
    <cellStyle name="Normal 12 8 2 3" xfId="12274" xr:uid="{51AFD869-0FB4-4727-BFF3-BD3197DE8AE0}"/>
    <cellStyle name="Normal 12 8 3" xfId="5905" xr:uid="{00000000-0005-0000-0000-0000650E0000}"/>
    <cellStyle name="Normal 12 8 3 2" xfId="14347" xr:uid="{DA323965-E07C-4E12-A4E2-E070588B5E59}"/>
    <cellStyle name="Normal 12 8 4" xfId="10129" xr:uid="{7A5DF465-F43B-4A25-9362-B025D52EE559}"/>
    <cellStyle name="Normal 12 9" xfId="2011" xr:uid="{00000000-0005-0000-0000-0000660E0000}"/>
    <cellStyle name="Normal 12 9 2" xfId="4240" xr:uid="{00000000-0005-0000-0000-0000670E0000}"/>
    <cellStyle name="Normal 12 9 2 2" xfId="8463" xr:uid="{00000000-0005-0000-0000-0000680E0000}"/>
    <cellStyle name="Normal 12 9 2 2 2" xfId="16905" xr:uid="{49ADBF13-CB52-4CD1-9058-DAA5B03450CE}"/>
    <cellStyle name="Normal 12 9 2 3" xfId="12687" xr:uid="{5BEF0E5A-9BF8-4BAA-9A59-742E97CD4B94}"/>
    <cellStyle name="Normal 12 9 3" xfId="6318" xr:uid="{00000000-0005-0000-0000-0000690E0000}"/>
    <cellStyle name="Normal 12 9 3 2" xfId="14760" xr:uid="{610D91A4-B55A-442F-86C2-B7F09A7B6FAC}"/>
    <cellStyle name="Normal 12 9 4" xfId="10542" xr:uid="{E1107643-0BA9-48CF-A10E-4CA92380F953}"/>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41176EDD-70E1-4ED4-AA30-A093D5694777}"/>
    <cellStyle name="Normal 14 2 2 3" xfId="11456" xr:uid="{54DA729C-2386-4EDD-8E6B-ABC191B4BC30}"/>
    <cellStyle name="Normal 14 2 3" xfId="5087" xr:uid="{00000000-0005-0000-0000-0000700E0000}"/>
    <cellStyle name="Normal 14 2 3 2" xfId="13529" xr:uid="{53673FAA-3496-4F9B-A036-0BED9C1E39C9}"/>
    <cellStyle name="Normal 14 2 4" xfId="9311" xr:uid="{D51834E1-253D-4D4F-A71E-8B08D74CB342}"/>
    <cellStyle name="Normal 14 3" xfId="1191" xr:uid="{00000000-0005-0000-0000-0000710E0000}"/>
    <cellStyle name="Normal 14 3 2" xfId="3422" xr:uid="{00000000-0005-0000-0000-0000720E0000}"/>
    <cellStyle name="Normal 14 3 2 2" xfId="7645" xr:uid="{00000000-0005-0000-0000-0000730E0000}"/>
    <cellStyle name="Normal 14 3 2 2 2" xfId="16087" xr:uid="{7D490DD4-0E63-4395-8728-3695DC51B336}"/>
    <cellStyle name="Normal 14 3 2 3" xfId="11869" xr:uid="{C8C37DA3-299D-4A23-B79E-2ACC2CF13FF7}"/>
    <cellStyle name="Normal 14 3 3" xfId="5500" xr:uid="{00000000-0005-0000-0000-0000740E0000}"/>
    <cellStyle name="Normal 14 3 3 2" xfId="13942" xr:uid="{1275A16B-6640-4BD7-B049-996E37BADFFB}"/>
    <cellStyle name="Normal 14 3 4" xfId="9724" xr:uid="{908B46E4-9E46-4358-B4EC-9389F48948CE}"/>
    <cellStyle name="Normal 14 4" xfId="1605" xr:uid="{00000000-0005-0000-0000-0000750E0000}"/>
    <cellStyle name="Normal 14 4 2" xfId="3835" xr:uid="{00000000-0005-0000-0000-0000760E0000}"/>
    <cellStyle name="Normal 14 4 2 2" xfId="8058" xr:uid="{00000000-0005-0000-0000-0000770E0000}"/>
    <cellStyle name="Normal 14 4 2 2 2" xfId="16500" xr:uid="{E751CF63-99A2-4D8C-8387-D4E3B7C67BB6}"/>
    <cellStyle name="Normal 14 4 2 3" xfId="12282" xr:uid="{4F9578F5-559E-4750-BA2C-7B6256FF3D1A}"/>
    <cellStyle name="Normal 14 4 3" xfId="5913" xr:uid="{00000000-0005-0000-0000-0000780E0000}"/>
    <cellStyle name="Normal 14 4 3 2" xfId="14355" xr:uid="{107193F4-772B-47D5-AEE5-209D27B0FA97}"/>
    <cellStyle name="Normal 14 4 4" xfId="10137" xr:uid="{838928EF-538D-41B9-9096-F199E5D3424E}"/>
    <cellStyle name="Normal 14 5" xfId="2019" xr:uid="{00000000-0005-0000-0000-0000790E0000}"/>
    <cellStyle name="Normal 14 5 2" xfId="4248" xr:uid="{00000000-0005-0000-0000-00007A0E0000}"/>
    <cellStyle name="Normal 14 5 2 2" xfId="8471" xr:uid="{00000000-0005-0000-0000-00007B0E0000}"/>
    <cellStyle name="Normal 14 5 2 2 2" xfId="16913" xr:uid="{8F7E3F32-2A4B-419F-9D22-D5DA30382DC9}"/>
    <cellStyle name="Normal 14 5 2 3" xfId="12695" xr:uid="{52F1F4F5-51E1-45B6-A3A5-EFFEAEAA48AB}"/>
    <cellStyle name="Normal 14 5 3" xfId="6326" xr:uid="{00000000-0005-0000-0000-00007C0E0000}"/>
    <cellStyle name="Normal 14 5 3 2" xfId="14768" xr:uid="{645CEFCA-DE45-4EDE-B47B-5049C70BE83B}"/>
    <cellStyle name="Normal 14 5 4" xfId="10550" xr:uid="{DC8F98B0-209C-4A1A-BC37-44DD6D28EA25}"/>
    <cellStyle name="Normal 14 6" xfId="2455" xr:uid="{00000000-0005-0000-0000-00007D0E0000}"/>
    <cellStyle name="Normal 14 6 2" xfId="6739" xr:uid="{00000000-0005-0000-0000-00007E0E0000}"/>
    <cellStyle name="Normal 14 6 2 2" xfId="15181" xr:uid="{E48DA7EC-3589-4BCC-B344-C9BF98A0AE86}"/>
    <cellStyle name="Normal 14 6 3" xfId="10963" xr:uid="{5CF49403-54AF-4E72-A2EB-6F89F4710473}"/>
    <cellStyle name="Normal 14 7" xfId="4673" xr:uid="{00000000-0005-0000-0000-00007F0E0000}"/>
    <cellStyle name="Normal 14 7 2" xfId="13115" xr:uid="{7199E61B-5353-41A3-926C-3EBFC176F769}"/>
    <cellStyle name="Normal 14 8" xfId="8897" xr:uid="{44FDEA88-6212-43F6-A780-128DFA73A826}"/>
    <cellStyle name="Normal 15" xfId="4496" xr:uid="{00000000-0005-0000-0000-0000800E0000}"/>
    <cellStyle name="Normal 15 2" xfId="12941" xr:uid="{8FA8FDE2-3BEC-4991-A0CB-149D108A449C}"/>
    <cellStyle name="Normal 16" xfId="4500" xr:uid="{00000000-0005-0000-0000-0000810E0000}"/>
    <cellStyle name="Normal 16 2" xfId="8716" xr:uid="{00000000-0005-0000-0000-0000820E0000}"/>
    <cellStyle name="Normal 16 2 2" xfId="17158" xr:uid="{B3790DF0-8E19-4B99-86C8-766E0E51870A}"/>
    <cellStyle name="Normal 16 3" xfId="8719" xr:uid="{3DE1BEEB-61FA-4094-B10F-9E0444F68763}"/>
    <cellStyle name="Normal 16 3 2" xfId="8723" xr:uid="{FE0BC069-4698-40B2-814D-8E09719245E9}"/>
    <cellStyle name="Normal 16 3 2 2" xfId="8726" xr:uid="{D3E9609F-293A-4CFC-B194-1FF2F92D621D}"/>
    <cellStyle name="Normal 16 3 2 2 2" xfId="17167" xr:uid="{F15A67AE-9B3D-4B94-B2E4-FC7D499A056C}"/>
    <cellStyle name="Normal 16 3 2 3" xfId="17164" xr:uid="{18706F3C-1535-4A73-AFF5-486C002BE65D}"/>
    <cellStyle name="Normal 16 3 3" xfId="17161" xr:uid="{AD36A97E-5801-45F0-8109-B88CC6BA59BE}"/>
    <cellStyle name="Normal 16 4" xfId="12944" xr:uid="{B8B29D24-CD8F-46CB-9CAF-90501D060F14}"/>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937FC4FD-262B-4E14-805A-70B09A7CDE61}"/>
    <cellStyle name="Normal 2 4 2 10 2 3" xfId="12696" xr:uid="{2ABFE3C2-2C2E-4ED8-B587-7F50DC531C3F}"/>
    <cellStyle name="Normal 2 4 2 10 3" xfId="6327" xr:uid="{00000000-0005-0000-0000-0000910E0000}"/>
    <cellStyle name="Normal 2 4 2 10 3 2" xfId="14769" xr:uid="{44F36715-8419-4769-B9C9-55ADDD67FBF1}"/>
    <cellStyle name="Normal 2 4 2 10 4" xfId="10551" xr:uid="{20926C69-DA90-4FD6-B148-4AFDC43FAEE0}"/>
    <cellStyle name="Normal 2 4 2 11" xfId="2456" xr:uid="{00000000-0005-0000-0000-0000920E0000}"/>
    <cellStyle name="Normal 2 4 2 11 2" xfId="6740" xr:uid="{00000000-0005-0000-0000-0000930E0000}"/>
    <cellStyle name="Normal 2 4 2 11 2 2" xfId="15182" xr:uid="{478F5736-5617-4531-8D71-695B1C9E0056}"/>
    <cellStyle name="Normal 2 4 2 11 3" xfId="10964" xr:uid="{79D13E70-2ED7-4F70-B2E3-77CD72828748}"/>
    <cellStyle name="Normal 2 4 2 12" xfId="4674" xr:uid="{00000000-0005-0000-0000-0000940E0000}"/>
    <cellStyle name="Normal 2 4 2 12 2" xfId="13116" xr:uid="{130EA890-66D5-4638-ADB8-0C8D96F633C2}"/>
    <cellStyle name="Normal 2 4 2 13" xfId="8898" xr:uid="{37A95106-870A-4C9D-81BF-90C2E69A3AF3}"/>
    <cellStyle name="Normal 2 4 2 2" xfId="280" xr:uid="{00000000-0005-0000-0000-0000950E0000}"/>
    <cellStyle name="Normal 2 4 2 3" xfId="281" xr:uid="{00000000-0005-0000-0000-0000960E0000}"/>
    <cellStyle name="Normal 2 4 2 3 10" xfId="4675" xr:uid="{00000000-0005-0000-0000-0000970E0000}"/>
    <cellStyle name="Normal 2 4 2 3 10 2" xfId="13117" xr:uid="{DEFCDAE1-A4F4-4F1D-83BC-1D587BB6FFC7}"/>
    <cellStyle name="Normal 2 4 2 3 11" xfId="8899" xr:uid="{C4885124-36EC-4422-8C0E-CA3C7EC787F5}"/>
    <cellStyle name="Normal 2 4 2 3 2" xfId="282" xr:uid="{00000000-0005-0000-0000-0000980E0000}"/>
    <cellStyle name="Normal 2 4 2 3 2 10" xfId="8900" xr:uid="{BA92EE35-74D0-4EE4-85AF-4270B3D82FF5}"/>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C98B5B74-7A17-4011-88B9-BB88578A6497}"/>
    <cellStyle name="Normal 2 4 2 3 2 2 2 2 2 3" xfId="11461" xr:uid="{6B3A951F-9189-4206-B041-D3EFE909E0BD}"/>
    <cellStyle name="Normal 2 4 2 3 2 2 2 2 3" xfId="5092" xr:uid="{00000000-0005-0000-0000-00009E0E0000}"/>
    <cellStyle name="Normal 2 4 2 3 2 2 2 2 3 2" xfId="13534" xr:uid="{77BF75A5-4AEA-4D3E-B945-7FD0D20CC1B5}"/>
    <cellStyle name="Normal 2 4 2 3 2 2 2 2 4" xfId="9316" xr:uid="{D4FD0924-D73C-40F1-86FA-64EBECB539CD}"/>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65053D5C-A1DF-4EFB-AEED-CD66D8C83172}"/>
    <cellStyle name="Normal 2 4 2 3 2 2 2 3 2 3" xfId="11874" xr:uid="{D65A2DB3-E719-40F7-8725-0DD55E4EAB42}"/>
    <cellStyle name="Normal 2 4 2 3 2 2 2 3 3" xfId="5505" xr:uid="{00000000-0005-0000-0000-0000A20E0000}"/>
    <cellStyle name="Normal 2 4 2 3 2 2 2 3 3 2" xfId="13947" xr:uid="{0733D53E-216F-467C-95A7-4D5655E3C71D}"/>
    <cellStyle name="Normal 2 4 2 3 2 2 2 3 4" xfId="9729" xr:uid="{E61B5BEA-C5C4-44E7-8A91-3A44EB2BCF81}"/>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DDBE8ED7-5B36-473D-BB57-5AD0AE894ABA}"/>
    <cellStyle name="Normal 2 4 2 3 2 2 2 4 2 3" xfId="12287" xr:uid="{83FDE026-05E5-474E-8653-5B0C7B54C7E5}"/>
    <cellStyle name="Normal 2 4 2 3 2 2 2 4 3" xfId="5918" xr:uid="{00000000-0005-0000-0000-0000A60E0000}"/>
    <cellStyle name="Normal 2 4 2 3 2 2 2 4 3 2" xfId="14360" xr:uid="{B614DBD3-50E8-4F0B-ADAE-1CA4DF6114D1}"/>
    <cellStyle name="Normal 2 4 2 3 2 2 2 4 4" xfId="10142" xr:uid="{A928152E-63D3-47AB-B8E7-7901775D15FA}"/>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AD9CB963-A92E-4785-8DE8-480C5AB59FCE}"/>
    <cellStyle name="Normal 2 4 2 3 2 2 2 5 2 3" xfId="12700" xr:uid="{7F5439B1-8D2D-4E9B-83C7-894D8AF16D7A}"/>
    <cellStyle name="Normal 2 4 2 3 2 2 2 5 3" xfId="6331" xr:uid="{00000000-0005-0000-0000-0000AA0E0000}"/>
    <cellStyle name="Normal 2 4 2 3 2 2 2 5 3 2" xfId="14773" xr:uid="{BDC9AD62-05F8-44C9-9A48-F07B0510C646}"/>
    <cellStyle name="Normal 2 4 2 3 2 2 2 5 4" xfId="10555" xr:uid="{FD206462-C209-4647-B003-E5951EBBD174}"/>
    <cellStyle name="Normal 2 4 2 3 2 2 2 6" xfId="2460" xr:uid="{00000000-0005-0000-0000-0000AB0E0000}"/>
    <cellStyle name="Normal 2 4 2 3 2 2 2 6 2" xfId="6744" xr:uid="{00000000-0005-0000-0000-0000AC0E0000}"/>
    <cellStyle name="Normal 2 4 2 3 2 2 2 6 2 2" xfId="15186" xr:uid="{0535046E-52AA-4068-AF1A-956AB112A47A}"/>
    <cellStyle name="Normal 2 4 2 3 2 2 2 6 3" xfId="10968" xr:uid="{6B5883C3-66D4-4AEE-9573-FEC6879A1740}"/>
    <cellStyle name="Normal 2 4 2 3 2 2 2 7" xfId="4678" xr:uid="{00000000-0005-0000-0000-0000AD0E0000}"/>
    <cellStyle name="Normal 2 4 2 3 2 2 2 7 2" xfId="13120" xr:uid="{D6F8647D-0C69-4C9B-8A51-9F8BE2C07297}"/>
    <cellStyle name="Normal 2 4 2 3 2 2 2 8" xfId="8902" xr:uid="{2DCC7B4D-FDE7-4F76-BB1F-8D1C41268422}"/>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C69E6A44-7BDE-4EE5-9016-73C41393923B}"/>
    <cellStyle name="Normal 2 4 2 3 2 2 3 2 3" xfId="11460" xr:uid="{CD3739B9-CEB8-4375-AF0D-5424284B02DA}"/>
    <cellStyle name="Normal 2 4 2 3 2 2 3 3" xfId="5091" xr:uid="{00000000-0005-0000-0000-0000B10E0000}"/>
    <cellStyle name="Normal 2 4 2 3 2 2 3 3 2" xfId="13533" xr:uid="{660C10B3-2725-42F2-9038-B74668108C70}"/>
    <cellStyle name="Normal 2 4 2 3 2 2 3 4" xfId="9315" xr:uid="{0167FBE6-7001-48D5-86AD-34BFCB9B8098}"/>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A83777F4-FAF5-4B4A-A4AE-A69BF16515B7}"/>
    <cellStyle name="Normal 2 4 2 3 2 2 4 2 3" xfId="11873" xr:uid="{AA394AD6-C9CC-47D2-8D9E-3C545FB29ADE}"/>
    <cellStyle name="Normal 2 4 2 3 2 2 4 3" xfId="5504" xr:uid="{00000000-0005-0000-0000-0000B50E0000}"/>
    <cellStyle name="Normal 2 4 2 3 2 2 4 3 2" xfId="13946" xr:uid="{A7D0ADA9-8EBF-4DCA-ACD0-D069C165DDE3}"/>
    <cellStyle name="Normal 2 4 2 3 2 2 4 4" xfId="9728" xr:uid="{3C77EF48-3706-43A8-A559-8D7FBEF3C3DF}"/>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C02EE785-ED6F-43AA-95C5-C0915B691EAF}"/>
    <cellStyle name="Normal 2 4 2 3 2 2 5 2 3" xfId="12286" xr:uid="{DB91E2FA-6766-45D5-9B29-5C490AFE7A61}"/>
    <cellStyle name="Normal 2 4 2 3 2 2 5 3" xfId="5917" xr:uid="{00000000-0005-0000-0000-0000B90E0000}"/>
    <cellStyle name="Normal 2 4 2 3 2 2 5 3 2" xfId="14359" xr:uid="{6AE8E346-5A76-4E5B-9D06-4DD78D2935DD}"/>
    <cellStyle name="Normal 2 4 2 3 2 2 5 4" xfId="10141" xr:uid="{4E5069E7-9826-4C0D-9062-C1265EBD36BF}"/>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88B49805-8375-46EF-89C8-25B47F559F37}"/>
    <cellStyle name="Normal 2 4 2 3 2 2 6 2 3" xfId="12699" xr:uid="{54B485B2-3074-4327-89C1-9C1709ED51E9}"/>
    <cellStyle name="Normal 2 4 2 3 2 2 6 3" xfId="6330" xr:uid="{00000000-0005-0000-0000-0000BD0E0000}"/>
    <cellStyle name="Normal 2 4 2 3 2 2 6 3 2" xfId="14772" xr:uid="{B6B26D9F-0AD6-4E4E-BFCE-BFC166CC6F1E}"/>
    <cellStyle name="Normal 2 4 2 3 2 2 6 4" xfId="10554" xr:uid="{5C88CAF3-5A95-4062-A6C6-2E74FCD24DDC}"/>
    <cellStyle name="Normal 2 4 2 3 2 2 7" xfId="2459" xr:uid="{00000000-0005-0000-0000-0000BE0E0000}"/>
    <cellStyle name="Normal 2 4 2 3 2 2 7 2" xfId="6743" xr:uid="{00000000-0005-0000-0000-0000BF0E0000}"/>
    <cellStyle name="Normal 2 4 2 3 2 2 7 2 2" xfId="15185" xr:uid="{DD11A73C-70D7-4497-8D2F-A46A5CC2DABF}"/>
    <cellStyle name="Normal 2 4 2 3 2 2 7 3" xfId="10967" xr:uid="{4C787450-6D1E-4F96-BD64-104B29055337}"/>
    <cellStyle name="Normal 2 4 2 3 2 2 8" xfId="4677" xr:uid="{00000000-0005-0000-0000-0000C00E0000}"/>
    <cellStyle name="Normal 2 4 2 3 2 2 8 2" xfId="13119" xr:uid="{870719F7-AEB0-4ADD-A8FE-46B6A6E6A04F}"/>
    <cellStyle name="Normal 2 4 2 3 2 2 9" xfId="8901" xr:uid="{B1C4D9E7-9EEA-4C8F-9541-27DB38C84B93}"/>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E23A5E04-D978-48FE-A624-DEBC031A1876}"/>
    <cellStyle name="Normal 2 4 2 3 2 3 2 2 3" xfId="11462" xr:uid="{6915CC80-916A-4CC0-A57B-176153E096E1}"/>
    <cellStyle name="Normal 2 4 2 3 2 3 2 3" xfId="5093" xr:uid="{00000000-0005-0000-0000-0000C50E0000}"/>
    <cellStyle name="Normal 2 4 2 3 2 3 2 3 2" xfId="13535" xr:uid="{45E90C4A-B0D6-4925-85BC-18FDF0D431F8}"/>
    <cellStyle name="Normal 2 4 2 3 2 3 2 4" xfId="9317" xr:uid="{CAF0C281-B3F3-478A-9F90-2BB4554658F4}"/>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06130300-12CD-4FF2-B7A4-CEBCC3C7BAB0}"/>
    <cellStyle name="Normal 2 4 2 3 2 3 3 2 3" xfId="11875" xr:uid="{29AF7B1E-CD51-426A-A7A6-F0697FE6AEC4}"/>
    <cellStyle name="Normal 2 4 2 3 2 3 3 3" xfId="5506" xr:uid="{00000000-0005-0000-0000-0000C90E0000}"/>
    <cellStyle name="Normal 2 4 2 3 2 3 3 3 2" xfId="13948" xr:uid="{586E954A-C99E-4944-A55C-7291CE11F0E1}"/>
    <cellStyle name="Normal 2 4 2 3 2 3 3 4" xfId="9730" xr:uid="{5705B026-C6F9-486E-80A0-B783CF10E4BE}"/>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8907CBBF-0591-484E-ACB4-252622E29130}"/>
    <cellStyle name="Normal 2 4 2 3 2 3 4 2 3" xfId="12288" xr:uid="{D4E1CF77-6BC2-4C7D-AD01-5A8A367AB6CC}"/>
    <cellStyle name="Normal 2 4 2 3 2 3 4 3" xfId="5919" xr:uid="{00000000-0005-0000-0000-0000CD0E0000}"/>
    <cellStyle name="Normal 2 4 2 3 2 3 4 3 2" xfId="14361" xr:uid="{65E7A47E-ADFD-4DA7-A998-FFAAB2AA7A88}"/>
    <cellStyle name="Normal 2 4 2 3 2 3 4 4" xfId="10143" xr:uid="{7F382F45-EF28-4D51-94DC-1F0F10D7F13F}"/>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CA62A3BF-708E-4DC5-A5A6-8EDBCCB16857}"/>
    <cellStyle name="Normal 2 4 2 3 2 3 5 2 3" xfId="12701" xr:uid="{037EB5D5-A825-4255-92E6-0B437E416BF7}"/>
    <cellStyle name="Normal 2 4 2 3 2 3 5 3" xfId="6332" xr:uid="{00000000-0005-0000-0000-0000D10E0000}"/>
    <cellStyle name="Normal 2 4 2 3 2 3 5 3 2" xfId="14774" xr:uid="{05C7E1CF-378F-4E2C-A1B2-362CF571C98B}"/>
    <cellStyle name="Normal 2 4 2 3 2 3 5 4" xfId="10556" xr:uid="{A878DC0A-E737-47F5-806B-8011D341B9AE}"/>
    <cellStyle name="Normal 2 4 2 3 2 3 6" xfId="2461" xr:uid="{00000000-0005-0000-0000-0000D20E0000}"/>
    <cellStyle name="Normal 2 4 2 3 2 3 6 2" xfId="6745" xr:uid="{00000000-0005-0000-0000-0000D30E0000}"/>
    <cellStyle name="Normal 2 4 2 3 2 3 6 2 2" xfId="15187" xr:uid="{2653DA89-39A7-427E-96F2-59C7D29DC5B1}"/>
    <cellStyle name="Normal 2 4 2 3 2 3 6 3" xfId="10969" xr:uid="{0D0FC0B0-603E-4DAF-B3EF-1352ABC4E1E0}"/>
    <cellStyle name="Normal 2 4 2 3 2 3 7" xfId="4679" xr:uid="{00000000-0005-0000-0000-0000D40E0000}"/>
    <cellStyle name="Normal 2 4 2 3 2 3 7 2" xfId="13121" xr:uid="{4D048C4A-6874-4FD3-A7A7-63F148DF96CB}"/>
    <cellStyle name="Normal 2 4 2 3 2 3 8" xfId="8903" xr:uid="{872CF579-D7EE-403E-A546-EE77F0323F33}"/>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59E1932A-DDD3-46ED-BFA1-3CC9CA04275B}"/>
    <cellStyle name="Normal 2 4 2 3 2 4 2 3" xfId="11459" xr:uid="{DE3F9E1F-75E4-4D66-BDFF-BF554D3CFCD4}"/>
    <cellStyle name="Normal 2 4 2 3 2 4 3" xfId="5090" xr:uid="{00000000-0005-0000-0000-0000D80E0000}"/>
    <cellStyle name="Normal 2 4 2 3 2 4 3 2" xfId="13532" xr:uid="{53673F86-06B2-44F7-8302-ACBC862D9971}"/>
    <cellStyle name="Normal 2 4 2 3 2 4 4" xfId="9314" xr:uid="{EBC3EE0B-AAB0-4A26-997A-349494F9209D}"/>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2043CEE5-0777-4946-A6AF-A40BA26CEF0B}"/>
    <cellStyle name="Normal 2 4 2 3 2 5 2 3" xfId="11872" xr:uid="{FC31FFBC-0AF4-42E6-A3BB-3EB3A14137CE}"/>
    <cellStyle name="Normal 2 4 2 3 2 5 3" xfId="5503" xr:uid="{00000000-0005-0000-0000-0000DC0E0000}"/>
    <cellStyle name="Normal 2 4 2 3 2 5 3 2" xfId="13945" xr:uid="{554EF1F0-623A-4F09-BB98-E03E146CB2AF}"/>
    <cellStyle name="Normal 2 4 2 3 2 5 4" xfId="9727" xr:uid="{EA25C026-5E66-4452-8C11-B03D2E27377B}"/>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51FE4C04-36C2-4F78-920F-8C1418835E42}"/>
    <cellStyle name="Normal 2 4 2 3 2 6 2 3" xfId="12285" xr:uid="{B46C8471-CC25-4A12-90B6-7B6DA50A7380}"/>
    <cellStyle name="Normal 2 4 2 3 2 6 3" xfId="5916" xr:uid="{00000000-0005-0000-0000-0000E00E0000}"/>
    <cellStyle name="Normal 2 4 2 3 2 6 3 2" xfId="14358" xr:uid="{83BF1EE0-3BEB-4305-9D13-FBC740E328B1}"/>
    <cellStyle name="Normal 2 4 2 3 2 6 4" xfId="10140" xr:uid="{D9F6788C-CE39-4663-890F-E87585781994}"/>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32912C4E-5FBD-4652-9F84-212E28D24D36}"/>
    <cellStyle name="Normal 2 4 2 3 2 7 2 3" xfId="12698" xr:uid="{D3DA9382-6874-4973-A84B-7A706E278922}"/>
    <cellStyle name="Normal 2 4 2 3 2 7 3" xfId="6329" xr:uid="{00000000-0005-0000-0000-0000E40E0000}"/>
    <cellStyle name="Normal 2 4 2 3 2 7 3 2" xfId="14771" xr:uid="{CC47D4E5-80EC-435E-8E7E-7BC16452AB9B}"/>
    <cellStyle name="Normal 2 4 2 3 2 7 4" xfId="10553" xr:uid="{0034B909-6FFD-44A4-85FA-6DD0BFBFCC64}"/>
    <cellStyle name="Normal 2 4 2 3 2 8" xfId="2458" xr:uid="{00000000-0005-0000-0000-0000E50E0000}"/>
    <cellStyle name="Normal 2 4 2 3 2 8 2" xfId="6742" xr:uid="{00000000-0005-0000-0000-0000E60E0000}"/>
    <cellStyle name="Normal 2 4 2 3 2 8 2 2" xfId="15184" xr:uid="{DBE7AF5F-AB48-4AF8-A2D7-E18A59324C56}"/>
    <cellStyle name="Normal 2 4 2 3 2 8 3" xfId="10966" xr:uid="{8ACBFD67-4D92-4708-8666-9093D24A9D66}"/>
    <cellStyle name="Normal 2 4 2 3 2 9" xfId="4676" xr:uid="{00000000-0005-0000-0000-0000E70E0000}"/>
    <cellStyle name="Normal 2 4 2 3 2 9 2" xfId="13118" xr:uid="{595A5E10-2164-4093-A4BF-3D5828F229A8}"/>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B32B6905-0DA8-4488-A03F-588228467892}"/>
    <cellStyle name="Normal 2 4 2 3 3 2 2 2 3" xfId="11464" xr:uid="{7D8F6EAF-2236-489C-AE47-48E1036AD7CA}"/>
    <cellStyle name="Normal 2 4 2 3 3 2 2 3" xfId="5095" xr:uid="{00000000-0005-0000-0000-0000ED0E0000}"/>
    <cellStyle name="Normal 2 4 2 3 3 2 2 3 2" xfId="13537" xr:uid="{44F8568F-77E9-4BEF-8B46-509A8776F531}"/>
    <cellStyle name="Normal 2 4 2 3 3 2 2 4" xfId="9319" xr:uid="{0CF76A1A-96C4-40CE-9855-6F51951580FA}"/>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1EC73B51-26D8-491C-90DA-6A9FDA4A04C0}"/>
    <cellStyle name="Normal 2 4 2 3 3 2 3 2 3" xfId="11877" xr:uid="{F73DCAAE-BCFD-4FA2-88E3-D38CAE30E9AC}"/>
    <cellStyle name="Normal 2 4 2 3 3 2 3 3" xfId="5508" xr:uid="{00000000-0005-0000-0000-0000F10E0000}"/>
    <cellStyle name="Normal 2 4 2 3 3 2 3 3 2" xfId="13950" xr:uid="{17837428-6A67-4BDD-8D55-FC132ADF5335}"/>
    <cellStyle name="Normal 2 4 2 3 3 2 3 4" xfId="9732" xr:uid="{017AC496-E8C8-476C-AE32-8B64B08D3E6F}"/>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8A1F7C12-22A6-4086-9E55-4BB1CE962258}"/>
    <cellStyle name="Normal 2 4 2 3 3 2 4 2 3" xfId="12290" xr:uid="{FB6608CC-FC2B-455C-8908-BA4FF0F49949}"/>
    <cellStyle name="Normal 2 4 2 3 3 2 4 3" xfId="5921" xr:uid="{00000000-0005-0000-0000-0000F50E0000}"/>
    <cellStyle name="Normal 2 4 2 3 3 2 4 3 2" xfId="14363" xr:uid="{69A266B6-4223-43B2-A117-9493B99803C3}"/>
    <cellStyle name="Normal 2 4 2 3 3 2 4 4" xfId="10145" xr:uid="{5C371AD3-0992-4947-8B1F-FB8739DBB5DA}"/>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00EFA4FA-5C87-4C6E-805F-B1F9143192DC}"/>
    <cellStyle name="Normal 2 4 2 3 3 2 5 2 3" xfId="12703" xr:uid="{E3FD5BE6-4C3D-4085-AAF4-9499C31D3245}"/>
    <cellStyle name="Normal 2 4 2 3 3 2 5 3" xfId="6334" xr:uid="{00000000-0005-0000-0000-0000F90E0000}"/>
    <cellStyle name="Normal 2 4 2 3 3 2 5 3 2" xfId="14776" xr:uid="{91A67CE6-A4F9-496B-8592-C1FA132CD915}"/>
    <cellStyle name="Normal 2 4 2 3 3 2 5 4" xfId="10558" xr:uid="{F758F185-A980-4A6A-B7ED-C438EC1E9193}"/>
    <cellStyle name="Normal 2 4 2 3 3 2 6" xfId="2463" xr:uid="{00000000-0005-0000-0000-0000FA0E0000}"/>
    <cellStyle name="Normal 2 4 2 3 3 2 6 2" xfId="6747" xr:uid="{00000000-0005-0000-0000-0000FB0E0000}"/>
    <cellStyle name="Normal 2 4 2 3 3 2 6 2 2" xfId="15189" xr:uid="{80B0E7BA-0D7C-42A0-AF17-DEBEF8AD47CC}"/>
    <cellStyle name="Normal 2 4 2 3 3 2 6 3" xfId="10971" xr:uid="{BA0FF725-9379-4AC3-B3D6-8590BB802C97}"/>
    <cellStyle name="Normal 2 4 2 3 3 2 7" xfId="4681" xr:uid="{00000000-0005-0000-0000-0000FC0E0000}"/>
    <cellStyle name="Normal 2 4 2 3 3 2 7 2" xfId="13123" xr:uid="{1ED1F22D-5C0C-40EB-A461-B96D24E28D2E}"/>
    <cellStyle name="Normal 2 4 2 3 3 2 8" xfId="8905" xr:uid="{B4BAD3D1-4B11-411B-BA73-678A89379816}"/>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6B410E7F-9B17-40FD-B48F-7BD33F9C7090}"/>
    <cellStyle name="Normal 2 4 2 3 3 3 2 3" xfId="11463" xr:uid="{E017410C-5679-4D75-88C0-2CB28D03C6D4}"/>
    <cellStyle name="Normal 2 4 2 3 3 3 3" xfId="5094" xr:uid="{00000000-0005-0000-0000-0000000F0000}"/>
    <cellStyle name="Normal 2 4 2 3 3 3 3 2" xfId="13536" xr:uid="{F9C5CD59-A41E-43C2-B80E-0B4AE143B5AC}"/>
    <cellStyle name="Normal 2 4 2 3 3 3 4" xfId="9318" xr:uid="{36FFF006-3C46-4D3C-9229-B456D43FEAD1}"/>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25516B45-8666-4918-AE6E-1F25D95AE766}"/>
    <cellStyle name="Normal 2 4 2 3 3 4 2 3" xfId="11876" xr:uid="{64130D75-9C83-46E2-A376-085DE36982B8}"/>
    <cellStyle name="Normal 2 4 2 3 3 4 3" xfId="5507" xr:uid="{00000000-0005-0000-0000-0000040F0000}"/>
    <cellStyle name="Normal 2 4 2 3 3 4 3 2" xfId="13949" xr:uid="{B9AA8C7C-CE3E-4E2E-83EE-0F854039AEAC}"/>
    <cellStyle name="Normal 2 4 2 3 3 4 4" xfId="9731" xr:uid="{BEE4AF4E-0935-445D-97C9-1FA745534094}"/>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5089DFBB-CFEB-45E3-96A6-7622D7019E51}"/>
    <cellStyle name="Normal 2 4 2 3 3 5 2 3" xfId="12289" xr:uid="{84429D11-AAF9-49BE-88FF-D0084A806BB0}"/>
    <cellStyle name="Normal 2 4 2 3 3 5 3" xfId="5920" xr:uid="{00000000-0005-0000-0000-0000080F0000}"/>
    <cellStyle name="Normal 2 4 2 3 3 5 3 2" xfId="14362" xr:uid="{78DE952F-885A-400A-85B3-076BA96F1EB1}"/>
    <cellStyle name="Normal 2 4 2 3 3 5 4" xfId="10144" xr:uid="{86ACFAFC-EE1A-4327-AE1E-936F65835A6C}"/>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33ACF223-336A-4B4F-82EC-FBD61D8557D2}"/>
    <cellStyle name="Normal 2 4 2 3 3 6 2 3" xfId="12702" xr:uid="{D67B006A-224F-403E-9DFC-39E68B2F1349}"/>
    <cellStyle name="Normal 2 4 2 3 3 6 3" xfId="6333" xr:uid="{00000000-0005-0000-0000-00000C0F0000}"/>
    <cellStyle name="Normal 2 4 2 3 3 6 3 2" xfId="14775" xr:uid="{D4EFAD90-92C3-4D37-8BB8-70509D152ADE}"/>
    <cellStyle name="Normal 2 4 2 3 3 6 4" xfId="10557" xr:uid="{747011C4-4683-4598-BFB6-EAA3286064BA}"/>
    <cellStyle name="Normal 2 4 2 3 3 7" xfId="2462" xr:uid="{00000000-0005-0000-0000-00000D0F0000}"/>
    <cellStyle name="Normal 2 4 2 3 3 7 2" xfId="6746" xr:uid="{00000000-0005-0000-0000-00000E0F0000}"/>
    <cellStyle name="Normal 2 4 2 3 3 7 2 2" xfId="15188" xr:uid="{15D5321F-572A-441D-BC19-E437548D1958}"/>
    <cellStyle name="Normal 2 4 2 3 3 7 3" xfId="10970" xr:uid="{E604EAD3-3D94-4A83-BAF8-A47EBB604012}"/>
    <cellStyle name="Normal 2 4 2 3 3 8" xfId="4680" xr:uid="{00000000-0005-0000-0000-00000F0F0000}"/>
    <cellStyle name="Normal 2 4 2 3 3 8 2" xfId="13122" xr:uid="{2B2E04B5-D5A8-45C8-8139-F3DA039C121F}"/>
    <cellStyle name="Normal 2 4 2 3 3 9" xfId="8904" xr:uid="{5D408A74-0783-4C1F-ABAF-B8933917DF7F}"/>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30CA0A95-5FD5-428F-9BDB-FF70BC7BDACC}"/>
    <cellStyle name="Normal 2 4 2 3 4 2 2 3" xfId="11465" xr:uid="{274B84A9-0B55-4669-B4C8-9617E90D8EDE}"/>
    <cellStyle name="Normal 2 4 2 3 4 2 3" xfId="5096" xr:uid="{00000000-0005-0000-0000-0000140F0000}"/>
    <cellStyle name="Normal 2 4 2 3 4 2 3 2" xfId="13538" xr:uid="{429EE3CA-5A9E-4B15-BD20-D224E76B7A31}"/>
    <cellStyle name="Normal 2 4 2 3 4 2 4" xfId="9320" xr:uid="{860C22E5-EEF2-4606-94C3-E693EC50129C}"/>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8595FAF9-C1B1-4A19-B697-9531B67F51AC}"/>
    <cellStyle name="Normal 2 4 2 3 4 3 2 3" xfId="11878" xr:uid="{05D180AB-CAF3-4DE2-8B74-003787DBDE6C}"/>
    <cellStyle name="Normal 2 4 2 3 4 3 3" xfId="5509" xr:uid="{00000000-0005-0000-0000-0000180F0000}"/>
    <cellStyle name="Normal 2 4 2 3 4 3 3 2" xfId="13951" xr:uid="{46707D7E-E040-49B2-9760-F879F82859E6}"/>
    <cellStyle name="Normal 2 4 2 3 4 3 4" xfId="9733" xr:uid="{A48B1ADC-46C8-44C9-89C4-0F5727C48D1B}"/>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672509F6-C336-4299-B669-C932D8DBBF66}"/>
    <cellStyle name="Normal 2 4 2 3 4 4 2 3" xfId="12291" xr:uid="{24CC53C4-2610-4424-9B3F-8CFEA1CC2CD9}"/>
    <cellStyle name="Normal 2 4 2 3 4 4 3" xfId="5922" xr:uid="{00000000-0005-0000-0000-00001C0F0000}"/>
    <cellStyle name="Normal 2 4 2 3 4 4 3 2" xfId="14364" xr:uid="{C294383A-1885-4153-B2CE-765720DE54E6}"/>
    <cellStyle name="Normal 2 4 2 3 4 4 4" xfId="10146" xr:uid="{FEC60F02-6CF6-47FB-B509-B497107D9A1D}"/>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BCDE527F-E3E5-4816-95F6-9EF02EA492A1}"/>
    <cellStyle name="Normal 2 4 2 3 4 5 2 3" xfId="12704" xr:uid="{528AAA65-6643-4672-9500-1D44B6D24CF0}"/>
    <cellStyle name="Normal 2 4 2 3 4 5 3" xfId="6335" xr:uid="{00000000-0005-0000-0000-0000200F0000}"/>
    <cellStyle name="Normal 2 4 2 3 4 5 3 2" xfId="14777" xr:uid="{45AF2D75-EDB1-4D09-B324-852194E72E15}"/>
    <cellStyle name="Normal 2 4 2 3 4 5 4" xfId="10559" xr:uid="{FAB53D71-2E21-4FE0-99F0-AE7814761F57}"/>
    <cellStyle name="Normal 2 4 2 3 4 6" xfId="2464" xr:uid="{00000000-0005-0000-0000-0000210F0000}"/>
    <cellStyle name="Normal 2 4 2 3 4 6 2" xfId="6748" xr:uid="{00000000-0005-0000-0000-0000220F0000}"/>
    <cellStyle name="Normal 2 4 2 3 4 6 2 2" xfId="15190" xr:uid="{398186FF-8C2C-4D9D-9937-4D33A2E9EF2B}"/>
    <cellStyle name="Normal 2 4 2 3 4 6 3" xfId="10972" xr:uid="{A7D7C436-78AE-41AA-B3DF-7C3CD0136FD4}"/>
    <cellStyle name="Normal 2 4 2 3 4 7" xfId="4682" xr:uid="{00000000-0005-0000-0000-0000230F0000}"/>
    <cellStyle name="Normal 2 4 2 3 4 7 2" xfId="13124" xr:uid="{14910A75-E47A-44BC-AC6D-7B48F3D5E1D3}"/>
    <cellStyle name="Normal 2 4 2 3 4 8" xfId="8906" xr:uid="{D8743D16-EEBC-46B4-9D26-EAFC9D714D60}"/>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342AB261-783B-4AFB-9CED-1C88598756C0}"/>
    <cellStyle name="Normal 2 4 2 3 5 2 3" xfId="11458" xr:uid="{A5142BC2-5506-43C4-B6C8-62B9B12A956B}"/>
    <cellStyle name="Normal 2 4 2 3 5 3" xfId="5089" xr:uid="{00000000-0005-0000-0000-0000270F0000}"/>
    <cellStyle name="Normal 2 4 2 3 5 3 2" xfId="13531" xr:uid="{1C561A9A-62A9-4353-9EFC-561963E1BC21}"/>
    <cellStyle name="Normal 2 4 2 3 5 4" xfId="9313" xr:uid="{2ED989DF-BF86-4433-867B-99ADFB9CF87B}"/>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6D50C13D-FA18-44AF-AC2D-34563C980312}"/>
    <cellStyle name="Normal 2 4 2 3 6 2 3" xfId="11871" xr:uid="{2D1D4388-3F5C-4E9D-9533-5A3F9B6A3ABC}"/>
    <cellStyle name="Normal 2 4 2 3 6 3" xfId="5502" xr:uid="{00000000-0005-0000-0000-00002B0F0000}"/>
    <cellStyle name="Normal 2 4 2 3 6 3 2" xfId="13944" xr:uid="{01461641-3C22-4948-AF2F-3D060823F265}"/>
    <cellStyle name="Normal 2 4 2 3 6 4" xfId="9726" xr:uid="{A2B37CF6-A336-460C-B4CA-9DA70205C9EC}"/>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6BF1DE65-C102-402F-AF66-B6CDEE2DE560}"/>
    <cellStyle name="Normal 2 4 2 3 7 2 3" xfId="12284" xr:uid="{81020EC7-02CE-4081-A4A5-8B7E1D21E33C}"/>
    <cellStyle name="Normal 2 4 2 3 7 3" xfId="5915" xr:uid="{00000000-0005-0000-0000-00002F0F0000}"/>
    <cellStyle name="Normal 2 4 2 3 7 3 2" xfId="14357" xr:uid="{0BD4A9C5-362F-40A3-AF6D-6E5C63C4CF1E}"/>
    <cellStyle name="Normal 2 4 2 3 7 4" xfId="10139" xr:uid="{92ED8074-AF63-4DE8-A59C-0CECEC338B8F}"/>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0839B289-B88E-4CD1-B413-B0B30D751B96}"/>
    <cellStyle name="Normal 2 4 2 3 8 2 3" xfId="12697" xr:uid="{BE00A20A-49BA-4EC5-A544-26F8750C957A}"/>
    <cellStyle name="Normal 2 4 2 3 8 3" xfId="6328" xr:uid="{00000000-0005-0000-0000-0000330F0000}"/>
    <cellStyle name="Normal 2 4 2 3 8 3 2" xfId="14770" xr:uid="{B4D8766D-D6B9-4753-A96E-28B2B17279F3}"/>
    <cellStyle name="Normal 2 4 2 3 8 4" xfId="10552" xr:uid="{FE625E45-98EF-462B-8055-9D9B1C2EDFBE}"/>
    <cellStyle name="Normal 2 4 2 3 9" xfId="2457" xr:uid="{00000000-0005-0000-0000-0000340F0000}"/>
    <cellStyle name="Normal 2 4 2 3 9 2" xfId="6741" xr:uid="{00000000-0005-0000-0000-0000350F0000}"/>
    <cellStyle name="Normal 2 4 2 3 9 2 2" xfId="15183" xr:uid="{EF3D353B-3273-4B80-B9D7-CF6A5AB30651}"/>
    <cellStyle name="Normal 2 4 2 3 9 3" xfId="10965" xr:uid="{FEAB7463-4C5D-437B-9813-1CC8E80BD9A5}"/>
    <cellStyle name="Normal 2 4 2 4" xfId="289" xr:uid="{00000000-0005-0000-0000-0000360F0000}"/>
    <cellStyle name="Normal 2 4 2 4 10" xfId="8907" xr:uid="{EDAD8014-717A-4990-BA21-D8A575942E2B}"/>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BCFDE53B-C77E-4D90-A314-9277C2F70AE1}"/>
    <cellStyle name="Normal 2 4 2 4 2 2 2 2 3" xfId="11468" xr:uid="{2660BF49-5475-46C9-A5F1-2D1A5AA4E19B}"/>
    <cellStyle name="Normal 2 4 2 4 2 2 2 3" xfId="5099" xr:uid="{00000000-0005-0000-0000-00003C0F0000}"/>
    <cellStyle name="Normal 2 4 2 4 2 2 2 3 2" xfId="13541" xr:uid="{C41B43AA-AB73-427B-A782-1CDD9E8F3539}"/>
    <cellStyle name="Normal 2 4 2 4 2 2 2 4" xfId="9323" xr:uid="{DAE9F74C-88CC-4005-9649-6D1020635D69}"/>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B73CDA70-5124-4BAC-8D33-2CF7678823D2}"/>
    <cellStyle name="Normal 2 4 2 4 2 2 3 2 3" xfId="11881" xr:uid="{BE6B21AD-996A-4434-8DBF-0868CCE8340D}"/>
    <cellStyle name="Normal 2 4 2 4 2 2 3 3" xfId="5512" xr:uid="{00000000-0005-0000-0000-0000400F0000}"/>
    <cellStyle name="Normal 2 4 2 4 2 2 3 3 2" xfId="13954" xr:uid="{F19EBEA0-EB8C-4404-84FA-287449B95437}"/>
    <cellStyle name="Normal 2 4 2 4 2 2 3 4" xfId="9736" xr:uid="{5DACDF74-C473-4090-8B86-651CC3F89285}"/>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D73FF5B8-5620-44AA-81D9-5B74327D8EBB}"/>
    <cellStyle name="Normal 2 4 2 4 2 2 4 2 3" xfId="12294" xr:uid="{17F5F099-3E7D-48A3-B5C5-7E35281C085F}"/>
    <cellStyle name="Normal 2 4 2 4 2 2 4 3" xfId="5925" xr:uid="{00000000-0005-0000-0000-0000440F0000}"/>
    <cellStyle name="Normal 2 4 2 4 2 2 4 3 2" xfId="14367" xr:uid="{EC275327-6325-4A7E-8FD2-A3D86F9F693A}"/>
    <cellStyle name="Normal 2 4 2 4 2 2 4 4" xfId="10149" xr:uid="{4047B53C-548A-47E2-BCE5-E55B0C1C47C3}"/>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D055F1D0-D6C0-4613-9557-8D4C01D37C91}"/>
    <cellStyle name="Normal 2 4 2 4 2 2 5 2 3" xfId="12707" xr:uid="{4493A64E-28CC-46F2-BFE8-A8107CE6F4F1}"/>
    <cellStyle name="Normal 2 4 2 4 2 2 5 3" xfId="6338" xr:uid="{00000000-0005-0000-0000-0000480F0000}"/>
    <cellStyle name="Normal 2 4 2 4 2 2 5 3 2" xfId="14780" xr:uid="{FAD21384-79A9-4FDF-84C6-900BDE4ACBE6}"/>
    <cellStyle name="Normal 2 4 2 4 2 2 5 4" xfId="10562" xr:uid="{068F2AF6-7A99-47E4-98D4-A994A0042E47}"/>
    <cellStyle name="Normal 2 4 2 4 2 2 6" xfId="2467" xr:uid="{00000000-0005-0000-0000-0000490F0000}"/>
    <cellStyle name="Normal 2 4 2 4 2 2 6 2" xfId="6751" xr:uid="{00000000-0005-0000-0000-00004A0F0000}"/>
    <cellStyle name="Normal 2 4 2 4 2 2 6 2 2" xfId="15193" xr:uid="{19AB86BA-F2E4-4089-B64F-6B840B75AFC2}"/>
    <cellStyle name="Normal 2 4 2 4 2 2 6 3" xfId="10975" xr:uid="{D1AA039E-C386-43B3-AED6-B757D0A95E07}"/>
    <cellStyle name="Normal 2 4 2 4 2 2 7" xfId="4685" xr:uid="{00000000-0005-0000-0000-00004B0F0000}"/>
    <cellStyle name="Normal 2 4 2 4 2 2 7 2" xfId="13127" xr:uid="{26657C0E-1853-4E63-B492-9479DC386C35}"/>
    <cellStyle name="Normal 2 4 2 4 2 2 8" xfId="8909" xr:uid="{454E62B9-60EA-4EEB-8336-5779BCE842E4}"/>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865173F1-5A57-4075-B780-76278B3AE9EB}"/>
    <cellStyle name="Normal 2 4 2 4 2 3 2 3" xfId="11467" xr:uid="{C499F27E-C361-46C1-A32F-D696C32663DB}"/>
    <cellStyle name="Normal 2 4 2 4 2 3 3" xfId="5098" xr:uid="{00000000-0005-0000-0000-00004F0F0000}"/>
    <cellStyle name="Normal 2 4 2 4 2 3 3 2" xfId="13540" xr:uid="{3E66E7AD-6C84-4FA6-8994-B2E285555ABF}"/>
    <cellStyle name="Normal 2 4 2 4 2 3 4" xfId="9322" xr:uid="{ADDE392E-E2E0-4794-AD36-54252BB9D617}"/>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98B7BA88-0E3D-4842-8586-3A3F7E20387D}"/>
    <cellStyle name="Normal 2 4 2 4 2 4 2 3" xfId="11880" xr:uid="{D79E9DC5-3D57-44EE-AAB5-49CAB7DD69F2}"/>
    <cellStyle name="Normal 2 4 2 4 2 4 3" xfId="5511" xr:uid="{00000000-0005-0000-0000-0000530F0000}"/>
    <cellStyle name="Normal 2 4 2 4 2 4 3 2" xfId="13953" xr:uid="{BD9B8288-E2BF-463B-9638-08354863053B}"/>
    <cellStyle name="Normal 2 4 2 4 2 4 4" xfId="9735" xr:uid="{5FC980AE-B667-4764-8ADA-88F3B3120F96}"/>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C64F3D97-5B67-4D2F-A47D-260E68BBF084}"/>
    <cellStyle name="Normal 2 4 2 4 2 5 2 3" xfId="12293" xr:uid="{99DB30C8-D49F-428C-8CB5-C005E86002EC}"/>
    <cellStyle name="Normal 2 4 2 4 2 5 3" xfId="5924" xr:uid="{00000000-0005-0000-0000-0000570F0000}"/>
    <cellStyle name="Normal 2 4 2 4 2 5 3 2" xfId="14366" xr:uid="{78CFCDDD-AC89-4E1B-9312-90ED6C46F783}"/>
    <cellStyle name="Normal 2 4 2 4 2 5 4" xfId="10148" xr:uid="{09908CF4-4760-4E06-822C-F5E6CE84DA82}"/>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91B2DABD-0D4A-4513-A35D-DC62619550B4}"/>
    <cellStyle name="Normal 2 4 2 4 2 6 2 3" xfId="12706" xr:uid="{5E0FDD5E-6F6C-42E8-A989-7BB81CD5A845}"/>
    <cellStyle name="Normal 2 4 2 4 2 6 3" xfId="6337" xr:uid="{00000000-0005-0000-0000-00005B0F0000}"/>
    <cellStyle name="Normal 2 4 2 4 2 6 3 2" xfId="14779" xr:uid="{6207A35C-2E4E-4CEE-91EB-4839E4643CF6}"/>
    <cellStyle name="Normal 2 4 2 4 2 6 4" xfId="10561" xr:uid="{62C640FA-D88B-49D2-B122-19A9F3310942}"/>
    <cellStyle name="Normal 2 4 2 4 2 7" xfId="2466" xr:uid="{00000000-0005-0000-0000-00005C0F0000}"/>
    <cellStyle name="Normal 2 4 2 4 2 7 2" xfId="6750" xr:uid="{00000000-0005-0000-0000-00005D0F0000}"/>
    <cellStyle name="Normal 2 4 2 4 2 7 2 2" xfId="15192" xr:uid="{61D700FF-E6BF-4C3E-B164-024D59F596EE}"/>
    <cellStyle name="Normal 2 4 2 4 2 7 3" xfId="10974" xr:uid="{36897C91-D1F1-4FD6-87B1-81A4EC2CE142}"/>
    <cellStyle name="Normal 2 4 2 4 2 8" xfId="4684" xr:uid="{00000000-0005-0000-0000-00005E0F0000}"/>
    <cellStyle name="Normal 2 4 2 4 2 8 2" xfId="13126" xr:uid="{DC1BC2B7-4418-4FA7-80D3-0F877DA72700}"/>
    <cellStyle name="Normal 2 4 2 4 2 9" xfId="8908" xr:uid="{8BA1165B-8EB3-41C5-8408-27FD5EE5F25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34D4054A-4D05-42B1-B686-04D6E118440A}"/>
    <cellStyle name="Normal 2 4 2 4 3 2 2 3" xfId="11469" xr:uid="{117D6917-430B-486E-8F3E-B2E62992E01D}"/>
    <cellStyle name="Normal 2 4 2 4 3 2 3" xfId="5100" xr:uid="{00000000-0005-0000-0000-0000630F0000}"/>
    <cellStyle name="Normal 2 4 2 4 3 2 3 2" xfId="13542" xr:uid="{D206A293-D339-40CA-B9DA-0B4B77B7890D}"/>
    <cellStyle name="Normal 2 4 2 4 3 2 4" xfId="9324" xr:uid="{9F0D0CD4-0209-4F98-BBB0-0E6BB2E72288}"/>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88F173E9-6D99-4EE0-9D03-F46EC3482597}"/>
    <cellStyle name="Normal 2 4 2 4 3 3 2 3" xfId="11882" xr:uid="{F9F12C8D-AC0D-407A-8275-D53C880F6BA4}"/>
    <cellStyle name="Normal 2 4 2 4 3 3 3" xfId="5513" xr:uid="{00000000-0005-0000-0000-0000670F0000}"/>
    <cellStyle name="Normal 2 4 2 4 3 3 3 2" xfId="13955" xr:uid="{687147EE-FCB9-4140-B880-176CCCFC2E9C}"/>
    <cellStyle name="Normal 2 4 2 4 3 3 4" xfId="9737" xr:uid="{EA26CC58-65B7-488B-95C1-E465508E4F62}"/>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C612E9B3-782C-4F6F-B310-0ACFBC7CA188}"/>
    <cellStyle name="Normal 2 4 2 4 3 4 2 3" xfId="12295" xr:uid="{62DFE057-E301-4D20-B1A0-2A7FA555C87E}"/>
    <cellStyle name="Normal 2 4 2 4 3 4 3" xfId="5926" xr:uid="{00000000-0005-0000-0000-00006B0F0000}"/>
    <cellStyle name="Normal 2 4 2 4 3 4 3 2" xfId="14368" xr:uid="{E2C55165-DD3D-4A57-9613-CACB4A33FFA7}"/>
    <cellStyle name="Normal 2 4 2 4 3 4 4" xfId="10150" xr:uid="{5E40ADCC-6E4E-4F5D-B1F3-56DE93BD84AE}"/>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E4D4F518-9EC4-4F15-95DD-9D93280CCF4A}"/>
    <cellStyle name="Normal 2 4 2 4 3 5 2 3" xfId="12708" xr:uid="{DF914ED9-0B56-4BB3-8F81-5A52E6C7FA82}"/>
    <cellStyle name="Normal 2 4 2 4 3 5 3" xfId="6339" xr:uid="{00000000-0005-0000-0000-00006F0F0000}"/>
    <cellStyle name="Normal 2 4 2 4 3 5 3 2" xfId="14781" xr:uid="{5463326F-6E48-46EB-B225-30E3CE09AF5F}"/>
    <cellStyle name="Normal 2 4 2 4 3 5 4" xfId="10563" xr:uid="{F5AA95F9-C605-4EC9-8564-66BB1D7B923C}"/>
    <cellStyle name="Normal 2 4 2 4 3 6" xfId="2468" xr:uid="{00000000-0005-0000-0000-0000700F0000}"/>
    <cellStyle name="Normal 2 4 2 4 3 6 2" xfId="6752" xr:uid="{00000000-0005-0000-0000-0000710F0000}"/>
    <cellStyle name="Normal 2 4 2 4 3 6 2 2" xfId="15194" xr:uid="{2C9F6384-4231-4C9A-92F8-8115C66BA747}"/>
    <cellStyle name="Normal 2 4 2 4 3 6 3" xfId="10976" xr:uid="{F4B0DBCC-4742-4299-9C25-96AC34847D76}"/>
    <cellStyle name="Normal 2 4 2 4 3 7" xfId="4686" xr:uid="{00000000-0005-0000-0000-0000720F0000}"/>
    <cellStyle name="Normal 2 4 2 4 3 7 2" xfId="13128" xr:uid="{82F556E2-69A9-4844-BC85-9CC7B178FEFF}"/>
    <cellStyle name="Normal 2 4 2 4 3 8" xfId="8910" xr:uid="{E87DDFAA-8CFD-463A-975F-571C3D8DD77A}"/>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82571798-80AD-4254-9473-113095753E11}"/>
    <cellStyle name="Normal 2 4 2 4 4 2 3" xfId="11466" xr:uid="{88F31138-CD4C-40A1-BA63-D0D0B31EA984}"/>
    <cellStyle name="Normal 2 4 2 4 4 3" xfId="5097" xr:uid="{00000000-0005-0000-0000-0000760F0000}"/>
    <cellStyle name="Normal 2 4 2 4 4 3 2" xfId="13539" xr:uid="{DD18BB7D-7920-4B6D-A76D-4AB310EAC508}"/>
    <cellStyle name="Normal 2 4 2 4 4 4" xfId="9321" xr:uid="{4ECB6C7C-ABD1-4A80-AF28-6F9AA972987B}"/>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F6FE661B-A29C-4A19-83C8-535F55DE9926}"/>
    <cellStyle name="Normal 2 4 2 4 5 2 3" xfId="11879" xr:uid="{BD250D69-CC6B-4386-A942-82C9B0316DC3}"/>
    <cellStyle name="Normal 2 4 2 4 5 3" xfId="5510" xr:uid="{00000000-0005-0000-0000-00007A0F0000}"/>
    <cellStyle name="Normal 2 4 2 4 5 3 2" xfId="13952" xr:uid="{A26C7ECE-EA08-4388-AA6B-098F73AD45FC}"/>
    <cellStyle name="Normal 2 4 2 4 5 4" xfId="9734" xr:uid="{DC9B0425-1167-4F0A-9C32-8C4E0E5E8174}"/>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BA57FD68-619C-4E87-A37B-C2C97F2DCB67}"/>
    <cellStyle name="Normal 2 4 2 4 6 2 3" xfId="12292" xr:uid="{5D84E9F1-8BC7-4D23-B332-AA00B17DAA3D}"/>
    <cellStyle name="Normal 2 4 2 4 6 3" xfId="5923" xr:uid="{00000000-0005-0000-0000-00007E0F0000}"/>
    <cellStyle name="Normal 2 4 2 4 6 3 2" xfId="14365" xr:uid="{82D6F6D2-269C-4FFD-857A-65D913D719E5}"/>
    <cellStyle name="Normal 2 4 2 4 6 4" xfId="10147" xr:uid="{C4F1DA8D-632D-4638-8F2A-22160B36BC22}"/>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57113C5C-6CD0-414D-AF74-904650CBBDA0}"/>
    <cellStyle name="Normal 2 4 2 4 7 2 3" xfId="12705" xr:uid="{8DC20D0B-FEBD-45AC-8684-8E1A44354223}"/>
    <cellStyle name="Normal 2 4 2 4 7 3" xfId="6336" xr:uid="{00000000-0005-0000-0000-0000820F0000}"/>
    <cellStyle name="Normal 2 4 2 4 7 3 2" xfId="14778" xr:uid="{1AFA144A-C723-4155-A2F9-324FC7504B57}"/>
    <cellStyle name="Normal 2 4 2 4 7 4" xfId="10560" xr:uid="{276A1C7F-590D-47A2-9B0D-2C8ECC677806}"/>
    <cellStyle name="Normal 2 4 2 4 8" xfId="2465" xr:uid="{00000000-0005-0000-0000-0000830F0000}"/>
    <cellStyle name="Normal 2 4 2 4 8 2" xfId="6749" xr:uid="{00000000-0005-0000-0000-0000840F0000}"/>
    <cellStyle name="Normal 2 4 2 4 8 2 2" xfId="15191" xr:uid="{96F8A970-940C-4A8E-8AD0-16F0E6F4F5C2}"/>
    <cellStyle name="Normal 2 4 2 4 8 3" xfId="10973" xr:uid="{71C860EC-4B33-4E27-B337-80C956ECB880}"/>
    <cellStyle name="Normal 2 4 2 4 9" xfId="4683" xr:uid="{00000000-0005-0000-0000-0000850F0000}"/>
    <cellStyle name="Normal 2 4 2 4 9 2" xfId="13125" xr:uid="{0ADD74B3-D236-4DC1-BBB7-93D435BAC4FC}"/>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1BDF84DA-9F61-4E3F-9D1F-B14CEC64DE7D}"/>
    <cellStyle name="Normal 2 4 2 5 2 2 2 3" xfId="11471" xr:uid="{23D159B6-9355-4B32-9552-417835027A21}"/>
    <cellStyle name="Normal 2 4 2 5 2 2 3" xfId="5102" xr:uid="{00000000-0005-0000-0000-00008B0F0000}"/>
    <cellStyle name="Normal 2 4 2 5 2 2 3 2" xfId="13544" xr:uid="{F0DEC203-15EE-4B0C-98C1-6058CBDC648A}"/>
    <cellStyle name="Normal 2 4 2 5 2 2 4" xfId="9326" xr:uid="{3E093E9A-0EF8-44FC-B09B-FC45E5CFBBB7}"/>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2BB3936F-B2CA-4608-A6DF-D14FFCCC6BB9}"/>
    <cellStyle name="Normal 2 4 2 5 2 3 2 3" xfId="11884" xr:uid="{5FBFF1FF-70C6-4CC2-A2D8-9F318A1A2F17}"/>
    <cellStyle name="Normal 2 4 2 5 2 3 3" xfId="5515" xr:uid="{00000000-0005-0000-0000-00008F0F0000}"/>
    <cellStyle name="Normal 2 4 2 5 2 3 3 2" xfId="13957" xr:uid="{8F21486A-AB41-43DD-BA89-1AAD66E46ADB}"/>
    <cellStyle name="Normal 2 4 2 5 2 3 4" xfId="9739" xr:uid="{CFC95D11-7E96-430F-98B3-FF45B2922F1F}"/>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7CD36FC0-46AB-43E8-945B-CCF3131138D6}"/>
    <cellStyle name="Normal 2 4 2 5 2 4 2 3" xfId="12297" xr:uid="{93DD90FA-9112-46E6-8E8C-1D3F7D5AFED6}"/>
    <cellStyle name="Normal 2 4 2 5 2 4 3" xfId="5928" xr:uid="{00000000-0005-0000-0000-0000930F0000}"/>
    <cellStyle name="Normal 2 4 2 5 2 4 3 2" xfId="14370" xr:uid="{DA16CE7D-CA5D-4015-8951-104FE186E210}"/>
    <cellStyle name="Normal 2 4 2 5 2 4 4" xfId="10152" xr:uid="{57857EF7-A34A-468A-B65F-1D965C6C728D}"/>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1BDA3B3C-CF2E-4644-8489-22E52395EB85}"/>
    <cellStyle name="Normal 2 4 2 5 2 5 2 3" xfId="12710" xr:uid="{A4824540-AF4F-4FAB-86CF-5C2459628821}"/>
    <cellStyle name="Normal 2 4 2 5 2 5 3" xfId="6341" xr:uid="{00000000-0005-0000-0000-0000970F0000}"/>
    <cellStyle name="Normal 2 4 2 5 2 5 3 2" xfId="14783" xr:uid="{8378C6BC-96B2-455F-94CB-669CFBB50B2D}"/>
    <cellStyle name="Normal 2 4 2 5 2 5 4" xfId="10565" xr:uid="{984BBD29-3057-4ED6-86B3-0FA54C72EF97}"/>
    <cellStyle name="Normal 2 4 2 5 2 6" xfId="2470" xr:uid="{00000000-0005-0000-0000-0000980F0000}"/>
    <cellStyle name="Normal 2 4 2 5 2 6 2" xfId="6754" xr:uid="{00000000-0005-0000-0000-0000990F0000}"/>
    <cellStyle name="Normal 2 4 2 5 2 6 2 2" xfId="15196" xr:uid="{61DF0CE2-D23C-4066-A9D1-91E47F43CC38}"/>
    <cellStyle name="Normal 2 4 2 5 2 6 3" xfId="10978" xr:uid="{A9F5FEAE-6CBF-4AB9-A1FC-E13A0B5D338C}"/>
    <cellStyle name="Normal 2 4 2 5 2 7" xfId="4688" xr:uid="{00000000-0005-0000-0000-00009A0F0000}"/>
    <cellStyle name="Normal 2 4 2 5 2 7 2" xfId="13130" xr:uid="{B44CEE63-5910-465E-A8DC-1BDE8352CD4A}"/>
    <cellStyle name="Normal 2 4 2 5 2 8" xfId="8912" xr:uid="{CA3F0DFB-A62A-4AEF-B864-1841D95D8E6E}"/>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91200200-91F6-4691-A803-3974AB90D31A}"/>
    <cellStyle name="Normal 2 4 2 5 3 2 3" xfId="11470" xr:uid="{282EE19B-3CD4-40E0-89E2-EA738EB22E8E}"/>
    <cellStyle name="Normal 2 4 2 5 3 3" xfId="5101" xr:uid="{00000000-0005-0000-0000-00009E0F0000}"/>
    <cellStyle name="Normal 2 4 2 5 3 3 2" xfId="13543" xr:uid="{7FB4BF5D-9926-4B19-B4BF-43D736D66409}"/>
    <cellStyle name="Normal 2 4 2 5 3 4" xfId="9325" xr:uid="{90D220AF-27E4-4EE1-96AB-CF901B2FBE07}"/>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CC1C3BCA-B465-48E4-BC98-D3D8E358C142}"/>
    <cellStyle name="Normal 2 4 2 5 4 2 3" xfId="11883" xr:uid="{3C957856-F5C6-4016-8EEE-B65D64A40E81}"/>
    <cellStyle name="Normal 2 4 2 5 4 3" xfId="5514" xr:uid="{00000000-0005-0000-0000-0000A20F0000}"/>
    <cellStyle name="Normal 2 4 2 5 4 3 2" xfId="13956" xr:uid="{02E8996E-EF8F-40C7-BB88-5F5C0A8590EC}"/>
    <cellStyle name="Normal 2 4 2 5 4 4" xfId="9738" xr:uid="{D9735108-64A4-4E70-BDE7-08DFB77274D6}"/>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AEFAB0CA-2731-4C58-B0F6-524912599E86}"/>
    <cellStyle name="Normal 2 4 2 5 5 2 3" xfId="12296" xr:uid="{4EA81BC8-757B-40EB-949B-BBF336D1A845}"/>
    <cellStyle name="Normal 2 4 2 5 5 3" xfId="5927" xr:uid="{00000000-0005-0000-0000-0000A60F0000}"/>
    <cellStyle name="Normal 2 4 2 5 5 3 2" xfId="14369" xr:uid="{E5BA5E32-A0A7-4B50-B5DE-0176E5525C4A}"/>
    <cellStyle name="Normal 2 4 2 5 5 4" xfId="10151" xr:uid="{A501EA4A-479B-44B8-9EB0-C08794DEDA02}"/>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815CF245-D755-4859-8AEB-4588DAF7EA92}"/>
    <cellStyle name="Normal 2 4 2 5 6 2 3" xfId="12709" xr:uid="{6B8795B9-7023-4DA5-9ABD-A05E1875552D}"/>
    <cellStyle name="Normal 2 4 2 5 6 3" xfId="6340" xr:uid="{00000000-0005-0000-0000-0000AA0F0000}"/>
    <cellStyle name="Normal 2 4 2 5 6 3 2" xfId="14782" xr:uid="{4EC0A713-BF27-4B38-9832-C6D23D27A9E6}"/>
    <cellStyle name="Normal 2 4 2 5 6 4" xfId="10564" xr:uid="{709F3DA7-EDD0-484E-9DB5-BA833E61D93A}"/>
    <cellStyle name="Normal 2 4 2 5 7" xfId="2469" xr:uid="{00000000-0005-0000-0000-0000AB0F0000}"/>
    <cellStyle name="Normal 2 4 2 5 7 2" xfId="6753" xr:uid="{00000000-0005-0000-0000-0000AC0F0000}"/>
    <cellStyle name="Normal 2 4 2 5 7 2 2" xfId="15195" xr:uid="{77E06A41-60A0-4DE7-B98F-892A7767A737}"/>
    <cellStyle name="Normal 2 4 2 5 7 3" xfId="10977" xr:uid="{0D89D6EB-C343-48CA-A775-0F9BE296138A}"/>
    <cellStyle name="Normal 2 4 2 5 8" xfId="4687" xr:uid="{00000000-0005-0000-0000-0000AD0F0000}"/>
    <cellStyle name="Normal 2 4 2 5 8 2" xfId="13129" xr:uid="{BFA81D3C-AFA6-4A91-AC5A-DEEBC1AD2E46}"/>
    <cellStyle name="Normal 2 4 2 5 9" xfId="8911" xr:uid="{411CA2AB-7B18-437D-A9BA-CC3BE9F7B006}"/>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987DA8F5-254E-46B7-BD3C-4D13BFE61598}"/>
    <cellStyle name="Normal 2 4 2 6 2 2 3" xfId="11472" xr:uid="{DBF61652-F1B8-434D-ACB2-771850E105CA}"/>
    <cellStyle name="Normal 2 4 2 6 2 3" xfId="5103" xr:uid="{00000000-0005-0000-0000-0000B20F0000}"/>
    <cellStyle name="Normal 2 4 2 6 2 3 2" xfId="13545" xr:uid="{17B85DCC-422E-43E1-8874-1C3CD0934B01}"/>
    <cellStyle name="Normal 2 4 2 6 2 4" xfId="9327" xr:uid="{9D39FB8B-9AD3-4E0B-9280-16CF311C3C2C}"/>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ED5E3413-E0A4-4178-9D73-45C5CAA782A6}"/>
    <cellStyle name="Normal 2 4 2 6 3 2 3" xfId="11885" xr:uid="{FA6C8E99-83FE-4A8E-B91B-9E8D7300C478}"/>
    <cellStyle name="Normal 2 4 2 6 3 3" xfId="5516" xr:uid="{00000000-0005-0000-0000-0000B60F0000}"/>
    <cellStyle name="Normal 2 4 2 6 3 3 2" xfId="13958" xr:uid="{BB0D9487-C278-43C7-BD4C-1E97C1C52516}"/>
    <cellStyle name="Normal 2 4 2 6 3 4" xfId="9740" xr:uid="{6DF3D3AA-8500-4703-A350-C99CCC2CF945}"/>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CD9B0006-D803-497B-951B-907C7D314791}"/>
    <cellStyle name="Normal 2 4 2 6 4 2 3" xfId="12298" xr:uid="{7794B242-F512-4FE3-86DB-CB964B4BED93}"/>
    <cellStyle name="Normal 2 4 2 6 4 3" xfId="5929" xr:uid="{00000000-0005-0000-0000-0000BA0F0000}"/>
    <cellStyle name="Normal 2 4 2 6 4 3 2" xfId="14371" xr:uid="{B5B23860-6A07-424B-B987-95852C0B2D24}"/>
    <cellStyle name="Normal 2 4 2 6 4 4" xfId="10153" xr:uid="{B12E0EEF-EDEE-4B94-92AC-CD4FC8B97BB2}"/>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A2BBF509-B462-41D0-A7C6-6E7C16F85CC3}"/>
    <cellStyle name="Normal 2 4 2 6 5 2 3" xfId="12711" xr:uid="{4177A3BC-8097-4527-9F5C-FB21302F786F}"/>
    <cellStyle name="Normal 2 4 2 6 5 3" xfId="6342" xr:uid="{00000000-0005-0000-0000-0000BE0F0000}"/>
    <cellStyle name="Normal 2 4 2 6 5 3 2" xfId="14784" xr:uid="{78B92E5C-91CC-4029-BCB5-785EF62F520C}"/>
    <cellStyle name="Normal 2 4 2 6 5 4" xfId="10566" xr:uid="{4F94244B-DC33-4C32-BEE8-F030BAECBFDC}"/>
    <cellStyle name="Normal 2 4 2 6 6" xfId="2471" xr:uid="{00000000-0005-0000-0000-0000BF0F0000}"/>
    <cellStyle name="Normal 2 4 2 6 6 2" xfId="6755" xr:uid="{00000000-0005-0000-0000-0000C00F0000}"/>
    <cellStyle name="Normal 2 4 2 6 6 2 2" xfId="15197" xr:uid="{15D97FB4-CEFA-4CD7-B062-D8FFC16BA660}"/>
    <cellStyle name="Normal 2 4 2 6 6 3" xfId="10979" xr:uid="{9F04A9AE-7E19-4D7F-914F-233B1427EDFE}"/>
    <cellStyle name="Normal 2 4 2 6 7" xfId="4689" xr:uid="{00000000-0005-0000-0000-0000C10F0000}"/>
    <cellStyle name="Normal 2 4 2 6 7 2" xfId="13131" xr:uid="{19CC176D-37B4-4FD2-A627-CBEA762FB8FB}"/>
    <cellStyle name="Normal 2 4 2 6 8" xfId="8913" xr:uid="{74D0C308-33DC-449B-AB68-9471919939FE}"/>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E18D70D2-62A6-440D-925D-B0D9DE6B5BAF}"/>
    <cellStyle name="Normal 2 4 2 7 2 3" xfId="11457" xr:uid="{CAC42FF8-70D4-4FA1-9E9A-5616DCD215A1}"/>
    <cellStyle name="Normal 2 4 2 7 3" xfId="5088" xr:uid="{00000000-0005-0000-0000-0000C50F0000}"/>
    <cellStyle name="Normal 2 4 2 7 3 2" xfId="13530" xr:uid="{D5030790-E905-43F9-A748-0B03365AB698}"/>
    <cellStyle name="Normal 2 4 2 7 4" xfId="9312" xr:uid="{47210757-29DA-47EB-BF41-0ABBC0DF03EB}"/>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CF73CFF2-24E9-4BAA-9289-AA7B3CB70473}"/>
    <cellStyle name="Normal 2 4 2 8 2 3" xfId="11870" xr:uid="{363C7AFA-7729-4F7D-A417-3CDA8635A457}"/>
    <cellStyle name="Normal 2 4 2 8 3" xfId="5501" xr:uid="{00000000-0005-0000-0000-0000C90F0000}"/>
    <cellStyle name="Normal 2 4 2 8 3 2" xfId="13943" xr:uid="{C23F243F-A917-4F8F-B8B8-DB838AEEEDD5}"/>
    <cellStyle name="Normal 2 4 2 8 4" xfId="9725" xr:uid="{4BC4674C-4EF5-4C79-A72E-7156F249773A}"/>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5FCB2C7E-A99D-47DA-8F9A-68DFBA1AFD58}"/>
    <cellStyle name="Normal 2 4 2 9 2 3" xfId="12283" xr:uid="{A027D863-0126-4A15-9027-E0B8FD874A0D}"/>
    <cellStyle name="Normal 2 4 2 9 3" xfId="5914" xr:uid="{00000000-0005-0000-0000-0000CD0F0000}"/>
    <cellStyle name="Normal 2 4 2 9 3 2" xfId="14356" xr:uid="{11D86DD9-47B2-4268-9EAF-DEFAB4C24E25}"/>
    <cellStyle name="Normal 2 4 2 9 4" xfId="10138" xr:uid="{1C7B50B1-8F25-440A-9FE6-DAD0CE9E4970}"/>
    <cellStyle name="Normal 2 4 3" xfId="296" xr:uid="{00000000-0005-0000-0000-0000CE0F0000}"/>
    <cellStyle name="Normal 2 4 3 10" xfId="8914" xr:uid="{4AD382E0-65CC-4F1C-90D7-628724C85241}"/>
    <cellStyle name="Normal 2 4 3 2" xfId="297" xr:uid="{00000000-0005-0000-0000-0000CF0F0000}"/>
    <cellStyle name="Normal 2 4 3 3" xfId="298" xr:uid="{00000000-0005-0000-0000-0000D00F0000}"/>
    <cellStyle name="Normal 2 4 3 3 10" xfId="8915" xr:uid="{91F5915E-5DCB-47E6-9547-3367C49C06C3}"/>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E0E6005B-E33B-4340-A72C-7250F6CCF96D}"/>
    <cellStyle name="Normal 2 4 3 3 2 2 2 2 3" xfId="11476" xr:uid="{E192EDF8-C885-490A-B906-3159C88008C6}"/>
    <cellStyle name="Normal 2 4 3 3 2 2 2 3" xfId="5107" xr:uid="{00000000-0005-0000-0000-0000D60F0000}"/>
    <cellStyle name="Normal 2 4 3 3 2 2 2 3 2" xfId="13549" xr:uid="{9D4D4A39-B43B-43BD-B5C6-6337C5D17EDF}"/>
    <cellStyle name="Normal 2 4 3 3 2 2 2 4" xfId="9331" xr:uid="{F480BFC1-756B-496D-8444-2B7F05FDC0A6}"/>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6E53FB08-F5C0-4443-A44E-3D291523B723}"/>
    <cellStyle name="Normal 2 4 3 3 2 2 3 2 3" xfId="11889" xr:uid="{B7957F85-8617-471B-A099-2E7DE7032204}"/>
    <cellStyle name="Normal 2 4 3 3 2 2 3 3" xfId="5520" xr:uid="{00000000-0005-0000-0000-0000DA0F0000}"/>
    <cellStyle name="Normal 2 4 3 3 2 2 3 3 2" xfId="13962" xr:uid="{1447D61D-0299-48C9-ADF5-A62077463C71}"/>
    <cellStyle name="Normal 2 4 3 3 2 2 3 4" xfId="9744" xr:uid="{6922166D-505F-4291-B10A-C7BA405796CA}"/>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0E6C9B4B-EA0D-41D3-92DE-C98774D1E7E2}"/>
    <cellStyle name="Normal 2 4 3 3 2 2 4 2 3" xfId="12302" xr:uid="{122F64D2-2E47-42EC-9372-5CE293F57D0A}"/>
    <cellStyle name="Normal 2 4 3 3 2 2 4 3" xfId="5933" xr:uid="{00000000-0005-0000-0000-0000DE0F0000}"/>
    <cellStyle name="Normal 2 4 3 3 2 2 4 3 2" xfId="14375" xr:uid="{65A4C492-5F61-4CD2-90C5-4864CF9D70A2}"/>
    <cellStyle name="Normal 2 4 3 3 2 2 4 4" xfId="10157" xr:uid="{7A868738-E88A-407D-A932-EB81BB04862B}"/>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0ADFE592-2CD3-40DF-8BAB-2DE7FDADE23D}"/>
    <cellStyle name="Normal 2 4 3 3 2 2 5 2 3" xfId="12715" xr:uid="{37A3A44B-327F-4D55-844B-2C9F1ED3CEA3}"/>
    <cellStyle name="Normal 2 4 3 3 2 2 5 3" xfId="6346" xr:uid="{00000000-0005-0000-0000-0000E20F0000}"/>
    <cellStyle name="Normal 2 4 3 3 2 2 5 3 2" xfId="14788" xr:uid="{56D01F76-9C53-45A5-822B-EC0A5FD70EBA}"/>
    <cellStyle name="Normal 2 4 3 3 2 2 5 4" xfId="10570" xr:uid="{79FE2EE7-4464-462A-B3CC-D5A89DF7E437}"/>
    <cellStyle name="Normal 2 4 3 3 2 2 6" xfId="2475" xr:uid="{00000000-0005-0000-0000-0000E30F0000}"/>
    <cellStyle name="Normal 2 4 3 3 2 2 6 2" xfId="6759" xr:uid="{00000000-0005-0000-0000-0000E40F0000}"/>
    <cellStyle name="Normal 2 4 3 3 2 2 6 2 2" xfId="15201" xr:uid="{D4D1F316-D128-416D-9768-A77C614C4742}"/>
    <cellStyle name="Normal 2 4 3 3 2 2 6 3" xfId="10983" xr:uid="{DACDF147-9096-4F5E-8823-98ADBD29938F}"/>
    <cellStyle name="Normal 2 4 3 3 2 2 7" xfId="4693" xr:uid="{00000000-0005-0000-0000-0000E50F0000}"/>
    <cellStyle name="Normal 2 4 3 3 2 2 7 2" xfId="13135" xr:uid="{2ACAFCD5-671F-438C-9E0E-367C1C26E89E}"/>
    <cellStyle name="Normal 2 4 3 3 2 2 8" xfId="8917" xr:uid="{4F17C688-98C2-4B1F-AF8C-775C81257719}"/>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C6F70897-35C5-4043-AC96-E7797AFE5647}"/>
    <cellStyle name="Normal 2 4 3 3 2 3 2 3" xfId="11475" xr:uid="{DABFBB0C-4BA3-4469-8A68-58F9A6A5BA30}"/>
    <cellStyle name="Normal 2 4 3 3 2 3 3" xfId="5106" xr:uid="{00000000-0005-0000-0000-0000E90F0000}"/>
    <cellStyle name="Normal 2 4 3 3 2 3 3 2" xfId="13548" xr:uid="{32334749-7166-4AE5-B7ED-EEE13B058755}"/>
    <cellStyle name="Normal 2 4 3 3 2 3 4" xfId="9330" xr:uid="{21B0F3E8-54A5-40DF-8205-BF1D7DE42077}"/>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90EE801F-8663-42AC-9C5D-543BE594BA95}"/>
    <cellStyle name="Normal 2 4 3 3 2 4 2 3" xfId="11888" xr:uid="{495E90D7-B3CA-42F5-A22E-E9D76244DF7D}"/>
    <cellStyle name="Normal 2 4 3 3 2 4 3" xfId="5519" xr:uid="{00000000-0005-0000-0000-0000ED0F0000}"/>
    <cellStyle name="Normal 2 4 3 3 2 4 3 2" xfId="13961" xr:uid="{B8B66127-9714-479E-86F7-BA3868174697}"/>
    <cellStyle name="Normal 2 4 3 3 2 4 4" xfId="9743" xr:uid="{096CF6B6-0F6F-4789-866C-B4DDE232711D}"/>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5886C829-553B-4878-BFFF-88C3A46A8440}"/>
    <cellStyle name="Normal 2 4 3 3 2 5 2 3" xfId="12301" xr:uid="{B29A9DA6-F512-4855-873A-A014C93BA85D}"/>
    <cellStyle name="Normal 2 4 3 3 2 5 3" xfId="5932" xr:uid="{00000000-0005-0000-0000-0000F10F0000}"/>
    <cellStyle name="Normal 2 4 3 3 2 5 3 2" xfId="14374" xr:uid="{6F6350A8-F712-4782-A871-53DC5680DA52}"/>
    <cellStyle name="Normal 2 4 3 3 2 5 4" xfId="10156" xr:uid="{F7C9A18A-06EE-4DB3-A61D-55B87BCED20B}"/>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4B4A519D-696C-4232-91BC-5B4F9D5480C3}"/>
    <cellStyle name="Normal 2 4 3 3 2 6 2 3" xfId="12714" xr:uid="{8EF7724F-6AFA-4FCB-907B-B96D51AEBD56}"/>
    <cellStyle name="Normal 2 4 3 3 2 6 3" xfId="6345" xr:uid="{00000000-0005-0000-0000-0000F50F0000}"/>
    <cellStyle name="Normal 2 4 3 3 2 6 3 2" xfId="14787" xr:uid="{8358C0D7-B875-4337-A085-9D20338BFC42}"/>
    <cellStyle name="Normal 2 4 3 3 2 6 4" xfId="10569" xr:uid="{E5C51CFE-3109-4267-9E59-ABC5574E433B}"/>
    <cellStyle name="Normal 2 4 3 3 2 7" xfId="2474" xr:uid="{00000000-0005-0000-0000-0000F60F0000}"/>
    <cellStyle name="Normal 2 4 3 3 2 7 2" xfId="6758" xr:uid="{00000000-0005-0000-0000-0000F70F0000}"/>
    <cellStyle name="Normal 2 4 3 3 2 7 2 2" xfId="15200" xr:uid="{C8E18B08-4FB3-48AF-9D98-080EF7533DDB}"/>
    <cellStyle name="Normal 2 4 3 3 2 7 3" xfId="10982" xr:uid="{03094491-7C67-4C17-9175-E62223D4D52C}"/>
    <cellStyle name="Normal 2 4 3 3 2 8" xfId="4692" xr:uid="{00000000-0005-0000-0000-0000F80F0000}"/>
    <cellStyle name="Normal 2 4 3 3 2 8 2" xfId="13134" xr:uid="{79FF8A2E-E818-4BE9-B8AC-C2FCCFB7EE52}"/>
    <cellStyle name="Normal 2 4 3 3 2 9" xfId="8916" xr:uid="{1C504665-5764-4778-99C1-52D3B55F891D}"/>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B1DFBDCD-0411-48F2-8EFE-8BAE652C0E16}"/>
    <cellStyle name="Normal 2 4 3 3 3 2 2 3" xfId="11477" xr:uid="{42AF5356-2A2A-4478-8FF1-26F34BCEC672}"/>
    <cellStyle name="Normal 2 4 3 3 3 2 3" xfId="5108" xr:uid="{00000000-0005-0000-0000-0000FD0F0000}"/>
    <cellStyle name="Normal 2 4 3 3 3 2 3 2" xfId="13550" xr:uid="{EB9D2786-020A-44ED-84ED-175BCBD2CEC6}"/>
    <cellStyle name="Normal 2 4 3 3 3 2 4" xfId="9332" xr:uid="{081FE4E5-17A2-4C2E-A818-674DB4894825}"/>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82110B15-9229-4D42-8D98-85BE83914338}"/>
    <cellStyle name="Normal 2 4 3 3 3 3 2 3" xfId="11890" xr:uid="{0E16FC2D-D016-46CF-AEED-E3BEE1B03096}"/>
    <cellStyle name="Normal 2 4 3 3 3 3 3" xfId="5521" xr:uid="{00000000-0005-0000-0000-000001100000}"/>
    <cellStyle name="Normal 2 4 3 3 3 3 3 2" xfId="13963" xr:uid="{606CADAA-BE08-4EAF-9C17-755D911A2C1E}"/>
    <cellStyle name="Normal 2 4 3 3 3 3 4" xfId="9745" xr:uid="{5FCF958D-84E7-4A16-A57E-B2F591C55B98}"/>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B824CEEE-FCFF-44E3-AB03-9297CDA5C705}"/>
    <cellStyle name="Normal 2 4 3 3 3 4 2 3" xfId="12303" xr:uid="{0B75C34A-5641-4CAF-A61E-2C0757679285}"/>
    <cellStyle name="Normal 2 4 3 3 3 4 3" xfId="5934" xr:uid="{00000000-0005-0000-0000-000005100000}"/>
    <cellStyle name="Normal 2 4 3 3 3 4 3 2" xfId="14376" xr:uid="{B25FF587-9B2C-49E7-ADAB-85F72E500252}"/>
    <cellStyle name="Normal 2 4 3 3 3 4 4" xfId="10158" xr:uid="{155EC163-30F8-4F57-AE2E-0038085CD0BA}"/>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3456FB8E-B99F-4874-9D7B-8D6D1B10BED6}"/>
    <cellStyle name="Normal 2 4 3 3 3 5 2 3" xfId="12716" xr:uid="{B0B961A3-AADD-4C81-A7A1-B149330E3DB5}"/>
    <cellStyle name="Normal 2 4 3 3 3 5 3" xfId="6347" xr:uid="{00000000-0005-0000-0000-000009100000}"/>
    <cellStyle name="Normal 2 4 3 3 3 5 3 2" xfId="14789" xr:uid="{0D118DB6-631A-48F2-8B0A-FC212E58F6CE}"/>
    <cellStyle name="Normal 2 4 3 3 3 5 4" xfId="10571" xr:uid="{F5657460-7A67-4E8A-8850-AD2EDA32F057}"/>
    <cellStyle name="Normal 2 4 3 3 3 6" xfId="2476" xr:uid="{00000000-0005-0000-0000-00000A100000}"/>
    <cellStyle name="Normal 2 4 3 3 3 6 2" xfId="6760" xr:uid="{00000000-0005-0000-0000-00000B100000}"/>
    <cellStyle name="Normal 2 4 3 3 3 6 2 2" xfId="15202" xr:uid="{EFB242CC-613A-44F8-A162-9C92CE23CA35}"/>
    <cellStyle name="Normal 2 4 3 3 3 6 3" xfId="10984" xr:uid="{E01D1A07-5882-436B-8F42-BD20FFBA6D81}"/>
    <cellStyle name="Normal 2 4 3 3 3 7" xfId="4694" xr:uid="{00000000-0005-0000-0000-00000C100000}"/>
    <cellStyle name="Normal 2 4 3 3 3 7 2" xfId="13136" xr:uid="{799D4198-0D70-4DB0-89B2-1FAA379F1860}"/>
    <cellStyle name="Normal 2 4 3 3 3 8" xfId="8918" xr:uid="{1B4DE725-FDF5-4B42-88B5-7EDB028DB8B0}"/>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2F15F843-AD87-4612-9985-8D33CD885B25}"/>
    <cellStyle name="Normal 2 4 3 3 4 2 3" xfId="11474" xr:uid="{3E0C43D4-050A-4896-B1C5-42A0DF09357C}"/>
    <cellStyle name="Normal 2 4 3 3 4 3" xfId="5105" xr:uid="{00000000-0005-0000-0000-000010100000}"/>
    <cellStyle name="Normal 2 4 3 3 4 3 2" xfId="13547" xr:uid="{66A8D884-E470-4283-B936-6AAB14F1FCE8}"/>
    <cellStyle name="Normal 2 4 3 3 4 4" xfId="9329" xr:uid="{635F58C5-4212-4584-8659-349AFC76761C}"/>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3D8F2B0E-56B7-4803-BFC2-0917A92FD48A}"/>
    <cellStyle name="Normal 2 4 3 3 5 2 3" xfId="11887" xr:uid="{74A9BF12-B56D-44FA-A431-AD45384F37DB}"/>
    <cellStyle name="Normal 2 4 3 3 5 3" xfId="5518" xr:uid="{00000000-0005-0000-0000-000014100000}"/>
    <cellStyle name="Normal 2 4 3 3 5 3 2" xfId="13960" xr:uid="{3F93F09F-6C13-48E7-AA0C-72C731ACE21F}"/>
    <cellStyle name="Normal 2 4 3 3 5 4" xfId="9742" xr:uid="{42448BB5-EC03-4911-B2B2-4A8D2CC87807}"/>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C1742479-1D86-43EB-8746-3B0B30B68FC8}"/>
    <cellStyle name="Normal 2 4 3 3 6 2 3" xfId="12300" xr:uid="{650885CA-317F-41BB-8224-60849A74E78F}"/>
    <cellStyle name="Normal 2 4 3 3 6 3" xfId="5931" xr:uid="{00000000-0005-0000-0000-000018100000}"/>
    <cellStyle name="Normal 2 4 3 3 6 3 2" xfId="14373" xr:uid="{EBA66689-36BF-4A4E-BE80-0E5BC3AAF535}"/>
    <cellStyle name="Normal 2 4 3 3 6 4" xfId="10155" xr:uid="{BCF14957-F813-4609-8212-4530DADD2842}"/>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65DAEBFB-D45E-4D79-98E5-C97AA5401B19}"/>
    <cellStyle name="Normal 2 4 3 3 7 2 3" xfId="12713" xr:uid="{26F3CC33-2EBF-4208-842A-F780E373D3E6}"/>
    <cellStyle name="Normal 2 4 3 3 7 3" xfId="6344" xr:uid="{00000000-0005-0000-0000-00001C100000}"/>
    <cellStyle name="Normal 2 4 3 3 7 3 2" xfId="14786" xr:uid="{6DA8F0B0-A532-423A-9873-47503BE28B64}"/>
    <cellStyle name="Normal 2 4 3 3 7 4" xfId="10568" xr:uid="{C8437269-8B00-446C-9668-6C7B0C64CBF7}"/>
    <cellStyle name="Normal 2 4 3 3 8" xfId="2473" xr:uid="{00000000-0005-0000-0000-00001D100000}"/>
    <cellStyle name="Normal 2 4 3 3 8 2" xfId="6757" xr:uid="{00000000-0005-0000-0000-00001E100000}"/>
    <cellStyle name="Normal 2 4 3 3 8 2 2" xfId="15199" xr:uid="{3053C3F2-AF38-448C-9B66-AE8060FE4CB1}"/>
    <cellStyle name="Normal 2 4 3 3 8 3" xfId="10981" xr:uid="{A37E1F25-1CBF-4C67-9CFA-402FD699BDBF}"/>
    <cellStyle name="Normal 2 4 3 3 9" xfId="4691" xr:uid="{00000000-0005-0000-0000-00001F100000}"/>
    <cellStyle name="Normal 2 4 3 3 9 2" xfId="13133" xr:uid="{5B49937A-6C82-4EC3-AEEC-63C1DA202B5D}"/>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B3C749B0-49AA-482F-B2A7-492BAEDB25C0}"/>
    <cellStyle name="Normal 2 4 3 4 2 3" xfId="11473" xr:uid="{812328B1-9477-478C-A06B-BAA6DB142B82}"/>
    <cellStyle name="Normal 2 4 3 4 3" xfId="5104" xr:uid="{00000000-0005-0000-0000-000023100000}"/>
    <cellStyle name="Normal 2 4 3 4 3 2" xfId="13546" xr:uid="{7AB793BB-C5D1-43CB-BCEF-A9A6B1E4436D}"/>
    <cellStyle name="Normal 2 4 3 4 4" xfId="9328" xr:uid="{EB04517E-AE65-4CAC-918D-7CEA335E8632}"/>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E52FAE85-902C-4A18-BE61-3BA88703D8A1}"/>
    <cellStyle name="Normal 2 4 3 5 2 3" xfId="11886" xr:uid="{D4411DF9-5C9E-4D80-930F-245747138A57}"/>
    <cellStyle name="Normal 2 4 3 5 3" xfId="5517" xr:uid="{00000000-0005-0000-0000-000027100000}"/>
    <cellStyle name="Normal 2 4 3 5 3 2" xfId="13959" xr:uid="{43E25E5D-7D28-4EB5-B837-D983330669E3}"/>
    <cellStyle name="Normal 2 4 3 5 4" xfId="9741" xr:uid="{64156A7F-974A-4CAF-A8B5-3FDBCC5F91B0}"/>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E2E51AA7-B7F2-408E-9C02-D7608ED09A86}"/>
    <cellStyle name="Normal 2 4 3 6 2 3" xfId="12299" xr:uid="{E969CB29-0937-4C92-81A3-1E6C2EF88E13}"/>
    <cellStyle name="Normal 2 4 3 6 3" xfId="5930" xr:uid="{00000000-0005-0000-0000-00002B100000}"/>
    <cellStyle name="Normal 2 4 3 6 3 2" xfId="14372" xr:uid="{45987560-9338-44B3-86A8-375E6497533F}"/>
    <cellStyle name="Normal 2 4 3 6 4" xfId="10154" xr:uid="{715CC929-B215-4BB6-8559-1A674040ED67}"/>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641C43A1-192E-4B40-BFD5-7A618251E6F6}"/>
    <cellStyle name="Normal 2 4 3 7 2 3" xfId="12712" xr:uid="{9FB3F0F7-21AE-4627-AF69-69B9A5E810F6}"/>
    <cellStyle name="Normal 2 4 3 7 3" xfId="6343" xr:uid="{00000000-0005-0000-0000-00002F100000}"/>
    <cellStyle name="Normal 2 4 3 7 3 2" xfId="14785" xr:uid="{7BDCC709-E9B6-4D64-87CF-7C049619933E}"/>
    <cellStyle name="Normal 2 4 3 7 4" xfId="10567" xr:uid="{5E1C38E4-A448-43AF-8B8F-84AFC8DE5EC6}"/>
    <cellStyle name="Normal 2 4 3 8" xfId="2472" xr:uid="{00000000-0005-0000-0000-000030100000}"/>
    <cellStyle name="Normal 2 4 3 8 2" xfId="6756" xr:uid="{00000000-0005-0000-0000-000031100000}"/>
    <cellStyle name="Normal 2 4 3 8 2 2" xfId="15198" xr:uid="{6408FE89-39C3-4B18-845B-743DFF8015FA}"/>
    <cellStyle name="Normal 2 4 3 8 3" xfId="10980" xr:uid="{026714FD-EC24-4F9C-B7EF-EE2640BEA144}"/>
    <cellStyle name="Normal 2 4 3 9" xfId="4690" xr:uid="{00000000-0005-0000-0000-000032100000}"/>
    <cellStyle name="Normal 2 4 3 9 2" xfId="13132" xr:uid="{E237252B-4D8B-4903-9971-E6432271CC55}"/>
    <cellStyle name="Normal 2 4 4" xfId="302" xr:uid="{00000000-0005-0000-0000-000033100000}"/>
    <cellStyle name="Normal 2 4 5" xfId="303" xr:uid="{00000000-0005-0000-0000-000034100000}"/>
    <cellStyle name="Normal 2 4 5 10" xfId="4695" xr:uid="{00000000-0005-0000-0000-000035100000}"/>
    <cellStyle name="Normal 2 4 5 10 2" xfId="13137" xr:uid="{607EA901-BD4C-4DAE-BB18-C61D65650821}"/>
    <cellStyle name="Normal 2 4 5 11" xfId="8919" xr:uid="{FEDA9AA6-0C4D-4F93-B4D3-91EE5C99F1D2}"/>
    <cellStyle name="Normal 2 4 5 2" xfId="304" xr:uid="{00000000-0005-0000-0000-000036100000}"/>
    <cellStyle name="Normal 2 4 5 2 10" xfId="8920" xr:uid="{FD8B95BC-E88D-4F99-9C31-499122B0D23B}"/>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DA736C2C-6F3B-4C33-B5DF-3281C5D45B7B}"/>
    <cellStyle name="Normal 2 4 5 2 2 2 2 2 3" xfId="11481" xr:uid="{7A4EFFE9-AB09-4D75-87DA-B5D7775F730A}"/>
    <cellStyle name="Normal 2 4 5 2 2 2 2 3" xfId="5112" xr:uid="{00000000-0005-0000-0000-00003C100000}"/>
    <cellStyle name="Normal 2 4 5 2 2 2 2 3 2" xfId="13554" xr:uid="{46A0E210-0EC5-485D-B3F8-F9B0A4809FD4}"/>
    <cellStyle name="Normal 2 4 5 2 2 2 2 4" xfId="9336" xr:uid="{B956942D-3D63-491C-B7E9-0861F4F29967}"/>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586889B6-8B82-4B95-9F3A-E29CF7494DFE}"/>
    <cellStyle name="Normal 2 4 5 2 2 2 3 2 3" xfId="11894" xr:uid="{5543762F-7C94-4E2B-BC8E-BBBC55EF5472}"/>
    <cellStyle name="Normal 2 4 5 2 2 2 3 3" xfId="5525" xr:uid="{00000000-0005-0000-0000-000040100000}"/>
    <cellStyle name="Normal 2 4 5 2 2 2 3 3 2" xfId="13967" xr:uid="{1BEEB3B4-41C0-46CE-A383-08A60A9BA260}"/>
    <cellStyle name="Normal 2 4 5 2 2 2 3 4" xfId="9749" xr:uid="{D5BD0D43-8ABD-46D2-9D3B-D74335F449BF}"/>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9EDC531A-08A3-4EFE-97E1-0366B1A87600}"/>
    <cellStyle name="Normal 2 4 5 2 2 2 4 2 3" xfId="12307" xr:uid="{B34F3A9C-D6A9-4EEB-9428-D843F4788B7F}"/>
    <cellStyle name="Normal 2 4 5 2 2 2 4 3" xfId="5938" xr:uid="{00000000-0005-0000-0000-000044100000}"/>
    <cellStyle name="Normal 2 4 5 2 2 2 4 3 2" xfId="14380" xr:uid="{A5279AB1-A559-4233-9429-2E42817F465B}"/>
    <cellStyle name="Normal 2 4 5 2 2 2 4 4" xfId="10162" xr:uid="{18931E6B-F177-4B7D-A9E6-73A3CF6F253E}"/>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204FADDC-D46C-447C-A9DB-EA4F041033FE}"/>
    <cellStyle name="Normal 2 4 5 2 2 2 5 2 3" xfId="12720" xr:uid="{038FC6A2-DC2E-408A-A282-909C0EA2633D}"/>
    <cellStyle name="Normal 2 4 5 2 2 2 5 3" xfId="6351" xr:uid="{00000000-0005-0000-0000-000048100000}"/>
    <cellStyle name="Normal 2 4 5 2 2 2 5 3 2" xfId="14793" xr:uid="{8248B12A-1E4A-4179-9DD6-6D0207D490F2}"/>
    <cellStyle name="Normal 2 4 5 2 2 2 5 4" xfId="10575" xr:uid="{B3F3F13A-082E-4CA5-B546-61007FFCE6D8}"/>
    <cellStyle name="Normal 2 4 5 2 2 2 6" xfId="2480" xr:uid="{00000000-0005-0000-0000-000049100000}"/>
    <cellStyle name="Normal 2 4 5 2 2 2 6 2" xfId="6764" xr:uid="{00000000-0005-0000-0000-00004A100000}"/>
    <cellStyle name="Normal 2 4 5 2 2 2 6 2 2" xfId="15206" xr:uid="{76CCE884-02D2-4A41-A76F-5A43C49C1216}"/>
    <cellStyle name="Normal 2 4 5 2 2 2 6 3" xfId="10988" xr:uid="{C7DFE500-69AC-4BE2-8E4F-E9D242E5D497}"/>
    <cellStyle name="Normal 2 4 5 2 2 2 7" xfId="4698" xr:uid="{00000000-0005-0000-0000-00004B100000}"/>
    <cellStyle name="Normal 2 4 5 2 2 2 7 2" xfId="13140" xr:uid="{4D093449-8B68-41FB-B3CA-4F24C98A2923}"/>
    <cellStyle name="Normal 2 4 5 2 2 2 8" xfId="8922" xr:uid="{FB275045-6390-46F3-9821-E3146FBFE50C}"/>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3C67F0DE-6A08-4ABB-9D5E-731BA87170E2}"/>
    <cellStyle name="Normal 2 4 5 2 2 3 2 3" xfId="11480" xr:uid="{42E1D213-B368-46AB-B42D-0022C2B80359}"/>
    <cellStyle name="Normal 2 4 5 2 2 3 3" xfId="5111" xr:uid="{00000000-0005-0000-0000-00004F100000}"/>
    <cellStyle name="Normal 2 4 5 2 2 3 3 2" xfId="13553" xr:uid="{0CF8F670-DBB6-414D-8AC0-25DF4F3B0898}"/>
    <cellStyle name="Normal 2 4 5 2 2 3 4" xfId="9335" xr:uid="{3827C802-AA92-4FEF-AB7B-D7D60514B6FB}"/>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E6610305-E188-4918-9979-2683209B4432}"/>
    <cellStyle name="Normal 2 4 5 2 2 4 2 3" xfId="11893" xr:uid="{078AA93F-F455-4539-9623-D31883EF14A7}"/>
    <cellStyle name="Normal 2 4 5 2 2 4 3" xfId="5524" xr:uid="{00000000-0005-0000-0000-000053100000}"/>
    <cellStyle name="Normal 2 4 5 2 2 4 3 2" xfId="13966" xr:uid="{95CF39B3-CDCD-4D1E-B22B-3A4792EEA625}"/>
    <cellStyle name="Normal 2 4 5 2 2 4 4" xfId="9748" xr:uid="{B0F99E8C-BA7B-43E9-84A2-8315468F31AC}"/>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5FB9889B-93A4-4257-86EA-6A207CF9BDB7}"/>
    <cellStyle name="Normal 2 4 5 2 2 5 2 3" xfId="12306" xr:uid="{9280DAF9-8BCC-4D23-A657-76C4CA3939DD}"/>
    <cellStyle name="Normal 2 4 5 2 2 5 3" xfId="5937" xr:uid="{00000000-0005-0000-0000-000057100000}"/>
    <cellStyle name="Normal 2 4 5 2 2 5 3 2" xfId="14379" xr:uid="{D76E8B62-E40D-4C4A-B370-94292B16DE9A}"/>
    <cellStyle name="Normal 2 4 5 2 2 5 4" xfId="10161" xr:uid="{E3A2AA46-C0CD-41AA-90A9-40EBAF8A3D9F}"/>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E3D0E3D2-482E-4FC6-ACE3-1BEF0F526E31}"/>
    <cellStyle name="Normal 2 4 5 2 2 6 2 3" xfId="12719" xr:uid="{D23BB25E-8016-487D-BE50-179545CE3756}"/>
    <cellStyle name="Normal 2 4 5 2 2 6 3" xfId="6350" xr:uid="{00000000-0005-0000-0000-00005B100000}"/>
    <cellStyle name="Normal 2 4 5 2 2 6 3 2" xfId="14792" xr:uid="{6CCEE227-EA8F-48BE-938A-4B07877C2685}"/>
    <cellStyle name="Normal 2 4 5 2 2 6 4" xfId="10574" xr:uid="{FEC38084-C35E-48F2-ADB2-5667DB060E36}"/>
    <cellStyle name="Normal 2 4 5 2 2 7" xfId="2479" xr:uid="{00000000-0005-0000-0000-00005C100000}"/>
    <cellStyle name="Normal 2 4 5 2 2 7 2" xfId="6763" xr:uid="{00000000-0005-0000-0000-00005D100000}"/>
    <cellStyle name="Normal 2 4 5 2 2 7 2 2" xfId="15205" xr:uid="{74891620-B4D7-48A4-A22D-52143C45C9A9}"/>
    <cellStyle name="Normal 2 4 5 2 2 7 3" xfId="10987" xr:uid="{3B33C1A7-DA18-4A0F-AF3E-9294239FB0C0}"/>
    <cellStyle name="Normal 2 4 5 2 2 8" xfId="4697" xr:uid="{00000000-0005-0000-0000-00005E100000}"/>
    <cellStyle name="Normal 2 4 5 2 2 8 2" xfId="13139" xr:uid="{89F18770-60B4-4396-BCDF-15E25E3668E1}"/>
    <cellStyle name="Normal 2 4 5 2 2 9" xfId="8921" xr:uid="{9C0A230F-4B9A-4FFE-8FA0-164D05742634}"/>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05769B69-F2C8-4B1C-A61C-F33341522EB4}"/>
    <cellStyle name="Normal 2 4 5 2 3 2 2 3" xfId="11482" xr:uid="{3B3C0043-3D27-42F2-AB10-D2316E93CDFA}"/>
    <cellStyle name="Normal 2 4 5 2 3 2 3" xfId="5113" xr:uid="{00000000-0005-0000-0000-000063100000}"/>
    <cellStyle name="Normal 2 4 5 2 3 2 3 2" xfId="13555" xr:uid="{F180D48C-095D-42FF-BDC5-B3BCE24F2418}"/>
    <cellStyle name="Normal 2 4 5 2 3 2 4" xfId="9337" xr:uid="{E90529E1-7001-4640-AD84-C8C4265CE4E3}"/>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ED35496A-09B9-44E7-B5D3-25C6012512B6}"/>
    <cellStyle name="Normal 2 4 5 2 3 3 2 3" xfId="11895" xr:uid="{1A414F0A-257E-4AD3-BF0B-6DACD2A038E2}"/>
    <cellStyle name="Normal 2 4 5 2 3 3 3" xfId="5526" xr:uid="{00000000-0005-0000-0000-000067100000}"/>
    <cellStyle name="Normal 2 4 5 2 3 3 3 2" xfId="13968" xr:uid="{B7816F43-425C-4221-8033-1B717008E6A8}"/>
    <cellStyle name="Normal 2 4 5 2 3 3 4" xfId="9750" xr:uid="{5D85912B-A680-4F34-9FB4-C8579FDF27D4}"/>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314FF540-B3F4-4979-B445-201E1F07EDC1}"/>
    <cellStyle name="Normal 2 4 5 2 3 4 2 3" xfId="12308" xr:uid="{FB9A55FD-DF23-4AE5-B689-A860E80A8AA2}"/>
    <cellStyle name="Normal 2 4 5 2 3 4 3" xfId="5939" xr:uid="{00000000-0005-0000-0000-00006B100000}"/>
    <cellStyle name="Normal 2 4 5 2 3 4 3 2" xfId="14381" xr:uid="{BC3B18C1-C5C5-47A3-8EE8-3DF4867637F1}"/>
    <cellStyle name="Normal 2 4 5 2 3 4 4" xfId="10163" xr:uid="{4B8A2505-E272-4CBA-B363-2D15BB9355EA}"/>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24D4EB87-8E6E-418A-8769-4F48E8E8869D}"/>
    <cellStyle name="Normal 2 4 5 2 3 5 2 3" xfId="12721" xr:uid="{769312B8-D487-4115-84B2-1E40618D9E23}"/>
    <cellStyle name="Normal 2 4 5 2 3 5 3" xfId="6352" xr:uid="{00000000-0005-0000-0000-00006F100000}"/>
    <cellStyle name="Normal 2 4 5 2 3 5 3 2" xfId="14794" xr:uid="{0801A611-F626-4001-9367-806F18867E88}"/>
    <cellStyle name="Normal 2 4 5 2 3 5 4" xfId="10576" xr:uid="{B4D4015D-D639-4FA3-A7B2-5D383801C094}"/>
    <cellStyle name="Normal 2 4 5 2 3 6" xfId="2481" xr:uid="{00000000-0005-0000-0000-000070100000}"/>
    <cellStyle name="Normal 2 4 5 2 3 6 2" xfId="6765" xr:uid="{00000000-0005-0000-0000-000071100000}"/>
    <cellStyle name="Normal 2 4 5 2 3 6 2 2" xfId="15207" xr:uid="{ED9BFB75-BEE9-4087-99D8-3E900C2C406E}"/>
    <cellStyle name="Normal 2 4 5 2 3 6 3" xfId="10989" xr:uid="{236409F6-C7E0-4F74-A60A-03660CB682B5}"/>
    <cellStyle name="Normal 2 4 5 2 3 7" xfId="4699" xr:uid="{00000000-0005-0000-0000-000072100000}"/>
    <cellStyle name="Normal 2 4 5 2 3 7 2" xfId="13141" xr:uid="{DEA1AE82-35B0-4655-86B8-2274C4ABA3A1}"/>
    <cellStyle name="Normal 2 4 5 2 3 8" xfId="8923" xr:uid="{8CFE9E31-8289-4D93-8977-9BB0965AEAE9}"/>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4BBABE41-3C92-4563-9589-2A6F3D77967E}"/>
    <cellStyle name="Normal 2 4 5 2 4 2 3" xfId="11479" xr:uid="{6D84C3DA-1950-4F1C-887C-2B89648C3123}"/>
    <cellStyle name="Normal 2 4 5 2 4 3" xfId="5110" xr:uid="{00000000-0005-0000-0000-000076100000}"/>
    <cellStyle name="Normal 2 4 5 2 4 3 2" xfId="13552" xr:uid="{166A8716-8A42-4995-8A7C-6FA437B9C6A0}"/>
    <cellStyle name="Normal 2 4 5 2 4 4" xfId="9334" xr:uid="{0B2F1A97-B994-42D4-9027-61077E8D6366}"/>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658FD6DD-2EFD-46A8-BFD5-375D57019CDE}"/>
    <cellStyle name="Normal 2 4 5 2 5 2 3" xfId="11892" xr:uid="{215C2008-7C08-43FA-8FC5-9A9451594A8B}"/>
    <cellStyle name="Normal 2 4 5 2 5 3" xfId="5523" xr:uid="{00000000-0005-0000-0000-00007A100000}"/>
    <cellStyle name="Normal 2 4 5 2 5 3 2" xfId="13965" xr:uid="{7C6399FB-CB05-4CBC-BF17-B854738FE68E}"/>
    <cellStyle name="Normal 2 4 5 2 5 4" xfId="9747" xr:uid="{7105BDB0-67BF-43BC-8A63-EA0ECFC01F5E}"/>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475BC09A-5528-4F10-AF75-574D09778002}"/>
    <cellStyle name="Normal 2 4 5 2 6 2 3" xfId="12305" xr:uid="{19819454-339A-4D83-BD3A-EFBED4238CB7}"/>
    <cellStyle name="Normal 2 4 5 2 6 3" xfId="5936" xr:uid="{00000000-0005-0000-0000-00007E100000}"/>
    <cellStyle name="Normal 2 4 5 2 6 3 2" xfId="14378" xr:uid="{20D2D324-08B3-4272-8619-931345E2ED89}"/>
    <cellStyle name="Normal 2 4 5 2 6 4" xfId="10160" xr:uid="{8F7A33C3-14EA-4F2F-9D37-D33D8D90FC4F}"/>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E0EAC0BD-2198-48F8-8F33-9073DDC8D394}"/>
    <cellStyle name="Normal 2 4 5 2 7 2 3" xfId="12718" xr:uid="{2548118B-C2C5-40D3-A37C-15EBF5C6E83E}"/>
    <cellStyle name="Normal 2 4 5 2 7 3" xfId="6349" xr:uid="{00000000-0005-0000-0000-000082100000}"/>
    <cellStyle name="Normal 2 4 5 2 7 3 2" xfId="14791" xr:uid="{FB83A1FE-82E3-475D-A7E7-E875E4A9282B}"/>
    <cellStyle name="Normal 2 4 5 2 7 4" xfId="10573" xr:uid="{BE032257-05CB-4970-BE07-999778C4AB3E}"/>
    <cellStyle name="Normal 2 4 5 2 8" xfId="2478" xr:uid="{00000000-0005-0000-0000-000083100000}"/>
    <cellStyle name="Normal 2 4 5 2 8 2" xfId="6762" xr:uid="{00000000-0005-0000-0000-000084100000}"/>
    <cellStyle name="Normal 2 4 5 2 8 2 2" xfId="15204" xr:uid="{622F0475-A78D-470F-AD0A-42B177E941F2}"/>
    <cellStyle name="Normal 2 4 5 2 8 3" xfId="10986" xr:uid="{29ECC68E-8EB3-498E-90E2-C48669CF4A11}"/>
    <cellStyle name="Normal 2 4 5 2 9" xfId="4696" xr:uid="{00000000-0005-0000-0000-000085100000}"/>
    <cellStyle name="Normal 2 4 5 2 9 2" xfId="13138" xr:uid="{C90741B7-12B0-4A64-A57B-305F5747619D}"/>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C914B889-AE2A-4E57-9116-5EC18102480D}"/>
    <cellStyle name="Normal 2 4 5 3 2 2 2 3" xfId="11484" xr:uid="{9FA1101C-962B-4876-9A30-E066CEE3AA45}"/>
    <cellStyle name="Normal 2 4 5 3 2 2 3" xfId="5115" xr:uid="{00000000-0005-0000-0000-00008B100000}"/>
    <cellStyle name="Normal 2 4 5 3 2 2 3 2" xfId="13557" xr:uid="{4BC15D3E-1058-45FE-BC59-B21CD1A9051F}"/>
    <cellStyle name="Normal 2 4 5 3 2 2 4" xfId="9339" xr:uid="{8EA615F6-85BD-478C-B907-FD9DA0544BD9}"/>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AD77A95F-6215-454A-8A80-386A9AD01E7F}"/>
    <cellStyle name="Normal 2 4 5 3 2 3 2 3" xfId="11897" xr:uid="{90404524-36BD-4AF4-98EE-59997BFE7B8F}"/>
    <cellStyle name="Normal 2 4 5 3 2 3 3" xfId="5528" xr:uid="{00000000-0005-0000-0000-00008F100000}"/>
    <cellStyle name="Normal 2 4 5 3 2 3 3 2" xfId="13970" xr:uid="{0694EB59-4EA4-4363-A103-F422EF1E19CC}"/>
    <cellStyle name="Normal 2 4 5 3 2 3 4" xfId="9752" xr:uid="{0596D277-5547-46B2-808D-3518CB86BF4E}"/>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FC5C39F3-2F84-4234-AE25-A2F6E16C8ED1}"/>
    <cellStyle name="Normal 2 4 5 3 2 4 2 3" xfId="12310" xr:uid="{3EC9A7D7-57FC-4C53-8FAF-EA948D38AC9D}"/>
    <cellStyle name="Normal 2 4 5 3 2 4 3" xfId="5941" xr:uid="{00000000-0005-0000-0000-000093100000}"/>
    <cellStyle name="Normal 2 4 5 3 2 4 3 2" xfId="14383" xr:uid="{F658D701-717D-4A67-99FA-2B91C51D9C11}"/>
    <cellStyle name="Normal 2 4 5 3 2 4 4" xfId="10165" xr:uid="{F6B2565F-4843-466D-AD67-3DA1BE0026C1}"/>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74A2393B-E20D-4823-9FE1-5F9D466997D4}"/>
    <cellStyle name="Normal 2 4 5 3 2 5 2 3" xfId="12723" xr:uid="{3D1A0903-0238-4800-9F58-C39A711D4A78}"/>
    <cellStyle name="Normal 2 4 5 3 2 5 3" xfId="6354" xr:uid="{00000000-0005-0000-0000-000097100000}"/>
    <cellStyle name="Normal 2 4 5 3 2 5 3 2" xfId="14796" xr:uid="{B6540A8B-E4A7-40D7-AD6C-2CDF44B6B749}"/>
    <cellStyle name="Normal 2 4 5 3 2 5 4" xfId="10578" xr:uid="{403FD698-1FEC-4D28-9814-F0F4B209241E}"/>
    <cellStyle name="Normal 2 4 5 3 2 6" xfId="2483" xr:uid="{00000000-0005-0000-0000-000098100000}"/>
    <cellStyle name="Normal 2 4 5 3 2 6 2" xfId="6767" xr:uid="{00000000-0005-0000-0000-000099100000}"/>
    <cellStyle name="Normal 2 4 5 3 2 6 2 2" xfId="15209" xr:uid="{8E876D6B-DB43-4481-B651-33AB85CD7F1C}"/>
    <cellStyle name="Normal 2 4 5 3 2 6 3" xfId="10991" xr:uid="{0092F772-3168-4D6E-A38E-36BC9B372152}"/>
    <cellStyle name="Normal 2 4 5 3 2 7" xfId="4701" xr:uid="{00000000-0005-0000-0000-00009A100000}"/>
    <cellStyle name="Normal 2 4 5 3 2 7 2" xfId="13143" xr:uid="{25FB88A1-838B-41CD-80CC-C25B18D17C88}"/>
    <cellStyle name="Normal 2 4 5 3 2 8" xfId="8925" xr:uid="{B7766B75-4CAE-46DC-8765-023242CE8E47}"/>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B35272CD-40E4-488E-B4D6-9FDB8C2C20BE}"/>
    <cellStyle name="Normal 2 4 5 3 3 2 3" xfId="11483" xr:uid="{88BC9A1E-5516-4348-A28F-DC1041FC547D}"/>
    <cellStyle name="Normal 2 4 5 3 3 3" xfId="5114" xr:uid="{00000000-0005-0000-0000-00009E100000}"/>
    <cellStyle name="Normal 2 4 5 3 3 3 2" xfId="13556" xr:uid="{ACB0320E-D5F2-4554-8103-AF3AEAC09F04}"/>
    <cellStyle name="Normal 2 4 5 3 3 4" xfId="9338" xr:uid="{15B77F49-1E7E-4E6C-AF75-598E3B47C13A}"/>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7B8B443C-DEC2-4E0F-9685-75CFBBFDC9BB}"/>
    <cellStyle name="Normal 2 4 5 3 4 2 3" xfId="11896" xr:uid="{1A5B3C47-BD62-46C8-8CD1-FC13F0F4C698}"/>
    <cellStyle name="Normal 2 4 5 3 4 3" xfId="5527" xr:uid="{00000000-0005-0000-0000-0000A2100000}"/>
    <cellStyle name="Normal 2 4 5 3 4 3 2" xfId="13969" xr:uid="{39DE962F-E2E8-42A1-9907-0A0063B43049}"/>
    <cellStyle name="Normal 2 4 5 3 4 4" xfId="9751" xr:uid="{CF596F46-CDF0-469F-A12A-200633934564}"/>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9D74807B-513C-41AD-AD78-7BA421014F61}"/>
    <cellStyle name="Normal 2 4 5 3 5 2 3" xfId="12309" xr:uid="{B4DCBF11-FC12-4B17-A33F-782298CE4D3F}"/>
    <cellStyle name="Normal 2 4 5 3 5 3" xfId="5940" xr:uid="{00000000-0005-0000-0000-0000A6100000}"/>
    <cellStyle name="Normal 2 4 5 3 5 3 2" xfId="14382" xr:uid="{9888CBEE-E74B-4576-894D-E41FE87D0341}"/>
    <cellStyle name="Normal 2 4 5 3 5 4" xfId="10164" xr:uid="{8D801BD6-A1EA-4A8E-95A2-EEDECF30EF8C}"/>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031F35DD-9D4F-462A-83FF-E2C6D572E24C}"/>
    <cellStyle name="Normal 2 4 5 3 6 2 3" xfId="12722" xr:uid="{D4B14A14-5063-4BCC-A34A-3D216561340B}"/>
    <cellStyle name="Normal 2 4 5 3 6 3" xfId="6353" xr:uid="{00000000-0005-0000-0000-0000AA100000}"/>
    <cellStyle name="Normal 2 4 5 3 6 3 2" xfId="14795" xr:uid="{67310DA2-CB54-49E7-975C-167EE48EF415}"/>
    <cellStyle name="Normal 2 4 5 3 6 4" xfId="10577" xr:uid="{0D6D66C3-8B5E-4896-8278-0D266FC0E3F4}"/>
    <cellStyle name="Normal 2 4 5 3 7" xfId="2482" xr:uid="{00000000-0005-0000-0000-0000AB100000}"/>
    <cellStyle name="Normal 2 4 5 3 7 2" xfId="6766" xr:uid="{00000000-0005-0000-0000-0000AC100000}"/>
    <cellStyle name="Normal 2 4 5 3 7 2 2" xfId="15208" xr:uid="{F41C45A5-3399-48BB-B518-2B3CB378DD82}"/>
    <cellStyle name="Normal 2 4 5 3 7 3" xfId="10990" xr:uid="{48DD4FE7-AC26-46B7-A5ED-D7CC7710CE77}"/>
    <cellStyle name="Normal 2 4 5 3 8" xfId="4700" xr:uid="{00000000-0005-0000-0000-0000AD100000}"/>
    <cellStyle name="Normal 2 4 5 3 8 2" xfId="13142" xr:uid="{8BB14296-13D3-4869-B355-BACEF62F312D}"/>
    <cellStyle name="Normal 2 4 5 3 9" xfId="8924" xr:uid="{A476FF45-DF79-4F1A-8258-E271B7B35165}"/>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C8B927AF-66D2-4991-BA58-038C0C750AA3}"/>
    <cellStyle name="Normal 2 4 5 4 2 2 3" xfId="11485" xr:uid="{BE1BBDFF-5EC2-4C2E-9D3F-B1AB4BC53D66}"/>
    <cellStyle name="Normal 2 4 5 4 2 3" xfId="5116" xr:uid="{00000000-0005-0000-0000-0000B2100000}"/>
    <cellStyle name="Normal 2 4 5 4 2 3 2" xfId="13558" xr:uid="{75043016-3573-4158-9EA1-EE751E7C257A}"/>
    <cellStyle name="Normal 2 4 5 4 2 4" xfId="9340" xr:uid="{690D915E-2021-46C2-A10D-E5CF8282C370}"/>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86642DB5-180D-41DE-A7EA-F6B102E71868}"/>
    <cellStyle name="Normal 2 4 5 4 3 2 3" xfId="11898" xr:uid="{1FE1296F-8297-4746-AA8F-E5B329DF5680}"/>
    <cellStyle name="Normal 2 4 5 4 3 3" xfId="5529" xr:uid="{00000000-0005-0000-0000-0000B6100000}"/>
    <cellStyle name="Normal 2 4 5 4 3 3 2" xfId="13971" xr:uid="{7DCB66D5-394C-42CB-AEC3-D66CEB688A4F}"/>
    <cellStyle name="Normal 2 4 5 4 3 4" xfId="9753" xr:uid="{AFACCF0F-8B76-4FE2-AB9F-59FDECCD5115}"/>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7B772FE2-3A85-471F-B4A5-0783F90090DE}"/>
    <cellStyle name="Normal 2 4 5 4 4 2 3" xfId="12311" xr:uid="{40DBEFBE-063A-4D4B-9598-61FEEAC116C3}"/>
    <cellStyle name="Normal 2 4 5 4 4 3" xfId="5942" xr:uid="{00000000-0005-0000-0000-0000BA100000}"/>
    <cellStyle name="Normal 2 4 5 4 4 3 2" xfId="14384" xr:uid="{DACA5B13-0B7C-486E-81FB-D661BCBC351A}"/>
    <cellStyle name="Normal 2 4 5 4 4 4" xfId="10166" xr:uid="{93D1FC80-D3D2-4A76-AEAB-D61389EC97C4}"/>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6CD51CC9-72C1-45CF-AE8B-5B45F70A615A}"/>
    <cellStyle name="Normal 2 4 5 4 5 2 3" xfId="12724" xr:uid="{C730FC99-3200-4F56-9E25-041BFCC1C6DF}"/>
    <cellStyle name="Normal 2 4 5 4 5 3" xfId="6355" xr:uid="{00000000-0005-0000-0000-0000BE100000}"/>
    <cellStyle name="Normal 2 4 5 4 5 3 2" xfId="14797" xr:uid="{0F75F3E4-6891-4A40-9C18-6D3613F5B377}"/>
    <cellStyle name="Normal 2 4 5 4 5 4" xfId="10579" xr:uid="{E0EE78BB-188A-4A14-9B64-DAACA08C6AE7}"/>
    <cellStyle name="Normal 2 4 5 4 6" xfId="2484" xr:uid="{00000000-0005-0000-0000-0000BF100000}"/>
    <cellStyle name="Normal 2 4 5 4 6 2" xfId="6768" xr:uid="{00000000-0005-0000-0000-0000C0100000}"/>
    <cellStyle name="Normal 2 4 5 4 6 2 2" xfId="15210" xr:uid="{153B84A1-2315-4C4A-8E6A-C9F5536D4076}"/>
    <cellStyle name="Normal 2 4 5 4 6 3" xfId="10992" xr:uid="{102C13F8-B1E6-457E-AFC7-34E40259E6EB}"/>
    <cellStyle name="Normal 2 4 5 4 7" xfId="4702" xr:uid="{00000000-0005-0000-0000-0000C1100000}"/>
    <cellStyle name="Normal 2 4 5 4 7 2" xfId="13144" xr:uid="{9E4F183B-E5FE-4515-9143-894D4F319431}"/>
    <cellStyle name="Normal 2 4 5 4 8" xfId="8926" xr:uid="{CE1F6E47-6D34-4D74-80DD-C7FAE8B85571}"/>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B5885196-88F5-47B1-A9FE-6C3DEF6902B8}"/>
    <cellStyle name="Normal 2 4 5 5 2 3" xfId="11478" xr:uid="{06434A83-EEF0-48B2-B978-7A709C6EA21B}"/>
    <cellStyle name="Normal 2 4 5 5 3" xfId="5109" xr:uid="{00000000-0005-0000-0000-0000C5100000}"/>
    <cellStyle name="Normal 2 4 5 5 3 2" xfId="13551" xr:uid="{058515E0-1AC7-41B9-8FF1-BA064F9CBF23}"/>
    <cellStyle name="Normal 2 4 5 5 4" xfId="9333" xr:uid="{C229DEDB-BF2B-4AA0-8164-7B9B3276BD94}"/>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0F17B637-31F5-46DE-AB70-4E0329031A3A}"/>
    <cellStyle name="Normal 2 4 5 6 2 3" xfId="11891" xr:uid="{67FC4D28-5F44-48A7-9912-CFF39ADC2159}"/>
    <cellStyle name="Normal 2 4 5 6 3" xfId="5522" xr:uid="{00000000-0005-0000-0000-0000C9100000}"/>
    <cellStyle name="Normal 2 4 5 6 3 2" xfId="13964" xr:uid="{28E93EC2-49B1-4100-8766-32F78168A3CE}"/>
    <cellStyle name="Normal 2 4 5 6 4" xfId="9746" xr:uid="{9C8CC249-CD26-47C6-94D4-34D3C479CD1E}"/>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161758BF-C381-433B-87FD-FA3E4981683C}"/>
    <cellStyle name="Normal 2 4 5 7 2 3" xfId="12304" xr:uid="{9149D73B-619A-4C87-B305-CAD90D847D4E}"/>
    <cellStyle name="Normal 2 4 5 7 3" xfId="5935" xr:uid="{00000000-0005-0000-0000-0000CD100000}"/>
    <cellStyle name="Normal 2 4 5 7 3 2" xfId="14377" xr:uid="{CB1E4A13-F64D-4C16-BA7D-3B2C1FEFE28E}"/>
    <cellStyle name="Normal 2 4 5 7 4" xfId="10159" xr:uid="{44DA0B35-1736-4953-A72C-027EC5096101}"/>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E8125ABC-7EFB-46D0-9603-60A52D14EF6F}"/>
    <cellStyle name="Normal 2 4 5 8 2 3" xfId="12717" xr:uid="{2C1C7B90-C794-48F7-96D9-B24BCB798E4A}"/>
    <cellStyle name="Normal 2 4 5 8 3" xfId="6348" xr:uid="{00000000-0005-0000-0000-0000D1100000}"/>
    <cellStyle name="Normal 2 4 5 8 3 2" xfId="14790" xr:uid="{89405E81-3B1C-4F7F-B759-99F556941477}"/>
    <cellStyle name="Normal 2 4 5 8 4" xfId="10572" xr:uid="{DE2D213D-595E-4127-BD3D-33237F9F59FF}"/>
    <cellStyle name="Normal 2 4 5 9" xfId="2477" xr:uid="{00000000-0005-0000-0000-0000D2100000}"/>
    <cellStyle name="Normal 2 4 5 9 2" xfId="6761" xr:uid="{00000000-0005-0000-0000-0000D3100000}"/>
    <cellStyle name="Normal 2 4 5 9 2 2" xfId="15203" xr:uid="{3F4C047A-5CB6-4B41-A699-D6748F5BA1B1}"/>
    <cellStyle name="Normal 2 4 5 9 3" xfId="10985" xr:uid="{701D1A85-7353-4025-8A6F-91E3F56BDFF8}"/>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477E260E-7961-45D6-AC15-3ACB16E43593}"/>
    <cellStyle name="Normal 2 4 7 2 2 2 3" xfId="11487" xr:uid="{923138C7-6589-4518-84AB-7696A1B593E3}"/>
    <cellStyle name="Normal 2 4 7 2 2 3" xfId="5118" xr:uid="{00000000-0005-0000-0000-0000DA100000}"/>
    <cellStyle name="Normal 2 4 7 2 2 3 2" xfId="13560" xr:uid="{B6EFA586-E923-42E3-8A45-48B3604A6458}"/>
    <cellStyle name="Normal 2 4 7 2 2 4" xfId="9342" xr:uid="{F40ED87E-1A03-4F3F-99F7-BFCE1F471330}"/>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3863B40C-4F1C-4ED8-9ABA-01874451626A}"/>
    <cellStyle name="Normal 2 4 7 2 3 2 3" xfId="11900" xr:uid="{D0237AB1-69B8-4BEA-9DC4-F8913664BFD6}"/>
    <cellStyle name="Normal 2 4 7 2 3 3" xfId="5531" xr:uid="{00000000-0005-0000-0000-0000DE100000}"/>
    <cellStyle name="Normal 2 4 7 2 3 3 2" xfId="13973" xr:uid="{B9D1F59E-3159-4744-9D04-2C30A0225B68}"/>
    <cellStyle name="Normal 2 4 7 2 3 4" xfId="9755" xr:uid="{D2570B4B-E6BB-4CAD-8739-55CBE2BB3263}"/>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2D536850-6182-4E00-AF95-59375B52956A}"/>
    <cellStyle name="Normal 2 4 7 2 4 2 3" xfId="12313" xr:uid="{26936285-BC19-4870-919E-050628333C9F}"/>
    <cellStyle name="Normal 2 4 7 2 4 3" xfId="5944" xr:uid="{00000000-0005-0000-0000-0000E2100000}"/>
    <cellStyle name="Normal 2 4 7 2 4 3 2" xfId="14386" xr:uid="{9C199BC2-E522-46AC-AFB2-8DFA095E2B55}"/>
    <cellStyle name="Normal 2 4 7 2 4 4" xfId="10168" xr:uid="{A0879011-E77B-466B-8F76-1FF73AB54608}"/>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92F7698B-7AFF-4C44-BD55-0D5224C695F5}"/>
    <cellStyle name="Normal 2 4 7 2 5 2 3" xfId="12726" xr:uid="{24C079D1-3CF9-4C54-8E8D-7CA12E932202}"/>
    <cellStyle name="Normal 2 4 7 2 5 3" xfId="6357" xr:uid="{00000000-0005-0000-0000-0000E6100000}"/>
    <cellStyle name="Normal 2 4 7 2 5 3 2" xfId="14799" xr:uid="{AC2A5C33-FF2C-4ED3-BD88-B82366013054}"/>
    <cellStyle name="Normal 2 4 7 2 5 4" xfId="10581" xr:uid="{6D0C41A0-BAC8-4E4B-AD6B-F224526DB7BF}"/>
    <cellStyle name="Normal 2 4 7 2 6" xfId="2486" xr:uid="{00000000-0005-0000-0000-0000E7100000}"/>
    <cellStyle name="Normal 2 4 7 2 6 2" xfId="6770" xr:uid="{00000000-0005-0000-0000-0000E8100000}"/>
    <cellStyle name="Normal 2 4 7 2 6 2 2" xfId="15212" xr:uid="{89190B03-04A5-45E9-A07C-A494C92CB81D}"/>
    <cellStyle name="Normal 2 4 7 2 6 3" xfId="10994" xr:uid="{20EB8AB4-002A-4967-83AA-900E0B944C58}"/>
    <cellStyle name="Normal 2 4 7 2 7" xfId="4704" xr:uid="{00000000-0005-0000-0000-0000E9100000}"/>
    <cellStyle name="Normal 2 4 7 2 7 2" xfId="13146" xr:uid="{DEA74B70-FC58-4FA2-8900-8CA91E82C799}"/>
    <cellStyle name="Normal 2 4 7 2 8" xfId="8928" xr:uid="{56E9D6DE-D6DE-4BF0-BEB8-F5D7CA9394F7}"/>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C2F83F16-B166-45AD-8D46-60F7671296DC}"/>
    <cellStyle name="Normal 2 4 7 3 2 3" xfId="11486" xr:uid="{258A156C-DB8C-48DB-9FE9-B9836893E3E7}"/>
    <cellStyle name="Normal 2 4 7 3 3" xfId="5117" xr:uid="{00000000-0005-0000-0000-0000ED100000}"/>
    <cellStyle name="Normal 2 4 7 3 3 2" xfId="13559" xr:uid="{95FAD63E-BD89-45EF-9C31-6E54250F7B9C}"/>
    <cellStyle name="Normal 2 4 7 3 4" xfId="9341" xr:uid="{03D7738B-4388-4918-900F-474D90F8F87F}"/>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4982F400-7DD2-4748-9E60-E1DE66FC59B6}"/>
    <cellStyle name="Normal 2 4 7 4 2 3" xfId="11899" xr:uid="{CF052042-60A0-45EB-80A9-BC58C0B27D32}"/>
    <cellStyle name="Normal 2 4 7 4 3" xfId="5530" xr:uid="{00000000-0005-0000-0000-0000F1100000}"/>
    <cellStyle name="Normal 2 4 7 4 3 2" xfId="13972" xr:uid="{1923F661-B288-49B1-B2C5-CB0D4120B148}"/>
    <cellStyle name="Normal 2 4 7 4 4" xfId="9754" xr:uid="{D5CF544A-8BF0-47CE-BE42-EDF5A3E2A7E8}"/>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E8EEA592-9E18-4602-8FD8-A97BFA2B8501}"/>
    <cellStyle name="Normal 2 4 7 5 2 3" xfId="12312" xr:uid="{A16257F1-6C0D-4ED0-8518-3FC2117B61B9}"/>
    <cellStyle name="Normal 2 4 7 5 3" xfId="5943" xr:uid="{00000000-0005-0000-0000-0000F5100000}"/>
    <cellStyle name="Normal 2 4 7 5 3 2" xfId="14385" xr:uid="{AE166202-E3EB-430C-BDB3-34C1646631DA}"/>
    <cellStyle name="Normal 2 4 7 5 4" xfId="10167" xr:uid="{72C5373E-5B04-4D43-AF2A-295858AFA516}"/>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184CA9F5-3015-4D4A-AA57-A756DBDFE048}"/>
    <cellStyle name="Normal 2 4 7 6 2 3" xfId="12725" xr:uid="{8DB7BE32-3FB1-49DB-B9AE-648033A88B69}"/>
    <cellStyle name="Normal 2 4 7 6 3" xfId="6356" xr:uid="{00000000-0005-0000-0000-0000F9100000}"/>
    <cellStyle name="Normal 2 4 7 6 3 2" xfId="14798" xr:uid="{DCCC0358-9693-40FA-8EAE-BD7E7F2808C1}"/>
    <cellStyle name="Normal 2 4 7 6 4" xfId="10580" xr:uid="{2C4C454D-D6D2-4A0B-8180-EF1AE0BBD126}"/>
    <cellStyle name="Normal 2 4 7 7" xfId="2485" xr:uid="{00000000-0005-0000-0000-0000FA100000}"/>
    <cellStyle name="Normal 2 4 7 7 2" xfId="6769" xr:uid="{00000000-0005-0000-0000-0000FB100000}"/>
    <cellStyle name="Normal 2 4 7 7 2 2" xfId="15211" xr:uid="{2FEAAF51-470C-4D26-9D0C-3555A4AE98D4}"/>
    <cellStyle name="Normal 2 4 7 7 3" xfId="10993" xr:uid="{2BE3A845-B724-4FDC-AB2A-9F3BBDD0484C}"/>
    <cellStyle name="Normal 2 4 7 8" xfId="4703" xr:uid="{00000000-0005-0000-0000-0000FC100000}"/>
    <cellStyle name="Normal 2 4 7 8 2" xfId="13145" xr:uid="{A1E00859-8E9C-4DC7-9B59-70F7DE033BC4}"/>
    <cellStyle name="Normal 2 4 7 9" xfId="8927" xr:uid="{96FE230D-E5D6-416D-838C-A7B2215A063C}"/>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57C393B3-9E26-4609-8B2C-41A7FAEFCA69}"/>
    <cellStyle name="Normal 2 4 8 2 2 3" xfId="11488" xr:uid="{644FA700-D795-414A-AAEA-9F2796AEAC96}"/>
    <cellStyle name="Normal 2 4 8 2 3" xfId="5119" xr:uid="{00000000-0005-0000-0000-000001110000}"/>
    <cellStyle name="Normal 2 4 8 2 3 2" xfId="13561" xr:uid="{AFBDBF1C-D933-494C-B064-9A701DEE758B}"/>
    <cellStyle name="Normal 2 4 8 2 4" xfId="9343" xr:uid="{0B203275-671A-4CCF-8EA9-A98E64D2F5A6}"/>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8FF83781-FDB7-404F-A15F-E360437068E1}"/>
    <cellStyle name="Normal 2 4 8 3 2 3" xfId="11901" xr:uid="{1A3129CF-1490-4A61-8578-B4FC52A8A366}"/>
    <cellStyle name="Normal 2 4 8 3 3" xfId="5532" xr:uid="{00000000-0005-0000-0000-000005110000}"/>
    <cellStyle name="Normal 2 4 8 3 3 2" xfId="13974" xr:uid="{05261E6D-E23C-4E39-9B21-79B4F04C732E}"/>
    <cellStyle name="Normal 2 4 8 3 4" xfId="9756" xr:uid="{421B8D48-43BA-429A-9F86-DF0291DC42B2}"/>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4E254E15-CC10-490C-9EB1-8D30F6A99879}"/>
    <cellStyle name="Normal 2 4 8 4 2 3" xfId="12314" xr:uid="{34CBC63E-3E1E-4C7B-BE64-D380E60A49FE}"/>
    <cellStyle name="Normal 2 4 8 4 3" xfId="5945" xr:uid="{00000000-0005-0000-0000-000009110000}"/>
    <cellStyle name="Normal 2 4 8 4 3 2" xfId="14387" xr:uid="{F5ACFB4A-090C-4555-BBAD-C7B6F72E089A}"/>
    <cellStyle name="Normal 2 4 8 4 4" xfId="10169" xr:uid="{629126CE-C2D6-4A7B-B3F2-F8C1BC3AAAC4}"/>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10D1A2E8-404D-4A47-BA4B-7D193DCF20CA}"/>
    <cellStyle name="Normal 2 4 8 5 2 3" xfId="12727" xr:uid="{B4E54DDC-A73C-4AA0-B0A8-7F404D5899AF}"/>
    <cellStyle name="Normal 2 4 8 5 3" xfId="6358" xr:uid="{00000000-0005-0000-0000-00000D110000}"/>
    <cellStyle name="Normal 2 4 8 5 3 2" xfId="14800" xr:uid="{B4BF6ED0-9925-42B0-AD7E-80EE21E2315C}"/>
    <cellStyle name="Normal 2 4 8 5 4" xfId="10582" xr:uid="{F51CEA73-E751-4A30-82ED-EE853BD0B882}"/>
    <cellStyle name="Normal 2 4 8 6" xfId="2487" xr:uid="{00000000-0005-0000-0000-00000E110000}"/>
    <cellStyle name="Normal 2 4 8 6 2" xfId="6771" xr:uid="{00000000-0005-0000-0000-00000F110000}"/>
    <cellStyle name="Normal 2 4 8 6 2 2" xfId="15213" xr:uid="{A0F871A1-315E-4594-9E13-B6104CEB35AC}"/>
    <cellStyle name="Normal 2 4 8 6 3" xfId="10995" xr:uid="{2C18020A-C58B-437E-9F65-75A53D4363FE}"/>
    <cellStyle name="Normal 2 4 8 7" xfId="4705" xr:uid="{00000000-0005-0000-0000-000010110000}"/>
    <cellStyle name="Normal 2 4 8 7 2" xfId="13147" xr:uid="{C825CAA8-DDBA-404D-A3E4-443FB8F0F954}"/>
    <cellStyle name="Normal 2 4 8 8" xfId="8929" xr:uid="{53B4A856-CBE2-4112-9605-763E258EE378}"/>
    <cellStyle name="Normal 2 5" xfId="315" xr:uid="{00000000-0005-0000-0000-000011110000}"/>
    <cellStyle name="Normal 2 5 10" xfId="4706" xr:uid="{00000000-0005-0000-0000-000012110000}"/>
    <cellStyle name="Normal 2 5 10 2" xfId="13148" xr:uid="{D8144E40-FE21-43BE-888B-D43E415A4BF2}"/>
    <cellStyle name="Normal 2 5 11" xfId="8930" xr:uid="{C8F764C6-FE3B-43B4-9214-94B19FE43260}"/>
    <cellStyle name="Normal 2 5 2" xfId="316" xr:uid="{00000000-0005-0000-0000-000013110000}"/>
    <cellStyle name="Normal 2 5 3" xfId="317" xr:uid="{00000000-0005-0000-0000-000014110000}"/>
    <cellStyle name="Normal 2 5 4" xfId="318" xr:uid="{00000000-0005-0000-0000-000015110000}"/>
    <cellStyle name="Normal 2 5 4 10" xfId="8931" xr:uid="{865C9684-B03F-4770-B5A7-5FAC2231717A}"/>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AF29A958-FFCC-4EF6-AED2-8663D0E361AD}"/>
    <cellStyle name="Normal 2 5 4 2 2 2 2 3" xfId="11492" xr:uid="{35AD555C-8F9C-4380-B948-DB639569391D}"/>
    <cellStyle name="Normal 2 5 4 2 2 2 3" xfId="5123" xr:uid="{00000000-0005-0000-0000-00001B110000}"/>
    <cellStyle name="Normal 2 5 4 2 2 2 3 2" xfId="13565" xr:uid="{6E5DDFED-DAC0-4BF8-855E-C65FD37314ED}"/>
    <cellStyle name="Normal 2 5 4 2 2 2 4" xfId="9347" xr:uid="{92BF7FC2-9D85-4C49-A6A4-FCEE7DE0FF0A}"/>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9D0B46E4-D281-47BA-9954-F5ADA95A5D61}"/>
    <cellStyle name="Normal 2 5 4 2 2 3 2 3" xfId="11905" xr:uid="{DAE3894A-4DD8-4D7B-83ED-264F3E7F063F}"/>
    <cellStyle name="Normal 2 5 4 2 2 3 3" xfId="5536" xr:uid="{00000000-0005-0000-0000-00001F110000}"/>
    <cellStyle name="Normal 2 5 4 2 2 3 3 2" xfId="13978" xr:uid="{520E6450-FEF4-43AB-BC1E-F9C595F6B1F5}"/>
    <cellStyle name="Normal 2 5 4 2 2 3 4" xfId="9760" xr:uid="{1B5059D8-2048-4FF5-98D4-6CE3AEB2D071}"/>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A2112984-59EC-4A47-B744-7F26C1CE021E}"/>
    <cellStyle name="Normal 2 5 4 2 2 4 2 3" xfId="12318" xr:uid="{358E6D47-6784-449B-B78C-5AD14DB006CC}"/>
    <cellStyle name="Normal 2 5 4 2 2 4 3" xfId="5949" xr:uid="{00000000-0005-0000-0000-000023110000}"/>
    <cellStyle name="Normal 2 5 4 2 2 4 3 2" xfId="14391" xr:uid="{97041C03-6522-4F2B-8894-B2A60C9A6C40}"/>
    <cellStyle name="Normal 2 5 4 2 2 4 4" xfId="10173" xr:uid="{88639F3F-ACB0-4499-B718-0065556DB4B8}"/>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5C88FF32-F51B-4088-8058-707FB413F9B6}"/>
    <cellStyle name="Normal 2 5 4 2 2 5 2 3" xfId="12731" xr:uid="{46BD1427-8963-4FFE-955F-559F441B1FC9}"/>
    <cellStyle name="Normal 2 5 4 2 2 5 3" xfId="6362" xr:uid="{00000000-0005-0000-0000-000027110000}"/>
    <cellStyle name="Normal 2 5 4 2 2 5 3 2" xfId="14804" xr:uid="{67509BDD-7FB5-412B-A62E-D3C9B8B5D027}"/>
    <cellStyle name="Normal 2 5 4 2 2 5 4" xfId="10586" xr:uid="{BFC15376-44B7-42AC-81AA-445C872056E6}"/>
    <cellStyle name="Normal 2 5 4 2 2 6" xfId="2491" xr:uid="{00000000-0005-0000-0000-000028110000}"/>
    <cellStyle name="Normal 2 5 4 2 2 6 2" xfId="6775" xr:uid="{00000000-0005-0000-0000-000029110000}"/>
    <cellStyle name="Normal 2 5 4 2 2 6 2 2" xfId="15217" xr:uid="{B9D85FEA-7628-4867-B3C6-068D76F1E632}"/>
    <cellStyle name="Normal 2 5 4 2 2 6 3" xfId="10999" xr:uid="{A1E42A1C-C5CD-403E-B028-241B25413581}"/>
    <cellStyle name="Normal 2 5 4 2 2 7" xfId="4709" xr:uid="{00000000-0005-0000-0000-00002A110000}"/>
    <cellStyle name="Normal 2 5 4 2 2 7 2" xfId="13151" xr:uid="{55D14D35-DB2D-4DAC-B268-CE0E5A47E5C0}"/>
    <cellStyle name="Normal 2 5 4 2 2 8" xfId="8933" xr:uid="{F654177B-CE40-4AF8-8602-C27B7520CF5F}"/>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8CB01D0F-4847-486A-AE20-CB1239AD6D66}"/>
    <cellStyle name="Normal 2 5 4 2 3 2 3" xfId="11491" xr:uid="{1EC015AC-E365-4716-91BF-C1B333D6AD73}"/>
    <cellStyle name="Normal 2 5 4 2 3 3" xfId="5122" xr:uid="{00000000-0005-0000-0000-00002E110000}"/>
    <cellStyle name="Normal 2 5 4 2 3 3 2" xfId="13564" xr:uid="{C2BAA59C-7101-4D57-913E-2D20C8472AEC}"/>
    <cellStyle name="Normal 2 5 4 2 3 4" xfId="9346" xr:uid="{754F28CD-8302-4FB3-9CC5-271A8A75F33F}"/>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5E7DBC93-F9F7-4F32-9F72-2DC74E57CD88}"/>
    <cellStyle name="Normal 2 5 4 2 4 2 3" xfId="11904" xr:uid="{63EF2AC3-C492-4421-9F41-D5B806CC756A}"/>
    <cellStyle name="Normal 2 5 4 2 4 3" xfId="5535" xr:uid="{00000000-0005-0000-0000-000032110000}"/>
    <cellStyle name="Normal 2 5 4 2 4 3 2" xfId="13977" xr:uid="{600DA354-536A-4F61-888F-B59AE0A05EA6}"/>
    <cellStyle name="Normal 2 5 4 2 4 4" xfId="9759" xr:uid="{B951599C-14D0-4CB2-BB5C-98742506575B}"/>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3048C779-88B9-4505-8D71-6296CC3D6586}"/>
    <cellStyle name="Normal 2 5 4 2 5 2 3" xfId="12317" xr:uid="{54E07041-9F32-4DA4-8725-B649FBA49BE9}"/>
    <cellStyle name="Normal 2 5 4 2 5 3" xfId="5948" xr:uid="{00000000-0005-0000-0000-000036110000}"/>
    <cellStyle name="Normal 2 5 4 2 5 3 2" xfId="14390" xr:uid="{249B7101-AA39-4960-839C-65E261A46343}"/>
    <cellStyle name="Normal 2 5 4 2 5 4" xfId="10172" xr:uid="{B24E3654-31EB-49FC-BE87-FD4B392D90AD}"/>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87279D2E-B341-418E-A5C8-96C974ED48CA}"/>
    <cellStyle name="Normal 2 5 4 2 6 2 3" xfId="12730" xr:uid="{BB475DEC-B784-427B-B592-67C149ED96F9}"/>
    <cellStyle name="Normal 2 5 4 2 6 3" xfId="6361" xr:uid="{00000000-0005-0000-0000-00003A110000}"/>
    <cellStyle name="Normal 2 5 4 2 6 3 2" xfId="14803" xr:uid="{4EE904E1-3C38-445D-BFFB-CFFB3DBCB91C}"/>
    <cellStyle name="Normal 2 5 4 2 6 4" xfId="10585" xr:uid="{63DBC479-F2B6-47E6-BACB-D1FA79E02EBA}"/>
    <cellStyle name="Normal 2 5 4 2 7" xfId="2490" xr:uid="{00000000-0005-0000-0000-00003B110000}"/>
    <cellStyle name="Normal 2 5 4 2 7 2" xfId="6774" xr:uid="{00000000-0005-0000-0000-00003C110000}"/>
    <cellStyle name="Normal 2 5 4 2 7 2 2" xfId="15216" xr:uid="{48992D41-4008-41BF-8007-B55189005D3C}"/>
    <cellStyle name="Normal 2 5 4 2 7 3" xfId="10998" xr:uid="{863F2E91-20B5-4002-BEAB-CF0CEB71B79D}"/>
    <cellStyle name="Normal 2 5 4 2 8" xfId="4708" xr:uid="{00000000-0005-0000-0000-00003D110000}"/>
    <cellStyle name="Normal 2 5 4 2 8 2" xfId="13150" xr:uid="{13BB6640-FEA6-4DA4-ABAB-3AB3C31F4479}"/>
    <cellStyle name="Normal 2 5 4 2 9" xfId="8932" xr:uid="{2EB22070-D767-49F5-A0B0-FF48CE2C3AC4}"/>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502CC493-9115-4D89-AD15-634D8E3736D1}"/>
    <cellStyle name="Normal 2 5 4 3 2 2 3" xfId="11493" xr:uid="{7254AFE6-0E2F-488D-B387-E0BC25BDF2D5}"/>
    <cellStyle name="Normal 2 5 4 3 2 3" xfId="5124" xr:uid="{00000000-0005-0000-0000-000042110000}"/>
    <cellStyle name="Normal 2 5 4 3 2 3 2" xfId="13566" xr:uid="{2D9750F5-7A64-43DA-9FB1-3B391F2D18BB}"/>
    <cellStyle name="Normal 2 5 4 3 2 4" xfId="9348" xr:uid="{32E912F4-E90F-4560-881E-1B706F3E4121}"/>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6CAD2942-0B7B-4AE3-81A3-6D4233CDF58B}"/>
    <cellStyle name="Normal 2 5 4 3 3 2 3" xfId="11906" xr:uid="{5F9FCB7B-CDB5-42D3-A614-64A8D66C8D52}"/>
    <cellStyle name="Normal 2 5 4 3 3 3" xfId="5537" xr:uid="{00000000-0005-0000-0000-000046110000}"/>
    <cellStyle name="Normal 2 5 4 3 3 3 2" xfId="13979" xr:uid="{05BAA8D1-5EC9-4DA7-ABCC-5630D616699F}"/>
    <cellStyle name="Normal 2 5 4 3 3 4" xfId="9761" xr:uid="{019FF451-F9C2-49FA-94C8-5576159BE9A9}"/>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FDE8301E-62DF-4F6A-8E07-5434440D3A1C}"/>
    <cellStyle name="Normal 2 5 4 3 4 2 3" xfId="12319" xr:uid="{B372186B-76CB-4C46-BE9A-5659FD6826A8}"/>
    <cellStyle name="Normal 2 5 4 3 4 3" xfId="5950" xr:uid="{00000000-0005-0000-0000-00004A110000}"/>
    <cellStyle name="Normal 2 5 4 3 4 3 2" xfId="14392" xr:uid="{210FE1FC-D8D8-43F8-B8A7-52CD14554E3A}"/>
    <cellStyle name="Normal 2 5 4 3 4 4" xfId="10174" xr:uid="{BFF375E0-FFE3-4C7D-8097-793111173215}"/>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F09A6AC9-E8F9-4C0F-A13F-3D73B8849037}"/>
    <cellStyle name="Normal 2 5 4 3 5 2 3" xfId="12732" xr:uid="{EAD9EF99-B62B-4FCD-87BF-5AD7BE25B228}"/>
    <cellStyle name="Normal 2 5 4 3 5 3" xfId="6363" xr:uid="{00000000-0005-0000-0000-00004E110000}"/>
    <cellStyle name="Normal 2 5 4 3 5 3 2" xfId="14805" xr:uid="{4B2F2E3E-1897-418A-9820-FB743A90F8DA}"/>
    <cellStyle name="Normal 2 5 4 3 5 4" xfId="10587" xr:uid="{F8EFC376-973F-43FE-B8FF-0DEB2DB520FB}"/>
    <cellStyle name="Normal 2 5 4 3 6" xfId="2492" xr:uid="{00000000-0005-0000-0000-00004F110000}"/>
    <cellStyle name="Normal 2 5 4 3 6 2" xfId="6776" xr:uid="{00000000-0005-0000-0000-000050110000}"/>
    <cellStyle name="Normal 2 5 4 3 6 2 2" xfId="15218" xr:uid="{5334B1A6-E72E-42D6-BA46-4AE69ADDDD92}"/>
    <cellStyle name="Normal 2 5 4 3 6 3" xfId="11000" xr:uid="{AB50BD25-2511-4E5F-9C40-1C5440CB6D96}"/>
    <cellStyle name="Normal 2 5 4 3 7" xfId="4710" xr:uid="{00000000-0005-0000-0000-000051110000}"/>
    <cellStyle name="Normal 2 5 4 3 7 2" xfId="13152" xr:uid="{0307A2A7-D472-4B6C-A55A-D7F36545A9F1}"/>
    <cellStyle name="Normal 2 5 4 3 8" xfId="8934" xr:uid="{6911CB12-505E-4D5F-8625-46E996F9223E}"/>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5A1B9DC8-8319-4514-956B-1421708D603C}"/>
    <cellStyle name="Normal 2 5 4 4 2 3" xfId="11490" xr:uid="{A8C36696-71F0-4480-BD71-016328140201}"/>
    <cellStyle name="Normal 2 5 4 4 3" xfId="5121" xr:uid="{00000000-0005-0000-0000-000055110000}"/>
    <cellStyle name="Normal 2 5 4 4 3 2" xfId="13563" xr:uid="{17258BD3-A951-4525-919A-8CBA82583C1B}"/>
    <cellStyle name="Normal 2 5 4 4 4" xfId="9345" xr:uid="{A215538F-3F48-40E3-9874-28FB43FF0D67}"/>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6334B019-DB91-4BC8-BBE7-EB2B8F45CCF8}"/>
    <cellStyle name="Normal 2 5 4 5 2 3" xfId="11903" xr:uid="{38050AAC-DA9A-407C-9C50-2B6E39BC7F94}"/>
    <cellStyle name="Normal 2 5 4 5 3" xfId="5534" xr:uid="{00000000-0005-0000-0000-000059110000}"/>
    <cellStyle name="Normal 2 5 4 5 3 2" xfId="13976" xr:uid="{AA113502-2FE6-42BB-8828-B8985D6385CF}"/>
    <cellStyle name="Normal 2 5 4 5 4" xfId="9758" xr:uid="{60E93668-3ECE-497F-9429-E13F4E0D2987}"/>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34F34DD9-638F-47D7-966A-6836ACE2C62C}"/>
    <cellStyle name="Normal 2 5 4 6 2 3" xfId="12316" xr:uid="{7839155D-1BF5-4D04-9F80-28556FD67049}"/>
    <cellStyle name="Normal 2 5 4 6 3" xfId="5947" xr:uid="{00000000-0005-0000-0000-00005D110000}"/>
    <cellStyle name="Normal 2 5 4 6 3 2" xfId="14389" xr:uid="{A900E923-4343-4E34-9EA8-C4950E1435BF}"/>
    <cellStyle name="Normal 2 5 4 6 4" xfId="10171" xr:uid="{76C7D42A-CF4A-440C-956F-5915ACF45ED4}"/>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6EB73B0A-18BC-4035-96F4-4E8A491D7657}"/>
    <cellStyle name="Normal 2 5 4 7 2 3" xfId="12729" xr:uid="{0A616C97-F132-4BF3-B7AC-DA850E7A16A5}"/>
    <cellStyle name="Normal 2 5 4 7 3" xfId="6360" xr:uid="{00000000-0005-0000-0000-000061110000}"/>
    <cellStyle name="Normal 2 5 4 7 3 2" xfId="14802" xr:uid="{5480355D-0C93-4363-8EC3-FA2A9CF73215}"/>
    <cellStyle name="Normal 2 5 4 7 4" xfId="10584" xr:uid="{BB0AB887-23B8-422C-99BB-4B9446BFA840}"/>
    <cellStyle name="Normal 2 5 4 8" xfId="2489" xr:uid="{00000000-0005-0000-0000-000062110000}"/>
    <cellStyle name="Normal 2 5 4 8 2" xfId="6773" xr:uid="{00000000-0005-0000-0000-000063110000}"/>
    <cellStyle name="Normal 2 5 4 8 2 2" xfId="15215" xr:uid="{3CD628C3-17EF-41A1-B8AD-A62FF464E48A}"/>
    <cellStyle name="Normal 2 5 4 8 3" xfId="10997" xr:uid="{D9CC9C11-BF70-42AC-B5F3-72233A10E47A}"/>
    <cellStyle name="Normal 2 5 4 9" xfId="4707" xr:uid="{00000000-0005-0000-0000-000064110000}"/>
    <cellStyle name="Normal 2 5 4 9 2" xfId="13149" xr:uid="{BEEA8562-A41E-4F72-AB5B-19C3842459D4}"/>
    <cellStyle name="Normal 2 5 5" xfId="803" xr:uid="{00000000-0005-0000-0000-000065110000}"/>
    <cellStyle name="Normal 2 5 5 2" xfId="3042" xr:uid="{00000000-0005-0000-0000-000066110000}"/>
    <cellStyle name="Normal 2 5 5 2 2" xfId="7265" xr:uid="{00000000-0005-0000-0000-000067110000}"/>
    <cellStyle name="Normal 2 5 5 2 2 2" xfId="15707" xr:uid="{612CA2E6-5470-414F-B01C-339791F1DC61}"/>
    <cellStyle name="Normal 2 5 5 2 3" xfId="11489" xr:uid="{721226CB-955A-4E1E-9283-A3715AB557E9}"/>
    <cellStyle name="Normal 2 5 5 3" xfId="5120" xr:uid="{00000000-0005-0000-0000-000068110000}"/>
    <cellStyle name="Normal 2 5 5 3 2" xfId="13562" xr:uid="{E25EA5E9-8012-4B64-8B36-7ED3212EBF51}"/>
    <cellStyle name="Normal 2 5 5 4" xfId="9344" xr:uid="{4E4147CB-E8CD-4EA6-A9D7-EB00F32E8F93}"/>
    <cellStyle name="Normal 2 5 6" xfId="1225" xr:uid="{00000000-0005-0000-0000-000069110000}"/>
    <cellStyle name="Normal 2 5 6 2" xfId="3455" xr:uid="{00000000-0005-0000-0000-00006A110000}"/>
    <cellStyle name="Normal 2 5 6 2 2" xfId="7678" xr:uid="{00000000-0005-0000-0000-00006B110000}"/>
    <cellStyle name="Normal 2 5 6 2 2 2" xfId="16120" xr:uid="{C764755B-BE29-4440-B061-E5EEE837BB46}"/>
    <cellStyle name="Normal 2 5 6 2 3" xfId="11902" xr:uid="{147B61CF-62E8-480C-8001-0A6BE5F8737F}"/>
    <cellStyle name="Normal 2 5 6 3" xfId="5533" xr:uid="{00000000-0005-0000-0000-00006C110000}"/>
    <cellStyle name="Normal 2 5 6 3 2" xfId="13975" xr:uid="{1776F7C1-5261-40AD-87E2-F21A1964BCA2}"/>
    <cellStyle name="Normal 2 5 6 4" xfId="9757" xr:uid="{E2B21480-1401-4401-976D-158AD26E11CB}"/>
    <cellStyle name="Normal 2 5 7" xfId="1638" xr:uid="{00000000-0005-0000-0000-00006D110000}"/>
    <cellStyle name="Normal 2 5 7 2" xfId="3868" xr:uid="{00000000-0005-0000-0000-00006E110000}"/>
    <cellStyle name="Normal 2 5 7 2 2" xfId="8091" xr:uid="{00000000-0005-0000-0000-00006F110000}"/>
    <cellStyle name="Normal 2 5 7 2 2 2" xfId="16533" xr:uid="{3B5309D4-0845-4BAB-8AEE-E7963F2D1BC3}"/>
    <cellStyle name="Normal 2 5 7 2 3" xfId="12315" xr:uid="{9D8BAB8A-CD59-4AD3-AB66-5FD23EF3DB49}"/>
    <cellStyle name="Normal 2 5 7 3" xfId="5946" xr:uid="{00000000-0005-0000-0000-000070110000}"/>
    <cellStyle name="Normal 2 5 7 3 2" xfId="14388" xr:uid="{081410C3-EE49-44DC-A98A-96A0381C0EF6}"/>
    <cellStyle name="Normal 2 5 7 4" xfId="10170" xr:uid="{988E38EB-37D0-4E2D-B4EF-1C6EBBE608B4}"/>
    <cellStyle name="Normal 2 5 8" xfId="2052" xr:uid="{00000000-0005-0000-0000-000071110000}"/>
    <cellStyle name="Normal 2 5 8 2" xfId="4281" xr:uid="{00000000-0005-0000-0000-000072110000}"/>
    <cellStyle name="Normal 2 5 8 2 2" xfId="8504" xr:uid="{00000000-0005-0000-0000-000073110000}"/>
    <cellStyle name="Normal 2 5 8 2 2 2" xfId="16946" xr:uid="{17E12D24-7E30-4751-9BD8-03F14D0E6D11}"/>
    <cellStyle name="Normal 2 5 8 2 3" xfId="12728" xr:uid="{81B1E24A-4BC7-4F66-A677-507C8BC625B7}"/>
    <cellStyle name="Normal 2 5 8 3" xfId="6359" xr:uid="{00000000-0005-0000-0000-000074110000}"/>
    <cellStyle name="Normal 2 5 8 3 2" xfId="14801" xr:uid="{C6F1F0F9-2B86-4415-984F-51C0BF67C43F}"/>
    <cellStyle name="Normal 2 5 8 4" xfId="10583" xr:uid="{8AC9E8BD-0F39-41D2-B7BA-14262798A6A0}"/>
    <cellStyle name="Normal 2 5 9" xfId="2488" xr:uid="{00000000-0005-0000-0000-000075110000}"/>
    <cellStyle name="Normal 2 5 9 2" xfId="6772" xr:uid="{00000000-0005-0000-0000-000076110000}"/>
    <cellStyle name="Normal 2 5 9 2 2" xfId="15214" xr:uid="{A3643F36-375C-4E56-8170-5158897C29E8}"/>
    <cellStyle name="Normal 2 5 9 3" xfId="10996" xr:uid="{984BB082-7580-4658-8CF6-B83CE494B7CA}"/>
    <cellStyle name="Normal 2 6" xfId="322" xr:uid="{00000000-0005-0000-0000-000077110000}"/>
    <cellStyle name="Normal 2 7" xfId="769" xr:uid="{00000000-0005-0000-0000-000078110000}"/>
    <cellStyle name="Normal 2 8" xfId="4495" xr:uid="{00000000-0005-0000-0000-000079110000}"/>
    <cellStyle name="Normal 2 8 2" xfId="12940" xr:uid="{BC28725B-C584-4586-A60E-879385BE1CE0}"/>
    <cellStyle name="Normal 3" xfId="323" xr:uid="{00000000-0005-0000-0000-00007A110000}"/>
    <cellStyle name="Normal 3 2" xfId="324" xr:uid="{00000000-0005-0000-0000-00007B110000}"/>
    <cellStyle name="Normal 3 2 10" xfId="8935" xr:uid="{74EC494D-C5BD-448C-B574-1B6B722534A1}"/>
    <cellStyle name="Normal 3 2 2" xfId="325" xr:uid="{00000000-0005-0000-0000-00007C110000}"/>
    <cellStyle name="Normal 3 2 2 2" xfId="810" xr:uid="{00000000-0005-0000-0000-00007D110000}"/>
    <cellStyle name="Normal 3 2 3" xfId="326" xr:uid="{00000000-0005-0000-0000-00007E110000}"/>
    <cellStyle name="Normal 3 2 3 10" xfId="8936" xr:uid="{59E19F43-BC38-4FF7-9FA5-43839C0239C6}"/>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26E9BC67-A23A-4ABF-917D-5CD8271702C5}"/>
    <cellStyle name="Normal 3 2 3 2 2 2 2 3" xfId="11497" xr:uid="{ECC436E0-B64E-4A6B-B641-EE7EA984C734}"/>
    <cellStyle name="Normal 3 2 3 2 2 2 3" xfId="5128" xr:uid="{00000000-0005-0000-0000-000084110000}"/>
    <cellStyle name="Normal 3 2 3 2 2 2 3 2" xfId="13570" xr:uid="{746AAE94-8EF7-4055-A983-CD0D2D2B7C5D}"/>
    <cellStyle name="Normal 3 2 3 2 2 2 4" xfId="9352" xr:uid="{37013C38-DCEC-4193-91AD-1A7995FC9D24}"/>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E406659C-E3A8-4838-AD95-D8D989A29B4E}"/>
    <cellStyle name="Normal 3 2 3 2 2 3 2 3" xfId="11910" xr:uid="{44AFB880-65EE-41B4-BA84-C4AC92F97A06}"/>
    <cellStyle name="Normal 3 2 3 2 2 3 3" xfId="5541" xr:uid="{00000000-0005-0000-0000-000088110000}"/>
    <cellStyle name="Normal 3 2 3 2 2 3 3 2" xfId="13983" xr:uid="{EA9E75F5-F47B-466D-A612-64FF80BD1357}"/>
    <cellStyle name="Normal 3 2 3 2 2 3 4" xfId="9765" xr:uid="{87E529EB-76CF-41BE-BC77-40F4A80B9FBF}"/>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A4F0D621-F44E-46E2-812E-FB5497DB5A4F}"/>
    <cellStyle name="Normal 3 2 3 2 2 4 2 3" xfId="12323" xr:uid="{F596A10C-B9C1-4F5A-B3C5-DEC759B9F433}"/>
    <cellStyle name="Normal 3 2 3 2 2 4 3" xfId="5954" xr:uid="{00000000-0005-0000-0000-00008C110000}"/>
    <cellStyle name="Normal 3 2 3 2 2 4 3 2" xfId="14396" xr:uid="{D2B32D21-9935-4C44-8C1B-58A048F14077}"/>
    <cellStyle name="Normal 3 2 3 2 2 4 4" xfId="10178" xr:uid="{9A0F370E-9B8C-4F3B-8544-ADC29A2A70B9}"/>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1F5ACD83-A9D6-4737-9831-06020D18AE58}"/>
    <cellStyle name="Normal 3 2 3 2 2 5 2 3" xfId="12736" xr:uid="{4FD32B88-417B-4998-9A25-89C825E79AA1}"/>
    <cellStyle name="Normal 3 2 3 2 2 5 3" xfId="6367" xr:uid="{00000000-0005-0000-0000-000090110000}"/>
    <cellStyle name="Normal 3 2 3 2 2 5 3 2" xfId="14809" xr:uid="{E4A25F54-B6C8-4FB8-BC9A-4F40B5D3D03D}"/>
    <cellStyle name="Normal 3 2 3 2 2 5 4" xfId="10591" xr:uid="{FBD3A3D4-1CB4-414C-BFA7-399CCD276988}"/>
    <cellStyle name="Normal 3 2 3 2 2 6" xfId="2496" xr:uid="{00000000-0005-0000-0000-000091110000}"/>
    <cellStyle name="Normal 3 2 3 2 2 6 2" xfId="6780" xr:uid="{00000000-0005-0000-0000-000092110000}"/>
    <cellStyle name="Normal 3 2 3 2 2 6 2 2" xfId="15222" xr:uid="{08683A36-ADD4-40AA-BD1C-A468B968EB06}"/>
    <cellStyle name="Normal 3 2 3 2 2 6 3" xfId="11004" xr:uid="{72949CBC-9130-4613-95B1-598831A187AE}"/>
    <cellStyle name="Normal 3 2 3 2 2 7" xfId="4714" xr:uid="{00000000-0005-0000-0000-000093110000}"/>
    <cellStyle name="Normal 3 2 3 2 2 7 2" xfId="13156" xr:uid="{34B00EAC-719F-411D-9AD8-24B90D64D86E}"/>
    <cellStyle name="Normal 3 2 3 2 2 8" xfId="8938" xr:uid="{1499AFFA-6236-460A-B156-2D9B02A586BE}"/>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3932C9D1-3A51-4E5E-8A1D-0FF7F0C1FA49}"/>
    <cellStyle name="Normal 3 2 3 2 3 2 3" xfId="11496" xr:uid="{1FC51A7E-79AA-49A9-B938-03C9C7EFD83F}"/>
    <cellStyle name="Normal 3 2 3 2 3 3" xfId="5127" xr:uid="{00000000-0005-0000-0000-000097110000}"/>
    <cellStyle name="Normal 3 2 3 2 3 3 2" xfId="13569" xr:uid="{2727D5FC-DA5A-468D-94DD-A8A7779FB1BA}"/>
    <cellStyle name="Normal 3 2 3 2 3 4" xfId="9351" xr:uid="{6D8B3A96-1280-4D02-A2AB-0D54F15EE787}"/>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BAC3FA3E-C229-4DE0-AB5F-8E89E24C9265}"/>
    <cellStyle name="Normal 3 2 3 2 4 2 3" xfId="11909" xr:uid="{1D9193D6-1C3B-4845-81D7-CD4748461E30}"/>
    <cellStyle name="Normal 3 2 3 2 4 3" xfId="5540" xr:uid="{00000000-0005-0000-0000-00009B110000}"/>
    <cellStyle name="Normal 3 2 3 2 4 3 2" xfId="13982" xr:uid="{9DEADB8C-AB42-4ECC-B29E-58816E41A272}"/>
    <cellStyle name="Normal 3 2 3 2 4 4" xfId="9764" xr:uid="{A623D5C8-571B-452A-8E01-0CAE9456602A}"/>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4547C1FB-339F-4367-9988-1756307112CA}"/>
    <cellStyle name="Normal 3 2 3 2 5 2 3" xfId="12322" xr:uid="{E1CD22CC-302D-445D-B515-F94DC2A0496F}"/>
    <cellStyle name="Normal 3 2 3 2 5 3" xfId="5953" xr:uid="{00000000-0005-0000-0000-00009F110000}"/>
    <cellStyle name="Normal 3 2 3 2 5 3 2" xfId="14395" xr:uid="{829BC7F8-3AB6-4183-9489-A0E544E46948}"/>
    <cellStyle name="Normal 3 2 3 2 5 4" xfId="10177" xr:uid="{88030C97-16B6-489C-9B04-2DB397E94B60}"/>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48120453-5FA0-4A3F-805A-9981F3069237}"/>
    <cellStyle name="Normal 3 2 3 2 6 2 3" xfId="12735" xr:uid="{171E89ED-4C6D-477F-8698-F6B8733BB139}"/>
    <cellStyle name="Normal 3 2 3 2 6 3" xfId="6366" xr:uid="{00000000-0005-0000-0000-0000A3110000}"/>
    <cellStyle name="Normal 3 2 3 2 6 3 2" xfId="14808" xr:uid="{A4A9522B-CCD2-4083-BF2C-44BEEE344E66}"/>
    <cellStyle name="Normal 3 2 3 2 6 4" xfId="10590" xr:uid="{D98938D2-3B24-4E7E-82A2-5C61247F1163}"/>
    <cellStyle name="Normal 3 2 3 2 7" xfId="2495" xr:uid="{00000000-0005-0000-0000-0000A4110000}"/>
    <cellStyle name="Normal 3 2 3 2 7 2" xfId="6779" xr:uid="{00000000-0005-0000-0000-0000A5110000}"/>
    <cellStyle name="Normal 3 2 3 2 7 2 2" xfId="15221" xr:uid="{79452FAE-3642-48F0-B92D-0497C456663C}"/>
    <cellStyle name="Normal 3 2 3 2 7 3" xfId="11003" xr:uid="{3E84ACE6-B6AC-4FAD-8A3C-1CA19B872148}"/>
    <cellStyle name="Normal 3 2 3 2 8" xfId="4713" xr:uid="{00000000-0005-0000-0000-0000A6110000}"/>
    <cellStyle name="Normal 3 2 3 2 8 2" xfId="13155" xr:uid="{6DD8F7F9-1D42-47B8-868F-B3F6838A8AA6}"/>
    <cellStyle name="Normal 3 2 3 2 9" xfId="8937" xr:uid="{9790B298-50BC-4A7F-BD6C-6A7A8B4FFF4D}"/>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CAA8E44F-945D-4D3C-847E-A899DE94B7D0}"/>
    <cellStyle name="Normal 3 2 3 3 2 2 3" xfId="11498" xr:uid="{D2B0A9F7-325C-4C3D-B0BE-7FDFB75EAEFA}"/>
    <cellStyle name="Normal 3 2 3 3 2 3" xfId="5129" xr:uid="{00000000-0005-0000-0000-0000AB110000}"/>
    <cellStyle name="Normal 3 2 3 3 2 3 2" xfId="13571" xr:uid="{2E6044FA-105E-4651-8FCB-906CDF9E80E9}"/>
    <cellStyle name="Normal 3 2 3 3 2 4" xfId="9353" xr:uid="{867E7B63-C3E7-4409-8CA9-24CA106AFFB2}"/>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ED617AA4-9F9A-4E61-9E42-09433B58F7C0}"/>
    <cellStyle name="Normal 3 2 3 3 3 2 3" xfId="11911" xr:uid="{0E659239-755F-4BC5-A615-BE88A1C5566A}"/>
    <cellStyle name="Normal 3 2 3 3 3 3" xfId="5542" xr:uid="{00000000-0005-0000-0000-0000AF110000}"/>
    <cellStyle name="Normal 3 2 3 3 3 3 2" xfId="13984" xr:uid="{07BF8320-AA2A-4212-9846-EAB719F99CB4}"/>
    <cellStyle name="Normal 3 2 3 3 3 4" xfId="9766" xr:uid="{0F3109FB-82B4-484B-8023-907AD0694908}"/>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FE2F4B67-2483-4A10-AA7A-CB1C529A0CC5}"/>
    <cellStyle name="Normal 3 2 3 3 4 2 3" xfId="12324" xr:uid="{00FE286A-D49E-4602-A580-F54EBADCF365}"/>
    <cellStyle name="Normal 3 2 3 3 4 3" xfId="5955" xr:uid="{00000000-0005-0000-0000-0000B3110000}"/>
    <cellStyle name="Normal 3 2 3 3 4 3 2" xfId="14397" xr:uid="{E9E9C48E-5890-49F9-968A-85FD5BCAFAB4}"/>
    <cellStyle name="Normal 3 2 3 3 4 4" xfId="10179" xr:uid="{247D40A7-898B-4AF0-B256-90D4BEA71FE0}"/>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40EA0A91-65C7-4285-B4F4-9F3FFD64C264}"/>
    <cellStyle name="Normal 3 2 3 3 5 2 3" xfId="12737" xr:uid="{F39C1B29-B666-496E-9684-91A2DB594CE4}"/>
    <cellStyle name="Normal 3 2 3 3 5 3" xfId="6368" xr:uid="{00000000-0005-0000-0000-0000B7110000}"/>
    <cellStyle name="Normal 3 2 3 3 5 3 2" xfId="14810" xr:uid="{75C4F1D3-8461-4B43-A43B-4D8087EFFAF4}"/>
    <cellStyle name="Normal 3 2 3 3 5 4" xfId="10592" xr:uid="{1667B1AE-6058-49E4-8401-97A1117A6143}"/>
    <cellStyle name="Normal 3 2 3 3 6" xfId="2497" xr:uid="{00000000-0005-0000-0000-0000B8110000}"/>
    <cellStyle name="Normal 3 2 3 3 6 2" xfId="6781" xr:uid="{00000000-0005-0000-0000-0000B9110000}"/>
    <cellStyle name="Normal 3 2 3 3 6 2 2" xfId="15223" xr:uid="{8D77F3BA-537A-4E74-B5E4-F2100C35CAEC}"/>
    <cellStyle name="Normal 3 2 3 3 6 3" xfId="11005" xr:uid="{273BFE3A-DCF3-4317-9840-478229FF4B60}"/>
    <cellStyle name="Normal 3 2 3 3 7" xfId="4715" xr:uid="{00000000-0005-0000-0000-0000BA110000}"/>
    <cellStyle name="Normal 3 2 3 3 7 2" xfId="13157" xr:uid="{70CF2695-67C3-40EC-9FF1-80989AAB541B}"/>
    <cellStyle name="Normal 3 2 3 3 8" xfId="8939" xr:uid="{0A2C1D85-D29D-46E4-B7AA-C8E004ADFA43}"/>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9510A85F-89D4-4BBB-A051-0E4D636AA93E}"/>
    <cellStyle name="Normal 3 2 3 4 2 3" xfId="11495" xr:uid="{B5A42065-81A0-4803-A8D1-CB7E51ABF49E}"/>
    <cellStyle name="Normal 3 2 3 4 3" xfId="5126" xr:uid="{00000000-0005-0000-0000-0000BE110000}"/>
    <cellStyle name="Normal 3 2 3 4 3 2" xfId="13568" xr:uid="{CAF4D0EA-D05B-4B1F-A3ED-EC98D0C9A1F5}"/>
    <cellStyle name="Normal 3 2 3 4 4" xfId="9350" xr:uid="{7D933C3A-5AEA-477A-8F5A-DBF795F92735}"/>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947743F9-05F8-45D0-B418-44BE4E54007C}"/>
    <cellStyle name="Normal 3 2 3 5 2 3" xfId="11908" xr:uid="{7EE4ABFD-1461-450C-ACB5-DCDFF506F763}"/>
    <cellStyle name="Normal 3 2 3 5 3" xfId="5539" xr:uid="{00000000-0005-0000-0000-0000C2110000}"/>
    <cellStyle name="Normal 3 2 3 5 3 2" xfId="13981" xr:uid="{DEA7CD9D-03F4-45F8-9ABE-5CBDF23BB07E}"/>
    <cellStyle name="Normal 3 2 3 5 4" xfId="9763" xr:uid="{8AF382E4-E4D2-432E-A08F-8CC1ECFF6C89}"/>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73E453DD-1B30-42BF-A6B3-C20201B77AC2}"/>
    <cellStyle name="Normal 3 2 3 6 2 3" xfId="12321" xr:uid="{8A6DC49F-4122-4143-9469-591B23D54E24}"/>
    <cellStyle name="Normal 3 2 3 6 3" xfId="5952" xr:uid="{00000000-0005-0000-0000-0000C6110000}"/>
    <cellStyle name="Normal 3 2 3 6 3 2" xfId="14394" xr:uid="{04EF8029-67B2-423B-BD47-B699F17B3C5D}"/>
    <cellStyle name="Normal 3 2 3 6 4" xfId="10176" xr:uid="{CF845D1B-3B25-4F45-AED2-B17BCA11BA96}"/>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534AB02C-C01D-4A0F-8124-056B6080F022}"/>
    <cellStyle name="Normal 3 2 3 7 2 3" xfId="12734" xr:uid="{08E238CB-B916-479A-BA06-FC3514396085}"/>
    <cellStyle name="Normal 3 2 3 7 3" xfId="6365" xr:uid="{00000000-0005-0000-0000-0000CA110000}"/>
    <cellStyle name="Normal 3 2 3 7 3 2" xfId="14807" xr:uid="{B7620037-4646-46CB-91ED-2A828EEF4840}"/>
    <cellStyle name="Normal 3 2 3 7 4" xfId="10589" xr:uid="{27D04271-C00B-4407-9D93-F2FAAE78814E}"/>
    <cellStyle name="Normal 3 2 3 8" xfId="2494" xr:uid="{00000000-0005-0000-0000-0000CB110000}"/>
    <cellStyle name="Normal 3 2 3 8 2" xfId="6778" xr:uid="{00000000-0005-0000-0000-0000CC110000}"/>
    <cellStyle name="Normal 3 2 3 8 2 2" xfId="15220" xr:uid="{662C5A2D-D535-466D-93D2-D4BF09FAC03D}"/>
    <cellStyle name="Normal 3 2 3 8 3" xfId="11002" xr:uid="{DC942BA5-5FBC-4CE9-A123-7654F62AA12C}"/>
    <cellStyle name="Normal 3 2 3 9" xfId="4712" xr:uid="{00000000-0005-0000-0000-0000CD110000}"/>
    <cellStyle name="Normal 3 2 3 9 2" xfId="13154" xr:uid="{D5545404-0FAB-4E93-A0D5-C527E2306918}"/>
    <cellStyle name="Normal 3 2 4" xfId="809" xr:uid="{00000000-0005-0000-0000-0000CE110000}"/>
    <cellStyle name="Normal 3 2 4 2" xfId="3047" xr:uid="{00000000-0005-0000-0000-0000CF110000}"/>
    <cellStyle name="Normal 3 2 4 2 2" xfId="7270" xr:uid="{00000000-0005-0000-0000-0000D0110000}"/>
    <cellStyle name="Normal 3 2 4 2 2 2" xfId="15712" xr:uid="{FAFD19FA-FA36-4E57-946C-5F4507CDD631}"/>
    <cellStyle name="Normal 3 2 4 2 3" xfId="11494" xr:uid="{BDFFD60A-E698-448D-99DA-D230F07BA162}"/>
    <cellStyle name="Normal 3 2 4 3" xfId="5125" xr:uid="{00000000-0005-0000-0000-0000D1110000}"/>
    <cellStyle name="Normal 3 2 4 3 2" xfId="13567" xr:uid="{DBD859E7-49A6-4562-A371-AAE8B5657F0B}"/>
    <cellStyle name="Normal 3 2 4 4" xfId="9349" xr:uid="{423CCD6D-7CEF-4383-9680-0556FA027B1E}"/>
    <cellStyle name="Normal 3 2 5" xfId="1230" xr:uid="{00000000-0005-0000-0000-0000D2110000}"/>
    <cellStyle name="Normal 3 2 5 2" xfId="3460" xr:uid="{00000000-0005-0000-0000-0000D3110000}"/>
    <cellStyle name="Normal 3 2 5 2 2" xfId="7683" xr:uid="{00000000-0005-0000-0000-0000D4110000}"/>
    <cellStyle name="Normal 3 2 5 2 2 2" xfId="16125" xr:uid="{86F27D09-1F8C-468F-85E1-24893BCA7307}"/>
    <cellStyle name="Normal 3 2 5 2 3" xfId="11907" xr:uid="{6039FB5B-41E5-4C26-BE42-C41A72F867EF}"/>
    <cellStyle name="Normal 3 2 5 3" xfId="5538" xr:uid="{00000000-0005-0000-0000-0000D5110000}"/>
    <cellStyle name="Normal 3 2 5 3 2" xfId="13980" xr:uid="{F8ECDC20-046D-4B57-AF91-2EF71227AE97}"/>
    <cellStyle name="Normal 3 2 5 4" xfId="9762" xr:uid="{ABFA1FC1-3041-4B8D-87CA-54E9793CB348}"/>
    <cellStyle name="Normal 3 2 6" xfId="1643" xr:uid="{00000000-0005-0000-0000-0000D6110000}"/>
    <cellStyle name="Normal 3 2 6 2" xfId="3873" xr:uid="{00000000-0005-0000-0000-0000D7110000}"/>
    <cellStyle name="Normal 3 2 6 2 2" xfId="8096" xr:uid="{00000000-0005-0000-0000-0000D8110000}"/>
    <cellStyle name="Normal 3 2 6 2 2 2" xfId="16538" xr:uid="{DBF6C020-0F3E-412D-A466-655BDE4B6517}"/>
    <cellStyle name="Normal 3 2 6 2 3" xfId="12320" xr:uid="{86DD539D-E3C4-4A3C-A51E-3464F53BEA37}"/>
    <cellStyle name="Normal 3 2 6 3" xfId="5951" xr:uid="{00000000-0005-0000-0000-0000D9110000}"/>
    <cellStyle name="Normal 3 2 6 3 2" xfId="14393" xr:uid="{DF706901-B0B7-4CA7-9965-508DC18B4024}"/>
    <cellStyle name="Normal 3 2 6 4" xfId="10175" xr:uid="{75AC98FF-DBA3-4023-8CC0-ED7F0188A604}"/>
    <cellStyle name="Normal 3 2 7" xfId="2057" xr:uid="{00000000-0005-0000-0000-0000DA110000}"/>
    <cellStyle name="Normal 3 2 7 2" xfId="4286" xr:uid="{00000000-0005-0000-0000-0000DB110000}"/>
    <cellStyle name="Normal 3 2 7 2 2" xfId="8509" xr:uid="{00000000-0005-0000-0000-0000DC110000}"/>
    <cellStyle name="Normal 3 2 7 2 2 2" xfId="16951" xr:uid="{ABCE658B-0189-4F44-AAB1-28364B23268B}"/>
    <cellStyle name="Normal 3 2 7 2 3" xfId="12733" xr:uid="{FBD63D16-CDD1-4EB9-B4F0-2589152A15D1}"/>
    <cellStyle name="Normal 3 2 7 3" xfId="6364" xr:uid="{00000000-0005-0000-0000-0000DD110000}"/>
    <cellStyle name="Normal 3 2 7 3 2" xfId="14806" xr:uid="{56224D7A-2BF6-4FF5-B8F9-9358A417A1C8}"/>
    <cellStyle name="Normal 3 2 7 4" xfId="10588" xr:uid="{B7209718-685C-486F-857C-14FA035F1CCA}"/>
    <cellStyle name="Normal 3 2 8" xfId="2493" xr:uid="{00000000-0005-0000-0000-0000DE110000}"/>
    <cellStyle name="Normal 3 2 8 2" xfId="6777" xr:uid="{00000000-0005-0000-0000-0000DF110000}"/>
    <cellStyle name="Normal 3 2 8 2 2" xfId="15219" xr:uid="{ACC6616B-8970-4740-9575-6616FEEF40AD}"/>
    <cellStyle name="Normal 3 2 8 3" xfId="11001" xr:uid="{D0E74B5D-CD3B-423B-AD23-111A8226E407}"/>
    <cellStyle name="Normal 3 2 9" xfId="4711" xr:uid="{00000000-0005-0000-0000-0000E0110000}"/>
    <cellStyle name="Normal 3 2 9 2" xfId="13153" xr:uid="{97831ABF-1740-4722-8EF8-9EBC01B40235}"/>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FEC3B61D-651C-4EFF-A572-8770D0B7217E}"/>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79E79300-7EB7-4BF1-AA0A-C64E6E4487CE}"/>
    <cellStyle name="Normal 4 2 2 10 2 3" xfId="12738" xr:uid="{FF202DD4-8AC1-4CBE-92AD-64A720DC3708}"/>
    <cellStyle name="Normal 4 2 2 10 3" xfId="6369" xr:uid="{00000000-0005-0000-0000-0000ED110000}"/>
    <cellStyle name="Normal 4 2 2 10 3 2" xfId="14811" xr:uid="{EE577452-2C25-4B8A-BE7E-874F4F4EECD3}"/>
    <cellStyle name="Normal 4 2 2 10 4" xfId="10593" xr:uid="{A46FC77F-9B44-4994-8BC4-73DA899C2301}"/>
    <cellStyle name="Normal 4 2 2 11" xfId="2498" xr:uid="{00000000-0005-0000-0000-0000EE110000}"/>
    <cellStyle name="Normal 4 2 2 11 2" xfId="6782" xr:uid="{00000000-0005-0000-0000-0000EF110000}"/>
    <cellStyle name="Normal 4 2 2 11 2 2" xfId="15224" xr:uid="{DD439426-549C-4ABA-AB4E-A31C4C674EC3}"/>
    <cellStyle name="Normal 4 2 2 11 3" xfId="11006" xr:uid="{22B28D08-59BA-42CD-A758-AE5368A43CA4}"/>
    <cellStyle name="Normal 4 2 2 12" xfId="4717" xr:uid="{00000000-0005-0000-0000-0000F0110000}"/>
    <cellStyle name="Normal 4 2 2 12 2" xfId="13159" xr:uid="{4C8B69BD-6C03-46BC-B299-BBF204358909}"/>
    <cellStyle name="Normal 4 2 2 13" xfId="8941" xr:uid="{A819CEB9-FB64-487E-B927-97FF3763410B}"/>
    <cellStyle name="Normal 4 2 2 2" xfId="338" xr:uid="{00000000-0005-0000-0000-0000F1110000}"/>
    <cellStyle name="Normal 4 2 2 3" xfId="339" xr:uid="{00000000-0005-0000-0000-0000F2110000}"/>
    <cellStyle name="Normal 4 2 2 3 10" xfId="4718" xr:uid="{00000000-0005-0000-0000-0000F3110000}"/>
    <cellStyle name="Normal 4 2 2 3 10 2" xfId="13160" xr:uid="{1BC44668-B5E0-4FFB-A773-61F59406AB0C}"/>
    <cellStyle name="Normal 4 2 2 3 11" xfId="8942" xr:uid="{96C92F19-EEBA-4DD4-96FF-E9BA74813517}"/>
    <cellStyle name="Normal 4 2 2 3 2" xfId="340" xr:uid="{00000000-0005-0000-0000-0000F4110000}"/>
    <cellStyle name="Normal 4 2 2 3 2 10" xfId="8943" xr:uid="{EFB22246-311F-422E-BFBB-08CE595B5893}"/>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BBC04C8E-5F91-426A-9E1B-ED70936CACF6}"/>
    <cellStyle name="Normal 4 2 2 3 2 2 2 2 2 3" xfId="11503" xr:uid="{3EAA8CCF-CBA5-4072-94BE-01428B2F4086}"/>
    <cellStyle name="Normal 4 2 2 3 2 2 2 2 3" xfId="5134" xr:uid="{00000000-0005-0000-0000-0000FA110000}"/>
    <cellStyle name="Normal 4 2 2 3 2 2 2 2 3 2" xfId="13576" xr:uid="{60A379BE-DA0E-4D3C-970D-619A8D2038CB}"/>
    <cellStyle name="Normal 4 2 2 3 2 2 2 2 4" xfId="9358" xr:uid="{AC48DAB9-6338-45A4-AD0A-58AB762A90D1}"/>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0F800F9C-14F4-4041-AE8D-068D58845D3F}"/>
    <cellStyle name="Normal 4 2 2 3 2 2 2 3 2 3" xfId="11916" xr:uid="{E8A516FB-5932-41B3-AD36-402021A6F6A8}"/>
    <cellStyle name="Normal 4 2 2 3 2 2 2 3 3" xfId="5547" xr:uid="{00000000-0005-0000-0000-0000FE110000}"/>
    <cellStyle name="Normal 4 2 2 3 2 2 2 3 3 2" xfId="13989" xr:uid="{C5990C8D-C65B-4B1A-AC23-768A4FD2CD53}"/>
    <cellStyle name="Normal 4 2 2 3 2 2 2 3 4" xfId="9771" xr:uid="{DFA6218E-523B-4894-9C1A-E3D1DB5F7288}"/>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92F05E80-54E6-405D-BDAF-A364CE78FF6F}"/>
    <cellStyle name="Normal 4 2 2 3 2 2 2 4 2 3" xfId="12329" xr:uid="{800E6B65-73F7-4C49-9653-D0E1A976433C}"/>
    <cellStyle name="Normal 4 2 2 3 2 2 2 4 3" xfId="5960" xr:uid="{00000000-0005-0000-0000-000002120000}"/>
    <cellStyle name="Normal 4 2 2 3 2 2 2 4 3 2" xfId="14402" xr:uid="{B93CDD02-2563-4578-8B99-883509F9D4CD}"/>
    <cellStyle name="Normal 4 2 2 3 2 2 2 4 4" xfId="10184" xr:uid="{CD341B91-2283-452B-9DA0-9DCE9D83DC4F}"/>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31DA5FFC-E254-4690-A79C-868C17797957}"/>
    <cellStyle name="Normal 4 2 2 3 2 2 2 5 2 3" xfId="12742" xr:uid="{424D8251-8382-4984-BABF-B27B57B02B1C}"/>
    <cellStyle name="Normal 4 2 2 3 2 2 2 5 3" xfId="6373" xr:uid="{00000000-0005-0000-0000-000006120000}"/>
    <cellStyle name="Normal 4 2 2 3 2 2 2 5 3 2" xfId="14815" xr:uid="{FF8B2673-F916-41CB-ADE6-8F25B0A58D12}"/>
    <cellStyle name="Normal 4 2 2 3 2 2 2 5 4" xfId="10597" xr:uid="{2FAC55CC-6551-4BFC-94C1-D8EDA4035DBA}"/>
    <cellStyle name="Normal 4 2 2 3 2 2 2 6" xfId="2502" xr:uid="{00000000-0005-0000-0000-000007120000}"/>
    <cellStyle name="Normal 4 2 2 3 2 2 2 6 2" xfId="6786" xr:uid="{00000000-0005-0000-0000-000008120000}"/>
    <cellStyle name="Normal 4 2 2 3 2 2 2 6 2 2" xfId="15228" xr:uid="{DA945B05-FA39-43F6-8F0F-9446D8392455}"/>
    <cellStyle name="Normal 4 2 2 3 2 2 2 6 3" xfId="11010" xr:uid="{7138B0E3-E9CE-4F64-933C-7BB5CFE4C44C}"/>
    <cellStyle name="Normal 4 2 2 3 2 2 2 7" xfId="4721" xr:uid="{00000000-0005-0000-0000-000009120000}"/>
    <cellStyle name="Normal 4 2 2 3 2 2 2 7 2" xfId="13163" xr:uid="{EF6732C1-E550-488D-BB30-6D371C48CFC8}"/>
    <cellStyle name="Normal 4 2 2 3 2 2 2 8" xfId="8945" xr:uid="{D7F45C6B-D838-4B74-B4D3-9C0A11E406C1}"/>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FB59E990-8118-4C8D-ACAE-0810225762F2}"/>
    <cellStyle name="Normal 4 2 2 3 2 2 3 2 3" xfId="11502" xr:uid="{73218895-7C7C-4D4A-99A0-B3A1CEE8F72F}"/>
    <cellStyle name="Normal 4 2 2 3 2 2 3 3" xfId="5133" xr:uid="{00000000-0005-0000-0000-00000D120000}"/>
    <cellStyle name="Normal 4 2 2 3 2 2 3 3 2" xfId="13575" xr:uid="{540B990D-6019-4AA0-9F40-0ED17F51B07C}"/>
    <cellStyle name="Normal 4 2 2 3 2 2 3 4" xfId="9357" xr:uid="{409B4B4D-6544-4D22-9B02-0CC451983FCB}"/>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4E022D47-D079-4E4E-9C93-3C514068F208}"/>
    <cellStyle name="Normal 4 2 2 3 2 2 4 2 3" xfId="11915" xr:uid="{B3A6F6ED-55C2-4D91-8362-3343F0EE85F0}"/>
    <cellStyle name="Normal 4 2 2 3 2 2 4 3" xfId="5546" xr:uid="{00000000-0005-0000-0000-000011120000}"/>
    <cellStyle name="Normal 4 2 2 3 2 2 4 3 2" xfId="13988" xr:uid="{924CF340-4A8C-4CF5-BB23-C7C7D1561978}"/>
    <cellStyle name="Normal 4 2 2 3 2 2 4 4" xfId="9770" xr:uid="{2EA0A412-799B-4C81-A4D7-1934A0FB941D}"/>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2F597ED1-86E7-47ED-BA6E-0FE56EEF57A8}"/>
    <cellStyle name="Normal 4 2 2 3 2 2 5 2 3" xfId="12328" xr:uid="{38FA779B-ED35-4569-B48D-1E9357182E26}"/>
    <cellStyle name="Normal 4 2 2 3 2 2 5 3" xfId="5959" xr:uid="{00000000-0005-0000-0000-000015120000}"/>
    <cellStyle name="Normal 4 2 2 3 2 2 5 3 2" xfId="14401" xr:uid="{C678DAA2-81F2-4D39-A29D-D34B63D89081}"/>
    <cellStyle name="Normal 4 2 2 3 2 2 5 4" xfId="10183" xr:uid="{788411B3-4049-45F7-9AAF-9DAD5449A9C5}"/>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C706569E-7A85-45F0-BC87-EF92537A9FEE}"/>
    <cellStyle name="Normal 4 2 2 3 2 2 6 2 3" xfId="12741" xr:uid="{5FB8AE75-C916-4E41-BFB6-4D4741A940EB}"/>
    <cellStyle name="Normal 4 2 2 3 2 2 6 3" xfId="6372" xr:uid="{00000000-0005-0000-0000-000019120000}"/>
    <cellStyle name="Normal 4 2 2 3 2 2 6 3 2" xfId="14814" xr:uid="{E14D5AE9-90D6-42FE-B414-CA25320D44EF}"/>
    <cellStyle name="Normal 4 2 2 3 2 2 6 4" xfId="10596" xr:uid="{6CC7F492-E00A-483F-AE27-E35201A5998D}"/>
    <cellStyle name="Normal 4 2 2 3 2 2 7" xfId="2501" xr:uid="{00000000-0005-0000-0000-00001A120000}"/>
    <cellStyle name="Normal 4 2 2 3 2 2 7 2" xfId="6785" xr:uid="{00000000-0005-0000-0000-00001B120000}"/>
    <cellStyle name="Normal 4 2 2 3 2 2 7 2 2" xfId="15227" xr:uid="{074EB09B-FE29-489D-8D11-3344930F3832}"/>
    <cellStyle name="Normal 4 2 2 3 2 2 7 3" xfId="11009" xr:uid="{4B9DDF9F-C565-4447-BE04-5064742615AC}"/>
    <cellStyle name="Normal 4 2 2 3 2 2 8" xfId="4720" xr:uid="{00000000-0005-0000-0000-00001C120000}"/>
    <cellStyle name="Normal 4 2 2 3 2 2 8 2" xfId="13162" xr:uid="{B35166C4-B499-4592-B417-5EC6548340DB}"/>
    <cellStyle name="Normal 4 2 2 3 2 2 9" xfId="8944" xr:uid="{DA352F00-A855-4B33-88BF-E28F5444C435}"/>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55AB4F73-3F2B-405F-8671-2348FD15C59C}"/>
    <cellStyle name="Normal 4 2 2 3 2 3 2 2 3" xfId="11504" xr:uid="{CA3A8A64-8CE8-4C78-AD51-DCB03D1716FE}"/>
    <cellStyle name="Normal 4 2 2 3 2 3 2 3" xfId="5135" xr:uid="{00000000-0005-0000-0000-000021120000}"/>
    <cellStyle name="Normal 4 2 2 3 2 3 2 3 2" xfId="13577" xr:uid="{2FB074F3-E042-4B81-9A45-C1C9280DF211}"/>
    <cellStyle name="Normal 4 2 2 3 2 3 2 4" xfId="9359" xr:uid="{DAF0FCBF-98BC-488E-8D9F-F7D047D7ACBE}"/>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2BAEC11F-E148-4DCA-B9A3-F3E9BADEA610}"/>
    <cellStyle name="Normal 4 2 2 3 2 3 3 2 3" xfId="11917" xr:uid="{0F9DA8E2-9BDF-4153-85E3-F936125BE0FA}"/>
    <cellStyle name="Normal 4 2 2 3 2 3 3 3" xfId="5548" xr:uid="{00000000-0005-0000-0000-000025120000}"/>
    <cellStyle name="Normal 4 2 2 3 2 3 3 3 2" xfId="13990" xr:uid="{771F7FC9-1F3D-41CA-BA11-6B323E89AABB}"/>
    <cellStyle name="Normal 4 2 2 3 2 3 3 4" xfId="9772" xr:uid="{7719BD0E-77FD-4173-B019-9B929C09D8E2}"/>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179B1B48-7596-4C83-BE32-7F26E7725A97}"/>
    <cellStyle name="Normal 4 2 2 3 2 3 4 2 3" xfId="12330" xr:uid="{87A26CE7-F1BB-43AD-91D6-DCF363D23528}"/>
    <cellStyle name="Normal 4 2 2 3 2 3 4 3" xfId="5961" xr:uid="{00000000-0005-0000-0000-000029120000}"/>
    <cellStyle name="Normal 4 2 2 3 2 3 4 3 2" xfId="14403" xr:uid="{93B16241-2322-4CAE-9C54-50D8DC9016AE}"/>
    <cellStyle name="Normal 4 2 2 3 2 3 4 4" xfId="10185" xr:uid="{8BED3A6F-5E73-4FA2-B2EC-AE2B3F36941C}"/>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4393C33F-D722-4DE4-ADD5-F37BC202B7BF}"/>
    <cellStyle name="Normal 4 2 2 3 2 3 5 2 3" xfId="12743" xr:uid="{C89962B5-BDF3-444C-ABF6-230CB6904468}"/>
    <cellStyle name="Normal 4 2 2 3 2 3 5 3" xfId="6374" xr:uid="{00000000-0005-0000-0000-00002D120000}"/>
    <cellStyle name="Normal 4 2 2 3 2 3 5 3 2" xfId="14816" xr:uid="{E38F81EE-20E5-4385-9922-A0338AFFC311}"/>
    <cellStyle name="Normal 4 2 2 3 2 3 5 4" xfId="10598" xr:uid="{88346EA3-2FC2-4978-B79F-1F89BCDB850F}"/>
    <cellStyle name="Normal 4 2 2 3 2 3 6" xfId="2503" xr:uid="{00000000-0005-0000-0000-00002E120000}"/>
    <cellStyle name="Normal 4 2 2 3 2 3 6 2" xfId="6787" xr:uid="{00000000-0005-0000-0000-00002F120000}"/>
    <cellStyle name="Normal 4 2 2 3 2 3 6 2 2" xfId="15229" xr:uid="{FDEF373E-CB6F-4394-969F-C5E95E6E28C7}"/>
    <cellStyle name="Normal 4 2 2 3 2 3 6 3" xfId="11011" xr:uid="{8C8E7F70-6C6E-4DB2-9B8E-27BFE8B06BB8}"/>
    <cellStyle name="Normal 4 2 2 3 2 3 7" xfId="4722" xr:uid="{00000000-0005-0000-0000-000030120000}"/>
    <cellStyle name="Normal 4 2 2 3 2 3 7 2" xfId="13164" xr:uid="{9AAD7674-3A52-47A6-AA9A-C71AF2B29BE7}"/>
    <cellStyle name="Normal 4 2 2 3 2 3 8" xfId="8946" xr:uid="{BF849E17-C764-42D5-8709-441162A2A7BE}"/>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CE6F21D4-40A8-4FAE-BB15-7492784C3709}"/>
    <cellStyle name="Normal 4 2 2 3 2 4 2 3" xfId="11501" xr:uid="{E92C03C0-8110-4261-92F2-D22E9ACE44C2}"/>
    <cellStyle name="Normal 4 2 2 3 2 4 3" xfId="5132" xr:uid="{00000000-0005-0000-0000-000034120000}"/>
    <cellStyle name="Normal 4 2 2 3 2 4 3 2" xfId="13574" xr:uid="{1859F75B-B078-4F37-9DBE-8DE1884E36D5}"/>
    <cellStyle name="Normal 4 2 2 3 2 4 4" xfId="9356" xr:uid="{AFBF00D5-10B9-462D-AC02-84525AFCE69A}"/>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F660D632-3F19-4F38-A245-A9948F8F0BE7}"/>
    <cellStyle name="Normal 4 2 2 3 2 5 2 3" xfId="11914" xr:uid="{CBD2EF76-FB81-465B-960A-AF8FE0738B0A}"/>
    <cellStyle name="Normal 4 2 2 3 2 5 3" xfId="5545" xr:uid="{00000000-0005-0000-0000-000038120000}"/>
    <cellStyle name="Normal 4 2 2 3 2 5 3 2" xfId="13987" xr:uid="{7EB0B507-4FDF-4D4A-BE66-B4CA766DDA74}"/>
    <cellStyle name="Normal 4 2 2 3 2 5 4" xfId="9769" xr:uid="{14ED50AE-71C3-4A27-825B-3849FC92EA9B}"/>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1A4C64C7-2CCC-4816-8AA2-23CDC1D344E5}"/>
    <cellStyle name="Normal 4 2 2 3 2 6 2 3" xfId="12327" xr:uid="{228D87FD-222F-4B89-A716-BD0C99AEAC75}"/>
    <cellStyle name="Normal 4 2 2 3 2 6 3" xfId="5958" xr:uid="{00000000-0005-0000-0000-00003C120000}"/>
    <cellStyle name="Normal 4 2 2 3 2 6 3 2" xfId="14400" xr:uid="{0E9A4C77-787F-47B5-BEA1-7EE78F5FE15C}"/>
    <cellStyle name="Normal 4 2 2 3 2 6 4" xfId="10182" xr:uid="{A7291E1B-7016-464A-A625-291FC2137AF1}"/>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5EF0DA44-CBD8-495A-B8EB-772E8706AB43}"/>
    <cellStyle name="Normal 4 2 2 3 2 7 2 3" xfId="12740" xr:uid="{1434BB77-F7F1-4FC8-AB8C-27017D536264}"/>
    <cellStyle name="Normal 4 2 2 3 2 7 3" xfId="6371" xr:uid="{00000000-0005-0000-0000-000040120000}"/>
    <cellStyle name="Normal 4 2 2 3 2 7 3 2" xfId="14813" xr:uid="{F2FC6A81-6566-453F-98E1-FDA5DC343B90}"/>
    <cellStyle name="Normal 4 2 2 3 2 7 4" xfId="10595" xr:uid="{B38722F8-DEB6-4015-99BE-C79182E6A1A2}"/>
    <cellStyle name="Normal 4 2 2 3 2 8" xfId="2500" xr:uid="{00000000-0005-0000-0000-000041120000}"/>
    <cellStyle name="Normal 4 2 2 3 2 8 2" xfId="6784" xr:uid="{00000000-0005-0000-0000-000042120000}"/>
    <cellStyle name="Normal 4 2 2 3 2 8 2 2" xfId="15226" xr:uid="{D95EED54-3F52-4CE8-A8D8-9C573E597924}"/>
    <cellStyle name="Normal 4 2 2 3 2 8 3" xfId="11008" xr:uid="{F8B5972B-FF34-414B-8571-E9A346A7ABB9}"/>
    <cellStyle name="Normal 4 2 2 3 2 9" xfId="4719" xr:uid="{00000000-0005-0000-0000-000043120000}"/>
    <cellStyle name="Normal 4 2 2 3 2 9 2" xfId="13161" xr:uid="{82D1AD2E-F63E-4FFD-A5D9-F1D31706265C}"/>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41ABFC7A-D66D-47C1-9CD5-E8D35EE37B1F}"/>
    <cellStyle name="Normal 4 2 2 3 3 2 2 2 3" xfId="11506" xr:uid="{3187E8F1-A7F1-4707-B813-DF80FA3488DA}"/>
    <cellStyle name="Normal 4 2 2 3 3 2 2 3" xfId="5137" xr:uid="{00000000-0005-0000-0000-000049120000}"/>
    <cellStyle name="Normal 4 2 2 3 3 2 2 3 2" xfId="13579" xr:uid="{2C76D6E9-97B7-4641-B263-193DE6E359A3}"/>
    <cellStyle name="Normal 4 2 2 3 3 2 2 4" xfId="9361" xr:uid="{F71FEC11-5001-4E40-80F0-EDDA1BD2AC37}"/>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13CBD186-AE7B-4089-8F8C-2089501BC444}"/>
    <cellStyle name="Normal 4 2 2 3 3 2 3 2 3" xfId="11919" xr:uid="{54105047-1A31-4CC9-8526-037A024DAF98}"/>
    <cellStyle name="Normal 4 2 2 3 3 2 3 3" xfId="5550" xr:uid="{00000000-0005-0000-0000-00004D120000}"/>
    <cellStyle name="Normal 4 2 2 3 3 2 3 3 2" xfId="13992" xr:uid="{73096B1A-EC8D-4C99-9F20-BE6C60075ABC}"/>
    <cellStyle name="Normal 4 2 2 3 3 2 3 4" xfId="9774" xr:uid="{DE623449-E170-4B42-B608-D6F2419A27E9}"/>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F0EFA9AD-940A-4458-8CCE-5FC94B68AA7A}"/>
    <cellStyle name="Normal 4 2 2 3 3 2 4 2 3" xfId="12332" xr:uid="{75062F6D-5BEE-4408-86E7-62120BF4E2A7}"/>
    <cellStyle name="Normal 4 2 2 3 3 2 4 3" xfId="5963" xr:uid="{00000000-0005-0000-0000-000051120000}"/>
    <cellStyle name="Normal 4 2 2 3 3 2 4 3 2" xfId="14405" xr:uid="{A073213E-3F05-4AD4-B2E1-2DAEE29ADC11}"/>
    <cellStyle name="Normal 4 2 2 3 3 2 4 4" xfId="10187" xr:uid="{429E989C-11CE-4983-B437-93DDE2DFDB5C}"/>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E2C85C2C-CEDE-43FD-98BE-E944BE52B0ED}"/>
    <cellStyle name="Normal 4 2 2 3 3 2 5 2 3" xfId="12745" xr:uid="{9A6CC5CE-14AB-4A70-ACE8-EC03849C1DCE}"/>
    <cellStyle name="Normal 4 2 2 3 3 2 5 3" xfId="6376" xr:uid="{00000000-0005-0000-0000-000055120000}"/>
    <cellStyle name="Normal 4 2 2 3 3 2 5 3 2" xfId="14818" xr:uid="{11336CBE-53FA-44A9-BCA7-E5B49EC4EACE}"/>
    <cellStyle name="Normal 4 2 2 3 3 2 5 4" xfId="10600" xr:uid="{68A22706-7489-42DE-9B87-A23627432818}"/>
    <cellStyle name="Normal 4 2 2 3 3 2 6" xfId="2505" xr:uid="{00000000-0005-0000-0000-000056120000}"/>
    <cellStyle name="Normal 4 2 2 3 3 2 6 2" xfId="6789" xr:uid="{00000000-0005-0000-0000-000057120000}"/>
    <cellStyle name="Normal 4 2 2 3 3 2 6 2 2" xfId="15231" xr:uid="{6DE7D83C-76C2-4390-B9F4-88BB9EA201D1}"/>
    <cellStyle name="Normal 4 2 2 3 3 2 6 3" xfId="11013" xr:uid="{58A69329-7858-490C-9494-36432A52DB18}"/>
    <cellStyle name="Normal 4 2 2 3 3 2 7" xfId="4724" xr:uid="{00000000-0005-0000-0000-000058120000}"/>
    <cellStyle name="Normal 4 2 2 3 3 2 7 2" xfId="13166" xr:uid="{72FFDA35-F4AD-46EA-9502-78DD8E6FA090}"/>
    <cellStyle name="Normal 4 2 2 3 3 2 8" xfId="8948" xr:uid="{091A237C-49FD-4B0E-8AD7-F5709B09A206}"/>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8BB30D31-A72A-4C52-A4AD-2671C418F54A}"/>
    <cellStyle name="Normal 4 2 2 3 3 3 2 3" xfId="11505" xr:uid="{FFE34400-EED2-499E-8CD6-C9494144B26C}"/>
    <cellStyle name="Normal 4 2 2 3 3 3 3" xfId="5136" xr:uid="{00000000-0005-0000-0000-00005C120000}"/>
    <cellStyle name="Normal 4 2 2 3 3 3 3 2" xfId="13578" xr:uid="{F581C215-5BB8-409A-8DAA-08D79BB5492A}"/>
    <cellStyle name="Normal 4 2 2 3 3 3 4" xfId="9360" xr:uid="{B43C7B36-0031-43B6-833E-1C877A10CF26}"/>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171C8B4E-FD04-4B9E-8210-8E0AB92818F1}"/>
    <cellStyle name="Normal 4 2 2 3 3 4 2 3" xfId="11918" xr:uid="{9F62F131-7CDD-441B-B690-EA805EC3F5E4}"/>
    <cellStyle name="Normal 4 2 2 3 3 4 3" xfId="5549" xr:uid="{00000000-0005-0000-0000-000060120000}"/>
    <cellStyle name="Normal 4 2 2 3 3 4 3 2" xfId="13991" xr:uid="{B5B0A6AF-B9F7-4D80-8CDE-33DA3A00C4CC}"/>
    <cellStyle name="Normal 4 2 2 3 3 4 4" xfId="9773" xr:uid="{44106464-2DCC-4E07-B774-DF5D0DF819B4}"/>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E2A3BBDF-CB0C-453F-9EDA-0ABCC2D890E4}"/>
    <cellStyle name="Normal 4 2 2 3 3 5 2 3" xfId="12331" xr:uid="{4F3ED90B-2E2D-46E6-B94B-B7BE98888709}"/>
    <cellStyle name="Normal 4 2 2 3 3 5 3" xfId="5962" xr:uid="{00000000-0005-0000-0000-000064120000}"/>
    <cellStyle name="Normal 4 2 2 3 3 5 3 2" xfId="14404" xr:uid="{8C083156-1525-4F92-A079-B81415A41CBA}"/>
    <cellStyle name="Normal 4 2 2 3 3 5 4" xfId="10186" xr:uid="{60E7A77A-6206-4CDA-B793-2D874BF499F4}"/>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93DA424F-AFE8-4435-89CB-AF8FD3F28924}"/>
    <cellStyle name="Normal 4 2 2 3 3 6 2 3" xfId="12744" xr:uid="{D404A89B-8412-4E5A-99F9-5F5B841FB115}"/>
    <cellStyle name="Normal 4 2 2 3 3 6 3" xfId="6375" xr:uid="{00000000-0005-0000-0000-000068120000}"/>
    <cellStyle name="Normal 4 2 2 3 3 6 3 2" xfId="14817" xr:uid="{1436EDFD-CAC8-45F0-9BD3-90FCB78E5D21}"/>
    <cellStyle name="Normal 4 2 2 3 3 6 4" xfId="10599" xr:uid="{BA8D6557-690D-485D-859A-0D99302D0FBE}"/>
    <cellStyle name="Normal 4 2 2 3 3 7" xfId="2504" xr:uid="{00000000-0005-0000-0000-000069120000}"/>
    <cellStyle name="Normal 4 2 2 3 3 7 2" xfId="6788" xr:uid="{00000000-0005-0000-0000-00006A120000}"/>
    <cellStyle name="Normal 4 2 2 3 3 7 2 2" xfId="15230" xr:uid="{023C63F2-9A4E-47AC-AE90-1BEF6C4543F9}"/>
    <cellStyle name="Normal 4 2 2 3 3 7 3" xfId="11012" xr:uid="{8F8499AA-11C1-4663-B697-1C8BA344A4BE}"/>
    <cellStyle name="Normal 4 2 2 3 3 8" xfId="4723" xr:uid="{00000000-0005-0000-0000-00006B120000}"/>
    <cellStyle name="Normal 4 2 2 3 3 8 2" xfId="13165" xr:uid="{651E9A88-21D8-4EDD-B760-DD7EA87A974F}"/>
    <cellStyle name="Normal 4 2 2 3 3 9" xfId="8947" xr:uid="{7637FC1A-CA08-47C0-9515-454775D3FE03}"/>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83D12E08-6FE0-4F96-927B-46A03B225669}"/>
    <cellStyle name="Normal 4 2 2 3 4 2 2 3" xfId="11507" xr:uid="{E888C8C4-F8D1-4DFA-BB36-C435C7259C26}"/>
    <cellStyle name="Normal 4 2 2 3 4 2 3" xfId="5138" xr:uid="{00000000-0005-0000-0000-000070120000}"/>
    <cellStyle name="Normal 4 2 2 3 4 2 3 2" xfId="13580" xr:uid="{475DD69E-DB64-49BB-9493-A9AC7D237823}"/>
    <cellStyle name="Normal 4 2 2 3 4 2 4" xfId="9362" xr:uid="{87306ED5-05C3-41E7-A26F-0B6B43EC2D3A}"/>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85340171-7A0D-4EAE-ACF5-AD52BE6D87D1}"/>
    <cellStyle name="Normal 4 2 2 3 4 3 2 3" xfId="11920" xr:uid="{0EAD9686-73A9-4B1F-B20A-7F842A2613B6}"/>
    <cellStyle name="Normal 4 2 2 3 4 3 3" xfId="5551" xr:uid="{00000000-0005-0000-0000-000074120000}"/>
    <cellStyle name="Normal 4 2 2 3 4 3 3 2" xfId="13993" xr:uid="{E1DDCF7D-1550-448E-B607-75066DDF8C7F}"/>
    <cellStyle name="Normal 4 2 2 3 4 3 4" xfId="9775" xr:uid="{24B0E32B-E7F6-452A-A561-1AC109FE5EBA}"/>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6756C9B8-6565-4693-AA43-FC6C2171B51E}"/>
    <cellStyle name="Normal 4 2 2 3 4 4 2 3" xfId="12333" xr:uid="{15722854-8B1F-4584-9705-EA24D138ABD9}"/>
    <cellStyle name="Normal 4 2 2 3 4 4 3" xfId="5964" xr:uid="{00000000-0005-0000-0000-000078120000}"/>
    <cellStyle name="Normal 4 2 2 3 4 4 3 2" xfId="14406" xr:uid="{AFAE2030-5FB7-4DE4-8750-04A9984719FD}"/>
    <cellStyle name="Normal 4 2 2 3 4 4 4" xfId="10188" xr:uid="{042A40A7-CF5E-44EF-A827-608D00781F9D}"/>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A353E4C7-9C4C-4469-BC53-C0CFD2490E60}"/>
    <cellStyle name="Normal 4 2 2 3 4 5 2 3" xfId="12746" xr:uid="{A371FF90-85E1-4FDA-AF8D-BA6DDD1A4980}"/>
    <cellStyle name="Normal 4 2 2 3 4 5 3" xfId="6377" xr:uid="{00000000-0005-0000-0000-00007C120000}"/>
    <cellStyle name="Normal 4 2 2 3 4 5 3 2" xfId="14819" xr:uid="{704C0DDF-116D-49A2-99D3-37DEB0E625A7}"/>
    <cellStyle name="Normal 4 2 2 3 4 5 4" xfId="10601" xr:uid="{63B1D94A-14C6-4FC2-870C-E3F4437684CE}"/>
    <cellStyle name="Normal 4 2 2 3 4 6" xfId="2506" xr:uid="{00000000-0005-0000-0000-00007D120000}"/>
    <cellStyle name="Normal 4 2 2 3 4 6 2" xfId="6790" xr:uid="{00000000-0005-0000-0000-00007E120000}"/>
    <cellStyle name="Normal 4 2 2 3 4 6 2 2" xfId="15232" xr:uid="{7227F903-D615-43CC-9EB6-C55361F04A9C}"/>
    <cellStyle name="Normal 4 2 2 3 4 6 3" xfId="11014" xr:uid="{294B24FB-4394-45F0-A739-073A5CB5804A}"/>
    <cellStyle name="Normal 4 2 2 3 4 7" xfId="4725" xr:uid="{00000000-0005-0000-0000-00007F120000}"/>
    <cellStyle name="Normal 4 2 2 3 4 7 2" xfId="13167" xr:uid="{AC221CB4-E71D-4528-AEDB-5279CDF4C29D}"/>
    <cellStyle name="Normal 4 2 2 3 4 8" xfId="8949" xr:uid="{03320B6D-411E-44B7-840B-BA611FA8DCE1}"/>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56C06D06-53EF-4600-A756-5CBCA721C6E1}"/>
    <cellStyle name="Normal 4 2 2 3 5 2 3" xfId="11500" xr:uid="{BFBE7CBE-BA3B-4CB1-86F2-ADD31A21431E}"/>
    <cellStyle name="Normal 4 2 2 3 5 3" xfId="5131" xr:uid="{00000000-0005-0000-0000-000083120000}"/>
    <cellStyle name="Normal 4 2 2 3 5 3 2" xfId="13573" xr:uid="{610941F7-1CB9-4D64-94AE-A6581E7AD81F}"/>
    <cellStyle name="Normal 4 2 2 3 5 4" xfId="9355" xr:uid="{DBE24414-374C-428F-B819-F1F41F7A2E4B}"/>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8FEBB421-5372-4B26-A496-33B4ED3097B3}"/>
    <cellStyle name="Normal 4 2 2 3 6 2 3" xfId="11913" xr:uid="{7F991998-F464-470D-AD95-37864C84F51E}"/>
    <cellStyle name="Normal 4 2 2 3 6 3" xfId="5544" xr:uid="{00000000-0005-0000-0000-000087120000}"/>
    <cellStyle name="Normal 4 2 2 3 6 3 2" xfId="13986" xr:uid="{1D7D2614-48EE-47A5-B9B4-084EB7D7C692}"/>
    <cellStyle name="Normal 4 2 2 3 6 4" xfId="9768" xr:uid="{6BC52E50-F3E9-48BD-B1E3-8956686C9325}"/>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FA6C6841-20C8-461E-8368-666A2A5369F2}"/>
    <cellStyle name="Normal 4 2 2 3 7 2 3" xfId="12326" xr:uid="{115F3726-2274-4BA7-9900-3F4EA44F4F7E}"/>
    <cellStyle name="Normal 4 2 2 3 7 3" xfId="5957" xr:uid="{00000000-0005-0000-0000-00008B120000}"/>
    <cellStyle name="Normal 4 2 2 3 7 3 2" xfId="14399" xr:uid="{46F20AB6-6495-4C49-91DD-BA13B8D0ECC9}"/>
    <cellStyle name="Normal 4 2 2 3 7 4" xfId="10181" xr:uid="{7DDCC2BC-1260-4C52-968A-7236A12E44CF}"/>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B4F8EA62-A5B0-4355-9133-7DA5EB3BF89E}"/>
    <cellStyle name="Normal 4 2 2 3 8 2 3" xfId="12739" xr:uid="{54388084-BD54-46B8-B311-C4272ED5E7A3}"/>
    <cellStyle name="Normal 4 2 2 3 8 3" xfId="6370" xr:uid="{00000000-0005-0000-0000-00008F120000}"/>
    <cellStyle name="Normal 4 2 2 3 8 3 2" xfId="14812" xr:uid="{4189D7AD-87C7-4A9D-B4C5-8051F51373F0}"/>
    <cellStyle name="Normal 4 2 2 3 8 4" xfId="10594" xr:uid="{C2C95A35-47B3-40D0-A9B7-6EB02C2376BE}"/>
    <cellStyle name="Normal 4 2 2 3 9" xfId="2499" xr:uid="{00000000-0005-0000-0000-000090120000}"/>
    <cellStyle name="Normal 4 2 2 3 9 2" xfId="6783" xr:uid="{00000000-0005-0000-0000-000091120000}"/>
    <cellStyle name="Normal 4 2 2 3 9 2 2" xfId="15225" xr:uid="{34C81867-5304-4F64-B4B1-B13EC2877DFD}"/>
    <cellStyle name="Normal 4 2 2 3 9 3" xfId="11007" xr:uid="{7E16DDF3-D4A0-4825-B360-66982E2A7F6D}"/>
    <cellStyle name="Normal 4 2 2 4" xfId="347" xr:uid="{00000000-0005-0000-0000-000092120000}"/>
    <cellStyle name="Normal 4 2 2 4 10" xfId="8950" xr:uid="{5894D373-61F2-4DCC-8B50-F5A3EED5105A}"/>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73A4510B-91FC-4653-ABF0-4A2BE375B9F7}"/>
    <cellStyle name="Normal 4 2 2 4 2 2 2 2 3" xfId="11510" xr:uid="{12273511-7583-48EC-B322-600A38DA6FF5}"/>
    <cellStyle name="Normal 4 2 2 4 2 2 2 3" xfId="5141" xr:uid="{00000000-0005-0000-0000-000098120000}"/>
    <cellStyle name="Normal 4 2 2 4 2 2 2 3 2" xfId="13583" xr:uid="{136E3B1C-DB07-4A7F-817A-30DA0A041C95}"/>
    <cellStyle name="Normal 4 2 2 4 2 2 2 4" xfId="9365" xr:uid="{EFD0CBE3-2A7F-4C77-A44E-693EB1202AC8}"/>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888E719A-15C4-410D-A08E-66A032FAC896}"/>
    <cellStyle name="Normal 4 2 2 4 2 2 3 2 3" xfId="11923" xr:uid="{60D59D9C-6736-49D0-9C32-ACE9F5D31F6C}"/>
    <cellStyle name="Normal 4 2 2 4 2 2 3 3" xfId="5554" xr:uid="{00000000-0005-0000-0000-00009C120000}"/>
    <cellStyle name="Normal 4 2 2 4 2 2 3 3 2" xfId="13996" xr:uid="{D0E68D12-912B-4B01-987C-8A4DE848DBC4}"/>
    <cellStyle name="Normal 4 2 2 4 2 2 3 4" xfId="9778" xr:uid="{2F1A0D2E-68D1-4577-ADAF-27EA231C8209}"/>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A7C8556E-506B-44C2-BF2F-E4A3B1D2C7FD}"/>
    <cellStyle name="Normal 4 2 2 4 2 2 4 2 3" xfId="12336" xr:uid="{55B1D7C3-9595-4F01-A8FB-23504F87DDFB}"/>
    <cellStyle name="Normal 4 2 2 4 2 2 4 3" xfId="5967" xr:uid="{00000000-0005-0000-0000-0000A0120000}"/>
    <cellStyle name="Normal 4 2 2 4 2 2 4 3 2" xfId="14409" xr:uid="{E17B7FD7-2A84-4333-841A-E2C6B2BE192E}"/>
    <cellStyle name="Normal 4 2 2 4 2 2 4 4" xfId="10191" xr:uid="{F7F77AA1-AEC8-449B-A01D-2A5454600595}"/>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C5BC794C-65EB-48A0-B8F8-6D456753DBA6}"/>
    <cellStyle name="Normal 4 2 2 4 2 2 5 2 3" xfId="12749" xr:uid="{935952A6-7B9A-46D2-80FA-4D4EC9311088}"/>
    <cellStyle name="Normal 4 2 2 4 2 2 5 3" xfId="6380" xr:uid="{00000000-0005-0000-0000-0000A4120000}"/>
    <cellStyle name="Normal 4 2 2 4 2 2 5 3 2" xfId="14822" xr:uid="{AF49932C-D17F-42ED-A2A6-B0DF8605C83D}"/>
    <cellStyle name="Normal 4 2 2 4 2 2 5 4" xfId="10604" xr:uid="{7CE130E0-0B94-4734-B2ED-50045AF43D80}"/>
    <cellStyle name="Normal 4 2 2 4 2 2 6" xfId="2509" xr:uid="{00000000-0005-0000-0000-0000A5120000}"/>
    <cellStyle name="Normal 4 2 2 4 2 2 6 2" xfId="6793" xr:uid="{00000000-0005-0000-0000-0000A6120000}"/>
    <cellStyle name="Normal 4 2 2 4 2 2 6 2 2" xfId="15235" xr:uid="{AD4AFF8E-26DA-44C9-91DB-06817BDB5636}"/>
    <cellStyle name="Normal 4 2 2 4 2 2 6 3" xfId="11017" xr:uid="{A7433111-921B-45E8-8481-A7C9B3008184}"/>
    <cellStyle name="Normal 4 2 2 4 2 2 7" xfId="4728" xr:uid="{00000000-0005-0000-0000-0000A7120000}"/>
    <cellStyle name="Normal 4 2 2 4 2 2 7 2" xfId="13170" xr:uid="{6309AAEE-C456-4150-B347-5A852DD7CA19}"/>
    <cellStyle name="Normal 4 2 2 4 2 2 8" xfId="8952" xr:uid="{48619716-DAFD-440A-826E-6B9CB1B3CC8C}"/>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874C150E-BA29-41CF-B4E7-867B7F51025B}"/>
    <cellStyle name="Normal 4 2 2 4 2 3 2 3" xfId="11509" xr:uid="{6AD426F0-3B3A-4A4A-8F24-D0A14488C38D}"/>
    <cellStyle name="Normal 4 2 2 4 2 3 3" xfId="5140" xr:uid="{00000000-0005-0000-0000-0000AB120000}"/>
    <cellStyle name="Normal 4 2 2 4 2 3 3 2" xfId="13582" xr:uid="{8CC85AA2-61A0-44CA-9CAA-BA8BF0F5F11B}"/>
    <cellStyle name="Normal 4 2 2 4 2 3 4" xfId="9364" xr:uid="{70C4C734-CF92-412D-AC47-8699C6D55D6A}"/>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A6153A58-E573-46DE-BDD6-AB386367F106}"/>
    <cellStyle name="Normal 4 2 2 4 2 4 2 3" xfId="11922" xr:uid="{C7D164BA-4AD9-4C2A-ADA9-B18148F526F4}"/>
    <cellStyle name="Normal 4 2 2 4 2 4 3" xfId="5553" xr:uid="{00000000-0005-0000-0000-0000AF120000}"/>
    <cellStyle name="Normal 4 2 2 4 2 4 3 2" xfId="13995" xr:uid="{DAA39EBE-4985-48A7-B4AB-8DF37D097B65}"/>
    <cellStyle name="Normal 4 2 2 4 2 4 4" xfId="9777" xr:uid="{A6A83E79-C6E3-40BA-89DA-6C03012E94CF}"/>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AB4E77EF-94A6-4AD1-858E-612E1478F207}"/>
    <cellStyle name="Normal 4 2 2 4 2 5 2 3" xfId="12335" xr:uid="{04DE4556-5BA4-468E-87C7-0A41D4E197B1}"/>
    <cellStyle name="Normal 4 2 2 4 2 5 3" xfId="5966" xr:uid="{00000000-0005-0000-0000-0000B3120000}"/>
    <cellStyle name="Normal 4 2 2 4 2 5 3 2" xfId="14408" xr:uid="{0213C9C7-3218-42C9-94F4-B3D0505EC891}"/>
    <cellStyle name="Normal 4 2 2 4 2 5 4" xfId="10190" xr:uid="{28AEA68C-640D-465C-9318-943C5986E2D7}"/>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9EE3C055-5CD4-4EDF-AEF8-081212D71261}"/>
    <cellStyle name="Normal 4 2 2 4 2 6 2 3" xfId="12748" xr:uid="{8E6BE3FD-9BFC-41A4-83F9-3C5570559C2F}"/>
    <cellStyle name="Normal 4 2 2 4 2 6 3" xfId="6379" xr:uid="{00000000-0005-0000-0000-0000B7120000}"/>
    <cellStyle name="Normal 4 2 2 4 2 6 3 2" xfId="14821" xr:uid="{D5EFFA7C-0D6D-4496-A501-DD85580A7151}"/>
    <cellStyle name="Normal 4 2 2 4 2 6 4" xfId="10603" xr:uid="{DFDD24F8-BB56-43EB-B904-06E3ED6C7520}"/>
    <cellStyle name="Normal 4 2 2 4 2 7" xfId="2508" xr:uid="{00000000-0005-0000-0000-0000B8120000}"/>
    <cellStyle name="Normal 4 2 2 4 2 7 2" xfId="6792" xr:uid="{00000000-0005-0000-0000-0000B9120000}"/>
    <cellStyle name="Normal 4 2 2 4 2 7 2 2" xfId="15234" xr:uid="{EBC52D54-9D0D-460A-92AC-DB39F6A8F5BE}"/>
    <cellStyle name="Normal 4 2 2 4 2 7 3" xfId="11016" xr:uid="{7F920FBB-349A-4AE4-A840-B5194C7AF2EE}"/>
    <cellStyle name="Normal 4 2 2 4 2 8" xfId="4727" xr:uid="{00000000-0005-0000-0000-0000BA120000}"/>
    <cellStyle name="Normal 4 2 2 4 2 8 2" xfId="13169" xr:uid="{D34D6F3A-9140-439B-BF17-813635FE6107}"/>
    <cellStyle name="Normal 4 2 2 4 2 9" xfId="8951" xr:uid="{659B7788-D7FF-4FBB-B58A-3A932EB93614}"/>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D17CE8B2-73F5-4844-BD30-D1199FFCE47E}"/>
    <cellStyle name="Normal 4 2 2 4 3 2 2 3" xfId="11511" xr:uid="{388A3D6B-930A-4F44-892C-BEF395F30A20}"/>
    <cellStyle name="Normal 4 2 2 4 3 2 3" xfId="5142" xr:uid="{00000000-0005-0000-0000-0000BF120000}"/>
    <cellStyle name="Normal 4 2 2 4 3 2 3 2" xfId="13584" xr:uid="{7239D102-1BAB-41F9-8671-73A8E5989CBD}"/>
    <cellStyle name="Normal 4 2 2 4 3 2 4" xfId="9366" xr:uid="{7D388561-6835-4B54-A926-E367CE46A20E}"/>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58266DC1-6189-4954-8D80-93ABC312C2F0}"/>
    <cellStyle name="Normal 4 2 2 4 3 3 2 3" xfId="11924" xr:uid="{088EE21C-205B-4535-967C-E18C590F4510}"/>
    <cellStyle name="Normal 4 2 2 4 3 3 3" xfId="5555" xr:uid="{00000000-0005-0000-0000-0000C3120000}"/>
    <cellStyle name="Normal 4 2 2 4 3 3 3 2" xfId="13997" xr:uid="{F219BBF3-0187-47C8-8D47-48D910FC6993}"/>
    <cellStyle name="Normal 4 2 2 4 3 3 4" xfId="9779" xr:uid="{92F1D32C-8EDE-4B44-BD43-5606A85869BC}"/>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A10760F4-21B1-4937-9A21-71A15A853F75}"/>
    <cellStyle name="Normal 4 2 2 4 3 4 2 3" xfId="12337" xr:uid="{50BE551E-FE11-4C0F-9CD4-C4A1E58693B2}"/>
    <cellStyle name="Normal 4 2 2 4 3 4 3" xfId="5968" xr:uid="{00000000-0005-0000-0000-0000C7120000}"/>
    <cellStyle name="Normal 4 2 2 4 3 4 3 2" xfId="14410" xr:uid="{E143785D-308B-442F-AFC0-9DAFDC097AB7}"/>
    <cellStyle name="Normal 4 2 2 4 3 4 4" xfId="10192" xr:uid="{B169D628-1B33-47C8-A003-DD7209D8D1BF}"/>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F66441D0-2B4B-42B1-8F84-3DCACD4A3A54}"/>
    <cellStyle name="Normal 4 2 2 4 3 5 2 3" xfId="12750" xr:uid="{F202A4F0-3273-4DC1-90F7-B00D96B9A028}"/>
    <cellStyle name="Normal 4 2 2 4 3 5 3" xfId="6381" xr:uid="{00000000-0005-0000-0000-0000CB120000}"/>
    <cellStyle name="Normal 4 2 2 4 3 5 3 2" xfId="14823" xr:uid="{32AF5D16-672E-47F5-AAD3-9123BF5335AC}"/>
    <cellStyle name="Normal 4 2 2 4 3 5 4" xfId="10605" xr:uid="{5FDB2B40-48D1-48A0-91EB-A6A747072464}"/>
    <cellStyle name="Normal 4 2 2 4 3 6" xfId="2510" xr:uid="{00000000-0005-0000-0000-0000CC120000}"/>
    <cellStyle name="Normal 4 2 2 4 3 6 2" xfId="6794" xr:uid="{00000000-0005-0000-0000-0000CD120000}"/>
    <cellStyle name="Normal 4 2 2 4 3 6 2 2" xfId="15236" xr:uid="{53D6E573-4318-4D5A-86EB-447CFD447C96}"/>
    <cellStyle name="Normal 4 2 2 4 3 6 3" xfId="11018" xr:uid="{7646AC22-97AC-45F1-9A77-CDA7403B2E13}"/>
    <cellStyle name="Normal 4 2 2 4 3 7" xfId="4729" xr:uid="{00000000-0005-0000-0000-0000CE120000}"/>
    <cellStyle name="Normal 4 2 2 4 3 7 2" xfId="13171" xr:uid="{CD02F4B4-A1F0-433E-8BFE-91DB2B3A2E56}"/>
    <cellStyle name="Normal 4 2 2 4 3 8" xfId="8953" xr:uid="{287ACBB7-9A39-4ECC-BC4C-657ED79CDEB2}"/>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C01C80AD-D28B-4AF4-9BF4-200B85B55BBA}"/>
    <cellStyle name="Normal 4 2 2 4 4 2 3" xfId="11508" xr:uid="{AC89394B-F709-410E-9BDA-66A567F4ADB0}"/>
    <cellStyle name="Normal 4 2 2 4 4 3" xfId="5139" xr:uid="{00000000-0005-0000-0000-0000D2120000}"/>
    <cellStyle name="Normal 4 2 2 4 4 3 2" xfId="13581" xr:uid="{25858BA3-DCB4-4BE7-A342-BB0A8B21048C}"/>
    <cellStyle name="Normal 4 2 2 4 4 4" xfId="9363" xr:uid="{816457F0-8F9A-477A-93E3-D96A1C3815E1}"/>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3DD58FA2-B000-4A38-8994-5072310F7A72}"/>
    <cellStyle name="Normal 4 2 2 4 5 2 3" xfId="11921" xr:uid="{773CF44B-C50E-4316-A984-6FE3F34EDE88}"/>
    <cellStyle name="Normal 4 2 2 4 5 3" xfId="5552" xr:uid="{00000000-0005-0000-0000-0000D6120000}"/>
    <cellStyle name="Normal 4 2 2 4 5 3 2" xfId="13994" xr:uid="{73802F9C-4CCE-4FD9-8E7D-E26715A393A1}"/>
    <cellStyle name="Normal 4 2 2 4 5 4" xfId="9776" xr:uid="{4D113A9B-F530-4572-8FAE-4EFF5D8F578C}"/>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ADE97A7B-2B09-4F33-BBC0-3C4DD1498894}"/>
    <cellStyle name="Normal 4 2 2 4 6 2 3" xfId="12334" xr:uid="{DF1A443D-9820-4264-B8AF-5EC0852283D1}"/>
    <cellStyle name="Normal 4 2 2 4 6 3" xfId="5965" xr:uid="{00000000-0005-0000-0000-0000DA120000}"/>
    <cellStyle name="Normal 4 2 2 4 6 3 2" xfId="14407" xr:uid="{CA54D4D0-D36B-4154-B176-1FFBA59E743A}"/>
    <cellStyle name="Normal 4 2 2 4 6 4" xfId="10189" xr:uid="{F7B59BEF-493E-4057-8E97-B13A3E38235E}"/>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96AF0C8D-A0AD-4D8E-9633-D042131AED72}"/>
    <cellStyle name="Normal 4 2 2 4 7 2 3" xfId="12747" xr:uid="{A873ABFD-7293-4149-8487-BF6A856FF5AD}"/>
    <cellStyle name="Normal 4 2 2 4 7 3" xfId="6378" xr:uid="{00000000-0005-0000-0000-0000DE120000}"/>
    <cellStyle name="Normal 4 2 2 4 7 3 2" xfId="14820" xr:uid="{34241A16-17DF-432D-88D4-01EDA5000130}"/>
    <cellStyle name="Normal 4 2 2 4 7 4" xfId="10602" xr:uid="{30FA7984-9E63-437B-8374-F1534ADAE7D8}"/>
    <cellStyle name="Normal 4 2 2 4 8" xfId="2507" xr:uid="{00000000-0005-0000-0000-0000DF120000}"/>
    <cellStyle name="Normal 4 2 2 4 8 2" xfId="6791" xr:uid="{00000000-0005-0000-0000-0000E0120000}"/>
    <cellStyle name="Normal 4 2 2 4 8 2 2" xfId="15233" xr:uid="{951A87CC-5703-4732-A3CD-E23A65C8D03A}"/>
    <cellStyle name="Normal 4 2 2 4 8 3" xfId="11015" xr:uid="{64BC2583-D5E5-4C19-B8C8-305A95DB0F96}"/>
    <cellStyle name="Normal 4 2 2 4 9" xfId="4726" xr:uid="{00000000-0005-0000-0000-0000E1120000}"/>
    <cellStyle name="Normal 4 2 2 4 9 2" xfId="13168" xr:uid="{E47DC39A-D93F-45CC-8450-36BBCCB8D4F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C9DCD4C6-6B9D-4B3A-B175-689FCC4741DA}"/>
    <cellStyle name="Normal 4 2 2 5 2 2 2 3" xfId="11513" xr:uid="{94403758-2C66-4264-8AAD-837BB1FEFEED}"/>
    <cellStyle name="Normal 4 2 2 5 2 2 3" xfId="5144" xr:uid="{00000000-0005-0000-0000-0000E7120000}"/>
    <cellStyle name="Normal 4 2 2 5 2 2 3 2" xfId="13586" xr:uid="{35319339-57EC-419B-98C1-05941783B28A}"/>
    <cellStyle name="Normal 4 2 2 5 2 2 4" xfId="9368" xr:uid="{75DAEABB-F4D9-4E49-942C-06655CF8B669}"/>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FE3D07D8-66A2-4004-ABE5-D30DB576D22E}"/>
    <cellStyle name="Normal 4 2 2 5 2 3 2 3" xfId="11926" xr:uid="{05F539A3-6BB4-4865-9648-1CB95E77D1D6}"/>
    <cellStyle name="Normal 4 2 2 5 2 3 3" xfId="5557" xr:uid="{00000000-0005-0000-0000-0000EB120000}"/>
    <cellStyle name="Normal 4 2 2 5 2 3 3 2" xfId="13999" xr:uid="{6712DD4F-9DBE-48AB-A56B-F1C466E93EDB}"/>
    <cellStyle name="Normal 4 2 2 5 2 3 4" xfId="9781" xr:uid="{98D5C398-4BFA-4DF3-A8DC-5AD19C1CC5B6}"/>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4CC20BF3-B6C2-4F2E-A387-A311C6B5DE86}"/>
    <cellStyle name="Normal 4 2 2 5 2 4 2 3" xfId="12339" xr:uid="{17F29833-34F9-4CA6-A5C2-1B79E42C3EAB}"/>
    <cellStyle name="Normal 4 2 2 5 2 4 3" xfId="5970" xr:uid="{00000000-0005-0000-0000-0000EF120000}"/>
    <cellStyle name="Normal 4 2 2 5 2 4 3 2" xfId="14412" xr:uid="{CCE5F958-AF3A-43C3-ABD8-3F30D36AB1EB}"/>
    <cellStyle name="Normal 4 2 2 5 2 4 4" xfId="10194" xr:uid="{9DCE5882-BB75-4DCD-923A-75EB6FDBFAC4}"/>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2502EDE0-06BB-4B12-A30E-7860415F8084}"/>
    <cellStyle name="Normal 4 2 2 5 2 5 2 3" xfId="12752" xr:uid="{AD8329D3-72BD-4DE2-937B-4573D1D0D128}"/>
    <cellStyle name="Normal 4 2 2 5 2 5 3" xfId="6383" xr:uid="{00000000-0005-0000-0000-0000F3120000}"/>
    <cellStyle name="Normal 4 2 2 5 2 5 3 2" xfId="14825" xr:uid="{F322D573-DB7B-435E-B706-13E8A90BD0EE}"/>
    <cellStyle name="Normal 4 2 2 5 2 5 4" xfId="10607" xr:uid="{7EDBA01C-5520-44D5-A794-DD8C4D99DFA5}"/>
    <cellStyle name="Normal 4 2 2 5 2 6" xfId="2512" xr:uid="{00000000-0005-0000-0000-0000F4120000}"/>
    <cellStyle name="Normal 4 2 2 5 2 6 2" xfId="6796" xr:uid="{00000000-0005-0000-0000-0000F5120000}"/>
    <cellStyle name="Normal 4 2 2 5 2 6 2 2" xfId="15238" xr:uid="{492BEF3D-B725-42E7-B01A-2128140C1A3C}"/>
    <cellStyle name="Normal 4 2 2 5 2 6 3" xfId="11020" xr:uid="{FD0FF27F-FB8B-45CA-B32E-B87F24759242}"/>
    <cellStyle name="Normal 4 2 2 5 2 7" xfId="4731" xr:uid="{00000000-0005-0000-0000-0000F6120000}"/>
    <cellStyle name="Normal 4 2 2 5 2 7 2" xfId="13173" xr:uid="{81FF5DF7-FCB5-41EC-BABB-0125580157FF}"/>
    <cellStyle name="Normal 4 2 2 5 2 8" xfId="8955" xr:uid="{B10B1CEB-F175-418D-97CE-1A275AE00AFF}"/>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5D77A094-4112-4688-A0C8-62C319EBC632}"/>
    <cellStyle name="Normal 4 2 2 5 3 2 3" xfId="11512" xr:uid="{9409E93D-64F6-4295-A858-E97214BB97CD}"/>
    <cellStyle name="Normal 4 2 2 5 3 3" xfId="5143" xr:uid="{00000000-0005-0000-0000-0000FA120000}"/>
    <cellStyle name="Normal 4 2 2 5 3 3 2" xfId="13585" xr:uid="{6FC47D77-192F-49AD-B214-C813C39CA10E}"/>
    <cellStyle name="Normal 4 2 2 5 3 4" xfId="9367" xr:uid="{06F38F9E-3992-4A1C-A8B4-6AFDE8831F57}"/>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DA8F9100-3EBC-4325-8CDD-9F7330CFDC8B}"/>
    <cellStyle name="Normal 4 2 2 5 4 2 3" xfId="11925" xr:uid="{C7C0BA0A-64F9-42DF-8BC2-4FA91F327BF3}"/>
    <cellStyle name="Normal 4 2 2 5 4 3" xfId="5556" xr:uid="{00000000-0005-0000-0000-0000FE120000}"/>
    <cellStyle name="Normal 4 2 2 5 4 3 2" xfId="13998" xr:uid="{3E8EAA97-154B-463D-81EE-4BBEC06FE359}"/>
    <cellStyle name="Normal 4 2 2 5 4 4" xfId="9780" xr:uid="{C6B783AA-965B-433D-8191-BD434A52BE8D}"/>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F08DE164-EA3C-4048-B029-0AB947FB6F42}"/>
    <cellStyle name="Normal 4 2 2 5 5 2 3" xfId="12338" xr:uid="{07AF3B4D-905F-427D-8748-482017F5E480}"/>
    <cellStyle name="Normal 4 2 2 5 5 3" xfId="5969" xr:uid="{00000000-0005-0000-0000-000002130000}"/>
    <cellStyle name="Normal 4 2 2 5 5 3 2" xfId="14411" xr:uid="{5BC7380B-B252-443B-BB60-224DB660F9E3}"/>
    <cellStyle name="Normal 4 2 2 5 5 4" xfId="10193" xr:uid="{62284335-91C8-4CED-8A28-B37230D5E7DD}"/>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FF362B9A-4FAC-42AD-B892-C40CCF438CBC}"/>
    <cellStyle name="Normal 4 2 2 5 6 2 3" xfId="12751" xr:uid="{89E33960-94D5-4646-94B0-0B123B13D663}"/>
    <cellStyle name="Normal 4 2 2 5 6 3" xfId="6382" xr:uid="{00000000-0005-0000-0000-000006130000}"/>
    <cellStyle name="Normal 4 2 2 5 6 3 2" xfId="14824" xr:uid="{AFD7FEB7-F3DE-41AF-9504-C273605AE8AC}"/>
    <cellStyle name="Normal 4 2 2 5 6 4" xfId="10606" xr:uid="{B8DC41D8-AF4E-45D2-AB37-3303917BA5F0}"/>
    <cellStyle name="Normal 4 2 2 5 7" xfId="2511" xr:uid="{00000000-0005-0000-0000-000007130000}"/>
    <cellStyle name="Normal 4 2 2 5 7 2" xfId="6795" xr:uid="{00000000-0005-0000-0000-000008130000}"/>
    <cellStyle name="Normal 4 2 2 5 7 2 2" xfId="15237" xr:uid="{327951E3-0F44-46C6-8499-D527FC3B331D}"/>
    <cellStyle name="Normal 4 2 2 5 7 3" xfId="11019" xr:uid="{AD884298-1488-49D3-8754-3C25410B75EA}"/>
    <cellStyle name="Normal 4 2 2 5 8" xfId="4730" xr:uid="{00000000-0005-0000-0000-000009130000}"/>
    <cellStyle name="Normal 4 2 2 5 8 2" xfId="13172" xr:uid="{F804ED5A-57F8-4B4F-B10B-D8A4A9C25E51}"/>
    <cellStyle name="Normal 4 2 2 5 9" xfId="8954" xr:uid="{4411BAD2-FA00-46A4-A59E-DD38614C3E36}"/>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7F1118DD-737B-4FDA-A4D0-6EA49618FABE}"/>
    <cellStyle name="Normal 4 2 2 6 2 2 3" xfId="11514" xr:uid="{9B172276-D4DE-4099-8447-36217EA6B8C7}"/>
    <cellStyle name="Normal 4 2 2 6 2 3" xfId="5145" xr:uid="{00000000-0005-0000-0000-00000E130000}"/>
    <cellStyle name="Normal 4 2 2 6 2 3 2" xfId="13587" xr:uid="{5371F432-DD76-436F-ABD2-24E29E27D4CA}"/>
    <cellStyle name="Normal 4 2 2 6 2 4" xfId="9369" xr:uid="{FB0E11A8-B2A7-4EE9-ABC4-D5DA7801C3D8}"/>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78E86D33-99DA-40AE-ADFC-CC970E781C16}"/>
    <cellStyle name="Normal 4 2 2 6 3 2 3" xfId="11927" xr:uid="{056F96B6-228B-4CD4-B868-DD5AB32C45B7}"/>
    <cellStyle name="Normal 4 2 2 6 3 3" xfId="5558" xr:uid="{00000000-0005-0000-0000-000012130000}"/>
    <cellStyle name="Normal 4 2 2 6 3 3 2" xfId="14000" xr:uid="{2451A5FE-3CC7-4740-A5D6-610F9ECC658E}"/>
    <cellStyle name="Normal 4 2 2 6 3 4" xfId="9782" xr:uid="{E1C65F61-919B-46BF-9C72-FAB1906F9CBE}"/>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01A3E3DA-0F3E-4E58-8F4E-1D8A55F71304}"/>
    <cellStyle name="Normal 4 2 2 6 4 2 3" xfId="12340" xr:uid="{721FCEB3-E82B-40A2-9AD0-0EE8E5BAD50F}"/>
    <cellStyle name="Normal 4 2 2 6 4 3" xfId="5971" xr:uid="{00000000-0005-0000-0000-000016130000}"/>
    <cellStyle name="Normal 4 2 2 6 4 3 2" xfId="14413" xr:uid="{0F21F67A-32A4-4B6E-A4BD-F8378AE58DAE}"/>
    <cellStyle name="Normal 4 2 2 6 4 4" xfId="10195" xr:uid="{77AC8257-69C6-4DE5-9284-358A9D007C18}"/>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EDA0AA78-366D-489F-94C4-FF549A5BDC07}"/>
    <cellStyle name="Normal 4 2 2 6 5 2 3" xfId="12753" xr:uid="{6521D92C-43BC-4541-A1CB-C40B8CBD4826}"/>
    <cellStyle name="Normal 4 2 2 6 5 3" xfId="6384" xr:uid="{00000000-0005-0000-0000-00001A130000}"/>
    <cellStyle name="Normal 4 2 2 6 5 3 2" xfId="14826" xr:uid="{B7924204-229A-4933-8CDA-4FB3CD248B3D}"/>
    <cellStyle name="Normal 4 2 2 6 5 4" xfId="10608" xr:uid="{DA1B8B2A-6EFD-4649-B5ED-D966F1D0D918}"/>
    <cellStyle name="Normal 4 2 2 6 6" xfId="2513" xr:uid="{00000000-0005-0000-0000-00001B130000}"/>
    <cellStyle name="Normal 4 2 2 6 6 2" xfId="6797" xr:uid="{00000000-0005-0000-0000-00001C130000}"/>
    <cellStyle name="Normal 4 2 2 6 6 2 2" xfId="15239" xr:uid="{0B888A2B-8B71-433B-BD1B-2B7CCE8E7D2B}"/>
    <cellStyle name="Normal 4 2 2 6 6 3" xfId="11021" xr:uid="{3DF58F97-54C5-455C-AC98-83EF4AB0C686}"/>
    <cellStyle name="Normal 4 2 2 6 7" xfId="4732" xr:uid="{00000000-0005-0000-0000-00001D130000}"/>
    <cellStyle name="Normal 4 2 2 6 7 2" xfId="13174" xr:uid="{A95ACD8D-287C-491A-8B3B-29F96C65EB56}"/>
    <cellStyle name="Normal 4 2 2 6 8" xfId="8956" xr:uid="{841AA62E-64DC-4C6C-ABBE-EC07470C5527}"/>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1BDD95AA-3BDF-40D7-955A-721350936B73}"/>
    <cellStyle name="Normal 4 2 2 7 2 3" xfId="11499" xr:uid="{C8973906-80F9-4F60-9C56-B20D2F446747}"/>
    <cellStyle name="Normal 4 2 2 7 3" xfId="5130" xr:uid="{00000000-0005-0000-0000-000021130000}"/>
    <cellStyle name="Normal 4 2 2 7 3 2" xfId="13572" xr:uid="{CFDD7D61-6F70-40EC-A36B-CAEF91E30089}"/>
    <cellStyle name="Normal 4 2 2 7 4" xfId="9354" xr:uid="{33FD4454-B8AB-4C01-B2A3-9DCA40BE1666}"/>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C1921D86-900E-44BF-951E-5EC7941E98A7}"/>
    <cellStyle name="Normal 4 2 2 8 2 3" xfId="11912" xr:uid="{BACDF912-9800-4D70-BCC6-4449AE7D7619}"/>
    <cellStyle name="Normal 4 2 2 8 3" xfId="5543" xr:uid="{00000000-0005-0000-0000-000025130000}"/>
    <cellStyle name="Normal 4 2 2 8 3 2" xfId="13985" xr:uid="{8FA37502-DFF6-4415-952C-AD1A3799ECF8}"/>
    <cellStyle name="Normal 4 2 2 8 4" xfId="9767" xr:uid="{11793341-AD87-4588-9248-BE35704E029F}"/>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EBE0D0A5-C8A7-4157-AA33-DC658B9AD690}"/>
    <cellStyle name="Normal 4 2 2 9 2 3" xfId="12325" xr:uid="{A1DC2BDC-2B56-4F23-8400-17F0FEE36813}"/>
    <cellStyle name="Normal 4 2 2 9 3" xfId="5956" xr:uid="{00000000-0005-0000-0000-000029130000}"/>
    <cellStyle name="Normal 4 2 2 9 3 2" xfId="14398" xr:uid="{3C850D13-72AC-47ED-A390-7CB015C93835}"/>
    <cellStyle name="Normal 4 2 2 9 4" xfId="10180" xr:uid="{DD571660-8DBA-4153-8F50-DBBA348BF789}"/>
    <cellStyle name="Normal 4 2 3" xfId="354" xr:uid="{00000000-0005-0000-0000-00002A130000}"/>
    <cellStyle name="Normal 4 2 4" xfId="355" xr:uid="{00000000-0005-0000-0000-00002B130000}"/>
    <cellStyle name="Normal 4 2 4 10" xfId="4733" xr:uid="{00000000-0005-0000-0000-00002C130000}"/>
    <cellStyle name="Normal 4 2 4 10 2" xfId="13175" xr:uid="{BB8BE31B-C36C-4DFB-A447-720D835665A9}"/>
    <cellStyle name="Normal 4 2 4 11" xfId="8957" xr:uid="{343C279A-1B69-4589-8BA5-745329891362}"/>
    <cellStyle name="Normal 4 2 4 2" xfId="356" xr:uid="{00000000-0005-0000-0000-00002D130000}"/>
    <cellStyle name="Normal 4 2 4 2 10" xfId="8958" xr:uid="{A0F838BB-17F6-4D18-9EAE-84CDDD0AAADA}"/>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FC555B59-8772-46E6-9FB9-50775105D4D0}"/>
    <cellStyle name="Normal 4 2 4 2 2 2 2 2 3" xfId="11518" xr:uid="{F11D47F9-ACA7-435C-B1E2-9350FCB14AB1}"/>
    <cellStyle name="Normal 4 2 4 2 2 2 2 3" xfId="5149" xr:uid="{00000000-0005-0000-0000-000033130000}"/>
    <cellStyle name="Normal 4 2 4 2 2 2 2 3 2" xfId="13591" xr:uid="{6B2FE756-54CF-47F8-94AD-52F95092998E}"/>
    <cellStyle name="Normal 4 2 4 2 2 2 2 4" xfId="9373" xr:uid="{432CE1E2-5B81-4F54-A2E0-590B54513739}"/>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AF5CC9D9-9117-4F7B-A24D-347580322D2A}"/>
    <cellStyle name="Normal 4 2 4 2 2 2 3 2 3" xfId="11931" xr:uid="{E9BABF17-EDD1-4DEA-A033-9697371693BF}"/>
    <cellStyle name="Normal 4 2 4 2 2 2 3 3" xfId="5562" xr:uid="{00000000-0005-0000-0000-000037130000}"/>
    <cellStyle name="Normal 4 2 4 2 2 2 3 3 2" xfId="14004" xr:uid="{89CB306C-06E6-4F8E-A8E2-44A9A266F5CA}"/>
    <cellStyle name="Normal 4 2 4 2 2 2 3 4" xfId="9786" xr:uid="{E9560806-2925-47EE-93BD-72943275381B}"/>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FD7C1A52-4034-4CB1-B643-EDCCBA0BF583}"/>
    <cellStyle name="Normal 4 2 4 2 2 2 4 2 3" xfId="12344" xr:uid="{4B6EA076-CC0C-42B3-BC75-08A1B56D9607}"/>
    <cellStyle name="Normal 4 2 4 2 2 2 4 3" xfId="5975" xr:uid="{00000000-0005-0000-0000-00003B130000}"/>
    <cellStyle name="Normal 4 2 4 2 2 2 4 3 2" xfId="14417" xr:uid="{F7DAFC86-459D-48D5-A93A-24630E898AA5}"/>
    <cellStyle name="Normal 4 2 4 2 2 2 4 4" xfId="10199" xr:uid="{7810D1FC-980F-48B0-83A7-17323301F35D}"/>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4578AC39-CE7B-4E80-9619-30A046470B95}"/>
    <cellStyle name="Normal 4 2 4 2 2 2 5 2 3" xfId="12757" xr:uid="{8C148419-031F-45F2-89CC-7D0BBD8E29EF}"/>
    <cellStyle name="Normal 4 2 4 2 2 2 5 3" xfId="6388" xr:uid="{00000000-0005-0000-0000-00003F130000}"/>
    <cellStyle name="Normal 4 2 4 2 2 2 5 3 2" xfId="14830" xr:uid="{844131D3-3D77-4EA8-A2E1-73CD052FBA50}"/>
    <cellStyle name="Normal 4 2 4 2 2 2 5 4" xfId="10612" xr:uid="{374794DB-4790-4CB7-9658-BC9B142A93E2}"/>
    <cellStyle name="Normal 4 2 4 2 2 2 6" xfId="2517" xr:uid="{00000000-0005-0000-0000-000040130000}"/>
    <cellStyle name="Normal 4 2 4 2 2 2 6 2" xfId="6801" xr:uid="{00000000-0005-0000-0000-000041130000}"/>
    <cellStyle name="Normal 4 2 4 2 2 2 6 2 2" xfId="15243" xr:uid="{01864C26-2896-4BBD-A23C-E32A7B2EB661}"/>
    <cellStyle name="Normal 4 2 4 2 2 2 6 3" xfId="11025" xr:uid="{68AB8490-1F43-4378-B728-485078D61DDE}"/>
    <cellStyle name="Normal 4 2 4 2 2 2 7" xfId="4736" xr:uid="{00000000-0005-0000-0000-000042130000}"/>
    <cellStyle name="Normal 4 2 4 2 2 2 7 2" xfId="13178" xr:uid="{2434C463-54A6-41E9-A0D7-FBAD84724A0F}"/>
    <cellStyle name="Normal 4 2 4 2 2 2 8" xfId="8960" xr:uid="{BB7DD6AA-9AC6-4CCF-8A1E-FC95B2682373}"/>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6679CF83-A862-4ECA-BEAE-474C6B4F0B13}"/>
    <cellStyle name="Normal 4 2 4 2 2 3 2 3" xfId="11517" xr:uid="{F089D9C9-DC21-4E08-85BB-807891006847}"/>
    <cellStyle name="Normal 4 2 4 2 2 3 3" xfId="5148" xr:uid="{00000000-0005-0000-0000-000046130000}"/>
    <cellStyle name="Normal 4 2 4 2 2 3 3 2" xfId="13590" xr:uid="{3CE8B580-10F3-4E4F-9E87-37F75908FCD4}"/>
    <cellStyle name="Normal 4 2 4 2 2 3 4" xfId="9372" xr:uid="{4DB95243-FBD8-42D9-9192-DC74AB83E5B1}"/>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9F3BAC78-A675-4745-9F37-B4A08B5D7663}"/>
    <cellStyle name="Normal 4 2 4 2 2 4 2 3" xfId="11930" xr:uid="{1EAAEE8B-7AA6-4443-A4BF-D3B08422862B}"/>
    <cellStyle name="Normal 4 2 4 2 2 4 3" xfId="5561" xr:uid="{00000000-0005-0000-0000-00004A130000}"/>
    <cellStyle name="Normal 4 2 4 2 2 4 3 2" xfId="14003" xr:uid="{A903BD87-2482-44FD-8520-7770D514CB26}"/>
    <cellStyle name="Normal 4 2 4 2 2 4 4" xfId="9785" xr:uid="{657ADA01-77B5-4F95-A07C-2224B2A62181}"/>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E766101C-03F5-490B-BC90-7BBFC6306D3D}"/>
    <cellStyle name="Normal 4 2 4 2 2 5 2 3" xfId="12343" xr:uid="{3B473844-DDD4-4CA5-BEBF-9802C45CE930}"/>
    <cellStyle name="Normal 4 2 4 2 2 5 3" xfId="5974" xr:uid="{00000000-0005-0000-0000-00004E130000}"/>
    <cellStyle name="Normal 4 2 4 2 2 5 3 2" xfId="14416" xr:uid="{1782B6B7-1700-4349-A942-4E88821CEBF4}"/>
    <cellStyle name="Normal 4 2 4 2 2 5 4" xfId="10198" xr:uid="{82B05F1C-042C-45D8-B1DE-B75C349E1CAD}"/>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99A0E384-BD2F-4635-A75C-9569FCDA8846}"/>
    <cellStyle name="Normal 4 2 4 2 2 6 2 3" xfId="12756" xr:uid="{D1CAAD6D-A01D-4099-B2E4-24DE940BD5F6}"/>
    <cellStyle name="Normal 4 2 4 2 2 6 3" xfId="6387" xr:uid="{00000000-0005-0000-0000-000052130000}"/>
    <cellStyle name="Normal 4 2 4 2 2 6 3 2" xfId="14829" xr:uid="{CCA5E542-C717-47E7-B66E-AB049A436BA9}"/>
    <cellStyle name="Normal 4 2 4 2 2 6 4" xfId="10611" xr:uid="{3ECAABC7-446F-4B9A-A8A8-18FD56BA3F90}"/>
    <cellStyle name="Normal 4 2 4 2 2 7" xfId="2516" xr:uid="{00000000-0005-0000-0000-000053130000}"/>
    <cellStyle name="Normal 4 2 4 2 2 7 2" xfId="6800" xr:uid="{00000000-0005-0000-0000-000054130000}"/>
    <cellStyle name="Normal 4 2 4 2 2 7 2 2" xfId="15242" xr:uid="{90938084-DA59-40C9-AA70-7506759D2CEB}"/>
    <cellStyle name="Normal 4 2 4 2 2 7 3" xfId="11024" xr:uid="{7970E756-AF23-4848-A129-500F065D49DC}"/>
    <cellStyle name="Normal 4 2 4 2 2 8" xfId="4735" xr:uid="{00000000-0005-0000-0000-000055130000}"/>
    <cellStyle name="Normal 4 2 4 2 2 8 2" xfId="13177" xr:uid="{EECDB301-CA01-4C0E-B61E-F6524732C947}"/>
    <cellStyle name="Normal 4 2 4 2 2 9" xfId="8959" xr:uid="{712429A4-06AF-47C3-93D8-74E129E99FBF}"/>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19D7620A-8B2E-418C-BB15-B94998658573}"/>
    <cellStyle name="Normal 4 2 4 2 3 2 2 3" xfId="11519" xr:uid="{72026601-698C-497C-92E0-2975E423225D}"/>
    <cellStyle name="Normal 4 2 4 2 3 2 3" xfId="5150" xr:uid="{00000000-0005-0000-0000-00005A130000}"/>
    <cellStyle name="Normal 4 2 4 2 3 2 3 2" xfId="13592" xr:uid="{46744730-0B95-4F4D-B72D-D18D00AAF3A4}"/>
    <cellStyle name="Normal 4 2 4 2 3 2 4" xfId="9374" xr:uid="{CB9E6FDB-8C6A-4B0A-9CC1-ED8F14B0AB5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D5817D0A-8534-4F74-8932-7C666BDF0415}"/>
    <cellStyle name="Normal 4 2 4 2 3 3 2 3" xfId="11932" xr:uid="{2DA6D19B-A489-4BB9-A07B-B09EFF4D1833}"/>
    <cellStyle name="Normal 4 2 4 2 3 3 3" xfId="5563" xr:uid="{00000000-0005-0000-0000-00005E130000}"/>
    <cellStyle name="Normal 4 2 4 2 3 3 3 2" xfId="14005" xr:uid="{FF6080D7-5A9B-4E6B-B2FD-09A975CBC693}"/>
    <cellStyle name="Normal 4 2 4 2 3 3 4" xfId="9787" xr:uid="{18857F82-B0E4-480D-BA8E-C045BFBCD4D9}"/>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BD2C73F6-0094-45E3-B1BC-1E3DECA6A490}"/>
    <cellStyle name="Normal 4 2 4 2 3 4 2 3" xfId="12345" xr:uid="{C322437F-37E8-4E62-97F4-740F24C86437}"/>
    <cellStyle name="Normal 4 2 4 2 3 4 3" xfId="5976" xr:uid="{00000000-0005-0000-0000-000062130000}"/>
    <cellStyle name="Normal 4 2 4 2 3 4 3 2" xfId="14418" xr:uid="{7F293110-E2F9-42BB-B6EE-63E78DE2B5E8}"/>
    <cellStyle name="Normal 4 2 4 2 3 4 4" xfId="10200" xr:uid="{5BF11B93-EEA6-4EB8-830E-5F264F23BD6C}"/>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AD27055F-42DF-4B2D-B290-8821E36B84EB}"/>
    <cellStyle name="Normal 4 2 4 2 3 5 2 3" xfId="12758" xr:uid="{A92E4BCE-EAD8-454B-90D1-26CCCCBAAFF0}"/>
    <cellStyle name="Normal 4 2 4 2 3 5 3" xfId="6389" xr:uid="{00000000-0005-0000-0000-000066130000}"/>
    <cellStyle name="Normal 4 2 4 2 3 5 3 2" xfId="14831" xr:uid="{C5997F28-4197-4707-B124-9827F23ADBB9}"/>
    <cellStyle name="Normal 4 2 4 2 3 5 4" xfId="10613" xr:uid="{86E40D7F-A6C0-4677-9E17-D97F6BDC35C8}"/>
    <cellStyle name="Normal 4 2 4 2 3 6" xfId="2518" xr:uid="{00000000-0005-0000-0000-000067130000}"/>
    <cellStyle name="Normal 4 2 4 2 3 6 2" xfId="6802" xr:uid="{00000000-0005-0000-0000-000068130000}"/>
    <cellStyle name="Normal 4 2 4 2 3 6 2 2" xfId="15244" xr:uid="{4F7EDDFF-F10A-4377-9B1A-21916B8A1C0D}"/>
    <cellStyle name="Normal 4 2 4 2 3 6 3" xfId="11026" xr:uid="{068CA854-E2F6-43C7-BC59-2A9517FE4136}"/>
    <cellStyle name="Normal 4 2 4 2 3 7" xfId="4737" xr:uid="{00000000-0005-0000-0000-000069130000}"/>
    <cellStyle name="Normal 4 2 4 2 3 7 2" xfId="13179" xr:uid="{87C2E64B-252B-45FF-AEEB-50697366C449}"/>
    <cellStyle name="Normal 4 2 4 2 3 8" xfId="8961" xr:uid="{AC298ACE-FB45-4315-A6FC-2C9BDBEAEC51}"/>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CB058861-DDD6-482B-B844-39D34080620B}"/>
    <cellStyle name="Normal 4 2 4 2 4 2 3" xfId="11516" xr:uid="{32A4CBEF-AABA-43DB-808B-07FE8EA561F6}"/>
    <cellStyle name="Normal 4 2 4 2 4 3" xfId="5147" xr:uid="{00000000-0005-0000-0000-00006D130000}"/>
    <cellStyle name="Normal 4 2 4 2 4 3 2" xfId="13589" xr:uid="{EE000BC4-2253-4617-9C32-FD60E2758FB2}"/>
    <cellStyle name="Normal 4 2 4 2 4 4" xfId="9371" xr:uid="{8CE87BBD-C60C-4336-ADD5-0F4BBF540083}"/>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E022A228-C8DE-4E47-A2E4-4E5B8050EF65}"/>
    <cellStyle name="Normal 4 2 4 2 5 2 3" xfId="11929" xr:uid="{86D0296B-5E2D-45B2-9084-603D7D68829A}"/>
    <cellStyle name="Normal 4 2 4 2 5 3" xfId="5560" xr:uid="{00000000-0005-0000-0000-000071130000}"/>
    <cellStyle name="Normal 4 2 4 2 5 3 2" xfId="14002" xr:uid="{7B64F60A-666A-42B5-935B-C339A5CD6676}"/>
    <cellStyle name="Normal 4 2 4 2 5 4" xfId="9784" xr:uid="{2C796012-4060-491A-83D5-2C411D04109A}"/>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791AC657-0F23-4528-B34A-FE09CE81A24E}"/>
    <cellStyle name="Normal 4 2 4 2 6 2 3" xfId="12342" xr:uid="{42708E49-91A2-4464-B3DD-29CE4A2B30BA}"/>
    <cellStyle name="Normal 4 2 4 2 6 3" xfId="5973" xr:uid="{00000000-0005-0000-0000-000075130000}"/>
    <cellStyle name="Normal 4 2 4 2 6 3 2" xfId="14415" xr:uid="{22160864-7D19-4455-B0B9-7041FFF5491B}"/>
    <cellStyle name="Normal 4 2 4 2 6 4" xfId="10197" xr:uid="{EA97204E-0E33-435B-8E20-A7DD27225B1B}"/>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D349A7F8-0631-4327-9ED7-FC17E4B36A5F}"/>
    <cellStyle name="Normal 4 2 4 2 7 2 3" xfId="12755" xr:uid="{9635F705-C3E0-4B61-A23F-851099E696D9}"/>
    <cellStyle name="Normal 4 2 4 2 7 3" xfId="6386" xr:uid="{00000000-0005-0000-0000-000079130000}"/>
    <cellStyle name="Normal 4 2 4 2 7 3 2" xfId="14828" xr:uid="{88EA40FD-8D7D-4706-8685-E08DC40EA7FD}"/>
    <cellStyle name="Normal 4 2 4 2 7 4" xfId="10610" xr:uid="{92BE8C7C-02D8-4B38-85DC-97784C496061}"/>
    <cellStyle name="Normal 4 2 4 2 8" xfId="2515" xr:uid="{00000000-0005-0000-0000-00007A130000}"/>
    <cellStyle name="Normal 4 2 4 2 8 2" xfId="6799" xr:uid="{00000000-0005-0000-0000-00007B130000}"/>
    <cellStyle name="Normal 4 2 4 2 8 2 2" xfId="15241" xr:uid="{6A51EEEF-50CD-4735-9E95-6E1FDBD8E25E}"/>
    <cellStyle name="Normal 4 2 4 2 8 3" xfId="11023" xr:uid="{882D6C63-E6CE-4548-98F3-CD3E555A4A7A}"/>
    <cellStyle name="Normal 4 2 4 2 9" xfId="4734" xr:uid="{00000000-0005-0000-0000-00007C130000}"/>
    <cellStyle name="Normal 4 2 4 2 9 2" xfId="13176" xr:uid="{49C03968-936F-44C0-8301-9CA719A3FBEC}"/>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76AB3713-06E5-4149-9D1E-C46A7708FA91}"/>
    <cellStyle name="Normal 4 2 4 3 2 2 2 3" xfId="11521" xr:uid="{5F412322-7F19-494E-B2DE-FC90A26686D7}"/>
    <cellStyle name="Normal 4 2 4 3 2 2 3" xfId="5152" xr:uid="{00000000-0005-0000-0000-000082130000}"/>
    <cellStyle name="Normal 4 2 4 3 2 2 3 2" xfId="13594" xr:uid="{3DCFCE4E-6F15-4A5E-A9EA-F16EF0B013A4}"/>
    <cellStyle name="Normal 4 2 4 3 2 2 4" xfId="9376" xr:uid="{7BB23D28-2B4A-4DC7-85AA-667FD94282B7}"/>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0B75BD7F-EA0F-4C3C-A04D-71FEE042E41D}"/>
    <cellStyle name="Normal 4 2 4 3 2 3 2 3" xfId="11934" xr:uid="{128BA8BF-93A1-4080-A11B-A3CB25B713C8}"/>
    <cellStyle name="Normal 4 2 4 3 2 3 3" xfId="5565" xr:uid="{00000000-0005-0000-0000-000086130000}"/>
    <cellStyle name="Normal 4 2 4 3 2 3 3 2" xfId="14007" xr:uid="{DBE3C6EC-424A-4405-A521-339FCD0E1BDC}"/>
    <cellStyle name="Normal 4 2 4 3 2 3 4" xfId="9789" xr:uid="{B63F9B0E-3064-4107-948C-D9BEEFF32916}"/>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2E146B48-56AA-4C4B-B06E-E7427717EC5B}"/>
    <cellStyle name="Normal 4 2 4 3 2 4 2 3" xfId="12347" xr:uid="{B6C17C78-2D97-461A-80E2-8A0179EAE51F}"/>
    <cellStyle name="Normal 4 2 4 3 2 4 3" xfId="5978" xr:uid="{00000000-0005-0000-0000-00008A130000}"/>
    <cellStyle name="Normal 4 2 4 3 2 4 3 2" xfId="14420" xr:uid="{71EAE0E9-2E12-40E7-B0BE-117273D19FFF}"/>
    <cellStyle name="Normal 4 2 4 3 2 4 4" xfId="10202" xr:uid="{A371265B-5D86-4069-8E65-ABE5A35FFE2B}"/>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A8176113-E8F2-4AEA-A9AE-668178221D10}"/>
    <cellStyle name="Normal 4 2 4 3 2 5 2 3" xfId="12760" xr:uid="{D277324E-3E25-402B-BB0E-BCB9E7608413}"/>
    <cellStyle name="Normal 4 2 4 3 2 5 3" xfId="6391" xr:uid="{00000000-0005-0000-0000-00008E130000}"/>
    <cellStyle name="Normal 4 2 4 3 2 5 3 2" xfId="14833" xr:uid="{09DE3EE6-D8DD-4E8B-8E5E-E90B3ED53172}"/>
    <cellStyle name="Normal 4 2 4 3 2 5 4" xfId="10615" xr:uid="{BF6612AD-03F3-4FF6-8524-269D689426FD}"/>
    <cellStyle name="Normal 4 2 4 3 2 6" xfId="2520" xr:uid="{00000000-0005-0000-0000-00008F130000}"/>
    <cellStyle name="Normal 4 2 4 3 2 6 2" xfId="6804" xr:uid="{00000000-0005-0000-0000-000090130000}"/>
    <cellStyle name="Normal 4 2 4 3 2 6 2 2" xfId="15246" xr:uid="{4F9516B6-169E-48B9-8264-5736414C1487}"/>
    <cellStyle name="Normal 4 2 4 3 2 6 3" xfId="11028" xr:uid="{0FC1878E-0048-44D2-A8DB-BD858F6D56B2}"/>
    <cellStyle name="Normal 4 2 4 3 2 7" xfId="4739" xr:uid="{00000000-0005-0000-0000-000091130000}"/>
    <cellStyle name="Normal 4 2 4 3 2 7 2" xfId="13181" xr:uid="{3E39D531-4827-44C0-A795-58CD35FBF49F}"/>
    <cellStyle name="Normal 4 2 4 3 2 8" xfId="8963" xr:uid="{81151BA8-3F51-48D5-8AA3-926A154AD400}"/>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FAF06581-4183-415B-85A8-05C451C231F2}"/>
    <cellStyle name="Normal 4 2 4 3 3 2 3" xfId="11520" xr:uid="{74B64C0E-DC1F-43F2-8013-B8D42C687848}"/>
    <cellStyle name="Normal 4 2 4 3 3 3" xfId="5151" xr:uid="{00000000-0005-0000-0000-000095130000}"/>
    <cellStyle name="Normal 4 2 4 3 3 3 2" xfId="13593" xr:uid="{17CE88A3-614F-46A3-9F47-41CD206A6CCE}"/>
    <cellStyle name="Normal 4 2 4 3 3 4" xfId="9375" xr:uid="{80F611E8-98DF-4BF8-81ED-C0E2F1069DF3}"/>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8CBF21F3-EA1C-44FC-BDEA-96D3BD1EBE0C}"/>
    <cellStyle name="Normal 4 2 4 3 4 2 3" xfId="11933" xr:uid="{F0689A89-3797-479F-9A57-9FD8A4E3AD9D}"/>
    <cellStyle name="Normal 4 2 4 3 4 3" xfId="5564" xr:uid="{00000000-0005-0000-0000-000099130000}"/>
    <cellStyle name="Normal 4 2 4 3 4 3 2" xfId="14006" xr:uid="{2F899245-F759-4BFE-AB3E-4BEFCBD39277}"/>
    <cellStyle name="Normal 4 2 4 3 4 4" xfId="9788" xr:uid="{72B4933B-FD24-4484-A738-0F4F3E0C7AFA}"/>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7B52FB4D-BC59-4655-BB41-1E588846652E}"/>
    <cellStyle name="Normal 4 2 4 3 5 2 3" xfId="12346" xr:uid="{AAA2554D-CF06-4730-9BFF-1214D503E23F}"/>
    <cellStyle name="Normal 4 2 4 3 5 3" xfId="5977" xr:uid="{00000000-0005-0000-0000-00009D130000}"/>
    <cellStyle name="Normal 4 2 4 3 5 3 2" xfId="14419" xr:uid="{583DE8DF-DCD7-45E3-A8D0-D848AB13D064}"/>
    <cellStyle name="Normal 4 2 4 3 5 4" xfId="10201" xr:uid="{F3592CD4-380C-41F3-8B86-B7CD2132923E}"/>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C8272A07-8052-453D-8E3B-13E101621D63}"/>
    <cellStyle name="Normal 4 2 4 3 6 2 3" xfId="12759" xr:uid="{ACB7CBCA-2D29-40A3-911E-9F92706D9577}"/>
    <cellStyle name="Normal 4 2 4 3 6 3" xfId="6390" xr:uid="{00000000-0005-0000-0000-0000A1130000}"/>
    <cellStyle name="Normal 4 2 4 3 6 3 2" xfId="14832" xr:uid="{7556191E-19D0-4CF7-BDDD-F864EC383455}"/>
    <cellStyle name="Normal 4 2 4 3 6 4" xfId="10614" xr:uid="{FF7F5E8B-E280-4501-B181-9FB5C5230336}"/>
    <cellStyle name="Normal 4 2 4 3 7" xfId="2519" xr:uid="{00000000-0005-0000-0000-0000A2130000}"/>
    <cellStyle name="Normal 4 2 4 3 7 2" xfId="6803" xr:uid="{00000000-0005-0000-0000-0000A3130000}"/>
    <cellStyle name="Normal 4 2 4 3 7 2 2" xfId="15245" xr:uid="{559B93F6-04A4-4679-8878-AA8A86BE899B}"/>
    <cellStyle name="Normal 4 2 4 3 7 3" xfId="11027" xr:uid="{1E38C26B-D4A7-4C12-A31A-699F7CE8C95D}"/>
    <cellStyle name="Normal 4 2 4 3 8" xfId="4738" xr:uid="{00000000-0005-0000-0000-0000A4130000}"/>
    <cellStyle name="Normal 4 2 4 3 8 2" xfId="13180" xr:uid="{2F92BDCD-B40F-4618-B4B0-132F22630E9D}"/>
    <cellStyle name="Normal 4 2 4 3 9" xfId="8962" xr:uid="{4E88B7E1-AA76-419B-92D0-E01AF5FC95E2}"/>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6DF26B33-A8BD-49F8-BE96-DB66504A2F74}"/>
    <cellStyle name="Normal 4 2 4 4 2 2 3" xfId="11522" xr:uid="{3BE763B7-1251-4FB8-8F36-8D73D08140D4}"/>
    <cellStyle name="Normal 4 2 4 4 2 3" xfId="5153" xr:uid="{00000000-0005-0000-0000-0000A9130000}"/>
    <cellStyle name="Normal 4 2 4 4 2 3 2" xfId="13595" xr:uid="{4036EB5A-6408-4A0C-89C3-27469AA4A2FA}"/>
    <cellStyle name="Normal 4 2 4 4 2 4" xfId="9377" xr:uid="{8A7E0BC4-F903-4751-BF1C-E5971964F0A6}"/>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453C4D2D-EF5D-4630-AF7C-20560ABD38D7}"/>
    <cellStyle name="Normal 4 2 4 4 3 2 3" xfId="11935" xr:uid="{A2326412-5A6B-41CE-8D5D-4088AE2C6E2D}"/>
    <cellStyle name="Normal 4 2 4 4 3 3" xfId="5566" xr:uid="{00000000-0005-0000-0000-0000AD130000}"/>
    <cellStyle name="Normal 4 2 4 4 3 3 2" xfId="14008" xr:uid="{9459AA04-40AE-4832-833F-ADC41DF8676B}"/>
    <cellStyle name="Normal 4 2 4 4 3 4" xfId="9790" xr:uid="{4249C97D-5524-49A1-BDF7-8E6F3F8ED3C6}"/>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F0B89132-C72F-4454-AF12-CB75868CF6E6}"/>
    <cellStyle name="Normal 4 2 4 4 4 2 3" xfId="12348" xr:uid="{906FEC60-45CA-4BEC-898F-6CCBA98F3E49}"/>
    <cellStyle name="Normal 4 2 4 4 4 3" xfId="5979" xr:uid="{00000000-0005-0000-0000-0000B1130000}"/>
    <cellStyle name="Normal 4 2 4 4 4 3 2" xfId="14421" xr:uid="{07758BFB-34D1-4FBF-B467-F2215855BFBD}"/>
    <cellStyle name="Normal 4 2 4 4 4 4" xfId="10203" xr:uid="{FA8BA7F6-0A36-447F-A34C-B5C6FAF4C788}"/>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A878813D-E992-4AE6-B407-3148E533DC34}"/>
    <cellStyle name="Normal 4 2 4 4 5 2 3" xfId="12761" xr:uid="{F667FC74-9CB3-4833-9004-726438525162}"/>
    <cellStyle name="Normal 4 2 4 4 5 3" xfId="6392" xr:uid="{00000000-0005-0000-0000-0000B5130000}"/>
    <cellStyle name="Normal 4 2 4 4 5 3 2" xfId="14834" xr:uid="{643EE79C-55BA-4A22-98C5-F104CC05AAE2}"/>
    <cellStyle name="Normal 4 2 4 4 5 4" xfId="10616" xr:uid="{12422555-7AE6-4606-A7BE-F67607AE4012}"/>
    <cellStyle name="Normal 4 2 4 4 6" xfId="2521" xr:uid="{00000000-0005-0000-0000-0000B6130000}"/>
    <cellStyle name="Normal 4 2 4 4 6 2" xfId="6805" xr:uid="{00000000-0005-0000-0000-0000B7130000}"/>
    <cellStyle name="Normal 4 2 4 4 6 2 2" xfId="15247" xr:uid="{F02DDB90-A319-49B6-995A-878C37B07354}"/>
    <cellStyle name="Normal 4 2 4 4 6 3" xfId="11029" xr:uid="{73FB513B-5E89-4DB1-8128-127AD8B2F794}"/>
    <cellStyle name="Normal 4 2 4 4 7" xfId="4740" xr:uid="{00000000-0005-0000-0000-0000B8130000}"/>
    <cellStyle name="Normal 4 2 4 4 7 2" xfId="13182" xr:uid="{5C99A703-6BC7-49DD-92B2-B3ABDB0E1A17}"/>
    <cellStyle name="Normal 4 2 4 4 8" xfId="8964" xr:uid="{40DA2155-25CF-41AA-89F6-1C424B45230A}"/>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EE85D0D7-CB28-422B-A841-4C7BBBF54079}"/>
    <cellStyle name="Normal 4 2 4 5 2 3" xfId="11515" xr:uid="{52A8D130-7EA8-49DF-B61B-99A717047DFF}"/>
    <cellStyle name="Normal 4 2 4 5 3" xfId="5146" xr:uid="{00000000-0005-0000-0000-0000BC130000}"/>
    <cellStyle name="Normal 4 2 4 5 3 2" xfId="13588" xr:uid="{2B998204-FA70-4EA2-8564-79A87AE5C5DF}"/>
    <cellStyle name="Normal 4 2 4 5 4" xfId="9370" xr:uid="{D95CCC2A-8F47-4529-98EE-67DDE1D6BB2A}"/>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CA595D1D-43AF-45C0-BD0D-6A6FD42CFE27}"/>
    <cellStyle name="Normal 4 2 4 6 2 3" xfId="11928" xr:uid="{FFC5E395-1766-4C00-B965-1E577CFDEED3}"/>
    <cellStyle name="Normal 4 2 4 6 3" xfId="5559" xr:uid="{00000000-0005-0000-0000-0000C0130000}"/>
    <cellStyle name="Normal 4 2 4 6 3 2" xfId="14001" xr:uid="{B29E177D-88D5-4003-8AA4-C2E0A1790BC3}"/>
    <cellStyle name="Normal 4 2 4 6 4" xfId="9783" xr:uid="{41241198-B651-4E57-9479-AC3595B3CC5D}"/>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31C080A9-521C-48E2-BED6-31B3C0F97432}"/>
    <cellStyle name="Normal 4 2 4 7 2 3" xfId="12341" xr:uid="{C3146E3D-1F08-49DC-BC60-147AD25ACFD4}"/>
    <cellStyle name="Normal 4 2 4 7 3" xfId="5972" xr:uid="{00000000-0005-0000-0000-0000C4130000}"/>
    <cellStyle name="Normal 4 2 4 7 3 2" xfId="14414" xr:uid="{E674AC3B-CFF6-4BC9-AFDF-976EBD3D15D8}"/>
    <cellStyle name="Normal 4 2 4 7 4" xfId="10196" xr:uid="{3D860694-6604-40DA-83F5-2A09AC73F1E2}"/>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38845BDA-B4BD-4CCD-B4A0-033CF0467DE6}"/>
    <cellStyle name="Normal 4 2 4 8 2 3" xfId="12754" xr:uid="{5877DAF5-90B8-4F1E-AC16-5C90609A37F3}"/>
    <cellStyle name="Normal 4 2 4 8 3" xfId="6385" xr:uid="{00000000-0005-0000-0000-0000C8130000}"/>
    <cellStyle name="Normal 4 2 4 8 3 2" xfId="14827" xr:uid="{071F435F-B2DA-4C17-AB96-324C502D4F99}"/>
    <cellStyle name="Normal 4 2 4 8 4" xfId="10609" xr:uid="{0D359DFD-D018-4620-A865-35E957CB2BBE}"/>
    <cellStyle name="Normal 4 2 4 9" xfId="2514" xr:uid="{00000000-0005-0000-0000-0000C9130000}"/>
    <cellStyle name="Normal 4 2 4 9 2" xfId="6798" xr:uid="{00000000-0005-0000-0000-0000CA130000}"/>
    <cellStyle name="Normal 4 2 4 9 2 2" xfId="15240" xr:uid="{00C95676-AD7F-4BBB-9E84-6C014E524E83}"/>
    <cellStyle name="Normal 4 2 4 9 3" xfId="11022" xr:uid="{75F9AE0B-8EA9-4964-8A42-B90E75EDEE73}"/>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4FD53461-F7B5-48CB-B946-5EFE8FCA4455}"/>
    <cellStyle name="Normal 4 2 5 2 2 2 3" xfId="11524" xr:uid="{1B79506F-4BEC-4EBE-B1AB-176A2B188A50}"/>
    <cellStyle name="Normal 4 2 5 2 2 3" xfId="5155" xr:uid="{00000000-0005-0000-0000-0000D0130000}"/>
    <cellStyle name="Normal 4 2 5 2 2 3 2" xfId="13597" xr:uid="{F4D51F95-837A-4C9C-AF7E-D3854D1408D4}"/>
    <cellStyle name="Normal 4 2 5 2 2 4" xfId="9379" xr:uid="{CBD949BF-3D77-459B-8E45-FDEEE7ED2D03}"/>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F0804910-8CC1-4F41-96E9-9BD0671D7E2C}"/>
    <cellStyle name="Normal 4 2 5 2 3 2 3" xfId="11937" xr:uid="{30029C82-B396-4918-B3D5-0C9B268EC5FE}"/>
    <cellStyle name="Normal 4 2 5 2 3 3" xfId="5568" xr:uid="{00000000-0005-0000-0000-0000D4130000}"/>
    <cellStyle name="Normal 4 2 5 2 3 3 2" xfId="14010" xr:uid="{F33102D6-81EC-49C2-BFA9-08E0324D561B}"/>
    <cellStyle name="Normal 4 2 5 2 3 4" xfId="9792" xr:uid="{25FE468B-7020-428F-BC86-FF6E6C59DE16}"/>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D167FCEE-340C-428A-81CA-AC7B93134FAA}"/>
    <cellStyle name="Normal 4 2 5 2 4 2 3" xfId="12350" xr:uid="{14CD6F50-48A9-4786-BAB4-8E01802AAA6E}"/>
    <cellStyle name="Normal 4 2 5 2 4 3" xfId="5981" xr:uid="{00000000-0005-0000-0000-0000D8130000}"/>
    <cellStyle name="Normal 4 2 5 2 4 3 2" xfId="14423" xr:uid="{756D6FE3-7028-4CC0-A594-4CF15D7E96CD}"/>
    <cellStyle name="Normal 4 2 5 2 4 4" xfId="10205" xr:uid="{5E9BE5C4-0E52-467A-A6BD-B917323C2A48}"/>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C329337D-3BAD-40A8-BC90-4B4422B792E5}"/>
    <cellStyle name="Normal 4 2 5 2 5 2 3" xfId="12763" xr:uid="{BB64D9D5-6462-436F-864B-E65D0DD7BC81}"/>
    <cellStyle name="Normal 4 2 5 2 5 3" xfId="6394" xr:uid="{00000000-0005-0000-0000-0000DC130000}"/>
    <cellStyle name="Normal 4 2 5 2 5 3 2" xfId="14836" xr:uid="{518BFD7A-19E6-4035-A4AB-E9FD9DF781E1}"/>
    <cellStyle name="Normal 4 2 5 2 5 4" xfId="10618" xr:uid="{99586F5C-242D-46F8-A6C4-F8403918BEC3}"/>
    <cellStyle name="Normal 4 2 5 2 6" xfId="2523" xr:uid="{00000000-0005-0000-0000-0000DD130000}"/>
    <cellStyle name="Normal 4 2 5 2 6 2" xfId="6807" xr:uid="{00000000-0005-0000-0000-0000DE130000}"/>
    <cellStyle name="Normal 4 2 5 2 6 2 2" xfId="15249" xr:uid="{C5B001AA-D6A5-4C02-8290-7481C288B7A7}"/>
    <cellStyle name="Normal 4 2 5 2 6 3" xfId="11031" xr:uid="{EFA4BC86-470A-46C3-A350-B4CA28E409AF}"/>
    <cellStyle name="Normal 4 2 5 2 7" xfId="4742" xr:uid="{00000000-0005-0000-0000-0000DF130000}"/>
    <cellStyle name="Normal 4 2 5 2 7 2" xfId="13184" xr:uid="{5FB15F21-4D42-43CE-A751-0137F3A3C84D}"/>
    <cellStyle name="Normal 4 2 5 2 8" xfId="8966" xr:uid="{337DE59D-9BB1-4840-B1CB-37C33BDC24D8}"/>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0E4B3467-4367-48A7-965D-3E1D30E1B4DF}"/>
    <cellStyle name="Normal 4 2 5 3 2 3" xfId="11523" xr:uid="{12488E45-317A-4A92-8B9D-49C7C54FD87C}"/>
    <cellStyle name="Normal 4 2 5 3 3" xfId="5154" xr:uid="{00000000-0005-0000-0000-0000E3130000}"/>
    <cellStyle name="Normal 4 2 5 3 3 2" xfId="13596" xr:uid="{444B178F-61AB-41B8-ADEE-66AF77E5ADC0}"/>
    <cellStyle name="Normal 4 2 5 3 4" xfId="9378" xr:uid="{DFB689FD-DD0F-425C-8737-B492A406352E}"/>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B2A224C5-D871-4495-BDC9-C08193795F48}"/>
    <cellStyle name="Normal 4 2 5 4 2 3" xfId="11936" xr:uid="{EE0E9102-415F-4F58-B37D-199ED43EA922}"/>
    <cellStyle name="Normal 4 2 5 4 3" xfId="5567" xr:uid="{00000000-0005-0000-0000-0000E7130000}"/>
    <cellStyle name="Normal 4 2 5 4 3 2" xfId="14009" xr:uid="{1DB1307A-FA70-4926-BBBE-573E459FBCB7}"/>
    <cellStyle name="Normal 4 2 5 4 4" xfId="9791" xr:uid="{230D6E45-CD03-4A50-A386-1D5DC3236036}"/>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094EB18D-CA68-4E50-8F5F-E33F5BEC89B7}"/>
    <cellStyle name="Normal 4 2 5 5 2 3" xfId="12349" xr:uid="{0AB01463-BB59-4049-B8D7-55ACA1BE7783}"/>
    <cellStyle name="Normal 4 2 5 5 3" xfId="5980" xr:uid="{00000000-0005-0000-0000-0000EB130000}"/>
    <cellStyle name="Normal 4 2 5 5 3 2" xfId="14422" xr:uid="{EBD2E5CF-F512-496D-959E-443EF3B3CE6F}"/>
    <cellStyle name="Normal 4 2 5 5 4" xfId="10204" xr:uid="{2F12F998-28C1-4ABB-8915-346421DFC3C4}"/>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057BA3DB-A454-4A62-BD75-0B8F2E2A8DE9}"/>
    <cellStyle name="Normal 4 2 5 6 2 3" xfId="12762" xr:uid="{0923B0EC-ADC9-4037-A796-87F1D2ECC4FA}"/>
    <cellStyle name="Normal 4 2 5 6 3" xfId="6393" xr:uid="{00000000-0005-0000-0000-0000EF130000}"/>
    <cellStyle name="Normal 4 2 5 6 3 2" xfId="14835" xr:uid="{0747617D-026B-4DAE-90B5-55373294B434}"/>
    <cellStyle name="Normal 4 2 5 6 4" xfId="10617" xr:uid="{9EDDA6BC-40A8-43FB-A283-E08E425D1D69}"/>
    <cellStyle name="Normal 4 2 5 7" xfId="2522" xr:uid="{00000000-0005-0000-0000-0000F0130000}"/>
    <cellStyle name="Normal 4 2 5 7 2" xfId="6806" xr:uid="{00000000-0005-0000-0000-0000F1130000}"/>
    <cellStyle name="Normal 4 2 5 7 2 2" xfId="15248" xr:uid="{C6478A3F-42AE-46B7-B08E-211B610EAF5C}"/>
    <cellStyle name="Normal 4 2 5 7 3" xfId="11030" xr:uid="{2B6353B3-BF72-4729-AFF5-BBFDD7F7CAD2}"/>
    <cellStyle name="Normal 4 2 5 8" xfId="4741" xr:uid="{00000000-0005-0000-0000-0000F2130000}"/>
    <cellStyle name="Normal 4 2 5 8 2" xfId="13183" xr:uid="{C52C4D1D-9717-40A6-83D6-0782D104EB81}"/>
    <cellStyle name="Normal 4 2 5 9" xfId="8965" xr:uid="{661690CD-E5D7-4C50-B6D2-38ACC856F337}"/>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7CF71E2E-C008-44DC-A095-241B77EFDD5E}"/>
    <cellStyle name="Normal 4 2 6 2 2 3" xfId="11525" xr:uid="{A96529DC-BC08-4E80-A7E1-40705BE3FA9D}"/>
    <cellStyle name="Normal 4 2 6 2 3" xfId="5156" xr:uid="{00000000-0005-0000-0000-0000F7130000}"/>
    <cellStyle name="Normal 4 2 6 2 3 2" xfId="13598" xr:uid="{8A950184-8A8D-4D32-A0CC-46579F228417}"/>
    <cellStyle name="Normal 4 2 6 2 4" xfId="9380" xr:uid="{7ED10B17-D083-45A7-A105-0747FC093E02}"/>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43594A32-E731-41DA-8007-A5419D6154FF}"/>
    <cellStyle name="Normal 4 2 6 3 2 3" xfId="11938" xr:uid="{78A6AE18-01ED-4283-A239-BC8F50904DF1}"/>
    <cellStyle name="Normal 4 2 6 3 3" xfId="5569" xr:uid="{00000000-0005-0000-0000-0000FB130000}"/>
    <cellStyle name="Normal 4 2 6 3 3 2" xfId="14011" xr:uid="{BFE2C4E7-C706-4BC3-8904-A876918997E6}"/>
    <cellStyle name="Normal 4 2 6 3 4" xfId="9793" xr:uid="{67192CDC-29D4-4AB8-88D1-3C84216B4E65}"/>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B5D43126-D5B3-4C35-9FAF-A9FB648C5DB9}"/>
    <cellStyle name="Normal 4 2 6 4 2 3" xfId="12351" xr:uid="{76CAB885-16E9-42BE-A677-AD068FD3FF0C}"/>
    <cellStyle name="Normal 4 2 6 4 3" xfId="5982" xr:uid="{00000000-0005-0000-0000-0000FF130000}"/>
    <cellStyle name="Normal 4 2 6 4 3 2" xfId="14424" xr:uid="{12AD6D61-A6B7-43EA-8B34-8BF991A3695B}"/>
    <cellStyle name="Normal 4 2 6 4 4" xfId="10206" xr:uid="{6D0C98AA-4180-4167-9ADD-096D60621CD7}"/>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87084993-A44F-4ACF-8195-2CC78CF50EA8}"/>
    <cellStyle name="Normal 4 2 6 5 2 3" xfId="12764" xr:uid="{2F2EAA93-8726-4A86-A734-83D40356E180}"/>
    <cellStyle name="Normal 4 2 6 5 3" xfId="6395" xr:uid="{00000000-0005-0000-0000-000003140000}"/>
    <cellStyle name="Normal 4 2 6 5 3 2" xfId="14837" xr:uid="{071F3874-DCF0-4B3F-B952-E15D746E6D9A}"/>
    <cellStyle name="Normal 4 2 6 5 4" xfId="10619" xr:uid="{870832F4-DBDF-49F3-82D6-71A282235299}"/>
    <cellStyle name="Normal 4 2 6 6" xfId="2524" xr:uid="{00000000-0005-0000-0000-000004140000}"/>
    <cellStyle name="Normal 4 2 6 6 2" xfId="6808" xr:uid="{00000000-0005-0000-0000-000005140000}"/>
    <cellStyle name="Normal 4 2 6 6 2 2" xfId="15250" xr:uid="{94887BDE-E510-4B0C-869E-CBB788A64957}"/>
    <cellStyle name="Normal 4 2 6 6 3" xfId="11032" xr:uid="{14D8DAAE-BDEA-42EA-A27A-466100078F6D}"/>
    <cellStyle name="Normal 4 2 6 7" xfId="4743" xr:uid="{00000000-0005-0000-0000-000006140000}"/>
    <cellStyle name="Normal 4 2 6 7 2" xfId="13185" xr:uid="{A29DFFD3-5E2A-4E4E-A15E-00F57F7FC2F1}"/>
    <cellStyle name="Normal 4 2 6 8" xfId="8967" xr:uid="{C9C0320D-6049-457D-91CF-37850B7D0FED}"/>
    <cellStyle name="Normal 4 3" xfId="366" xr:uid="{00000000-0005-0000-0000-000007140000}"/>
    <cellStyle name="Normal 4 3 10" xfId="8968" xr:uid="{0948F578-9ECF-43ED-93AC-30D5D184413D}"/>
    <cellStyle name="Normal 4 3 2" xfId="367" xr:uid="{00000000-0005-0000-0000-000008140000}"/>
    <cellStyle name="Normal 4 3 2 2" xfId="368" xr:uid="{00000000-0005-0000-0000-000009140000}"/>
    <cellStyle name="Normal 4 3 2 2 2" xfId="369" xr:uid="{00000000-0005-0000-0000-00000A140000}"/>
    <cellStyle name="Normal 4 3 2 2 2 10" xfId="8969" xr:uid="{9144AE98-2240-4A1C-ACD9-AA1CB0A73F74}"/>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BCD4F1B2-249A-49BD-8750-6B8EFE14DE82}"/>
    <cellStyle name="Normal 4 3 2 2 2 2 2 2 2 3" xfId="11529" xr:uid="{B780E85C-7385-430B-9CEF-1C9C9192C231}"/>
    <cellStyle name="Normal 4 3 2 2 2 2 2 2 3" xfId="5160" xr:uid="{00000000-0005-0000-0000-000010140000}"/>
    <cellStyle name="Normal 4 3 2 2 2 2 2 2 3 2" xfId="13602" xr:uid="{6A03FDD2-AD16-42C7-8275-0193D09C5489}"/>
    <cellStyle name="Normal 4 3 2 2 2 2 2 2 4" xfId="9384" xr:uid="{78A549D7-AA10-4E34-9F61-836E2F7F62F1}"/>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A609DB61-0BB3-4EBE-B5A7-84E817602309}"/>
    <cellStyle name="Normal 4 3 2 2 2 2 2 3 2 3" xfId="11942" xr:uid="{BBE30BCE-A7A7-48C0-B39D-2630990CFDE4}"/>
    <cellStyle name="Normal 4 3 2 2 2 2 2 3 3" xfId="5573" xr:uid="{00000000-0005-0000-0000-000014140000}"/>
    <cellStyle name="Normal 4 3 2 2 2 2 2 3 3 2" xfId="14015" xr:uid="{01C2ED5A-FA30-450F-8EB4-69BE3EEDC927}"/>
    <cellStyle name="Normal 4 3 2 2 2 2 2 3 4" xfId="9797" xr:uid="{DAD3139B-CF53-42E0-8302-FA2A510C5E81}"/>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4238F829-4909-4621-ABDE-E08F16D3012C}"/>
    <cellStyle name="Normal 4 3 2 2 2 2 2 4 2 3" xfId="12355" xr:uid="{CB566C14-628E-499D-89EC-56C95946AFA3}"/>
    <cellStyle name="Normal 4 3 2 2 2 2 2 4 3" xfId="5986" xr:uid="{00000000-0005-0000-0000-000018140000}"/>
    <cellStyle name="Normal 4 3 2 2 2 2 2 4 3 2" xfId="14428" xr:uid="{848AE6EA-BC39-43A4-AA75-6D75E6773CFA}"/>
    <cellStyle name="Normal 4 3 2 2 2 2 2 4 4" xfId="10210" xr:uid="{067C0C83-8BF4-41C5-9521-E2C3E95ADE7E}"/>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FC7EC2A5-CE7F-45C2-BF8A-288F28D51BA4}"/>
    <cellStyle name="Normal 4 3 2 2 2 2 2 5 2 3" xfId="12768" xr:uid="{47FFA55F-AB90-4792-B6EF-21A99087143D}"/>
    <cellStyle name="Normal 4 3 2 2 2 2 2 5 3" xfId="6399" xr:uid="{00000000-0005-0000-0000-00001C140000}"/>
    <cellStyle name="Normal 4 3 2 2 2 2 2 5 3 2" xfId="14841" xr:uid="{F6D63CF6-B7CD-41F2-BBC3-033CB3079528}"/>
    <cellStyle name="Normal 4 3 2 2 2 2 2 5 4" xfId="10623" xr:uid="{4367111A-5522-4FDF-B67B-8181D38327E0}"/>
    <cellStyle name="Normal 4 3 2 2 2 2 2 6" xfId="2528" xr:uid="{00000000-0005-0000-0000-00001D140000}"/>
    <cellStyle name="Normal 4 3 2 2 2 2 2 6 2" xfId="6812" xr:uid="{00000000-0005-0000-0000-00001E140000}"/>
    <cellStyle name="Normal 4 3 2 2 2 2 2 6 2 2" xfId="15254" xr:uid="{21E2690D-25C1-42CB-B97C-0DD453AEAE46}"/>
    <cellStyle name="Normal 4 3 2 2 2 2 2 6 3" xfId="11036" xr:uid="{A7A5143F-D512-45B7-9BCE-A97FB2637578}"/>
    <cellStyle name="Normal 4 3 2 2 2 2 2 7" xfId="4747" xr:uid="{00000000-0005-0000-0000-00001F140000}"/>
    <cellStyle name="Normal 4 3 2 2 2 2 2 7 2" xfId="13189" xr:uid="{3020F23A-B5AF-48FD-A3D7-619D64C30CCB}"/>
    <cellStyle name="Normal 4 3 2 2 2 2 2 8" xfId="8971" xr:uid="{8EDD287C-5192-4939-82C9-C4C07C5E94A5}"/>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4980656E-093A-441A-91AD-7BDFB1EF0714}"/>
    <cellStyle name="Normal 4 3 2 2 2 2 3 2 3" xfId="11528" xr:uid="{61464E86-4755-4686-849E-3D8B7337A426}"/>
    <cellStyle name="Normal 4 3 2 2 2 2 3 3" xfId="5159" xr:uid="{00000000-0005-0000-0000-000023140000}"/>
    <cellStyle name="Normal 4 3 2 2 2 2 3 3 2" xfId="13601" xr:uid="{8ACA0664-F7D9-4DF5-8B1E-C8CFC2E92351}"/>
    <cellStyle name="Normal 4 3 2 2 2 2 3 4" xfId="9383" xr:uid="{07D50EA6-3314-4C91-95E1-42BC7869C961}"/>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28B1C25E-963F-4138-834F-B575C906F5E2}"/>
    <cellStyle name="Normal 4 3 2 2 2 2 4 2 3" xfId="11941" xr:uid="{37BE1A44-30D5-44D9-8E8F-573046CC1B2A}"/>
    <cellStyle name="Normal 4 3 2 2 2 2 4 3" xfId="5572" xr:uid="{00000000-0005-0000-0000-000027140000}"/>
    <cellStyle name="Normal 4 3 2 2 2 2 4 3 2" xfId="14014" xr:uid="{24481BA3-42FB-48C7-9B08-B62EBED18BE7}"/>
    <cellStyle name="Normal 4 3 2 2 2 2 4 4" xfId="9796" xr:uid="{70CCF5E5-4600-472C-AC14-C3B4E54CCB4A}"/>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47E3600F-F897-4366-AAC7-646EB27E7774}"/>
    <cellStyle name="Normal 4 3 2 2 2 2 5 2 3" xfId="12354" xr:uid="{22E6B8BC-2BD1-41A6-A250-206F56FE83B4}"/>
    <cellStyle name="Normal 4 3 2 2 2 2 5 3" xfId="5985" xr:uid="{00000000-0005-0000-0000-00002B140000}"/>
    <cellStyle name="Normal 4 3 2 2 2 2 5 3 2" xfId="14427" xr:uid="{0A96E67F-79E1-4170-BD24-5860C0F2088F}"/>
    <cellStyle name="Normal 4 3 2 2 2 2 5 4" xfId="10209" xr:uid="{E53F9579-F52C-4A79-957E-239ED7CAA0C5}"/>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6CD4DF70-8DDC-4D18-8516-FDF3260BCC96}"/>
    <cellStyle name="Normal 4 3 2 2 2 2 6 2 3" xfId="12767" xr:uid="{35503024-7912-43F4-9B92-3D9F3D1DE237}"/>
    <cellStyle name="Normal 4 3 2 2 2 2 6 3" xfId="6398" xr:uid="{00000000-0005-0000-0000-00002F140000}"/>
    <cellStyle name="Normal 4 3 2 2 2 2 6 3 2" xfId="14840" xr:uid="{874A5FC1-AD85-4A60-A9AF-01D168910E88}"/>
    <cellStyle name="Normal 4 3 2 2 2 2 6 4" xfId="10622" xr:uid="{B9B32A0C-AD4A-43FC-8572-541CFCCD4CFE}"/>
    <cellStyle name="Normal 4 3 2 2 2 2 7" xfId="2527" xr:uid="{00000000-0005-0000-0000-000030140000}"/>
    <cellStyle name="Normal 4 3 2 2 2 2 7 2" xfId="6811" xr:uid="{00000000-0005-0000-0000-000031140000}"/>
    <cellStyle name="Normal 4 3 2 2 2 2 7 2 2" xfId="15253" xr:uid="{CEFFC76B-1FE2-438E-B549-6B6F77E5E7DE}"/>
    <cellStyle name="Normal 4 3 2 2 2 2 7 3" xfId="11035" xr:uid="{92FD8499-38DC-42B8-8BD8-C70F8FC29884}"/>
    <cellStyle name="Normal 4 3 2 2 2 2 8" xfId="4746" xr:uid="{00000000-0005-0000-0000-000032140000}"/>
    <cellStyle name="Normal 4 3 2 2 2 2 8 2" xfId="13188" xr:uid="{800F808A-8F6F-49E4-818B-3520ED535607}"/>
    <cellStyle name="Normal 4 3 2 2 2 2 9" xfId="8970" xr:uid="{7F299E39-2FC2-491F-89CB-3A925B1859C2}"/>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2751589D-7277-4FF3-A166-E5915F912982}"/>
    <cellStyle name="Normal 4 3 2 2 2 3 2 2 3" xfId="11530" xr:uid="{C67FE5DD-15CC-493C-867E-E8AAEA1DDFDE}"/>
    <cellStyle name="Normal 4 3 2 2 2 3 2 3" xfId="5161" xr:uid="{00000000-0005-0000-0000-000037140000}"/>
    <cellStyle name="Normal 4 3 2 2 2 3 2 3 2" xfId="13603" xr:uid="{3680D61D-526B-45C0-85A3-FE4CBA31AC84}"/>
    <cellStyle name="Normal 4 3 2 2 2 3 2 4" xfId="9385" xr:uid="{23944C95-B88D-4957-98AC-DF1D3482BB1A}"/>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EAA7BD42-BB61-4114-A5C2-1FF455EBD2AE}"/>
    <cellStyle name="Normal 4 3 2 2 2 3 3 2 3" xfId="11943" xr:uid="{DA86420B-A6A3-4E62-96F8-09BEDBD18B72}"/>
    <cellStyle name="Normal 4 3 2 2 2 3 3 3" xfId="5574" xr:uid="{00000000-0005-0000-0000-00003B140000}"/>
    <cellStyle name="Normal 4 3 2 2 2 3 3 3 2" xfId="14016" xr:uid="{BFF577B5-236E-485B-AA1E-51D2E6FDD248}"/>
    <cellStyle name="Normal 4 3 2 2 2 3 3 4" xfId="9798" xr:uid="{43060724-D596-460B-8931-3ABEA89B9944}"/>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7688596B-4DE6-4890-A14C-1D42B468F661}"/>
    <cellStyle name="Normal 4 3 2 2 2 3 4 2 3" xfId="12356" xr:uid="{233A9E98-062B-4151-B8E0-4573886A6CE5}"/>
    <cellStyle name="Normal 4 3 2 2 2 3 4 3" xfId="5987" xr:uid="{00000000-0005-0000-0000-00003F140000}"/>
    <cellStyle name="Normal 4 3 2 2 2 3 4 3 2" xfId="14429" xr:uid="{9D6B5C06-AB6B-44F1-8CFA-059165FC800D}"/>
    <cellStyle name="Normal 4 3 2 2 2 3 4 4" xfId="10211" xr:uid="{AC200926-D575-49B3-A875-640858EB7144}"/>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16C2CA91-2DF7-436C-A579-2E1A51D2882A}"/>
    <cellStyle name="Normal 4 3 2 2 2 3 5 2 3" xfId="12769" xr:uid="{5C3CCFDE-DD12-49B2-B4E6-A682C0EFDFA2}"/>
    <cellStyle name="Normal 4 3 2 2 2 3 5 3" xfId="6400" xr:uid="{00000000-0005-0000-0000-000043140000}"/>
    <cellStyle name="Normal 4 3 2 2 2 3 5 3 2" xfId="14842" xr:uid="{DC077C48-FC1F-4FE3-AC2B-D160F1DA300E}"/>
    <cellStyle name="Normal 4 3 2 2 2 3 5 4" xfId="10624" xr:uid="{784AE881-8823-4CF9-B147-509DBD2DF274}"/>
    <cellStyle name="Normal 4 3 2 2 2 3 6" xfId="2529" xr:uid="{00000000-0005-0000-0000-000044140000}"/>
    <cellStyle name="Normal 4 3 2 2 2 3 6 2" xfId="6813" xr:uid="{00000000-0005-0000-0000-000045140000}"/>
    <cellStyle name="Normal 4 3 2 2 2 3 6 2 2" xfId="15255" xr:uid="{E017F661-B548-438F-9349-58833E88DEAE}"/>
    <cellStyle name="Normal 4 3 2 2 2 3 6 3" xfId="11037" xr:uid="{DB4AEFB7-498E-4023-A9AF-31A28661975C}"/>
    <cellStyle name="Normal 4 3 2 2 2 3 7" xfId="4748" xr:uid="{00000000-0005-0000-0000-000046140000}"/>
    <cellStyle name="Normal 4 3 2 2 2 3 7 2" xfId="13190" xr:uid="{9D91DCC3-E945-4F55-9F28-CC48860A291E}"/>
    <cellStyle name="Normal 4 3 2 2 2 3 8" xfId="8972" xr:uid="{4B8D5075-FC9C-4BA1-BD35-1B6844971D7F}"/>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0275382A-0199-4BEE-87B1-D539E45756CC}"/>
    <cellStyle name="Normal 4 3 2 2 2 4 2 3" xfId="11527" xr:uid="{FB37D861-FD29-4DE6-ADFD-41A734EA5496}"/>
    <cellStyle name="Normal 4 3 2 2 2 4 3" xfId="5158" xr:uid="{00000000-0005-0000-0000-00004A140000}"/>
    <cellStyle name="Normal 4 3 2 2 2 4 3 2" xfId="13600" xr:uid="{C32F1A00-BF99-433A-B64C-700F10E174F1}"/>
    <cellStyle name="Normal 4 3 2 2 2 4 4" xfId="9382" xr:uid="{55866B3F-793D-4F9A-8A0D-B94A5530FC32}"/>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ADC70204-7DC5-4386-99B8-9DF59DEF8D43}"/>
    <cellStyle name="Normal 4 3 2 2 2 5 2 3" xfId="11940" xr:uid="{FC38C2B4-96C5-4103-9350-9804653FADE8}"/>
    <cellStyle name="Normal 4 3 2 2 2 5 3" xfId="5571" xr:uid="{00000000-0005-0000-0000-00004E140000}"/>
    <cellStyle name="Normal 4 3 2 2 2 5 3 2" xfId="14013" xr:uid="{43174D38-AA88-4CDA-8B04-211429ED1AF3}"/>
    <cellStyle name="Normal 4 3 2 2 2 5 4" xfId="9795" xr:uid="{D0F119B4-20B6-4D6C-A386-FD8844921B95}"/>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EFE7A48A-025B-428A-8D07-7895B777FA10}"/>
    <cellStyle name="Normal 4 3 2 2 2 6 2 3" xfId="12353" xr:uid="{5D5C8B09-BE2B-459E-9E47-E72C87E0943E}"/>
    <cellStyle name="Normal 4 3 2 2 2 6 3" xfId="5984" xr:uid="{00000000-0005-0000-0000-000052140000}"/>
    <cellStyle name="Normal 4 3 2 2 2 6 3 2" xfId="14426" xr:uid="{F119EF7A-AADC-481B-9423-F2324C94AA62}"/>
    <cellStyle name="Normal 4 3 2 2 2 6 4" xfId="10208" xr:uid="{036FC35C-8C1A-4690-B8A1-9BB49BDE33D7}"/>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8B9C8291-0686-446D-B3A8-7954925CC551}"/>
    <cellStyle name="Normal 4 3 2 2 2 7 2 3" xfId="12766" xr:uid="{D487D5E9-D974-4ABF-8783-C6C4ED7B9C5B}"/>
    <cellStyle name="Normal 4 3 2 2 2 7 3" xfId="6397" xr:uid="{00000000-0005-0000-0000-000056140000}"/>
    <cellStyle name="Normal 4 3 2 2 2 7 3 2" xfId="14839" xr:uid="{B4894632-F6F8-4A6B-ABE0-8078542F5E09}"/>
    <cellStyle name="Normal 4 3 2 2 2 7 4" xfId="10621" xr:uid="{E4AD0D54-98B6-46D1-8EDF-A0FD74C71778}"/>
    <cellStyle name="Normal 4 3 2 2 2 8" xfId="2526" xr:uid="{00000000-0005-0000-0000-000057140000}"/>
    <cellStyle name="Normal 4 3 2 2 2 8 2" xfId="6810" xr:uid="{00000000-0005-0000-0000-000058140000}"/>
    <cellStyle name="Normal 4 3 2 2 2 8 2 2" xfId="15252" xr:uid="{6BC2F3C4-2905-4B5F-98ED-126A0A603A2B}"/>
    <cellStyle name="Normal 4 3 2 2 2 8 3" xfId="11034" xr:uid="{5E2F8E1B-52B1-4484-830B-315652C32CEE}"/>
    <cellStyle name="Normal 4 3 2 2 2 9" xfId="4745" xr:uid="{00000000-0005-0000-0000-000059140000}"/>
    <cellStyle name="Normal 4 3 2 2 2 9 2" xfId="13187" xr:uid="{BBF036E7-6370-4971-9632-1BF0041758D2}"/>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4149448D-3A9A-47F6-B312-EB679264FF46}"/>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6FBB7D83-20DC-46C7-BAD6-A9BF94167CA0}"/>
    <cellStyle name="Normal 4 3 3 2 2 2 2 3" xfId="11533" xr:uid="{8CB26505-695F-4DCF-AA40-E95FF9978FA1}"/>
    <cellStyle name="Normal 4 3 3 2 2 2 3" xfId="5164" xr:uid="{00000000-0005-0000-0000-000063140000}"/>
    <cellStyle name="Normal 4 3 3 2 2 2 3 2" xfId="13606" xr:uid="{25058229-8925-4CD7-A8CF-D0B1F9AD93D1}"/>
    <cellStyle name="Normal 4 3 3 2 2 2 4" xfId="9388" xr:uid="{580AD37F-A505-4D72-B65D-0B4301E3881A}"/>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B04E92D8-3D94-4A75-87AC-E92BD4CED6A3}"/>
    <cellStyle name="Normal 4 3 3 2 2 3 2 3" xfId="11946" xr:uid="{33AF6E75-E188-4147-B32B-079DD377DC89}"/>
    <cellStyle name="Normal 4 3 3 2 2 3 3" xfId="5577" xr:uid="{00000000-0005-0000-0000-000067140000}"/>
    <cellStyle name="Normal 4 3 3 2 2 3 3 2" xfId="14019" xr:uid="{C76E018D-7045-4FB6-9777-97D7997A2EAB}"/>
    <cellStyle name="Normal 4 3 3 2 2 3 4" xfId="9801" xr:uid="{6D6C9B9E-FB52-4631-965E-F59AFE3BD2C5}"/>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034DDE13-D842-43C1-9092-699B54963BF4}"/>
    <cellStyle name="Normal 4 3 3 2 2 4 2 3" xfId="12359" xr:uid="{39AA64DF-0508-40E1-8393-0E07684866AC}"/>
    <cellStyle name="Normal 4 3 3 2 2 4 3" xfId="5990" xr:uid="{00000000-0005-0000-0000-00006B140000}"/>
    <cellStyle name="Normal 4 3 3 2 2 4 3 2" xfId="14432" xr:uid="{F08C27D3-34D1-4F7F-B432-C5091ECD5D0B}"/>
    <cellStyle name="Normal 4 3 3 2 2 4 4" xfId="10214" xr:uid="{1CE7FD46-40B9-462B-90EA-84EF0BF33D42}"/>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799F6752-D10A-40A8-91BF-B36EBFA75FBF}"/>
    <cellStyle name="Normal 4 3 3 2 2 5 2 3" xfId="12772" xr:uid="{9D7C8580-60B7-4E8D-8E2D-73C592C95CED}"/>
    <cellStyle name="Normal 4 3 3 2 2 5 3" xfId="6403" xr:uid="{00000000-0005-0000-0000-00006F140000}"/>
    <cellStyle name="Normal 4 3 3 2 2 5 3 2" xfId="14845" xr:uid="{FA3366E3-CC7D-4E3E-846B-628E59847E21}"/>
    <cellStyle name="Normal 4 3 3 2 2 5 4" xfId="10627" xr:uid="{2DA409B7-E9D3-4E4E-8D5D-254A19607A0D}"/>
    <cellStyle name="Normal 4 3 3 2 2 6" xfId="2532" xr:uid="{00000000-0005-0000-0000-000070140000}"/>
    <cellStyle name="Normal 4 3 3 2 2 6 2" xfId="6816" xr:uid="{00000000-0005-0000-0000-000071140000}"/>
    <cellStyle name="Normal 4 3 3 2 2 6 2 2" xfId="15258" xr:uid="{5AA5F10F-5EC6-439A-BB95-AFB67B6A0ECB}"/>
    <cellStyle name="Normal 4 3 3 2 2 6 3" xfId="11040" xr:uid="{5653638F-4FBA-4CF2-B06B-4195C823659F}"/>
    <cellStyle name="Normal 4 3 3 2 2 7" xfId="4751" xr:uid="{00000000-0005-0000-0000-000072140000}"/>
    <cellStyle name="Normal 4 3 3 2 2 7 2" xfId="13193" xr:uid="{C97E23BE-AAA8-4DDB-A9B4-5A5728321A84}"/>
    <cellStyle name="Normal 4 3 3 2 2 8" xfId="8975" xr:uid="{5148415F-5B82-4FBE-BD0B-2744DBD7C954}"/>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A01C6ECE-03EA-4C5D-BCA4-BC85A3396876}"/>
    <cellStyle name="Normal 4 3 3 2 3 2 3" xfId="11532" xr:uid="{8275DD06-1952-4273-AFE5-1E0E2D7D2788}"/>
    <cellStyle name="Normal 4 3 3 2 3 3" xfId="5163" xr:uid="{00000000-0005-0000-0000-000076140000}"/>
    <cellStyle name="Normal 4 3 3 2 3 3 2" xfId="13605" xr:uid="{7D7DAE77-C26F-4721-AB72-1E763BF64B7A}"/>
    <cellStyle name="Normal 4 3 3 2 3 4" xfId="9387" xr:uid="{3CC13EF3-BC94-4746-ADC8-C65A63F1AFB9}"/>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EA454695-7414-47D3-AFAB-96DF7BB47D51}"/>
    <cellStyle name="Normal 4 3 3 2 4 2 3" xfId="11945" xr:uid="{A928BD92-7602-42AC-9AE7-5934F68D95DE}"/>
    <cellStyle name="Normal 4 3 3 2 4 3" xfId="5576" xr:uid="{00000000-0005-0000-0000-00007A140000}"/>
    <cellStyle name="Normal 4 3 3 2 4 3 2" xfId="14018" xr:uid="{9A48C35D-FE57-4BCA-8BCB-9C7C6247D954}"/>
    <cellStyle name="Normal 4 3 3 2 4 4" xfId="9800" xr:uid="{F300013B-87C6-4F2F-A158-88DCBC14EE00}"/>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7B37D447-555A-4DFA-B5FC-8C0C74B9AC31}"/>
    <cellStyle name="Normal 4 3 3 2 5 2 3" xfId="12358" xr:uid="{4D3BE8E3-66F5-44D8-B24D-440C9B043125}"/>
    <cellStyle name="Normal 4 3 3 2 5 3" xfId="5989" xr:uid="{00000000-0005-0000-0000-00007E140000}"/>
    <cellStyle name="Normal 4 3 3 2 5 3 2" xfId="14431" xr:uid="{21A019B3-2B73-49BC-962F-BEE7C25DEEEC}"/>
    <cellStyle name="Normal 4 3 3 2 5 4" xfId="10213" xr:uid="{3AA5D2C2-F837-4785-B51F-2D25C2AC130B}"/>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C29A8FC7-78EB-48EA-87EE-9FA295160895}"/>
    <cellStyle name="Normal 4 3 3 2 6 2 3" xfId="12771" xr:uid="{8392E4FB-1E63-4B22-8E6B-5B401605F0D9}"/>
    <cellStyle name="Normal 4 3 3 2 6 3" xfId="6402" xr:uid="{00000000-0005-0000-0000-000082140000}"/>
    <cellStyle name="Normal 4 3 3 2 6 3 2" xfId="14844" xr:uid="{7CE572BB-BDE7-4B5C-BC7E-E04BE15F021F}"/>
    <cellStyle name="Normal 4 3 3 2 6 4" xfId="10626" xr:uid="{2D2CBB59-551A-4773-B886-9CAABF3CB5FC}"/>
    <cellStyle name="Normal 4 3 3 2 7" xfId="2531" xr:uid="{00000000-0005-0000-0000-000083140000}"/>
    <cellStyle name="Normal 4 3 3 2 7 2" xfId="6815" xr:uid="{00000000-0005-0000-0000-000084140000}"/>
    <cellStyle name="Normal 4 3 3 2 7 2 2" xfId="15257" xr:uid="{63C6D28D-D6C3-4CA0-B94A-07D14A213A56}"/>
    <cellStyle name="Normal 4 3 3 2 7 3" xfId="11039" xr:uid="{1FA91752-C919-4C39-A92D-AF4FF6E27171}"/>
    <cellStyle name="Normal 4 3 3 2 8" xfId="4750" xr:uid="{00000000-0005-0000-0000-000085140000}"/>
    <cellStyle name="Normal 4 3 3 2 8 2" xfId="13192" xr:uid="{4E90F065-955A-4AE9-A75B-172E5EEDFD07}"/>
    <cellStyle name="Normal 4 3 3 2 9" xfId="8974" xr:uid="{F82B527B-2102-47C4-94F5-115923AB23A3}"/>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1C83F5DD-C4B9-48BC-AD9B-667DD23CDA53}"/>
    <cellStyle name="Normal 4 3 3 3 2 2 3" xfId="11534" xr:uid="{A1FEA37A-A68E-45BF-905E-A410683DA15C}"/>
    <cellStyle name="Normal 4 3 3 3 2 3" xfId="5165" xr:uid="{00000000-0005-0000-0000-00008A140000}"/>
    <cellStyle name="Normal 4 3 3 3 2 3 2" xfId="13607" xr:uid="{0D395E02-8DA9-4699-A526-FA5AA323B8F2}"/>
    <cellStyle name="Normal 4 3 3 3 2 4" xfId="9389" xr:uid="{2B1D4135-1CC1-4D0D-8FBF-FC0085EF3BB2}"/>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9CB3E3EF-BA25-4850-9C72-BDDDC867B3B3}"/>
    <cellStyle name="Normal 4 3 3 3 3 2 3" xfId="11947" xr:uid="{B6FA6FA4-8967-4618-812D-8EFC2FC521F4}"/>
    <cellStyle name="Normal 4 3 3 3 3 3" xfId="5578" xr:uid="{00000000-0005-0000-0000-00008E140000}"/>
    <cellStyle name="Normal 4 3 3 3 3 3 2" xfId="14020" xr:uid="{F7116A2E-F18C-410B-AE4A-A0ADA01D44BA}"/>
    <cellStyle name="Normal 4 3 3 3 3 4" xfId="9802" xr:uid="{BCBD99C2-95CC-40E2-95DD-236F9D38CEBD}"/>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297C2534-C4B4-46CD-937B-9D67DDC0E417}"/>
    <cellStyle name="Normal 4 3 3 3 4 2 3" xfId="12360" xr:uid="{5362DF6D-80EA-4AF4-A705-DDEABF418372}"/>
    <cellStyle name="Normal 4 3 3 3 4 3" xfId="5991" xr:uid="{00000000-0005-0000-0000-000092140000}"/>
    <cellStyle name="Normal 4 3 3 3 4 3 2" xfId="14433" xr:uid="{1DA3AE3D-B5A2-4CEB-84B2-9B8EDECF0B82}"/>
    <cellStyle name="Normal 4 3 3 3 4 4" xfId="10215" xr:uid="{D561E067-E64F-49E7-A801-6F07B3A633C2}"/>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E345D9F5-9FAE-4CA2-9F3D-BF18B5C6BF7E}"/>
    <cellStyle name="Normal 4 3 3 3 5 2 3" xfId="12773" xr:uid="{24BCF8F8-8B0C-48AA-8826-C52055B0A1AB}"/>
    <cellStyle name="Normal 4 3 3 3 5 3" xfId="6404" xr:uid="{00000000-0005-0000-0000-000096140000}"/>
    <cellStyle name="Normal 4 3 3 3 5 3 2" xfId="14846" xr:uid="{296845D6-5807-4086-8084-E2C001256FE7}"/>
    <cellStyle name="Normal 4 3 3 3 5 4" xfId="10628" xr:uid="{E8FAFEE6-8512-4D85-9C4D-DE0BE31119DA}"/>
    <cellStyle name="Normal 4 3 3 3 6" xfId="2533" xr:uid="{00000000-0005-0000-0000-000097140000}"/>
    <cellStyle name="Normal 4 3 3 3 6 2" xfId="6817" xr:uid="{00000000-0005-0000-0000-000098140000}"/>
    <cellStyle name="Normal 4 3 3 3 6 2 2" xfId="15259" xr:uid="{C33D4F11-95DF-4F11-9483-BD34828D4F7E}"/>
    <cellStyle name="Normal 4 3 3 3 6 3" xfId="11041" xr:uid="{EDCC45CA-11BE-4919-A8D6-F0C9C3DA49BC}"/>
    <cellStyle name="Normal 4 3 3 3 7" xfId="4752" xr:uid="{00000000-0005-0000-0000-000099140000}"/>
    <cellStyle name="Normal 4 3 3 3 7 2" xfId="13194" xr:uid="{73A63531-390B-4E22-95D7-FBFA04586B37}"/>
    <cellStyle name="Normal 4 3 3 3 8" xfId="8976" xr:uid="{DC092528-3590-4635-B310-431EE09B3C82}"/>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76EE70F2-FC65-450D-8902-63702DE8AFAE}"/>
    <cellStyle name="Normal 4 3 3 4 2 3" xfId="11531" xr:uid="{7B091974-AA51-4E7F-8088-75CAA6681391}"/>
    <cellStyle name="Normal 4 3 3 4 3" xfId="5162" xr:uid="{00000000-0005-0000-0000-00009D140000}"/>
    <cellStyle name="Normal 4 3 3 4 3 2" xfId="13604" xr:uid="{C253EEA9-A17D-4FA6-BDCB-9F92EFA5E42A}"/>
    <cellStyle name="Normal 4 3 3 4 4" xfId="9386" xr:uid="{AA47BFA9-FB3B-44C9-9FAB-7E6A30D80379}"/>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BD1C51A6-A33A-4355-A581-9FBDF03C6B55}"/>
    <cellStyle name="Normal 4 3 3 5 2 3" xfId="11944" xr:uid="{D10A3441-EA3E-41E0-AF19-9B8D48765D03}"/>
    <cellStyle name="Normal 4 3 3 5 3" xfId="5575" xr:uid="{00000000-0005-0000-0000-0000A1140000}"/>
    <cellStyle name="Normal 4 3 3 5 3 2" xfId="14017" xr:uid="{A13998D5-7BCA-4E4A-96C5-21DE628C4C47}"/>
    <cellStyle name="Normal 4 3 3 5 4" xfId="9799" xr:uid="{74F8EB2F-CACF-4D76-999C-7B358A2ECED7}"/>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696D090D-A0E6-4594-B42C-EE99C01A532B}"/>
    <cellStyle name="Normal 4 3 3 6 2 3" xfId="12357" xr:uid="{3D5FC13E-9A32-485A-8703-D431FBB8C07C}"/>
    <cellStyle name="Normal 4 3 3 6 3" xfId="5988" xr:uid="{00000000-0005-0000-0000-0000A5140000}"/>
    <cellStyle name="Normal 4 3 3 6 3 2" xfId="14430" xr:uid="{9E1B2A5C-6A41-467E-829B-13104DC24190}"/>
    <cellStyle name="Normal 4 3 3 6 4" xfId="10212" xr:uid="{5304837D-F592-40EC-B4C4-72A746572B6B}"/>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7426BC59-EE14-48E3-BBE7-32FFB7A8A10B}"/>
    <cellStyle name="Normal 4 3 3 7 2 3" xfId="12770" xr:uid="{54365174-82FA-4AB7-A8AF-6E6D860C97F1}"/>
    <cellStyle name="Normal 4 3 3 7 3" xfId="6401" xr:uid="{00000000-0005-0000-0000-0000A9140000}"/>
    <cellStyle name="Normal 4 3 3 7 3 2" xfId="14843" xr:uid="{CB293E58-58B4-4D89-8927-892C5F3A5328}"/>
    <cellStyle name="Normal 4 3 3 7 4" xfId="10625" xr:uid="{40D494FD-5D67-4C1F-AD70-718A3E60958A}"/>
    <cellStyle name="Normal 4 3 3 8" xfId="2530" xr:uid="{00000000-0005-0000-0000-0000AA140000}"/>
    <cellStyle name="Normal 4 3 3 8 2" xfId="6814" xr:uid="{00000000-0005-0000-0000-0000AB140000}"/>
    <cellStyle name="Normal 4 3 3 8 2 2" xfId="15256" xr:uid="{5A30E402-C1D7-43D7-B0F5-2936C81D3031}"/>
    <cellStyle name="Normal 4 3 3 8 3" xfId="11038" xr:uid="{7CF613AC-47D9-4B12-A189-760D0BCC3C57}"/>
    <cellStyle name="Normal 4 3 3 9" xfId="4749" xr:uid="{00000000-0005-0000-0000-0000AC140000}"/>
    <cellStyle name="Normal 4 3 3 9 2" xfId="13191" xr:uid="{E30DAB0A-BB3C-44C5-A624-F345C6B1ED89}"/>
    <cellStyle name="Normal 4 3 4" xfId="842" xr:uid="{00000000-0005-0000-0000-0000AD140000}"/>
    <cellStyle name="Normal 4 3 4 2" xfId="3079" xr:uid="{00000000-0005-0000-0000-0000AE140000}"/>
    <cellStyle name="Normal 4 3 4 2 2" xfId="7302" xr:uid="{00000000-0005-0000-0000-0000AF140000}"/>
    <cellStyle name="Normal 4 3 4 2 2 2" xfId="15744" xr:uid="{12FB8ED3-A005-428B-AC05-8BFCE95F1513}"/>
    <cellStyle name="Normal 4 3 4 2 3" xfId="11526" xr:uid="{903B16EC-E07E-470D-87CB-CE4E962BAE66}"/>
    <cellStyle name="Normal 4 3 4 3" xfId="5157" xr:uid="{00000000-0005-0000-0000-0000B0140000}"/>
    <cellStyle name="Normal 4 3 4 3 2" xfId="13599" xr:uid="{3CC33790-1A50-401D-BE59-CEADDD936EBA}"/>
    <cellStyle name="Normal 4 3 4 4" xfId="9381" xr:uid="{909F18C7-3216-4649-85E2-7E1A9447974E}"/>
    <cellStyle name="Normal 4 3 5" xfId="1262" xr:uid="{00000000-0005-0000-0000-0000B1140000}"/>
    <cellStyle name="Normal 4 3 5 2" xfId="3492" xr:uid="{00000000-0005-0000-0000-0000B2140000}"/>
    <cellStyle name="Normal 4 3 5 2 2" xfId="7715" xr:uid="{00000000-0005-0000-0000-0000B3140000}"/>
    <cellStyle name="Normal 4 3 5 2 2 2" xfId="16157" xr:uid="{18DAA39A-C104-41E5-BB46-1EB64BA78E8D}"/>
    <cellStyle name="Normal 4 3 5 2 3" xfId="11939" xr:uid="{B305F9AB-2E71-424F-B850-4A2B261E6F82}"/>
    <cellStyle name="Normal 4 3 5 3" xfId="5570" xr:uid="{00000000-0005-0000-0000-0000B4140000}"/>
    <cellStyle name="Normal 4 3 5 3 2" xfId="14012" xr:uid="{59B9700E-ED61-45AD-9F58-1EBDC47D0089}"/>
    <cellStyle name="Normal 4 3 5 4" xfId="9794" xr:uid="{568A08F0-08AD-4861-BE80-5E2E3679E0CD}"/>
    <cellStyle name="Normal 4 3 6" xfId="1675" xr:uid="{00000000-0005-0000-0000-0000B5140000}"/>
    <cellStyle name="Normal 4 3 6 2" xfId="3905" xr:uid="{00000000-0005-0000-0000-0000B6140000}"/>
    <cellStyle name="Normal 4 3 6 2 2" xfId="8128" xr:uid="{00000000-0005-0000-0000-0000B7140000}"/>
    <cellStyle name="Normal 4 3 6 2 2 2" xfId="16570" xr:uid="{8E838C02-A194-4E7C-9750-0A675E6F2297}"/>
    <cellStyle name="Normal 4 3 6 2 3" xfId="12352" xr:uid="{6F50EF6E-7A30-48AE-A75F-EE02FF47BAFD}"/>
    <cellStyle name="Normal 4 3 6 3" xfId="5983" xr:uid="{00000000-0005-0000-0000-0000B8140000}"/>
    <cellStyle name="Normal 4 3 6 3 2" xfId="14425" xr:uid="{524F5EDF-15E5-430C-A02B-46CFFAE25178}"/>
    <cellStyle name="Normal 4 3 6 4" xfId="10207" xr:uid="{A8BBE8CA-7D08-40CD-8464-32ABE37F579B}"/>
    <cellStyle name="Normal 4 3 7" xfId="2089" xr:uid="{00000000-0005-0000-0000-0000B9140000}"/>
    <cellStyle name="Normal 4 3 7 2" xfId="4318" xr:uid="{00000000-0005-0000-0000-0000BA140000}"/>
    <cellStyle name="Normal 4 3 7 2 2" xfId="8541" xr:uid="{00000000-0005-0000-0000-0000BB140000}"/>
    <cellStyle name="Normal 4 3 7 2 2 2" xfId="16983" xr:uid="{ACEEC2E7-BD7B-4BF1-B661-80A0F59AA1E0}"/>
    <cellStyle name="Normal 4 3 7 2 3" xfId="12765" xr:uid="{C93B28C1-5033-4DF4-83B1-8AE2E0B5EC42}"/>
    <cellStyle name="Normal 4 3 7 3" xfId="6396" xr:uid="{00000000-0005-0000-0000-0000BC140000}"/>
    <cellStyle name="Normal 4 3 7 3 2" xfId="14838" xr:uid="{71C08F43-730A-4BF9-A6C8-BB8A3D2A385E}"/>
    <cellStyle name="Normal 4 3 7 4" xfId="10620" xr:uid="{04124005-4FCB-4A86-9901-6BA107952488}"/>
    <cellStyle name="Normal 4 3 8" xfId="2525" xr:uid="{00000000-0005-0000-0000-0000BD140000}"/>
    <cellStyle name="Normal 4 3 8 2" xfId="6809" xr:uid="{00000000-0005-0000-0000-0000BE140000}"/>
    <cellStyle name="Normal 4 3 8 2 2" xfId="15251" xr:uid="{0C53E14A-0641-4F1F-A660-90CC772926E5}"/>
    <cellStyle name="Normal 4 3 8 3" xfId="11033" xr:uid="{717B029E-D397-4247-8CB1-3AECED74D325}"/>
    <cellStyle name="Normal 4 3 9" xfId="4744" xr:uid="{00000000-0005-0000-0000-0000BF140000}"/>
    <cellStyle name="Normal 4 3 9 2" xfId="13186" xr:uid="{04F38B6D-12A1-4F15-8394-214209438AD9}"/>
    <cellStyle name="Normal 4 4" xfId="378" xr:uid="{00000000-0005-0000-0000-0000C0140000}"/>
    <cellStyle name="Normal 4 4 10" xfId="2534" xr:uid="{00000000-0005-0000-0000-0000C1140000}"/>
    <cellStyle name="Normal 4 4 10 2" xfId="6818" xr:uid="{00000000-0005-0000-0000-0000C2140000}"/>
    <cellStyle name="Normal 4 4 10 2 2" xfId="15260" xr:uid="{D230AB4A-9346-480B-B65B-86F0AFD8C8B0}"/>
    <cellStyle name="Normal 4 4 10 3" xfId="11042" xr:uid="{C1824E99-8B2C-4FFF-A26A-858EDE43246D}"/>
    <cellStyle name="Normal 4 4 11" xfId="4753" xr:uid="{00000000-0005-0000-0000-0000C3140000}"/>
    <cellStyle name="Normal 4 4 11 2" xfId="13195" xr:uid="{60571517-253D-4407-9554-318ED1EBFD18}"/>
    <cellStyle name="Normal 4 4 12" xfId="8977" xr:uid="{DB72CA4C-5431-4301-8A41-158E9ADAF90A}"/>
    <cellStyle name="Normal 4 4 2" xfId="379" xr:uid="{00000000-0005-0000-0000-0000C4140000}"/>
    <cellStyle name="Normal 4 4 2 10" xfId="4754" xr:uid="{00000000-0005-0000-0000-0000C5140000}"/>
    <cellStyle name="Normal 4 4 2 10 2" xfId="13196" xr:uid="{ECA1B584-7E6F-486C-8053-61C03815F454}"/>
    <cellStyle name="Normal 4 4 2 11" xfId="8978" xr:uid="{D60420D7-B087-4065-AF52-EAEF994AD718}"/>
    <cellStyle name="Normal 4 4 2 2" xfId="380" xr:uid="{00000000-0005-0000-0000-0000C6140000}"/>
    <cellStyle name="Normal 4 4 2 2 10" xfId="8979" xr:uid="{6FFD0FC5-7B4A-4658-9E63-033667AA0655}"/>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AFCD3CCA-287B-41F9-ABE9-5AC7756F965D}"/>
    <cellStyle name="Normal 4 4 2 2 2 2 2 2 3" xfId="11539" xr:uid="{66F66B55-299F-4644-A9D7-EE7951CDB442}"/>
    <cellStyle name="Normal 4 4 2 2 2 2 2 3" xfId="5170" xr:uid="{00000000-0005-0000-0000-0000CC140000}"/>
    <cellStyle name="Normal 4 4 2 2 2 2 2 3 2" xfId="13612" xr:uid="{B62FE601-B711-4352-9639-93649C8FF896}"/>
    <cellStyle name="Normal 4 4 2 2 2 2 2 4" xfId="9394" xr:uid="{B6F770C6-22BD-4AD3-9DA3-AE93860321CC}"/>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6E05D8E1-5168-4700-A1DA-FE3E07E31C13}"/>
    <cellStyle name="Normal 4 4 2 2 2 2 3 2 3" xfId="11952" xr:uid="{CA4DCD80-484A-42A6-84B4-3F305D915C09}"/>
    <cellStyle name="Normal 4 4 2 2 2 2 3 3" xfId="5583" xr:uid="{00000000-0005-0000-0000-0000D0140000}"/>
    <cellStyle name="Normal 4 4 2 2 2 2 3 3 2" xfId="14025" xr:uid="{11287093-C76A-44E1-9CE6-58EA75F2D07A}"/>
    <cellStyle name="Normal 4 4 2 2 2 2 3 4" xfId="9807" xr:uid="{F15A4534-9E7E-427F-BE84-025D2EF63236}"/>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F639BF8C-3161-4EA7-9ACE-142703289145}"/>
    <cellStyle name="Normal 4 4 2 2 2 2 4 2 3" xfId="12365" xr:uid="{16F6A05C-CB15-465D-85CC-067827384E2A}"/>
    <cellStyle name="Normal 4 4 2 2 2 2 4 3" xfId="5996" xr:uid="{00000000-0005-0000-0000-0000D4140000}"/>
    <cellStyle name="Normal 4 4 2 2 2 2 4 3 2" xfId="14438" xr:uid="{0CC21013-6A00-4778-90FC-1E9755F2201A}"/>
    <cellStyle name="Normal 4 4 2 2 2 2 4 4" xfId="10220" xr:uid="{0C5094E6-4A6E-41CB-ABBE-24204F14F2EE}"/>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69C87E60-40CE-484F-BAA8-AD2ADAC56EA9}"/>
    <cellStyle name="Normal 4 4 2 2 2 2 5 2 3" xfId="12778" xr:uid="{A060E21C-F3C7-46E5-B3AB-A03EE1A6D178}"/>
    <cellStyle name="Normal 4 4 2 2 2 2 5 3" xfId="6409" xr:uid="{00000000-0005-0000-0000-0000D8140000}"/>
    <cellStyle name="Normal 4 4 2 2 2 2 5 3 2" xfId="14851" xr:uid="{7047B4BE-9FAC-4E2F-93B1-475FFE50E05D}"/>
    <cellStyle name="Normal 4 4 2 2 2 2 5 4" xfId="10633" xr:uid="{442C9AAA-44BC-4E42-B280-A23937CCE029}"/>
    <cellStyle name="Normal 4 4 2 2 2 2 6" xfId="2538" xr:uid="{00000000-0005-0000-0000-0000D9140000}"/>
    <cellStyle name="Normal 4 4 2 2 2 2 6 2" xfId="6822" xr:uid="{00000000-0005-0000-0000-0000DA140000}"/>
    <cellStyle name="Normal 4 4 2 2 2 2 6 2 2" xfId="15264" xr:uid="{29F35CE0-12EE-407B-BA70-0CDCEB54371F}"/>
    <cellStyle name="Normal 4 4 2 2 2 2 6 3" xfId="11046" xr:uid="{7EA990BA-271E-4C7A-9D98-DAB5BB1014AD}"/>
    <cellStyle name="Normal 4 4 2 2 2 2 7" xfId="4757" xr:uid="{00000000-0005-0000-0000-0000DB140000}"/>
    <cellStyle name="Normal 4 4 2 2 2 2 7 2" xfId="13199" xr:uid="{62568E6C-F2A6-47E5-A071-6709FFD957E2}"/>
    <cellStyle name="Normal 4 4 2 2 2 2 8" xfId="8981" xr:uid="{D162DAED-4636-458D-B2AE-5BF1FE7E4A09}"/>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3EC7F150-F13D-483E-B404-ACC8CD70BA3A}"/>
    <cellStyle name="Normal 4 4 2 2 2 3 2 3" xfId="11538" xr:uid="{07455A04-1760-4D73-A242-9A782D843BB2}"/>
    <cellStyle name="Normal 4 4 2 2 2 3 3" xfId="5169" xr:uid="{00000000-0005-0000-0000-0000DF140000}"/>
    <cellStyle name="Normal 4 4 2 2 2 3 3 2" xfId="13611" xr:uid="{7C3A71A2-0B4C-425B-BC0D-3D7FF57D8825}"/>
    <cellStyle name="Normal 4 4 2 2 2 3 4" xfId="9393" xr:uid="{D5E369F6-D9A5-49BC-805F-81400E99C8E9}"/>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CAB729C8-1083-4692-9CA5-8317DEA34E76}"/>
    <cellStyle name="Normal 4 4 2 2 2 4 2 3" xfId="11951" xr:uid="{F4D352D8-5971-470B-9832-4DBF236FE336}"/>
    <cellStyle name="Normal 4 4 2 2 2 4 3" xfId="5582" xr:uid="{00000000-0005-0000-0000-0000E3140000}"/>
    <cellStyle name="Normal 4 4 2 2 2 4 3 2" xfId="14024" xr:uid="{E7DD1685-EAA7-4D17-AB89-5CB7250BEFD7}"/>
    <cellStyle name="Normal 4 4 2 2 2 4 4" xfId="9806" xr:uid="{01DBE8B1-4E24-44FB-A4D5-6A43B49FF3CA}"/>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6FA9BC10-1168-4A8F-8270-487A9E49D2CF}"/>
    <cellStyle name="Normal 4 4 2 2 2 5 2 3" xfId="12364" xr:uid="{38FDA639-A44F-4FBE-AEB8-643FF0EDB3D6}"/>
    <cellStyle name="Normal 4 4 2 2 2 5 3" xfId="5995" xr:uid="{00000000-0005-0000-0000-0000E7140000}"/>
    <cellStyle name="Normal 4 4 2 2 2 5 3 2" xfId="14437" xr:uid="{7BBFB5E8-1B49-4A43-B08F-9D26EE552314}"/>
    <cellStyle name="Normal 4 4 2 2 2 5 4" xfId="10219" xr:uid="{03C71D06-B4DB-4B0C-9A9D-6A1D0192219F}"/>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670C7182-F060-4FA5-A1E6-D800C24490FA}"/>
    <cellStyle name="Normal 4 4 2 2 2 6 2 3" xfId="12777" xr:uid="{8B85EA12-9203-4DF7-8332-005186F1DF6B}"/>
    <cellStyle name="Normal 4 4 2 2 2 6 3" xfId="6408" xr:uid="{00000000-0005-0000-0000-0000EB140000}"/>
    <cellStyle name="Normal 4 4 2 2 2 6 3 2" xfId="14850" xr:uid="{AF922635-A5D6-46D1-A5DD-2BA120E440AC}"/>
    <cellStyle name="Normal 4 4 2 2 2 6 4" xfId="10632" xr:uid="{F730D19D-546E-4F6C-9F8E-6141C2D5CC25}"/>
    <cellStyle name="Normal 4 4 2 2 2 7" xfId="2537" xr:uid="{00000000-0005-0000-0000-0000EC140000}"/>
    <cellStyle name="Normal 4 4 2 2 2 7 2" xfId="6821" xr:uid="{00000000-0005-0000-0000-0000ED140000}"/>
    <cellStyle name="Normal 4 4 2 2 2 7 2 2" xfId="15263" xr:uid="{24D42355-4BAC-4246-BA9B-D816A25C4FCE}"/>
    <cellStyle name="Normal 4 4 2 2 2 7 3" xfId="11045" xr:uid="{08886DD3-90A5-432F-9D5D-4274B4D23893}"/>
    <cellStyle name="Normal 4 4 2 2 2 8" xfId="4756" xr:uid="{00000000-0005-0000-0000-0000EE140000}"/>
    <cellStyle name="Normal 4 4 2 2 2 8 2" xfId="13198" xr:uid="{A81916DC-35B1-43A8-95EC-6B99CD20C4B1}"/>
    <cellStyle name="Normal 4 4 2 2 2 9" xfId="8980" xr:uid="{BF625633-D096-46CB-BBC3-D12193EBBF35}"/>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C7DCDA73-45FF-46C7-977B-1820D13D56E6}"/>
    <cellStyle name="Normal 4 4 2 2 3 2 2 3" xfId="11540" xr:uid="{7A2171EF-EB52-458C-9A1C-AB2C5D7736E2}"/>
    <cellStyle name="Normal 4 4 2 2 3 2 3" xfId="5171" xr:uid="{00000000-0005-0000-0000-0000F3140000}"/>
    <cellStyle name="Normal 4 4 2 2 3 2 3 2" xfId="13613" xr:uid="{2E34A105-F914-4A4C-92C9-4AE5083ABD29}"/>
    <cellStyle name="Normal 4 4 2 2 3 2 4" xfId="9395" xr:uid="{C93671DF-9605-4CAD-8E3F-665AC28ABF1B}"/>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E9CBB177-DD8E-4E06-B10C-56388F6CF393}"/>
    <cellStyle name="Normal 4 4 2 2 3 3 2 3" xfId="11953" xr:uid="{59ECAE09-5506-42E2-9098-B175B25D4400}"/>
    <cellStyle name="Normal 4 4 2 2 3 3 3" xfId="5584" xr:uid="{00000000-0005-0000-0000-0000F7140000}"/>
    <cellStyle name="Normal 4 4 2 2 3 3 3 2" xfId="14026" xr:uid="{81DC117C-C345-45F8-A69B-38CD65957A3C}"/>
    <cellStyle name="Normal 4 4 2 2 3 3 4" xfId="9808" xr:uid="{F516B4F8-D393-4B79-9631-6815C2BA5D19}"/>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D170E0AE-73C6-4AD6-B14B-DA8A2E562F0C}"/>
    <cellStyle name="Normal 4 4 2 2 3 4 2 3" xfId="12366" xr:uid="{7EF6B067-F012-48B4-9566-48B05F1C0B30}"/>
    <cellStyle name="Normal 4 4 2 2 3 4 3" xfId="5997" xr:uid="{00000000-0005-0000-0000-0000FB140000}"/>
    <cellStyle name="Normal 4 4 2 2 3 4 3 2" xfId="14439" xr:uid="{0D1925BD-3872-4BC6-BB31-5A96DB7C1B8E}"/>
    <cellStyle name="Normal 4 4 2 2 3 4 4" xfId="10221" xr:uid="{4B761733-897B-49AB-B46D-40D2D355C9F9}"/>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D206970F-8163-4D9F-B88A-6FB438FB17D3}"/>
    <cellStyle name="Normal 4 4 2 2 3 5 2 3" xfId="12779" xr:uid="{6D2CBC5D-2205-4238-88A7-B052557F3604}"/>
    <cellStyle name="Normal 4 4 2 2 3 5 3" xfId="6410" xr:uid="{00000000-0005-0000-0000-0000FF140000}"/>
    <cellStyle name="Normal 4 4 2 2 3 5 3 2" xfId="14852" xr:uid="{8DF2C8EC-8E79-4100-B623-87D0E8F55B40}"/>
    <cellStyle name="Normal 4 4 2 2 3 5 4" xfId="10634" xr:uid="{5B73A2BF-F4F9-425E-BCC8-D24E14E7FEA4}"/>
    <cellStyle name="Normal 4 4 2 2 3 6" xfId="2539" xr:uid="{00000000-0005-0000-0000-000000150000}"/>
    <cellStyle name="Normal 4 4 2 2 3 6 2" xfId="6823" xr:uid="{00000000-0005-0000-0000-000001150000}"/>
    <cellStyle name="Normal 4 4 2 2 3 6 2 2" xfId="15265" xr:uid="{4C8E8E15-7011-4B92-9055-114C446F120E}"/>
    <cellStyle name="Normal 4 4 2 2 3 6 3" xfId="11047" xr:uid="{1E52C436-B006-4717-9B96-42DCC8CA5ECE}"/>
    <cellStyle name="Normal 4 4 2 2 3 7" xfId="4758" xr:uid="{00000000-0005-0000-0000-000002150000}"/>
    <cellStyle name="Normal 4 4 2 2 3 7 2" xfId="13200" xr:uid="{E4F9994E-C4C3-4BB3-A442-4DEAD4C9C249}"/>
    <cellStyle name="Normal 4 4 2 2 3 8" xfId="8982" xr:uid="{677751C0-74C6-4315-8D5E-F7037A6B1277}"/>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B3735029-D440-47D7-BE97-2ED9BB72F93C}"/>
    <cellStyle name="Normal 4 4 2 2 4 2 3" xfId="11537" xr:uid="{EAA07279-A482-49BF-A269-1DCFA62F79DD}"/>
    <cellStyle name="Normal 4 4 2 2 4 3" xfId="5168" xr:uid="{00000000-0005-0000-0000-000006150000}"/>
    <cellStyle name="Normal 4 4 2 2 4 3 2" xfId="13610" xr:uid="{589611C1-B22A-455D-AEF2-06D7909C9E7C}"/>
    <cellStyle name="Normal 4 4 2 2 4 4" xfId="9392" xr:uid="{A7A6B7A3-FC26-4D47-A238-BC01174FBEBB}"/>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A51E2D2B-6111-4406-AD54-9A57576B1845}"/>
    <cellStyle name="Normal 4 4 2 2 5 2 3" xfId="11950" xr:uid="{FCEE6A0B-F703-4377-8700-93A4AB5B3DEC}"/>
    <cellStyle name="Normal 4 4 2 2 5 3" xfId="5581" xr:uid="{00000000-0005-0000-0000-00000A150000}"/>
    <cellStyle name="Normal 4 4 2 2 5 3 2" xfId="14023" xr:uid="{5E501886-55D3-4A06-AC97-FC031A014C72}"/>
    <cellStyle name="Normal 4 4 2 2 5 4" xfId="9805" xr:uid="{2F1A4B04-4AE4-410E-BDEA-A09380650D52}"/>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6F917286-70D4-42C4-A92E-183F22967418}"/>
    <cellStyle name="Normal 4 4 2 2 6 2 3" xfId="12363" xr:uid="{55BEA729-B5B7-40F6-B7D5-AA01795CBE1E}"/>
    <cellStyle name="Normal 4 4 2 2 6 3" xfId="5994" xr:uid="{00000000-0005-0000-0000-00000E150000}"/>
    <cellStyle name="Normal 4 4 2 2 6 3 2" xfId="14436" xr:uid="{9753402B-B663-479A-BCE0-D2F7C40BE704}"/>
    <cellStyle name="Normal 4 4 2 2 6 4" xfId="10218" xr:uid="{75CA28B7-971C-45CA-BB58-348D7827709E}"/>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29752AD3-DB74-4BAE-90A6-0828D2F12CAD}"/>
    <cellStyle name="Normal 4 4 2 2 7 2 3" xfId="12776" xr:uid="{3ED43DFE-0C02-4400-9C70-CF1D6356416F}"/>
    <cellStyle name="Normal 4 4 2 2 7 3" xfId="6407" xr:uid="{00000000-0005-0000-0000-000012150000}"/>
    <cellStyle name="Normal 4 4 2 2 7 3 2" xfId="14849" xr:uid="{721FAF49-2E9E-4821-B659-563ADAF6F72E}"/>
    <cellStyle name="Normal 4 4 2 2 7 4" xfId="10631" xr:uid="{E738D035-D54F-4072-B42C-E2B76C4BF859}"/>
    <cellStyle name="Normal 4 4 2 2 8" xfId="2536" xr:uid="{00000000-0005-0000-0000-000013150000}"/>
    <cellStyle name="Normal 4 4 2 2 8 2" xfId="6820" xr:uid="{00000000-0005-0000-0000-000014150000}"/>
    <cellStyle name="Normal 4 4 2 2 8 2 2" xfId="15262" xr:uid="{FEDDE856-688E-4C4D-8991-52D2308A158A}"/>
    <cellStyle name="Normal 4 4 2 2 8 3" xfId="11044" xr:uid="{F48AC3D5-50F0-4CC4-9310-D4B034A9CC88}"/>
    <cellStyle name="Normal 4 4 2 2 9" xfId="4755" xr:uid="{00000000-0005-0000-0000-000015150000}"/>
    <cellStyle name="Normal 4 4 2 2 9 2" xfId="13197" xr:uid="{37FEE5F7-1050-4736-9FC1-42AC9B4C68FC}"/>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BDEBBEA8-C16A-465E-91ED-38F14A46D897}"/>
    <cellStyle name="Normal 4 4 2 3 2 2 2 3" xfId="11542" xr:uid="{B2C309A6-28B5-4629-9CB4-7FF52F60A8FE}"/>
    <cellStyle name="Normal 4 4 2 3 2 2 3" xfId="5173" xr:uid="{00000000-0005-0000-0000-00001B150000}"/>
    <cellStyle name="Normal 4 4 2 3 2 2 3 2" xfId="13615" xr:uid="{632774C8-BE46-4219-958D-A5F78EF3587D}"/>
    <cellStyle name="Normal 4 4 2 3 2 2 4" xfId="9397" xr:uid="{069BCBC5-4FA8-4612-ACA4-DF6A9B85AF8B}"/>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66C64988-078D-4FEE-858D-C4A24FBD9514}"/>
    <cellStyle name="Normal 4 4 2 3 2 3 2 3" xfId="11955" xr:uid="{F9B6A4E3-1472-4921-8100-CE1C858CEAC0}"/>
    <cellStyle name="Normal 4 4 2 3 2 3 3" xfId="5586" xr:uid="{00000000-0005-0000-0000-00001F150000}"/>
    <cellStyle name="Normal 4 4 2 3 2 3 3 2" xfId="14028" xr:uid="{EB0C2128-C342-4778-B058-90E40F216D21}"/>
    <cellStyle name="Normal 4 4 2 3 2 3 4" xfId="9810" xr:uid="{00E4F1DF-9B22-48AD-B21F-96660D308E1E}"/>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F42CFAB8-0306-441F-9985-9394D584E3E0}"/>
    <cellStyle name="Normal 4 4 2 3 2 4 2 3" xfId="12368" xr:uid="{EB63D153-BD70-4F9B-91F7-4D6FE9D11D76}"/>
    <cellStyle name="Normal 4 4 2 3 2 4 3" xfId="5999" xr:uid="{00000000-0005-0000-0000-000023150000}"/>
    <cellStyle name="Normal 4 4 2 3 2 4 3 2" xfId="14441" xr:uid="{A3B42966-D98A-4258-A387-C6EEDD6507E2}"/>
    <cellStyle name="Normal 4 4 2 3 2 4 4" xfId="10223" xr:uid="{E6648250-8189-4A09-8303-27454C243904}"/>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9A8F336C-603E-4D60-AA70-F0751189A939}"/>
    <cellStyle name="Normal 4 4 2 3 2 5 2 3" xfId="12781" xr:uid="{2E6C112A-5C0C-4017-A198-DDE21357E4AE}"/>
    <cellStyle name="Normal 4 4 2 3 2 5 3" xfId="6412" xr:uid="{00000000-0005-0000-0000-000027150000}"/>
    <cellStyle name="Normal 4 4 2 3 2 5 3 2" xfId="14854" xr:uid="{984E0C29-00C2-4B51-8723-923E0AD18E34}"/>
    <cellStyle name="Normal 4 4 2 3 2 5 4" xfId="10636" xr:uid="{E2BE7AB9-38DF-4314-8C13-54426EC197B4}"/>
    <cellStyle name="Normal 4 4 2 3 2 6" xfId="2541" xr:uid="{00000000-0005-0000-0000-000028150000}"/>
    <cellStyle name="Normal 4 4 2 3 2 6 2" xfId="6825" xr:uid="{00000000-0005-0000-0000-000029150000}"/>
    <cellStyle name="Normal 4 4 2 3 2 6 2 2" xfId="15267" xr:uid="{65B870E8-DD54-44D2-98C5-579CEB7C335C}"/>
    <cellStyle name="Normal 4 4 2 3 2 6 3" xfId="11049" xr:uid="{41131103-2F50-4E38-A9DE-64ACC6832869}"/>
    <cellStyle name="Normal 4 4 2 3 2 7" xfId="4760" xr:uid="{00000000-0005-0000-0000-00002A150000}"/>
    <cellStyle name="Normal 4 4 2 3 2 7 2" xfId="13202" xr:uid="{E6F669EE-A965-4AE8-9FD9-ADD62728A498}"/>
    <cellStyle name="Normal 4 4 2 3 2 8" xfId="8984" xr:uid="{4182EC56-5F40-403E-88B3-CE954C6776C7}"/>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C9C36078-7AF4-495F-9B10-9BD01EB14356}"/>
    <cellStyle name="Normal 4 4 2 3 3 2 3" xfId="11541" xr:uid="{AE745CA2-3C84-4D1E-BFD9-4235B48C1178}"/>
    <cellStyle name="Normal 4 4 2 3 3 3" xfId="5172" xr:uid="{00000000-0005-0000-0000-00002E150000}"/>
    <cellStyle name="Normal 4 4 2 3 3 3 2" xfId="13614" xr:uid="{5A528E08-6ED4-4965-A9A1-A829C54304A4}"/>
    <cellStyle name="Normal 4 4 2 3 3 4" xfId="9396" xr:uid="{B0644D44-5A05-4F76-A6C6-5A809D592831}"/>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B1C94284-8F25-4061-82BC-CE1A9092CD75}"/>
    <cellStyle name="Normal 4 4 2 3 4 2 3" xfId="11954" xr:uid="{FC729336-EEBE-4598-A590-0313B5AE1FF1}"/>
    <cellStyle name="Normal 4 4 2 3 4 3" xfId="5585" xr:uid="{00000000-0005-0000-0000-000032150000}"/>
    <cellStyle name="Normal 4 4 2 3 4 3 2" xfId="14027" xr:uid="{B9CA38CF-4D36-423D-8C80-63429716B5C9}"/>
    <cellStyle name="Normal 4 4 2 3 4 4" xfId="9809" xr:uid="{F8F10BF1-8EFA-4A02-8E83-91A14D216B67}"/>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89B76386-CA88-41AF-9BE3-0ED93AAFC48B}"/>
    <cellStyle name="Normal 4 4 2 3 5 2 3" xfId="12367" xr:uid="{7DEE5077-4023-45EA-8113-080873EB42FB}"/>
    <cellStyle name="Normal 4 4 2 3 5 3" xfId="5998" xr:uid="{00000000-0005-0000-0000-000036150000}"/>
    <cellStyle name="Normal 4 4 2 3 5 3 2" xfId="14440" xr:uid="{EAD8EA96-B72C-4619-A4AF-A713A912598E}"/>
    <cellStyle name="Normal 4 4 2 3 5 4" xfId="10222" xr:uid="{E28698DA-1CE9-44A1-BBF8-A1FFD3007386}"/>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3B3AE0D8-0FC3-4584-92AA-7E00B95E4EAE}"/>
    <cellStyle name="Normal 4 4 2 3 6 2 3" xfId="12780" xr:uid="{2BB8B130-51E6-4CEE-A61B-44FD9098D7CB}"/>
    <cellStyle name="Normal 4 4 2 3 6 3" xfId="6411" xr:uid="{00000000-0005-0000-0000-00003A150000}"/>
    <cellStyle name="Normal 4 4 2 3 6 3 2" xfId="14853" xr:uid="{A748094B-D015-4FE2-BA39-FEDA13EB749E}"/>
    <cellStyle name="Normal 4 4 2 3 6 4" xfId="10635" xr:uid="{6C52DD04-EC02-4093-AD1A-46DA6F56C0A4}"/>
    <cellStyle name="Normal 4 4 2 3 7" xfId="2540" xr:uid="{00000000-0005-0000-0000-00003B150000}"/>
    <cellStyle name="Normal 4 4 2 3 7 2" xfId="6824" xr:uid="{00000000-0005-0000-0000-00003C150000}"/>
    <cellStyle name="Normal 4 4 2 3 7 2 2" xfId="15266" xr:uid="{DCF77933-5A47-4E8A-B7C7-6B1BD0346624}"/>
    <cellStyle name="Normal 4 4 2 3 7 3" xfId="11048" xr:uid="{DEE50097-3280-48F3-B05F-F11016D87C02}"/>
    <cellStyle name="Normal 4 4 2 3 8" xfId="4759" xr:uid="{00000000-0005-0000-0000-00003D150000}"/>
    <cellStyle name="Normal 4 4 2 3 8 2" xfId="13201" xr:uid="{812ABAAE-D2C9-4B71-BACA-BB553F5FB8A9}"/>
    <cellStyle name="Normal 4 4 2 3 9" xfId="8983" xr:uid="{32A43344-C478-496F-9F07-55C000969F18}"/>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DF4CBBA7-4A6F-4DE0-903A-AF6AEF112F45}"/>
    <cellStyle name="Normal 4 4 2 4 2 2 3" xfId="11543" xr:uid="{1AA56928-A53E-4E47-98E8-EC3AE7713916}"/>
    <cellStyle name="Normal 4 4 2 4 2 3" xfId="5174" xr:uid="{00000000-0005-0000-0000-000042150000}"/>
    <cellStyle name="Normal 4 4 2 4 2 3 2" xfId="13616" xr:uid="{0F6475A3-5C89-499C-B329-022D49BD8195}"/>
    <cellStyle name="Normal 4 4 2 4 2 4" xfId="9398" xr:uid="{C9A43C3F-64CB-496E-9D11-83E978BA3356}"/>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B8E9F5CB-F6F5-4FC0-96FF-E66C2269C977}"/>
    <cellStyle name="Normal 4 4 2 4 3 2 3" xfId="11956" xr:uid="{6BBFD796-5C40-40EF-ABD7-873B00B2E11C}"/>
    <cellStyle name="Normal 4 4 2 4 3 3" xfId="5587" xr:uid="{00000000-0005-0000-0000-000046150000}"/>
    <cellStyle name="Normal 4 4 2 4 3 3 2" xfId="14029" xr:uid="{17E8E6D4-664E-4395-87C0-3B08258FAD6B}"/>
    <cellStyle name="Normal 4 4 2 4 3 4" xfId="9811" xr:uid="{2DF6D661-0E4B-4B56-B9B2-DB2A685CA2CE}"/>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4F4EAC85-698D-4902-B5E3-86E1AC23D935}"/>
    <cellStyle name="Normal 4 4 2 4 4 2 3" xfId="12369" xr:uid="{55BCEF08-29D0-413D-9689-5C7ACCF02901}"/>
    <cellStyle name="Normal 4 4 2 4 4 3" xfId="6000" xr:uid="{00000000-0005-0000-0000-00004A150000}"/>
    <cellStyle name="Normal 4 4 2 4 4 3 2" xfId="14442" xr:uid="{99138451-3667-4505-A816-241D027CFD95}"/>
    <cellStyle name="Normal 4 4 2 4 4 4" xfId="10224" xr:uid="{B18640E0-9365-4291-A3F5-87637B3FDF15}"/>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E1FC4E8D-E739-4F99-9C67-17057614F690}"/>
    <cellStyle name="Normal 4 4 2 4 5 2 3" xfId="12782" xr:uid="{3E040240-895C-48A7-83F3-925A85EC8D14}"/>
    <cellStyle name="Normal 4 4 2 4 5 3" xfId="6413" xr:uid="{00000000-0005-0000-0000-00004E150000}"/>
    <cellStyle name="Normal 4 4 2 4 5 3 2" xfId="14855" xr:uid="{78C9126A-2954-4EED-A37F-E9BC24BBCC32}"/>
    <cellStyle name="Normal 4 4 2 4 5 4" xfId="10637" xr:uid="{D8E8817F-ED79-49AD-A447-24A7471AB7DA}"/>
    <cellStyle name="Normal 4 4 2 4 6" xfId="2542" xr:uid="{00000000-0005-0000-0000-00004F150000}"/>
    <cellStyle name="Normal 4 4 2 4 6 2" xfId="6826" xr:uid="{00000000-0005-0000-0000-000050150000}"/>
    <cellStyle name="Normal 4 4 2 4 6 2 2" xfId="15268" xr:uid="{66AF546D-8204-43E6-A1C3-63B424D615BB}"/>
    <cellStyle name="Normal 4 4 2 4 6 3" xfId="11050" xr:uid="{4C28DB73-77FD-4066-99E3-CDF442B3FAD9}"/>
    <cellStyle name="Normal 4 4 2 4 7" xfId="4761" xr:uid="{00000000-0005-0000-0000-000051150000}"/>
    <cellStyle name="Normal 4 4 2 4 7 2" xfId="13203" xr:uid="{46A50C49-5ACA-4D9E-8868-6E7B8678C5CC}"/>
    <cellStyle name="Normal 4 4 2 4 8" xfId="8985" xr:uid="{0657360F-9329-4A08-A9BA-A881396056C3}"/>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B428D05C-E750-4059-B82D-8EB3FBBA8355}"/>
    <cellStyle name="Normal 4 4 2 5 2 3" xfId="11536" xr:uid="{82EA6F2C-7DAD-4784-9CEF-801486C9B38B}"/>
    <cellStyle name="Normal 4 4 2 5 3" xfId="5167" xr:uid="{00000000-0005-0000-0000-000055150000}"/>
    <cellStyle name="Normal 4 4 2 5 3 2" xfId="13609" xr:uid="{91A6C303-CC62-4D17-B782-7AD911BFC956}"/>
    <cellStyle name="Normal 4 4 2 5 4" xfId="9391" xr:uid="{BF6AA092-064B-4021-B734-B1D738550C0E}"/>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E6271237-A0AC-4182-8C8A-87851151F4C8}"/>
    <cellStyle name="Normal 4 4 2 6 2 3" xfId="11949" xr:uid="{AF5A20BE-C7BD-4212-BC51-23EF973DD46F}"/>
    <cellStyle name="Normal 4 4 2 6 3" xfId="5580" xr:uid="{00000000-0005-0000-0000-000059150000}"/>
    <cellStyle name="Normal 4 4 2 6 3 2" xfId="14022" xr:uid="{DA3EC52D-E941-4662-8615-ED62DE3CEE1F}"/>
    <cellStyle name="Normal 4 4 2 6 4" xfId="9804" xr:uid="{E6F48493-A5DB-4E3D-BC28-FF801856F588}"/>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F660B24B-2320-4967-A3A6-4C0DD9E4723A}"/>
    <cellStyle name="Normal 4 4 2 7 2 3" xfId="12362" xr:uid="{BA1C2322-8390-49B7-8C9A-6CE0A0E8961D}"/>
    <cellStyle name="Normal 4 4 2 7 3" xfId="5993" xr:uid="{00000000-0005-0000-0000-00005D150000}"/>
    <cellStyle name="Normal 4 4 2 7 3 2" xfId="14435" xr:uid="{E0C2B6B8-28C9-44A3-A0E1-3FB961E0EE12}"/>
    <cellStyle name="Normal 4 4 2 7 4" xfId="10217" xr:uid="{98B9A268-4B20-4F19-8976-BBA3B2934E40}"/>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A1E20E89-6417-4BCC-8C79-F58C48893AB0}"/>
    <cellStyle name="Normal 4 4 2 8 2 3" xfId="12775" xr:uid="{858ADD64-F568-4C2B-82CD-8E193FA207F3}"/>
    <cellStyle name="Normal 4 4 2 8 3" xfId="6406" xr:uid="{00000000-0005-0000-0000-000061150000}"/>
    <cellStyle name="Normal 4 4 2 8 3 2" xfId="14848" xr:uid="{10605A55-26CB-4E98-8870-4029729D54A1}"/>
    <cellStyle name="Normal 4 4 2 8 4" xfId="10630" xr:uid="{3FDE5820-4559-446F-8F1A-3FCEFF0B3B08}"/>
    <cellStyle name="Normal 4 4 2 9" xfId="2535" xr:uid="{00000000-0005-0000-0000-000062150000}"/>
    <cellStyle name="Normal 4 4 2 9 2" xfId="6819" xr:uid="{00000000-0005-0000-0000-000063150000}"/>
    <cellStyle name="Normal 4 4 2 9 2 2" xfId="15261" xr:uid="{0E10CA4E-2D0E-4142-B5A5-92434D0E1C4B}"/>
    <cellStyle name="Normal 4 4 2 9 3" xfId="11043" xr:uid="{32F7BEED-5F30-4596-AAC8-E9890E55AF28}"/>
    <cellStyle name="Normal 4 4 3" xfId="387" xr:uid="{00000000-0005-0000-0000-000064150000}"/>
    <cellStyle name="Normal 4 4 3 10" xfId="8986" xr:uid="{DF0E5A1F-9D80-486A-ADDF-E201D2A34D81}"/>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25B2BF11-E5A6-44B6-B83B-776FAD64894D}"/>
    <cellStyle name="Normal 4 4 3 2 2 2 2 3" xfId="11546" xr:uid="{47AFAC22-C032-4404-B967-EF58CF7D222E}"/>
    <cellStyle name="Normal 4 4 3 2 2 2 3" xfId="5177" xr:uid="{00000000-0005-0000-0000-00006A150000}"/>
    <cellStyle name="Normal 4 4 3 2 2 2 3 2" xfId="13619" xr:uid="{AF654857-4CC4-43A4-A705-83ABF94323DE}"/>
    <cellStyle name="Normal 4 4 3 2 2 2 4" xfId="9401" xr:uid="{29667C7B-F85E-460F-8884-BDA78DDC13AA}"/>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93A4F7A1-86EB-49F4-8BFB-3C14705E549C}"/>
    <cellStyle name="Normal 4 4 3 2 2 3 2 3" xfId="11959" xr:uid="{E63E2440-9904-4E14-BB56-DE2D8569C0A4}"/>
    <cellStyle name="Normal 4 4 3 2 2 3 3" xfId="5590" xr:uid="{00000000-0005-0000-0000-00006E150000}"/>
    <cellStyle name="Normal 4 4 3 2 2 3 3 2" xfId="14032" xr:uid="{E3926F14-BDDB-43E6-97FC-ECD20BD45883}"/>
    <cellStyle name="Normal 4 4 3 2 2 3 4" xfId="9814" xr:uid="{AE8CA0CC-1D1F-42B3-ACFE-C31B83BE0645}"/>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4E0E3EA9-BD13-4F5E-A00C-4C9110730626}"/>
    <cellStyle name="Normal 4 4 3 2 2 4 2 3" xfId="12372" xr:uid="{4141A281-61FF-477A-AC47-EE7127609A69}"/>
    <cellStyle name="Normal 4 4 3 2 2 4 3" xfId="6003" xr:uid="{00000000-0005-0000-0000-000072150000}"/>
    <cellStyle name="Normal 4 4 3 2 2 4 3 2" xfId="14445" xr:uid="{097167F4-381D-42F8-A909-F62396CF2326}"/>
    <cellStyle name="Normal 4 4 3 2 2 4 4" xfId="10227" xr:uid="{D3D630E9-BEDF-41A3-B12B-98921B8ED795}"/>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34753F42-5DF4-4F86-94E0-5EC07210A9FE}"/>
    <cellStyle name="Normal 4 4 3 2 2 5 2 3" xfId="12785" xr:uid="{CD83DD91-E7DE-4409-8E23-906323A6B956}"/>
    <cellStyle name="Normal 4 4 3 2 2 5 3" xfId="6416" xr:uid="{00000000-0005-0000-0000-000076150000}"/>
    <cellStyle name="Normal 4 4 3 2 2 5 3 2" xfId="14858" xr:uid="{5AB28FAE-0F7B-4A9C-B963-AFF7468BF694}"/>
    <cellStyle name="Normal 4 4 3 2 2 5 4" xfId="10640" xr:uid="{42CB2AFF-B7AF-4778-A8B4-F25647418E17}"/>
    <cellStyle name="Normal 4 4 3 2 2 6" xfId="2545" xr:uid="{00000000-0005-0000-0000-000077150000}"/>
    <cellStyle name="Normal 4 4 3 2 2 6 2" xfId="6829" xr:uid="{00000000-0005-0000-0000-000078150000}"/>
    <cellStyle name="Normal 4 4 3 2 2 6 2 2" xfId="15271" xr:uid="{F410BB7C-8DE5-4BC9-9472-98F52CD0C61D}"/>
    <cellStyle name="Normal 4 4 3 2 2 6 3" xfId="11053" xr:uid="{A9F6039D-972B-4599-9FF2-22E317A32415}"/>
    <cellStyle name="Normal 4 4 3 2 2 7" xfId="4764" xr:uid="{00000000-0005-0000-0000-000079150000}"/>
    <cellStyle name="Normal 4 4 3 2 2 7 2" xfId="13206" xr:uid="{6DB56A8E-C2F8-4982-83BC-DF45C2003811}"/>
    <cellStyle name="Normal 4 4 3 2 2 8" xfId="8988" xr:uid="{16C81EAF-5444-4F17-B307-1C152C023AF7}"/>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9AC3B03C-AD6B-4C35-A6D5-47B7B4E56B3F}"/>
    <cellStyle name="Normal 4 4 3 2 3 2 3" xfId="11545" xr:uid="{34AC97A9-80BF-4BF3-B0AE-3CC721832F9D}"/>
    <cellStyle name="Normal 4 4 3 2 3 3" xfId="5176" xr:uid="{00000000-0005-0000-0000-00007D150000}"/>
    <cellStyle name="Normal 4 4 3 2 3 3 2" xfId="13618" xr:uid="{9415A54A-3559-4EBE-8097-C4485546766E}"/>
    <cellStyle name="Normal 4 4 3 2 3 4" xfId="9400" xr:uid="{38A26F0F-B81B-49AB-9DA2-DFC75E243E1B}"/>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6B8E1F06-18FB-4454-AA0F-10BECFC5B5EB}"/>
    <cellStyle name="Normal 4 4 3 2 4 2 3" xfId="11958" xr:uid="{19F078AB-98E6-4DAC-B577-DCAB70327939}"/>
    <cellStyle name="Normal 4 4 3 2 4 3" xfId="5589" xr:uid="{00000000-0005-0000-0000-000081150000}"/>
    <cellStyle name="Normal 4 4 3 2 4 3 2" xfId="14031" xr:uid="{7AAED44A-C3E0-43DE-BAE1-1E8F83C5B4A1}"/>
    <cellStyle name="Normal 4 4 3 2 4 4" xfId="9813" xr:uid="{953C9726-92AE-40FC-8A8A-1B856B98961A}"/>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7575D86C-4488-42AF-9F73-4C4571354198}"/>
    <cellStyle name="Normal 4 4 3 2 5 2 3" xfId="12371" xr:uid="{7813DA36-344A-4549-9C66-E7D37CA6892E}"/>
    <cellStyle name="Normal 4 4 3 2 5 3" xfId="6002" xr:uid="{00000000-0005-0000-0000-000085150000}"/>
    <cellStyle name="Normal 4 4 3 2 5 3 2" xfId="14444" xr:uid="{6335752B-C65A-43A4-A252-00B2BF1DF8F8}"/>
    <cellStyle name="Normal 4 4 3 2 5 4" xfId="10226" xr:uid="{765A4EE1-32A6-483D-8BCF-20794A6030F2}"/>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1804046E-8F6B-4519-9BE0-C907271E4E54}"/>
    <cellStyle name="Normal 4 4 3 2 6 2 3" xfId="12784" xr:uid="{0D246276-3FFC-4AE4-B0C0-D90392E4BA6D}"/>
    <cellStyle name="Normal 4 4 3 2 6 3" xfId="6415" xr:uid="{00000000-0005-0000-0000-000089150000}"/>
    <cellStyle name="Normal 4 4 3 2 6 3 2" xfId="14857" xr:uid="{54E8CFA8-827F-46D5-B199-62057A13BE63}"/>
    <cellStyle name="Normal 4 4 3 2 6 4" xfId="10639" xr:uid="{BE3FCB84-FEA5-4AE7-890D-130F4A22D5B4}"/>
    <cellStyle name="Normal 4 4 3 2 7" xfId="2544" xr:uid="{00000000-0005-0000-0000-00008A150000}"/>
    <cellStyle name="Normal 4 4 3 2 7 2" xfId="6828" xr:uid="{00000000-0005-0000-0000-00008B150000}"/>
    <cellStyle name="Normal 4 4 3 2 7 2 2" xfId="15270" xr:uid="{58ADF90F-BEB3-4AF8-8B41-2BE3E85FDF81}"/>
    <cellStyle name="Normal 4 4 3 2 7 3" xfId="11052" xr:uid="{B8576140-B489-49AA-809B-789A834C0A67}"/>
    <cellStyle name="Normal 4 4 3 2 8" xfId="4763" xr:uid="{00000000-0005-0000-0000-00008C150000}"/>
    <cellStyle name="Normal 4 4 3 2 8 2" xfId="13205" xr:uid="{C6AB65E7-591E-459E-8A94-57BE0BFC182E}"/>
    <cellStyle name="Normal 4 4 3 2 9" xfId="8987" xr:uid="{4864A55D-4A37-490E-A611-33D2382CB46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82BC234C-E526-45B0-8C42-DBB684C24787}"/>
    <cellStyle name="Normal 4 4 3 3 2 2 3" xfId="11547" xr:uid="{93A87D8B-F091-418E-8B20-AFB2FCBA60E3}"/>
    <cellStyle name="Normal 4 4 3 3 2 3" xfId="5178" xr:uid="{00000000-0005-0000-0000-000091150000}"/>
    <cellStyle name="Normal 4 4 3 3 2 3 2" xfId="13620" xr:uid="{7D16F721-9CD9-4593-8B00-A2ADD7BF6E98}"/>
    <cellStyle name="Normal 4 4 3 3 2 4" xfId="9402" xr:uid="{AF1A6778-5B30-478F-9031-5FE9C4CA479B}"/>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B726840A-4B98-4F8C-A884-70B463AFB3D3}"/>
    <cellStyle name="Normal 4 4 3 3 3 2 3" xfId="11960" xr:uid="{9636B644-D60C-40DB-99F7-1757A5716806}"/>
    <cellStyle name="Normal 4 4 3 3 3 3" xfId="5591" xr:uid="{00000000-0005-0000-0000-000095150000}"/>
    <cellStyle name="Normal 4 4 3 3 3 3 2" xfId="14033" xr:uid="{9E1A1B18-D525-43B4-A1DF-0B4FF04AFF87}"/>
    <cellStyle name="Normal 4 4 3 3 3 4" xfId="9815" xr:uid="{2F2CAAFE-A8D9-43C5-B6E5-09F62AC59FA9}"/>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CC280CFB-1EF6-4531-B628-8310FE63F6CB}"/>
    <cellStyle name="Normal 4 4 3 3 4 2 3" xfId="12373" xr:uid="{30CBD409-D37D-480A-BF42-44245996C81C}"/>
    <cellStyle name="Normal 4 4 3 3 4 3" xfId="6004" xr:uid="{00000000-0005-0000-0000-000099150000}"/>
    <cellStyle name="Normal 4 4 3 3 4 3 2" xfId="14446" xr:uid="{F856A12A-E966-444C-AF9B-610983BD78C3}"/>
    <cellStyle name="Normal 4 4 3 3 4 4" xfId="10228" xr:uid="{24B308A2-A2B6-4914-880D-2A0594F9EFF5}"/>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09A8912B-1E20-4058-BFA6-38C4C8841C56}"/>
    <cellStyle name="Normal 4 4 3 3 5 2 3" xfId="12786" xr:uid="{223362F6-88C1-4CC7-AB78-642F94887931}"/>
    <cellStyle name="Normal 4 4 3 3 5 3" xfId="6417" xr:uid="{00000000-0005-0000-0000-00009D150000}"/>
    <cellStyle name="Normal 4 4 3 3 5 3 2" xfId="14859" xr:uid="{07866F3F-8FE2-4C61-8584-4CE25976B3AF}"/>
    <cellStyle name="Normal 4 4 3 3 5 4" xfId="10641" xr:uid="{2CEB68AF-90D0-45F8-86EF-6D05E0A6BC92}"/>
    <cellStyle name="Normal 4 4 3 3 6" xfId="2546" xr:uid="{00000000-0005-0000-0000-00009E150000}"/>
    <cellStyle name="Normal 4 4 3 3 6 2" xfId="6830" xr:uid="{00000000-0005-0000-0000-00009F150000}"/>
    <cellStyle name="Normal 4 4 3 3 6 2 2" xfId="15272" xr:uid="{D606C947-FC8E-4525-BCAE-210E84C25A0E}"/>
    <cellStyle name="Normal 4 4 3 3 6 3" xfId="11054" xr:uid="{1D30DD19-C025-4EF1-900A-789781106F35}"/>
    <cellStyle name="Normal 4 4 3 3 7" xfId="4765" xr:uid="{00000000-0005-0000-0000-0000A0150000}"/>
    <cellStyle name="Normal 4 4 3 3 7 2" xfId="13207" xr:uid="{946B13AE-C288-4874-A517-86A21F45A4F8}"/>
    <cellStyle name="Normal 4 4 3 3 8" xfId="8989" xr:uid="{6AC67FC5-5D64-4A07-9A29-70B666804842}"/>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CE6F7A2C-183E-4EE4-BD7F-76C2C20215B5}"/>
    <cellStyle name="Normal 4 4 3 4 2 3" xfId="11544" xr:uid="{E2A4093E-5859-436E-AC89-9BDCC09ED68C}"/>
    <cellStyle name="Normal 4 4 3 4 3" xfId="5175" xr:uid="{00000000-0005-0000-0000-0000A4150000}"/>
    <cellStyle name="Normal 4 4 3 4 3 2" xfId="13617" xr:uid="{F792452D-B626-4C26-9071-29952AAA3D1B}"/>
    <cellStyle name="Normal 4 4 3 4 4" xfId="9399" xr:uid="{3D27F01A-7489-454D-A752-1A3C478751F3}"/>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213A06FF-C40E-4EEC-96A1-C50711E0703E}"/>
    <cellStyle name="Normal 4 4 3 5 2 3" xfId="11957" xr:uid="{B321700D-C8D6-4906-9453-605FAFCCB4DF}"/>
    <cellStyle name="Normal 4 4 3 5 3" xfId="5588" xr:uid="{00000000-0005-0000-0000-0000A8150000}"/>
    <cellStyle name="Normal 4 4 3 5 3 2" xfId="14030" xr:uid="{1CE567B4-1F83-4308-AA46-52806C1695DD}"/>
    <cellStyle name="Normal 4 4 3 5 4" xfId="9812" xr:uid="{CBA209A2-57ED-4FEF-B6F4-CFD518AFAC2C}"/>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83716AFF-FE23-4A98-9CA5-DB7C7E256AE5}"/>
    <cellStyle name="Normal 4 4 3 6 2 3" xfId="12370" xr:uid="{D099B9AB-B19D-4097-A7C1-E90FEA2133C0}"/>
    <cellStyle name="Normal 4 4 3 6 3" xfId="6001" xr:uid="{00000000-0005-0000-0000-0000AC150000}"/>
    <cellStyle name="Normal 4 4 3 6 3 2" xfId="14443" xr:uid="{7DDA43A2-600B-4F56-9384-93C5F0E581C4}"/>
    <cellStyle name="Normal 4 4 3 6 4" xfId="10225" xr:uid="{ED428013-5326-4047-9EFE-E3B248040A10}"/>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141C2B17-32B3-4886-A8CE-E8642ACD16D5}"/>
    <cellStyle name="Normal 4 4 3 7 2 3" xfId="12783" xr:uid="{74BE767E-CED1-4165-B699-8305DB478F9D}"/>
    <cellStyle name="Normal 4 4 3 7 3" xfId="6414" xr:uid="{00000000-0005-0000-0000-0000B0150000}"/>
    <cellStyle name="Normal 4 4 3 7 3 2" xfId="14856" xr:uid="{268219A3-4B07-432E-B968-A57AA6F28525}"/>
    <cellStyle name="Normal 4 4 3 7 4" xfId="10638" xr:uid="{FEEF675F-7E41-4875-9B4A-FD7B4C220CDF}"/>
    <cellStyle name="Normal 4 4 3 8" xfId="2543" xr:uid="{00000000-0005-0000-0000-0000B1150000}"/>
    <cellStyle name="Normal 4 4 3 8 2" xfId="6827" xr:uid="{00000000-0005-0000-0000-0000B2150000}"/>
    <cellStyle name="Normal 4 4 3 8 2 2" xfId="15269" xr:uid="{B4FF4A96-EFA6-4F7D-8A53-90E684DCA2BF}"/>
    <cellStyle name="Normal 4 4 3 8 3" xfId="11051" xr:uid="{31C87AEA-8436-4B4C-A898-66DC92CEE5C2}"/>
    <cellStyle name="Normal 4 4 3 9" xfId="4762" xr:uid="{00000000-0005-0000-0000-0000B3150000}"/>
    <cellStyle name="Normal 4 4 3 9 2" xfId="13204" xr:uid="{38C6D2D9-70BE-4732-ADC9-17158C014359}"/>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1B782757-411C-42CD-9CDD-25B2B4966AD6}"/>
    <cellStyle name="Normal 4 4 4 2 2 2 3" xfId="11549" xr:uid="{31C9F6B2-7CAA-493E-A9A9-6FF3D79258C0}"/>
    <cellStyle name="Normal 4 4 4 2 2 3" xfId="5180" xr:uid="{00000000-0005-0000-0000-0000B9150000}"/>
    <cellStyle name="Normal 4 4 4 2 2 3 2" xfId="13622" xr:uid="{CE96714F-81EA-42DD-B6D9-FD5857A8F914}"/>
    <cellStyle name="Normal 4 4 4 2 2 4" xfId="9404" xr:uid="{9A46481A-742F-43AF-9CA0-7D8823496688}"/>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4FFFB14F-D04E-4AB1-A4FA-0D9439656FD5}"/>
    <cellStyle name="Normal 4 4 4 2 3 2 3" xfId="11962" xr:uid="{98045A25-D786-4590-BC94-65547098D31B}"/>
    <cellStyle name="Normal 4 4 4 2 3 3" xfId="5593" xr:uid="{00000000-0005-0000-0000-0000BD150000}"/>
    <cellStyle name="Normal 4 4 4 2 3 3 2" xfId="14035" xr:uid="{79D80D9A-7042-407E-B093-32C8D37318C8}"/>
    <cellStyle name="Normal 4 4 4 2 3 4" xfId="9817" xr:uid="{86975A76-B9BE-402B-8FBA-E5501B0C554A}"/>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3D34BE4E-C655-4E39-9208-05D95301AE52}"/>
    <cellStyle name="Normal 4 4 4 2 4 2 3" xfId="12375" xr:uid="{2EC96FEC-57AF-431C-8A16-7D51DA67586B}"/>
    <cellStyle name="Normal 4 4 4 2 4 3" xfId="6006" xr:uid="{00000000-0005-0000-0000-0000C1150000}"/>
    <cellStyle name="Normal 4 4 4 2 4 3 2" xfId="14448" xr:uid="{1EEEEAD3-4C28-488B-8298-777069ADEBB0}"/>
    <cellStyle name="Normal 4 4 4 2 4 4" xfId="10230" xr:uid="{CD3753CB-82F0-42C6-B736-A643954B39BD}"/>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F4CB5F90-2347-485D-9593-B3A73412BC13}"/>
    <cellStyle name="Normal 4 4 4 2 5 2 3" xfId="12788" xr:uid="{D43A28F9-6257-40ED-930E-D6412F7FDFA9}"/>
    <cellStyle name="Normal 4 4 4 2 5 3" xfId="6419" xr:uid="{00000000-0005-0000-0000-0000C5150000}"/>
    <cellStyle name="Normal 4 4 4 2 5 3 2" xfId="14861" xr:uid="{BC5483F9-A703-44B0-BBC7-1A37150D8DBA}"/>
    <cellStyle name="Normal 4 4 4 2 5 4" xfId="10643" xr:uid="{0838B287-33AD-4671-94CB-D7F49DA03CB5}"/>
    <cellStyle name="Normal 4 4 4 2 6" xfId="2548" xr:uid="{00000000-0005-0000-0000-0000C6150000}"/>
    <cellStyle name="Normal 4 4 4 2 6 2" xfId="6832" xr:uid="{00000000-0005-0000-0000-0000C7150000}"/>
    <cellStyle name="Normal 4 4 4 2 6 2 2" xfId="15274" xr:uid="{05DC2D02-F3DB-4798-BCA7-7677E0AAE4CF}"/>
    <cellStyle name="Normal 4 4 4 2 6 3" xfId="11056" xr:uid="{89932EC3-7EB2-4419-9E4B-AD46AF4DCE8F}"/>
    <cellStyle name="Normal 4 4 4 2 7" xfId="4767" xr:uid="{00000000-0005-0000-0000-0000C8150000}"/>
    <cellStyle name="Normal 4 4 4 2 7 2" xfId="13209" xr:uid="{573E44FF-6988-45B3-9C68-2A85DF79DBA0}"/>
    <cellStyle name="Normal 4 4 4 2 8" xfId="8991" xr:uid="{37F19254-7056-4E05-B82F-C1E4B5C82341}"/>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ACB1145E-A6AB-43F3-9669-70F45FD02BC5}"/>
    <cellStyle name="Normal 4 4 4 3 2 3" xfId="11548" xr:uid="{5741CAB1-604F-4F47-8368-F68A0D8D4380}"/>
    <cellStyle name="Normal 4 4 4 3 3" xfId="5179" xr:uid="{00000000-0005-0000-0000-0000CC150000}"/>
    <cellStyle name="Normal 4 4 4 3 3 2" xfId="13621" xr:uid="{EFA42F38-DB34-40B9-95DD-61DE63E9ADD1}"/>
    <cellStyle name="Normal 4 4 4 3 4" xfId="9403" xr:uid="{BF8D5BFF-F3B2-436D-BB9C-0D260F549488}"/>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1C9F75AC-708C-410A-A2EB-2EF07B2A09A9}"/>
    <cellStyle name="Normal 4 4 4 4 2 3" xfId="11961" xr:uid="{3ABFFB88-52CF-4612-8B54-FC2F1B7AC449}"/>
    <cellStyle name="Normal 4 4 4 4 3" xfId="5592" xr:uid="{00000000-0005-0000-0000-0000D0150000}"/>
    <cellStyle name="Normal 4 4 4 4 3 2" xfId="14034" xr:uid="{BFC0E0C2-28BC-46DD-8363-04F3A7C269B9}"/>
    <cellStyle name="Normal 4 4 4 4 4" xfId="9816" xr:uid="{E3AA1187-5580-4A70-BCA1-F0D679551250}"/>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F5EA92CE-F375-4D7A-A899-B91C0DE96495}"/>
    <cellStyle name="Normal 4 4 4 5 2 3" xfId="12374" xr:uid="{85188C18-0878-4956-9B54-F1B456EAA5BB}"/>
    <cellStyle name="Normal 4 4 4 5 3" xfId="6005" xr:uid="{00000000-0005-0000-0000-0000D4150000}"/>
    <cellStyle name="Normal 4 4 4 5 3 2" xfId="14447" xr:uid="{5188577C-E1FD-4B2A-9A6D-A61B91AA8F0A}"/>
    <cellStyle name="Normal 4 4 4 5 4" xfId="10229" xr:uid="{A4EAF10B-A8AC-4AF8-9BA5-A515337ABB26}"/>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52B552DE-2ED4-49FB-AFAC-A4639BA86196}"/>
    <cellStyle name="Normal 4 4 4 6 2 3" xfId="12787" xr:uid="{D8EB87DE-01AD-4075-9FA2-AF117EC32EEB}"/>
    <cellStyle name="Normal 4 4 4 6 3" xfId="6418" xr:uid="{00000000-0005-0000-0000-0000D8150000}"/>
    <cellStyle name="Normal 4 4 4 6 3 2" xfId="14860" xr:uid="{6CCC7DAA-C532-4D05-A31A-1682D05F67F5}"/>
    <cellStyle name="Normal 4 4 4 6 4" xfId="10642" xr:uid="{4E186347-90D8-4CE4-8D7A-1BC76456981E}"/>
    <cellStyle name="Normal 4 4 4 7" xfId="2547" xr:uid="{00000000-0005-0000-0000-0000D9150000}"/>
    <cellStyle name="Normal 4 4 4 7 2" xfId="6831" xr:uid="{00000000-0005-0000-0000-0000DA150000}"/>
    <cellStyle name="Normal 4 4 4 7 2 2" xfId="15273" xr:uid="{87BF49D6-81D2-41BF-9743-83715B38F327}"/>
    <cellStyle name="Normal 4 4 4 7 3" xfId="11055" xr:uid="{8C17D305-6DA1-4222-8182-8023B100498D}"/>
    <cellStyle name="Normal 4 4 4 8" xfId="4766" xr:uid="{00000000-0005-0000-0000-0000DB150000}"/>
    <cellStyle name="Normal 4 4 4 8 2" xfId="13208" xr:uid="{0C4A5C9C-DFB0-405B-9DDA-BC45B4FFCB2B}"/>
    <cellStyle name="Normal 4 4 4 9" xfId="8990" xr:uid="{880CC369-2A82-4065-AA69-5CB353EB6FAA}"/>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72824F22-AC9F-45E1-BC8F-047CC595590A}"/>
    <cellStyle name="Normal 4 4 5 2 2 3" xfId="11550" xr:uid="{00A3D52E-49DF-4768-B1EF-52480DA992ED}"/>
    <cellStyle name="Normal 4 4 5 2 3" xfId="5181" xr:uid="{00000000-0005-0000-0000-0000E0150000}"/>
    <cellStyle name="Normal 4 4 5 2 3 2" xfId="13623" xr:uid="{7D3BFDB9-7C77-419D-BFD7-41A448C174D1}"/>
    <cellStyle name="Normal 4 4 5 2 4" xfId="9405" xr:uid="{684F97F8-582C-4AB6-8473-AEDD3D3F5089}"/>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8B58A8A3-8679-4FC8-A3AD-5BC8E0AB0709}"/>
    <cellStyle name="Normal 4 4 5 3 2 3" xfId="11963" xr:uid="{94970B4D-3370-47D7-AD38-B357BB2F8568}"/>
    <cellStyle name="Normal 4 4 5 3 3" xfId="5594" xr:uid="{00000000-0005-0000-0000-0000E4150000}"/>
    <cellStyle name="Normal 4 4 5 3 3 2" xfId="14036" xr:uid="{8CA08B92-5B32-436E-BCCD-DF82BD977D8B}"/>
    <cellStyle name="Normal 4 4 5 3 4" xfId="9818" xr:uid="{B6945496-B66A-4D9C-900B-2E9072C78E98}"/>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77146CF2-C3AE-437A-957B-33EA661F55CA}"/>
    <cellStyle name="Normal 4 4 5 4 2 3" xfId="12376" xr:uid="{37A6CBA4-44A2-40C4-B2D7-95DACF8C1A15}"/>
    <cellStyle name="Normal 4 4 5 4 3" xfId="6007" xr:uid="{00000000-0005-0000-0000-0000E8150000}"/>
    <cellStyle name="Normal 4 4 5 4 3 2" xfId="14449" xr:uid="{9166F3A9-9FC9-40A2-ADAB-D0C7552328DD}"/>
    <cellStyle name="Normal 4 4 5 4 4" xfId="10231" xr:uid="{F73E4E1A-A812-49E2-9041-26B34469C6F4}"/>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334A6383-63E6-49CB-9E78-E946A0FF4D96}"/>
    <cellStyle name="Normal 4 4 5 5 2 3" xfId="12789" xr:uid="{36F20E75-4A7D-4240-933C-FE814B82151E}"/>
    <cellStyle name="Normal 4 4 5 5 3" xfId="6420" xr:uid="{00000000-0005-0000-0000-0000EC150000}"/>
    <cellStyle name="Normal 4 4 5 5 3 2" xfId="14862" xr:uid="{5F43A543-FC17-4DC6-BE0F-E235CF7C6DE6}"/>
    <cellStyle name="Normal 4 4 5 5 4" xfId="10644" xr:uid="{5F15FAC4-0AFF-4F10-AB8E-05AB193372DD}"/>
    <cellStyle name="Normal 4 4 5 6" xfId="2549" xr:uid="{00000000-0005-0000-0000-0000ED150000}"/>
    <cellStyle name="Normal 4 4 5 6 2" xfId="6833" xr:uid="{00000000-0005-0000-0000-0000EE150000}"/>
    <cellStyle name="Normal 4 4 5 6 2 2" xfId="15275" xr:uid="{13D5CF41-FE13-4865-B8AE-DD7C8D30085E}"/>
    <cellStyle name="Normal 4 4 5 6 3" xfId="11057" xr:uid="{B693C1EE-C702-4008-A3B4-4E51832FB658}"/>
    <cellStyle name="Normal 4 4 5 7" xfId="4768" xr:uid="{00000000-0005-0000-0000-0000EF150000}"/>
    <cellStyle name="Normal 4 4 5 7 2" xfId="13210" xr:uid="{5C0BDF7B-7AD9-4EC4-96A8-EFF869431579}"/>
    <cellStyle name="Normal 4 4 5 8" xfId="8992" xr:uid="{648B81E4-6BE3-4810-9579-C28DEA6663FB}"/>
    <cellStyle name="Normal 4 4 6" xfId="853" xr:uid="{00000000-0005-0000-0000-0000F0150000}"/>
    <cellStyle name="Normal 4 4 6 2" xfId="3088" xr:uid="{00000000-0005-0000-0000-0000F1150000}"/>
    <cellStyle name="Normal 4 4 6 2 2" xfId="7311" xr:uid="{00000000-0005-0000-0000-0000F2150000}"/>
    <cellStyle name="Normal 4 4 6 2 2 2" xfId="15753" xr:uid="{0D092F4C-E07C-4762-BEBA-6681BE7A78E5}"/>
    <cellStyle name="Normal 4 4 6 2 3" xfId="11535" xr:uid="{2D8AA86E-F7E7-40FD-AD24-7F2FD766A86C}"/>
    <cellStyle name="Normal 4 4 6 3" xfId="5166" xr:uid="{00000000-0005-0000-0000-0000F3150000}"/>
    <cellStyle name="Normal 4 4 6 3 2" xfId="13608" xr:uid="{9B5014F3-52E5-43DE-A4AF-446AE1479090}"/>
    <cellStyle name="Normal 4 4 6 4" xfId="9390" xr:uid="{60189873-DFBA-4A44-9DC2-011ADA943F63}"/>
    <cellStyle name="Normal 4 4 7" xfId="1271" xr:uid="{00000000-0005-0000-0000-0000F4150000}"/>
    <cellStyle name="Normal 4 4 7 2" xfId="3501" xr:uid="{00000000-0005-0000-0000-0000F5150000}"/>
    <cellStyle name="Normal 4 4 7 2 2" xfId="7724" xr:uid="{00000000-0005-0000-0000-0000F6150000}"/>
    <cellStyle name="Normal 4 4 7 2 2 2" xfId="16166" xr:uid="{AF885E2B-E8F1-4E9E-9786-6411168E39D7}"/>
    <cellStyle name="Normal 4 4 7 2 3" xfId="11948" xr:uid="{1DD0448A-AC15-4B86-A1D4-65B002C03409}"/>
    <cellStyle name="Normal 4 4 7 3" xfId="5579" xr:uid="{00000000-0005-0000-0000-0000F7150000}"/>
    <cellStyle name="Normal 4 4 7 3 2" xfId="14021" xr:uid="{38976161-6AE6-4107-AB90-025B2776F3AD}"/>
    <cellStyle name="Normal 4 4 7 4" xfId="9803" xr:uid="{75D660FE-F4F1-4EDE-ACE9-037C48954055}"/>
    <cellStyle name="Normal 4 4 8" xfId="1684" xr:uid="{00000000-0005-0000-0000-0000F8150000}"/>
    <cellStyle name="Normal 4 4 8 2" xfId="3914" xr:uid="{00000000-0005-0000-0000-0000F9150000}"/>
    <cellStyle name="Normal 4 4 8 2 2" xfId="8137" xr:uid="{00000000-0005-0000-0000-0000FA150000}"/>
    <cellStyle name="Normal 4 4 8 2 2 2" xfId="16579" xr:uid="{B3ACA94F-EF68-47CF-96EF-1057D77A8DE4}"/>
    <cellStyle name="Normal 4 4 8 2 3" xfId="12361" xr:uid="{1E82059F-234E-497D-9394-7511E38B09ED}"/>
    <cellStyle name="Normal 4 4 8 3" xfId="5992" xr:uid="{00000000-0005-0000-0000-0000FB150000}"/>
    <cellStyle name="Normal 4 4 8 3 2" xfId="14434" xr:uid="{639FBD5E-43D9-412D-8AC5-0B7FC6BF9052}"/>
    <cellStyle name="Normal 4 4 8 4" xfId="10216" xr:uid="{CC51E005-448F-41BB-AA99-BE1506CA61D9}"/>
    <cellStyle name="Normal 4 4 9" xfId="2098" xr:uid="{00000000-0005-0000-0000-0000FC150000}"/>
    <cellStyle name="Normal 4 4 9 2" xfId="4327" xr:uid="{00000000-0005-0000-0000-0000FD150000}"/>
    <cellStyle name="Normal 4 4 9 2 2" xfId="8550" xr:uid="{00000000-0005-0000-0000-0000FE150000}"/>
    <cellStyle name="Normal 4 4 9 2 2 2" xfId="16992" xr:uid="{6D365F57-9FBF-4EB6-A776-D229B29DE09F}"/>
    <cellStyle name="Normal 4 4 9 2 3" xfId="12774" xr:uid="{57DC7DD0-611F-4C5A-8110-BD26EA19E5F8}"/>
    <cellStyle name="Normal 4 4 9 3" xfId="6405" xr:uid="{00000000-0005-0000-0000-0000FF150000}"/>
    <cellStyle name="Normal 4 4 9 3 2" xfId="14847" xr:uid="{3A1C90C5-C9FC-4BF6-AF4D-BB36D5F89BD5}"/>
    <cellStyle name="Normal 4 4 9 4" xfId="10629" xr:uid="{217E4F5E-FB15-4EE5-8D64-BCFC898305FD}"/>
    <cellStyle name="Normal 4 5" xfId="394" xr:uid="{00000000-0005-0000-0000-000000160000}"/>
    <cellStyle name="Normal 4 6" xfId="395" xr:uid="{00000000-0005-0000-0000-000001160000}"/>
    <cellStyle name="Normal 4 6 10" xfId="4769" xr:uid="{00000000-0005-0000-0000-000002160000}"/>
    <cellStyle name="Normal 4 6 10 2" xfId="13211" xr:uid="{ABB009E8-B1AF-49BE-9FFC-2A580950B45A}"/>
    <cellStyle name="Normal 4 6 11" xfId="8993" xr:uid="{2A094FC5-2D1F-449D-8836-304DEE54D6E9}"/>
    <cellStyle name="Normal 4 6 2" xfId="396" xr:uid="{00000000-0005-0000-0000-000003160000}"/>
    <cellStyle name="Normal 4 6 2 10" xfId="8994" xr:uid="{739350AF-ADCB-492D-B585-36526001FA5B}"/>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AC3AC365-D9E2-4556-B1B7-D50044D4C7D2}"/>
    <cellStyle name="Normal 4 6 2 2 2 2 2 3" xfId="11554" xr:uid="{83BBAA91-DAA8-473E-ABF8-3FAB3C849DB3}"/>
    <cellStyle name="Normal 4 6 2 2 2 2 3" xfId="5185" xr:uid="{00000000-0005-0000-0000-000009160000}"/>
    <cellStyle name="Normal 4 6 2 2 2 2 3 2" xfId="13627" xr:uid="{70B38835-7CAC-4231-8829-AEF8785F2430}"/>
    <cellStyle name="Normal 4 6 2 2 2 2 4" xfId="9409" xr:uid="{F4635605-17C2-4884-8562-889FCB4A1949}"/>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2E27B151-7F4E-41DD-920E-ECD174ACA4D5}"/>
    <cellStyle name="Normal 4 6 2 2 2 3 2 3" xfId="11967" xr:uid="{E789EAA2-366C-41DD-8E2F-11F633DA40DC}"/>
    <cellStyle name="Normal 4 6 2 2 2 3 3" xfId="5598" xr:uid="{00000000-0005-0000-0000-00000D160000}"/>
    <cellStyle name="Normal 4 6 2 2 2 3 3 2" xfId="14040" xr:uid="{317D3D8D-C6D0-4EF6-A631-1C81550A1033}"/>
    <cellStyle name="Normal 4 6 2 2 2 3 4" xfId="9822" xr:uid="{AA1F370B-1B40-45EA-B508-9B95FEDE626D}"/>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D3EBBE5C-93F9-42B5-8C17-47278065B743}"/>
    <cellStyle name="Normal 4 6 2 2 2 4 2 3" xfId="12380" xr:uid="{E0349939-AC0B-4C9B-908B-BC39A7F43550}"/>
    <cellStyle name="Normal 4 6 2 2 2 4 3" xfId="6011" xr:uid="{00000000-0005-0000-0000-000011160000}"/>
    <cellStyle name="Normal 4 6 2 2 2 4 3 2" xfId="14453" xr:uid="{84F55068-7C45-4BA5-9E31-342236BDA89C}"/>
    <cellStyle name="Normal 4 6 2 2 2 4 4" xfId="10235" xr:uid="{D51C016F-D64F-4C05-B1D0-914F6BCD7A97}"/>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D3DC0C1D-5F6A-43B9-B955-7BC2AA52D062}"/>
    <cellStyle name="Normal 4 6 2 2 2 5 2 3" xfId="12793" xr:uid="{EB163217-965D-4CB2-BA23-11A5B1946094}"/>
    <cellStyle name="Normal 4 6 2 2 2 5 3" xfId="6424" xr:uid="{00000000-0005-0000-0000-000015160000}"/>
    <cellStyle name="Normal 4 6 2 2 2 5 3 2" xfId="14866" xr:uid="{5CBE932D-1E41-49F2-AA42-B3100B1ABB94}"/>
    <cellStyle name="Normal 4 6 2 2 2 5 4" xfId="10648" xr:uid="{C426A5D0-E204-4A69-A3DA-6D23F9B37A44}"/>
    <cellStyle name="Normal 4 6 2 2 2 6" xfId="2553" xr:uid="{00000000-0005-0000-0000-000016160000}"/>
    <cellStyle name="Normal 4 6 2 2 2 6 2" xfId="6837" xr:uid="{00000000-0005-0000-0000-000017160000}"/>
    <cellStyle name="Normal 4 6 2 2 2 6 2 2" xfId="15279" xr:uid="{642DE161-A60D-4958-989A-B91789EEDFFC}"/>
    <cellStyle name="Normal 4 6 2 2 2 6 3" xfId="11061" xr:uid="{09283CCE-B828-423F-BAD6-C0E72D0DCAC0}"/>
    <cellStyle name="Normal 4 6 2 2 2 7" xfId="4772" xr:uid="{00000000-0005-0000-0000-000018160000}"/>
    <cellStyle name="Normal 4 6 2 2 2 7 2" xfId="13214" xr:uid="{E16A0DF7-A8C7-432F-8765-5F26136D6194}"/>
    <cellStyle name="Normal 4 6 2 2 2 8" xfId="8996" xr:uid="{E249C139-052E-42F8-9847-8AF7D4A2A71F}"/>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C98E56C1-3411-4253-9556-D574D915DE5D}"/>
    <cellStyle name="Normal 4 6 2 2 3 2 3" xfId="11553" xr:uid="{BB5DC0F6-794F-46EE-B393-D194AC0BCACC}"/>
    <cellStyle name="Normal 4 6 2 2 3 3" xfId="5184" xr:uid="{00000000-0005-0000-0000-00001C160000}"/>
    <cellStyle name="Normal 4 6 2 2 3 3 2" xfId="13626" xr:uid="{9A5452EC-6BC8-47D5-877D-B042416C8716}"/>
    <cellStyle name="Normal 4 6 2 2 3 4" xfId="9408" xr:uid="{278C7428-56C0-4100-9F6B-34CE64B4874A}"/>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9B5F87AD-A010-420D-8687-3CFA7363ADC1}"/>
    <cellStyle name="Normal 4 6 2 2 4 2 3" xfId="11966" xr:uid="{D4CEA3EF-768B-471C-B010-73B9F14B61D6}"/>
    <cellStyle name="Normal 4 6 2 2 4 3" xfId="5597" xr:uid="{00000000-0005-0000-0000-000020160000}"/>
    <cellStyle name="Normal 4 6 2 2 4 3 2" xfId="14039" xr:uid="{75CFD991-7E95-4511-8FD1-572BD46E3793}"/>
    <cellStyle name="Normal 4 6 2 2 4 4" xfId="9821" xr:uid="{A0CDA2AC-6201-459F-800C-869A97121CC8}"/>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43426132-5478-430E-AD5F-BF28A339C660}"/>
    <cellStyle name="Normal 4 6 2 2 5 2 3" xfId="12379" xr:uid="{9777E771-3FD2-4C90-B9E7-81B5CE1D4033}"/>
    <cellStyle name="Normal 4 6 2 2 5 3" xfId="6010" xr:uid="{00000000-0005-0000-0000-000024160000}"/>
    <cellStyle name="Normal 4 6 2 2 5 3 2" xfId="14452" xr:uid="{D741650D-9B30-431F-8916-95444DA92C6B}"/>
    <cellStyle name="Normal 4 6 2 2 5 4" xfId="10234" xr:uid="{CA4C99DF-4BE7-4A2C-B721-F718C881AD1D}"/>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91AF8525-48E4-415C-A07F-90D47E09D35A}"/>
    <cellStyle name="Normal 4 6 2 2 6 2 3" xfId="12792" xr:uid="{1EA824CB-3D9C-4218-8B42-5519210C0FF1}"/>
    <cellStyle name="Normal 4 6 2 2 6 3" xfId="6423" xr:uid="{00000000-0005-0000-0000-000028160000}"/>
    <cellStyle name="Normal 4 6 2 2 6 3 2" xfId="14865" xr:uid="{553124FF-B649-4937-8E36-83C5E1673A2D}"/>
    <cellStyle name="Normal 4 6 2 2 6 4" xfId="10647" xr:uid="{5E3CE82A-5C57-4D48-B87D-10F3F89C735A}"/>
    <cellStyle name="Normal 4 6 2 2 7" xfId="2552" xr:uid="{00000000-0005-0000-0000-000029160000}"/>
    <cellStyle name="Normal 4 6 2 2 7 2" xfId="6836" xr:uid="{00000000-0005-0000-0000-00002A160000}"/>
    <cellStyle name="Normal 4 6 2 2 7 2 2" xfId="15278" xr:uid="{41DD60B2-A6A4-4F9E-97F2-879D090D2955}"/>
    <cellStyle name="Normal 4 6 2 2 7 3" xfId="11060" xr:uid="{41AE0CB7-5B39-4958-88AB-0D1A8A2633CC}"/>
    <cellStyle name="Normal 4 6 2 2 8" xfId="4771" xr:uid="{00000000-0005-0000-0000-00002B160000}"/>
    <cellStyle name="Normal 4 6 2 2 8 2" xfId="13213" xr:uid="{6BC0836D-8F93-4187-A4B5-B2158BEE22DF}"/>
    <cellStyle name="Normal 4 6 2 2 9" xfId="8995" xr:uid="{FD2C7367-D195-4F2E-87D9-745562C97D3C}"/>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737633B3-A29D-41F8-B2FD-CB1BCC476620}"/>
    <cellStyle name="Normal 4 6 2 3 2 2 3" xfId="11555" xr:uid="{093F286D-D0D1-44B0-A183-72D0B86C7854}"/>
    <cellStyle name="Normal 4 6 2 3 2 3" xfId="5186" xr:uid="{00000000-0005-0000-0000-000030160000}"/>
    <cellStyle name="Normal 4 6 2 3 2 3 2" xfId="13628" xr:uid="{F1BAA31E-6EB0-4032-8156-93672CF4640E}"/>
    <cellStyle name="Normal 4 6 2 3 2 4" xfId="9410" xr:uid="{5C8D3041-0302-47E6-8D11-BB701105881A}"/>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B219B320-23ED-40DB-B47B-390CC52AA9C8}"/>
    <cellStyle name="Normal 4 6 2 3 3 2 3" xfId="11968" xr:uid="{29D6BB40-3C73-49CF-B165-1FFA720354A0}"/>
    <cellStyle name="Normal 4 6 2 3 3 3" xfId="5599" xr:uid="{00000000-0005-0000-0000-000034160000}"/>
    <cellStyle name="Normal 4 6 2 3 3 3 2" xfId="14041" xr:uid="{16EBF124-8E3D-4EE5-A607-EDB80AA917EB}"/>
    <cellStyle name="Normal 4 6 2 3 3 4" xfId="9823" xr:uid="{AE0AB271-2616-4158-B8A1-AE604640D734}"/>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4D775CDB-DB90-4F74-A948-DAB0751D4E1D}"/>
    <cellStyle name="Normal 4 6 2 3 4 2 3" xfId="12381" xr:uid="{6DA928A4-1359-4E91-BEC1-07DAF0136EAC}"/>
    <cellStyle name="Normal 4 6 2 3 4 3" xfId="6012" xr:uid="{00000000-0005-0000-0000-000038160000}"/>
    <cellStyle name="Normal 4 6 2 3 4 3 2" xfId="14454" xr:uid="{A2600E0B-40E3-40B2-AC9E-E26238846D53}"/>
    <cellStyle name="Normal 4 6 2 3 4 4" xfId="10236" xr:uid="{D650A72A-CA7C-4F8F-9791-94C5ED650D00}"/>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94848CE0-2D3E-4BC6-8557-019D4BFF9E4F}"/>
    <cellStyle name="Normal 4 6 2 3 5 2 3" xfId="12794" xr:uid="{6B8E5DDE-D996-422A-B94B-226210C7F03B}"/>
    <cellStyle name="Normal 4 6 2 3 5 3" xfId="6425" xr:uid="{00000000-0005-0000-0000-00003C160000}"/>
    <cellStyle name="Normal 4 6 2 3 5 3 2" xfId="14867" xr:uid="{D17DA6BA-7294-4D60-BF96-C9F68ADC6EC2}"/>
    <cellStyle name="Normal 4 6 2 3 5 4" xfId="10649" xr:uid="{24A0987A-E47D-464C-8C17-CEDE44927B69}"/>
    <cellStyle name="Normal 4 6 2 3 6" xfId="2554" xr:uid="{00000000-0005-0000-0000-00003D160000}"/>
    <cellStyle name="Normal 4 6 2 3 6 2" xfId="6838" xr:uid="{00000000-0005-0000-0000-00003E160000}"/>
    <cellStyle name="Normal 4 6 2 3 6 2 2" xfId="15280" xr:uid="{F06DB0EB-2218-4D42-985D-934E8397AF2A}"/>
    <cellStyle name="Normal 4 6 2 3 6 3" xfId="11062" xr:uid="{6C27EDA9-BF79-4AF7-AC04-E2B8DF06D80B}"/>
    <cellStyle name="Normal 4 6 2 3 7" xfId="4773" xr:uid="{00000000-0005-0000-0000-00003F160000}"/>
    <cellStyle name="Normal 4 6 2 3 7 2" xfId="13215" xr:uid="{0D6DB5D8-964A-41BD-858F-76A736DA92D6}"/>
    <cellStyle name="Normal 4 6 2 3 8" xfId="8997" xr:uid="{03073B53-0220-40F5-9966-64D55AC95021}"/>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9437D40B-BBD9-4856-94D9-849A57817092}"/>
    <cellStyle name="Normal 4 6 2 4 2 3" xfId="11552" xr:uid="{3A061EB4-E683-4546-A421-EC31A85FDC6C}"/>
    <cellStyle name="Normal 4 6 2 4 3" xfId="5183" xr:uid="{00000000-0005-0000-0000-000043160000}"/>
    <cellStyle name="Normal 4 6 2 4 3 2" xfId="13625" xr:uid="{9FE750D3-BDED-4504-B7C9-408672F8E223}"/>
    <cellStyle name="Normal 4 6 2 4 4" xfId="9407" xr:uid="{6A58026F-C671-4388-B4FA-7029F97B2E64}"/>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7501D309-CD3D-4E1C-8DD3-D3816B1D7878}"/>
    <cellStyle name="Normal 4 6 2 5 2 3" xfId="11965" xr:uid="{64B121B0-6D77-4D7B-9E6B-EB6E1E2644CB}"/>
    <cellStyle name="Normal 4 6 2 5 3" xfId="5596" xr:uid="{00000000-0005-0000-0000-000047160000}"/>
    <cellStyle name="Normal 4 6 2 5 3 2" xfId="14038" xr:uid="{D9D5E2F5-3432-4219-8252-594CDC7F006F}"/>
    <cellStyle name="Normal 4 6 2 5 4" xfId="9820" xr:uid="{88320235-AEE0-4FAF-B777-241166FCD91B}"/>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8F2BF4F7-5048-425A-AE8F-1CC14F37945F}"/>
    <cellStyle name="Normal 4 6 2 6 2 3" xfId="12378" xr:uid="{1AAC859B-1389-4C72-8CEC-A81BD9938A36}"/>
    <cellStyle name="Normal 4 6 2 6 3" xfId="6009" xr:uid="{00000000-0005-0000-0000-00004B160000}"/>
    <cellStyle name="Normal 4 6 2 6 3 2" xfId="14451" xr:uid="{96953FA1-1A3C-4B00-B07B-BDEBA8DA9103}"/>
    <cellStyle name="Normal 4 6 2 6 4" xfId="10233" xr:uid="{0A09E10F-9E2B-40F0-902E-13607CB10846}"/>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09C5A332-C8DB-4452-859A-8A92459F72EC}"/>
    <cellStyle name="Normal 4 6 2 7 2 3" xfId="12791" xr:uid="{F366E1C9-CBF0-4605-8863-22E690CD4D33}"/>
    <cellStyle name="Normal 4 6 2 7 3" xfId="6422" xr:uid="{00000000-0005-0000-0000-00004F160000}"/>
    <cellStyle name="Normal 4 6 2 7 3 2" xfId="14864" xr:uid="{8AF962F7-9936-4AB5-8404-3E8BEC455CE6}"/>
    <cellStyle name="Normal 4 6 2 7 4" xfId="10646" xr:uid="{F62A123F-1903-4E97-B2D9-1229EC7C9BD7}"/>
    <cellStyle name="Normal 4 6 2 8" xfId="2551" xr:uid="{00000000-0005-0000-0000-000050160000}"/>
    <cellStyle name="Normal 4 6 2 8 2" xfId="6835" xr:uid="{00000000-0005-0000-0000-000051160000}"/>
    <cellStyle name="Normal 4 6 2 8 2 2" xfId="15277" xr:uid="{FC9B8C4F-8E03-4BBE-9F5D-1ADEF72AB17F}"/>
    <cellStyle name="Normal 4 6 2 8 3" xfId="11059" xr:uid="{CE992239-C6D1-4132-BACF-C05A8C943713}"/>
    <cellStyle name="Normal 4 6 2 9" xfId="4770" xr:uid="{00000000-0005-0000-0000-000052160000}"/>
    <cellStyle name="Normal 4 6 2 9 2" xfId="13212" xr:uid="{0DD90552-841D-4D51-A023-3863EDD0DC28}"/>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184EA84D-8EB8-427F-9699-AA65369E3354}"/>
    <cellStyle name="Normal 4 6 3 2 2 2 3" xfId="11557" xr:uid="{1A5091B9-6BD0-4FF6-9B0F-F3FC993E1D2F}"/>
    <cellStyle name="Normal 4 6 3 2 2 3" xfId="5188" xr:uid="{00000000-0005-0000-0000-000058160000}"/>
    <cellStyle name="Normal 4 6 3 2 2 3 2" xfId="13630" xr:uid="{A06503E7-84E4-4386-9BEA-D743B434E3F8}"/>
    <cellStyle name="Normal 4 6 3 2 2 4" xfId="9412" xr:uid="{907E153F-2909-4692-87D1-590E8661551E}"/>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08CC10A1-D850-43D5-966A-1A96D29CB951}"/>
    <cellStyle name="Normal 4 6 3 2 3 2 3" xfId="11970" xr:uid="{DCE08666-AE25-4F07-9A1C-39D78EB467B0}"/>
    <cellStyle name="Normal 4 6 3 2 3 3" xfId="5601" xr:uid="{00000000-0005-0000-0000-00005C160000}"/>
    <cellStyle name="Normal 4 6 3 2 3 3 2" xfId="14043" xr:uid="{315E31CB-6075-4F08-BEF5-0C16F3CB9C77}"/>
    <cellStyle name="Normal 4 6 3 2 3 4" xfId="9825" xr:uid="{7A28C054-2180-4E8F-98BA-D5F84B81B8AF}"/>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9B14FB52-B699-41D5-B6C4-5E64B1CFDD1D}"/>
    <cellStyle name="Normal 4 6 3 2 4 2 3" xfId="12383" xr:uid="{82B10FE9-2BC4-4BF5-BAA6-DAAF4503BAC4}"/>
    <cellStyle name="Normal 4 6 3 2 4 3" xfId="6014" xr:uid="{00000000-0005-0000-0000-000060160000}"/>
    <cellStyle name="Normal 4 6 3 2 4 3 2" xfId="14456" xr:uid="{DC8368B3-5B62-4392-AB4F-E3EF8055156F}"/>
    <cellStyle name="Normal 4 6 3 2 4 4" xfId="10238" xr:uid="{5CBB9C25-46BA-4B0B-948F-1A683E05531A}"/>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E0CC3F09-BF64-4AEC-AFB9-5B608DA50C9D}"/>
    <cellStyle name="Normal 4 6 3 2 5 2 3" xfId="12796" xr:uid="{96AB78AB-E96F-437C-B22E-EA450B4E3572}"/>
    <cellStyle name="Normal 4 6 3 2 5 3" xfId="6427" xr:uid="{00000000-0005-0000-0000-000064160000}"/>
    <cellStyle name="Normal 4 6 3 2 5 3 2" xfId="14869" xr:uid="{206997E8-5D98-4DE0-A731-78F72C04C76B}"/>
    <cellStyle name="Normal 4 6 3 2 5 4" xfId="10651" xr:uid="{7F9B4A72-E17F-4302-835F-D244993F0E5D}"/>
    <cellStyle name="Normal 4 6 3 2 6" xfId="2556" xr:uid="{00000000-0005-0000-0000-000065160000}"/>
    <cellStyle name="Normal 4 6 3 2 6 2" xfId="6840" xr:uid="{00000000-0005-0000-0000-000066160000}"/>
    <cellStyle name="Normal 4 6 3 2 6 2 2" xfId="15282" xr:uid="{E29D3E9C-D8DE-4AE7-B5B0-93D49B2C850C}"/>
    <cellStyle name="Normal 4 6 3 2 6 3" xfId="11064" xr:uid="{87CE2E73-A0C3-4D5B-9D22-39642378B293}"/>
    <cellStyle name="Normal 4 6 3 2 7" xfId="4775" xr:uid="{00000000-0005-0000-0000-000067160000}"/>
    <cellStyle name="Normal 4 6 3 2 7 2" xfId="13217" xr:uid="{C6F8EB48-3050-4A8C-A348-104B8879F10A}"/>
    <cellStyle name="Normal 4 6 3 2 8" xfId="8999" xr:uid="{6451DE83-2E52-4BED-92AB-4D5607B4B7B6}"/>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8E0AD5BF-1A4A-4EEB-99D7-3C0A5AAE1649}"/>
    <cellStyle name="Normal 4 6 3 3 2 3" xfId="11556" xr:uid="{2F0CDF4B-0224-4B8F-8EE3-7A2518B85DEF}"/>
    <cellStyle name="Normal 4 6 3 3 3" xfId="5187" xr:uid="{00000000-0005-0000-0000-00006B160000}"/>
    <cellStyle name="Normal 4 6 3 3 3 2" xfId="13629" xr:uid="{256ADF8A-D7CD-4743-9F02-FE281B9E0EAA}"/>
    <cellStyle name="Normal 4 6 3 3 4" xfId="9411" xr:uid="{4C4FA008-52B9-492C-B40F-0EA073EC6BAF}"/>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3D61EE91-2F7E-4792-896D-0C09D37B54CF}"/>
    <cellStyle name="Normal 4 6 3 4 2 3" xfId="11969" xr:uid="{CC959531-EE51-4EEE-83B7-0A190E925BE3}"/>
    <cellStyle name="Normal 4 6 3 4 3" xfId="5600" xr:uid="{00000000-0005-0000-0000-00006F160000}"/>
    <cellStyle name="Normal 4 6 3 4 3 2" xfId="14042" xr:uid="{C2E4C0B0-E895-43D6-B1B4-6C4C4B43FBEB}"/>
    <cellStyle name="Normal 4 6 3 4 4" xfId="9824" xr:uid="{0DA71B59-A7FA-4EA1-AAEA-94C0FDBBEE97}"/>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BC33858F-779E-4D9D-9F8F-45F9C9DBDD51}"/>
    <cellStyle name="Normal 4 6 3 5 2 3" xfId="12382" xr:uid="{77283E43-E671-43D1-AE07-8F81B5FAB810}"/>
    <cellStyle name="Normal 4 6 3 5 3" xfId="6013" xr:uid="{00000000-0005-0000-0000-000073160000}"/>
    <cellStyle name="Normal 4 6 3 5 3 2" xfId="14455" xr:uid="{050DF2E3-4565-4672-BC7A-4C33101A1FDF}"/>
    <cellStyle name="Normal 4 6 3 5 4" xfId="10237" xr:uid="{AE03B180-D4E0-40DC-B098-980E64ACD5AE}"/>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84EF4350-E06F-4DCE-A1F9-70D320E7B884}"/>
    <cellStyle name="Normal 4 6 3 6 2 3" xfId="12795" xr:uid="{6B8CF9ED-2981-4D30-A7A3-1183E5391249}"/>
    <cellStyle name="Normal 4 6 3 6 3" xfId="6426" xr:uid="{00000000-0005-0000-0000-000077160000}"/>
    <cellStyle name="Normal 4 6 3 6 3 2" xfId="14868" xr:uid="{77397285-90D6-4C80-8E6E-4D80858B0FA8}"/>
    <cellStyle name="Normal 4 6 3 6 4" xfId="10650" xr:uid="{3CE3B49B-3810-4FB3-862C-8AA97B937E93}"/>
    <cellStyle name="Normal 4 6 3 7" xfId="2555" xr:uid="{00000000-0005-0000-0000-000078160000}"/>
    <cellStyle name="Normal 4 6 3 7 2" xfId="6839" xr:uid="{00000000-0005-0000-0000-000079160000}"/>
    <cellStyle name="Normal 4 6 3 7 2 2" xfId="15281" xr:uid="{5F2E0974-9B72-4B5D-88F8-F88E1F430DD0}"/>
    <cellStyle name="Normal 4 6 3 7 3" xfId="11063" xr:uid="{3D69CBFC-DCB7-4EAB-9594-AEA0BC659547}"/>
    <cellStyle name="Normal 4 6 3 8" xfId="4774" xr:uid="{00000000-0005-0000-0000-00007A160000}"/>
    <cellStyle name="Normal 4 6 3 8 2" xfId="13216" xr:uid="{215E5478-62C2-4424-BA70-67F8CB0BA2FE}"/>
    <cellStyle name="Normal 4 6 3 9" xfId="8998" xr:uid="{8614B987-1258-47FA-959D-74610678113E}"/>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B4EA2459-B34F-45FB-A8C8-4D8482AF7CE0}"/>
    <cellStyle name="Normal 4 6 4 2 2 3" xfId="11558" xr:uid="{12A4F065-4077-43EC-9D77-80A837001192}"/>
    <cellStyle name="Normal 4 6 4 2 3" xfId="5189" xr:uid="{00000000-0005-0000-0000-00007F160000}"/>
    <cellStyle name="Normal 4 6 4 2 3 2" xfId="13631" xr:uid="{108B2341-0F07-43A3-B040-1C7ED5D9FDB4}"/>
    <cellStyle name="Normal 4 6 4 2 4" xfId="9413" xr:uid="{1459F21D-0469-49DE-A4F2-2FEAA0EF9AD2}"/>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E3DD0AED-A782-4334-9305-8AC555384736}"/>
    <cellStyle name="Normal 4 6 4 3 2 3" xfId="11971" xr:uid="{A9E6E64D-3561-494F-8938-D843A7F272A8}"/>
    <cellStyle name="Normal 4 6 4 3 3" xfId="5602" xr:uid="{00000000-0005-0000-0000-000083160000}"/>
    <cellStyle name="Normal 4 6 4 3 3 2" xfId="14044" xr:uid="{76DFA5A8-23A8-4398-ACE0-E32271EE6A68}"/>
    <cellStyle name="Normal 4 6 4 3 4" xfId="9826" xr:uid="{FB196F56-0731-4D29-8178-C46A0A2DACB9}"/>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6F8AA682-B75E-4F6E-8B80-2938CF4875DE}"/>
    <cellStyle name="Normal 4 6 4 4 2 3" xfId="12384" xr:uid="{3CA3845A-FDEC-478C-8203-E687CA603EB3}"/>
    <cellStyle name="Normal 4 6 4 4 3" xfId="6015" xr:uid="{00000000-0005-0000-0000-000087160000}"/>
    <cellStyle name="Normal 4 6 4 4 3 2" xfId="14457" xr:uid="{3751AB31-CB75-400B-898A-F07A1737E118}"/>
    <cellStyle name="Normal 4 6 4 4 4" xfId="10239" xr:uid="{327CA7ED-30AE-4AD2-9E06-09E3FD607BA4}"/>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92B85EAA-F71E-409C-9DF7-1EDBAA73AF74}"/>
    <cellStyle name="Normal 4 6 4 5 2 3" xfId="12797" xr:uid="{CEF0BB2F-6814-465D-A6B0-AC004F4B49D1}"/>
    <cellStyle name="Normal 4 6 4 5 3" xfId="6428" xr:uid="{00000000-0005-0000-0000-00008B160000}"/>
    <cellStyle name="Normal 4 6 4 5 3 2" xfId="14870" xr:uid="{FBDA3923-68A6-4553-9F36-B6F10D30157A}"/>
    <cellStyle name="Normal 4 6 4 5 4" xfId="10652" xr:uid="{1E3A1B5F-C142-4284-B3F7-C45C7DDE00E7}"/>
    <cellStyle name="Normal 4 6 4 6" xfId="2557" xr:uid="{00000000-0005-0000-0000-00008C160000}"/>
    <cellStyle name="Normal 4 6 4 6 2" xfId="6841" xr:uid="{00000000-0005-0000-0000-00008D160000}"/>
    <cellStyle name="Normal 4 6 4 6 2 2" xfId="15283" xr:uid="{3C69AA59-5D1D-4D29-9313-BA3F5E85A2E1}"/>
    <cellStyle name="Normal 4 6 4 6 3" xfId="11065" xr:uid="{0376C24E-3C00-4ACE-BD0F-BD2900B2791D}"/>
    <cellStyle name="Normal 4 6 4 7" xfId="4776" xr:uid="{00000000-0005-0000-0000-00008E160000}"/>
    <cellStyle name="Normal 4 6 4 7 2" xfId="13218" xr:uid="{D1E5266C-9290-4A77-8CAF-F1733BA1FE2D}"/>
    <cellStyle name="Normal 4 6 4 8" xfId="9000" xr:uid="{BF860EBE-ADF0-4F00-8E7B-3809E244915E}"/>
    <cellStyle name="Normal 4 6 5" xfId="869" xr:uid="{00000000-0005-0000-0000-00008F160000}"/>
    <cellStyle name="Normal 4 6 5 2" xfId="3104" xr:uid="{00000000-0005-0000-0000-000090160000}"/>
    <cellStyle name="Normal 4 6 5 2 2" xfId="7327" xr:uid="{00000000-0005-0000-0000-000091160000}"/>
    <cellStyle name="Normal 4 6 5 2 2 2" xfId="15769" xr:uid="{5E77C9A9-D89C-4F51-A8A8-DEDA87481789}"/>
    <cellStyle name="Normal 4 6 5 2 3" xfId="11551" xr:uid="{8419CA3B-6FB7-4325-B5E2-8990550B826C}"/>
    <cellStyle name="Normal 4 6 5 3" xfId="5182" xr:uid="{00000000-0005-0000-0000-000092160000}"/>
    <cellStyle name="Normal 4 6 5 3 2" xfId="13624" xr:uid="{BF5D7710-8798-467E-9362-91A984B3BCFA}"/>
    <cellStyle name="Normal 4 6 5 4" xfId="9406" xr:uid="{AC8DEFA1-9E51-4043-9560-61474ED5F774}"/>
    <cellStyle name="Normal 4 6 6" xfId="1287" xr:uid="{00000000-0005-0000-0000-000093160000}"/>
    <cellStyle name="Normal 4 6 6 2" xfId="3517" xr:uid="{00000000-0005-0000-0000-000094160000}"/>
    <cellStyle name="Normal 4 6 6 2 2" xfId="7740" xr:uid="{00000000-0005-0000-0000-000095160000}"/>
    <cellStyle name="Normal 4 6 6 2 2 2" xfId="16182" xr:uid="{3AC7189B-94A4-40A7-A733-4B8B2F389225}"/>
    <cellStyle name="Normal 4 6 6 2 3" xfId="11964" xr:uid="{43F0ACF6-A500-4654-9BC4-39CAA76A7500}"/>
    <cellStyle name="Normal 4 6 6 3" xfId="5595" xr:uid="{00000000-0005-0000-0000-000096160000}"/>
    <cellStyle name="Normal 4 6 6 3 2" xfId="14037" xr:uid="{E85B045E-577E-41E3-ADA3-C5FE127D660B}"/>
    <cellStyle name="Normal 4 6 6 4" xfId="9819" xr:uid="{87B33193-ABE9-40C0-8FB6-BDBE9DFFEFEC}"/>
    <cellStyle name="Normal 4 6 7" xfId="1700" xr:uid="{00000000-0005-0000-0000-000097160000}"/>
    <cellStyle name="Normal 4 6 7 2" xfId="3930" xr:uid="{00000000-0005-0000-0000-000098160000}"/>
    <cellStyle name="Normal 4 6 7 2 2" xfId="8153" xr:uid="{00000000-0005-0000-0000-000099160000}"/>
    <cellStyle name="Normal 4 6 7 2 2 2" xfId="16595" xr:uid="{EF35268C-DF9F-4434-96DB-832763E93D56}"/>
    <cellStyle name="Normal 4 6 7 2 3" xfId="12377" xr:uid="{9A905668-A9B8-4274-9AAC-5EEAD21FF552}"/>
    <cellStyle name="Normal 4 6 7 3" xfId="6008" xr:uid="{00000000-0005-0000-0000-00009A160000}"/>
    <cellStyle name="Normal 4 6 7 3 2" xfId="14450" xr:uid="{25D5F50D-F95D-473B-9727-18662E9019C6}"/>
    <cellStyle name="Normal 4 6 7 4" xfId="10232" xr:uid="{2122A13E-B2C1-42FB-A6BA-CED58ABD2892}"/>
    <cellStyle name="Normal 4 6 8" xfId="2114" xr:uid="{00000000-0005-0000-0000-00009B160000}"/>
    <cellStyle name="Normal 4 6 8 2" xfId="4343" xr:uid="{00000000-0005-0000-0000-00009C160000}"/>
    <cellStyle name="Normal 4 6 8 2 2" xfId="8566" xr:uid="{00000000-0005-0000-0000-00009D160000}"/>
    <cellStyle name="Normal 4 6 8 2 2 2" xfId="17008" xr:uid="{8CE948B1-5805-42B9-B8A9-C6FD5FD43C4E}"/>
    <cellStyle name="Normal 4 6 8 2 3" xfId="12790" xr:uid="{227F469B-894A-47C3-B6D6-13EE0821BD67}"/>
    <cellStyle name="Normal 4 6 8 3" xfId="6421" xr:uid="{00000000-0005-0000-0000-00009E160000}"/>
    <cellStyle name="Normal 4 6 8 3 2" xfId="14863" xr:uid="{DE3DAAFF-A260-4173-8168-B596335B01C1}"/>
    <cellStyle name="Normal 4 6 8 4" xfId="10645" xr:uid="{FC6C101C-BAE5-4ED8-A284-65E11DCB9AA4}"/>
    <cellStyle name="Normal 4 6 9" xfId="2550" xr:uid="{00000000-0005-0000-0000-00009F160000}"/>
    <cellStyle name="Normal 4 6 9 2" xfId="6834" xr:uid="{00000000-0005-0000-0000-0000A0160000}"/>
    <cellStyle name="Normal 4 6 9 2 2" xfId="15276" xr:uid="{EAB6DC3E-D94A-45D4-9445-1C0597654C4D}"/>
    <cellStyle name="Normal 4 6 9 3" xfId="11058" xr:uid="{EE32A2D2-A48F-4F04-828C-87BE243BF861}"/>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72CE330D-F677-48BC-BBFA-79C56C5F810F}"/>
    <cellStyle name="Normal 4 7 2 2 2 3" xfId="11560" xr:uid="{D8E2CC48-3195-4933-9CC1-7C96CD313A87}"/>
    <cellStyle name="Normal 4 7 2 2 3" xfId="5191" xr:uid="{00000000-0005-0000-0000-0000A6160000}"/>
    <cellStyle name="Normal 4 7 2 2 3 2" xfId="13633" xr:uid="{0702E208-10E6-4B96-9BC5-DCDBB70249BB}"/>
    <cellStyle name="Normal 4 7 2 2 4" xfId="9415" xr:uid="{993B2D8E-B310-4E17-A76D-01C663128DFE}"/>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AED3DDC5-0496-4FE6-838D-D25ED30228BB}"/>
    <cellStyle name="Normal 4 7 2 3 2 3" xfId="11973" xr:uid="{93422E22-8CDD-47D1-A3A3-F196E6FD5DE1}"/>
    <cellStyle name="Normal 4 7 2 3 3" xfId="5604" xr:uid="{00000000-0005-0000-0000-0000AA160000}"/>
    <cellStyle name="Normal 4 7 2 3 3 2" xfId="14046" xr:uid="{6C9F0C17-208F-4380-AB6E-B2F67D2085F1}"/>
    <cellStyle name="Normal 4 7 2 3 4" xfId="9828" xr:uid="{3702D82D-1E48-481F-BC57-12F70103A4B8}"/>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88E1F895-82EA-4AE8-9857-2041F617CF4F}"/>
    <cellStyle name="Normal 4 7 2 4 2 3" xfId="12386" xr:uid="{53384BE3-34ED-4336-8BBD-C5E8955516C4}"/>
    <cellStyle name="Normal 4 7 2 4 3" xfId="6017" xr:uid="{00000000-0005-0000-0000-0000AE160000}"/>
    <cellStyle name="Normal 4 7 2 4 3 2" xfId="14459" xr:uid="{3F167314-7B01-4161-A7D2-8A565F274A2C}"/>
    <cellStyle name="Normal 4 7 2 4 4" xfId="10241" xr:uid="{9DB617CE-939A-40E2-AFEE-BEF1BEF217BA}"/>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D2797B5B-D9F6-43A0-ACF2-06B5AC1BF0AF}"/>
    <cellStyle name="Normal 4 7 2 5 2 3" xfId="12799" xr:uid="{479C0788-F648-45E7-A228-32AE6842F0BA}"/>
    <cellStyle name="Normal 4 7 2 5 3" xfId="6430" xr:uid="{00000000-0005-0000-0000-0000B2160000}"/>
    <cellStyle name="Normal 4 7 2 5 3 2" xfId="14872" xr:uid="{81C46DE2-8FDA-46B1-84C7-A1E2BF6B2A61}"/>
    <cellStyle name="Normal 4 7 2 5 4" xfId="10654" xr:uid="{56BA8EF9-D225-4B99-B832-278160784AB3}"/>
    <cellStyle name="Normal 4 7 2 6" xfId="2559" xr:uid="{00000000-0005-0000-0000-0000B3160000}"/>
    <cellStyle name="Normal 4 7 2 6 2" xfId="6843" xr:uid="{00000000-0005-0000-0000-0000B4160000}"/>
    <cellStyle name="Normal 4 7 2 6 2 2" xfId="15285" xr:uid="{0CB51504-0850-4617-896F-65BF18D4E2DE}"/>
    <cellStyle name="Normal 4 7 2 6 3" xfId="11067" xr:uid="{7B80AA5C-B502-49F7-B35F-E9D25AAA91EE}"/>
    <cellStyle name="Normal 4 7 2 7" xfId="4778" xr:uid="{00000000-0005-0000-0000-0000B5160000}"/>
    <cellStyle name="Normal 4 7 2 7 2" xfId="13220" xr:uid="{CC130E87-80EF-4296-97C4-CF0E8CA77969}"/>
    <cellStyle name="Normal 4 7 2 8" xfId="9002" xr:uid="{F040FE4D-4843-4C69-AEF3-852B6357F02D}"/>
    <cellStyle name="Normal 4 7 3" xfId="877" xr:uid="{00000000-0005-0000-0000-0000B6160000}"/>
    <cellStyle name="Normal 4 7 3 2" xfId="3112" xr:uid="{00000000-0005-0000-0000-0000B7160000}"/>
    <cellStyle name="Normal 4 7 3 2 2" xfId="7335" xr:uid="{00000000-0005-0000-0000-0000B8160000}"/>
    <cellStyle name="Normal 4 7 3 2 2 2" xfId="15777" xr:uid="{F6493F14-F99D-45F8-9BF1-51AC96637AAB}"/>
    <cellStyle name="Normal 4 7 3 2 3" xfId="11559" xr:uid="{38AACE7D-650E-485A-A84C-C5768410B27E}"/>
    <cellStyle name="Normal 4 7 3 3" xfId="5190" xr:uid="{00000000-0005-0000-0000-0000B9160000}"/>
    <cellStyle name="Normal 4 7 3 3 2" xfId="13632" xr:uid="{560CCA10-0A21-473C-842A-873F6FEA546C}"/>
    <cellStyle name="Normal 4 7 3 4" xfId="9414" xr:uid="{9437B2E5-0CC1-488E-AA20-20E8C6A14170}"/>
    <cellStyle name="Normal 4 7 4" xfId="1295" xr:uid="{00000000-0005-0000-0000-0000BA160000}"/>
    <cellStyle name="Normal 4 7 4 2" xfId="3525" xr:uid="{00000000-0005-0000-0000-0000BB160000}"/>
    <cellStyle name="Normal 4 7 4 2 2" xfId="7748" xr:uid="{00000000-0005-0000-0000-0000BC160000}"/>
    <cellStyle name="Normal 4 7 4 2 2 2" xfId="16190" xr:uid="{DEF5B91F-C2AA-487F-8D9A-EC444D897700}"/>
    <cellStyle name="Normal 4 7 4 2 3" xfId="11972" xr:uid="{726848AB-5F72-4BD1-B7B9-98E95F717339}"/>
    <cellStyle name="Normal 4 7 4 3" xfId="5603" xr:uid="{00000000-0005-0000-0000-0000BD160000}"/>
    <cellStyle name="Normal 4 7 4 3 2" xfId="14045" xr:uid="{29B109AE-9CBE-4E45-9F12-9972B258E002}"/>
    <cellStyle name="Normal 4 7 4 4" xfId="9827" xr:uid="{9DF3BEE0-1615-435C-AE79-6D33F3DEA27E}"/>
    <cellStyle name="Normal 4 7 5" xfId="1708" xr:uid="{00000000-0005-0000-0000-0000BE160000}"/>
    <cellStyle name="Normal 4 7 5 2" xfId="3938" xr:uid="{00000000-0005-0000-0000-0000BF160000}"/>
    <cellStyle name="Normal 4 7 5 2 2" xfId="8161" xr:uid="{00000000-0005-0000-0000-0000C0160000}"/>
    <cellStyle name="Normal 4 7 5 2 2 2" xfId="16603" xr:uid="{32D089C0-C7D3-4104-915F-4BD9AAB796A2}"/>
    <cellStyle name="Normal 4 7 5 2 3" xfId="12385" xr:uid="{1615C5D0-AC4F-487E-B45D-6C77F5835818}"/>
    <cellStyle name="Normal 4 7 5 3" xfId="6016" xr:uid="{00000000-0005-0000-0000-0000C1160000}"/>
    <cellStyle name="Normal 4 7 5 3 2" xfId="14458" xr:uid="{31DF3DDD-6AE9-48E6-A9CC-738BF2BFD5C9}"/>
    <cellStyle name="Normal 4 7 5 4" xfId="10240" xr:uid="{A82901EC-8656-44EF-933A-A10C9299CD74}"/>
    <cellStyle name="Normal 4 7 6" xfId="2122" xr:uid="{00000000-0005-0000-0000-0000C2160000}"/>
    <cellStyle name="Normal 4 7 6 2" xfId="4351" xr:uid="{00000000-0005-0000-0000-0000C3160000}"/>
    <cellStyle name="Normal 4 7 6 2 2" xfId="8574" xr:uid="{00000000-0005-0000-0000-0000C4160000}"/>
    <cellStyle name="Normal 4 7 6 2 2 2" xfId="17016" xr:uid="{772AE186-7967-4DB4-9BD9-F0313AB5F6BB}"/>
    <cellStyle name="Normal 4 7 6 2 3" xfId="12798" xr:uid="{EC933B2C-4006-4078-AEE0-F74D575757E9}"/>
    <cellStyle name="Normal 4 7 6 3" xfId="6429" xr:uid="{00000000-0005-0000-0000-0000C5160000}"/>
    <cellStyle name="Normal 4 7 6 3 2" xfId="14871" xr:uid="{3F5F3B37-A41E-47CC-B0BB-B9BFECCCDF99}"/>
    <cellStyle name="Normal 4 7 6 4" xfId="10653" xr:uid="{EA33263A-E083-4A5B-AB61-0B0C32F9184B}"/>
    <cellStyle name="Normal 4 7 7" xfId="2558" xr:uid="{00000000-0005-0000-0000-0000C6160000}"/>
    <cellStyle name="Normal 4 7 7 2" xfId="6842" xr:uid="{00000000-0005-0000-0000-0000C7160000}"/>
    <cellStyle name="Normal 4 7 7 2 2" xfId="15284" xr:uid="{288DF09F-C9E8-43F8-83D5-8539ADDB284D}"/>
    <cellStyle name="Normal 4 7 7 3" xfId="11066" xr:uid="{A6A8BD2C-E93C-41FF-BEEA-EF04D1483FB0}"/>
    <cellStyle name="Normal 4 7 8" xfId="4777" xr:uid="{00000000-0005-0000-0000-0000C8160000}"/>
    <cellStyle name="Normal 4 7 8 2" xfId="13219" xr:uid="{02ACCB6A-43FB-4EC6-9384-526E36241BA1}"/>
    <cellStyle name="Normal 4 7 9" xfId="9001" xr:uid="{36932FC3-16DD-4600-835B-6A3915C1EF23}"/>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3560D43D-E867-4BE3-9C24-8BBE2B7A68C3}"/>
    <cellStyle name="Normal 4 8 2 2 3" xfId="11561" xr:uid="{6E973512-57CB-4C15-8B41-76912C1198DC}"/>
    <cellStyle name="Normal 4 8 2 3" xfId="5192" xr:uid="{00000000-0005-0000-0000-0000CD160000}"/>
    <cellStyle name="Normal 4 8 2 3 2" xfId="13634" xr:uid="{4DD0DA69-0937-42CF-8412-C87BEBF5D4A7}"/>
    <cellStyle name="Normal 4 8 2 4" xfId="9416" xr:uid="{89035F8E-A336-4749-89E5-8952E40BEF35}"/>
    <cellStyle name="Normal 4 8 3" xfId="1297" xr:uid="{00000000-0005-0000-0000-0000CE160000}"/>
    <cellStyle name="Normal 4 8 3 2" xfId="3527" xr:uid="{00000000-0005-0000-0000-0000CF160000}"/>
    <cellStyle name="Normal 4 8 3 2 2" xfId="7750" xr:uid="{00000000-0005-0000-0000-0000D0160000}"/>
    <cellStyle name="Normal 4 8 3 2 2 2" xfId="16192" xr:uid="{D44CC7FB-EE09-4579-B8E3-A27E9A894FE9}"/>
    <cellStyle name="Normal 4 8 3 2 3" xfId="11974" xr:uid="{AC97047A-368F-44FD-9533-5D8DA5F24F96}"/>
    <cellStyle name="Normal 4 8 3 3" xfId="5605" xr:uid="{00000000-0005-0000-0000-0000D1160000}"/>
    <cellStyle name="Normal 4 8 3 3 2" xfId="14047" xr:uid="{14F2B68A-078E-4F46-A2FB-0D7CC3405C79}"/>
    <cellStyle name="Normal 4 8 3 4" xfId="9829" xr:uid="{4152B78B-7762-465A-B421-AE4CC0DBEBF4}"/>
    <cellStyle name="Normal 4 8 4" xfId="1710" xr:uid="{00000000-0005-0000-0000-0000D2160000}"/>
    <cellStyle name="Normal 4 8 4 2" xfId="3940" xr:uid="{00000000-0005-0000-0000-0000D3160000}"/>
    <cellStyle name="Normal 4 8 4 2 2" xfId="8163" xr:uid="{00000000-0005-0000-0000-0000D4160000}"/>
    <cellStyle name="Normal 4 8 4 2 2 2" xfId="16605" xr:uid="{27810BD9-54CD-4C6D-97A6-CBD98A780DC3}"/>
    <cellStyle name="Normal 4 8 4 2 3" xfId="12387" xr:uid="{7D151435-2CEF-48D2-9F3D-9DE136FC62B9}"/>
    <cellStyle name="Normal 4 8 4 3" xfId="6018" xr:uid="{00000000-0005-0000-0000-0000D5160000}"/>
    <cellStyle name="Normal 4 8 4 3 2" xfId="14460" xr:uid="{9E5021E4-C545-46C0-A089-0BC3D42C8DA6}"/>
    <cellStyle name="Normal 4 8 4 4" xfId="10242" xr:uid="{B5A8383C-0BFD-480F-9ED2-6435F026EAA8}"/>
    <cellStyle name="Normal 4 8 5" xfId="2124" xr:uid="{00000000-0005-0000-0000-0000D6160000}"/>
    <cellStyle name="Normal 4 8 5 2" xfId="4353" xr:uid="{00000000-0005-0000-0000-0000D7160000}"/>
    <cellStyle name="Normal 4 8 5 2 2" xfId="8576" xr:uid="{00000000-0005-0000-0000-0000D8160000}"/>
    <cellStyle name="Normal 4 8 5 2 2 2" xfId="17018" xr:uid="{638D5E47-574F-467E-8468-EADCF6476C62}"/>
    <cellStyle name="Normal 4 8 5 2 3" xfId="12800" xr:uid="{F576312C-8FED-4CF2-AC9C-E83CF9E22C6F}"/>
    <cellStyle name="Normal 4 8 5 3" xfId="6431" xr:uid="{00000000-0005-0000-0000-0000D9160000}"/>
    <cellStyle name="Normal 4 8 5 3 2" xfId="14873" xr:uid="{975B9739-A630-4F0A-AD9F-C5AAAC45BBFF}"/>
    <cellStyle name="Normal 4 8 5 4" xfId="10655" xr:uid="{7A34D009-0AA7-41FA-ADD8-24100C013932}"/>
    <cellStyle name="Normal 4 8 6" xfId="2560" xr:uid="{00000000-0005-0000-0000-0000DA160000}"/>
    <cellStyle name="Normal 4 8 6 2" xfId="6844" xr:uid="{00000000-0005-0000-0000-0000DB160000}"/>
    <cellStyle name="Normal 4 8 6 2 2" xfId="15286" xr:uid="{D8A6F5C2-7C5A-4445-A89F-CAFE99E82A2D}"/>
    <cellStyle name="Normal 4 8 6 3" xfId="11068" xr:uid="{D06E49D0-0227-497C-AA0D-2880AEE6DC51}"/>
    <cellStyle name="Normal 4 8 7" xfId="4779" xr:uid="{00000000-0005-0000-0000-0000DC160000}"/>
    <cellStyle name="Normal 4 8 7 2" xfId="13221" xr:uid="{C9C92D1D-8CAC-43D0-9827-4E35B618A3F5}"/>
    <cellStyle name="Normal 4 8 8" xfId="9003" xr:uid="{4FF61102-9008-42A1-99A9-0FCE18F58AD5}"/>
    <cellStyle name="Normal 4 9" xfId="4716" xr:uid="{00000000-0005-0000-0000-0000DD160000}"/>
    <cellStyle name="Normal 4 9 2" xfId="13158" xr:uid="{B39F4C76-EF90-49FF-B769-03E1F008A8BC}"/>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ADE77423-220A-4F54-8A07-8B6970AD3402}"/>
    <cellStyle name="Normal 5 10 2 3" xfId="12388" xr:uid="{55514B35-D776-4AEF-9BD0-5AE36530F79C}"/>
    <cellStyle name="Normal 5 10 3" xfId="6019" xr:uid="{00000000-0005-0000-0000-0000E2160000}"/>
    <cellStyle name="Normal 5 10 3 2" xfId="14461" xr:uid="{6598A283-78D4-46A7-961D-514E992C01F3}"/>
    <cellStyle name="Normal 5 10 4" xfId="10243" xr:uid="{D44BAB0E-D424-4A40-8450-F8B2C72F788A}"/>
    <cellStyle name="Normal 5 11" xfId="2125" xr:uid="{00000000-0005-0000-0000-0000E3160000}"/>
    <cellStyle name="Normal 5 11 2" xfId="4354" xr:uid="{00000000-0005-0000-0000-0000E4160000}"/>
    <cellStyle name="Normal 5 11 2 2" xfId="8577" xr:uid="{00000000-0005-0000-0000-0000E5160000}"/>
    <cellStyle name="Normal 5 11 2 2 2" xfId="17019" xr:uid="{FABF2C65-5EAC-40AD-B5F9-568555A0D8D2}"/>
    <cellStyle name="Normal 5 11 2 3" xfId="12801" xr:uid="{043ADB72-3510-4476-B3C0-A23121334EB3}"/>
    <cellStyle name="Normal 5 11 3" xfId="6432" xr:uid="{00000000-0005-0000-0000-0000E6160000}"/>
    <cellStyle name="Normal 5 11 3 2" xfId="14874" xr:uid="{0DF42325-981A-4495-AD2D-4FA72EBD2D52}"/>
    <cellStyle name="Normal 5 11 4" xfId="10656" xr:uid="{CDFDE423-E479-4AD4-BBE2-845EB451370B}"/>
    <cellStyle name="Normal 5 12" xfId="2561" xr:uid="{00000000-0005-0000-0000-0000E7160000}"/>
    <cellStyle name="Normal 5 12 2" xfId="6845" xr:uid="{00000000-0005-0000-0000-0000E8160000}"/>
    <cellStyle name="Normal 5 12 2 2" xfId="15287" xr:uid="{2E547927-FE23-404F-9897-A18FFC418FFC}"/>
    <cellStyle name="Normal 5 12 3" xfId="11069" xr:uid="{D4E31BD2-9787-463E-B1D5-805ACB1924CE}"/>
    <cellStyle name="Normal 5 13" xfId="4780" xr:uid="{00000000-0005-0000-0000-0000E9160000}"/>
    <cellStyle name="Normal 5 13 2" xfId="13222" xr:uid="{C5C7963F-9B10-4DD9-9676-EF96E89ED00E}"/>
    <cellStyle name="Normal 5 14" xfId="9004" xr:uid="{15D64106-8087-4451-A043-E19394EDE7E8}"/>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5B7E9B22-E8FC-4BBB-A636-23A6CD2D5F5A}"/>
    <cellStyle name="Normal 5 2 10 2 3" xfId="12802" xr:uid="{3FF2E843-94DE-488E-94DE-A3D36A9A4C17}"/>
    <cellStyle name="Normal 5 2 10 3" xfId="6433" xr:uid="{00000000-0005-0000-0000-0000EE160000}"/>
    <cellStyle name="Normal 5 2 10 3 2" xfId="14875" xr:uid="{835400A9-6BE9-4DDC-96F0-F4FEF6E75683}"/>
    <cellStyle name="Normal 5 2 10 4" xfId="10657" xr:uid="{A066829A-2F0D-4187-A2B1-9ABFD3B956CE}"/>
    <cellStyle name="Normal 5 2 11" xfId="2562" xr:uid="{00000000-0005-0000-0000-0000EF160000}"/>
    <cellStyle name="Normal 5 2 11 2" xfId="6846" xr:uid="{00000000-0005-0000-0000-0000F0160000}"/>
    <cellStyle name="Normal 5 2 11 2 2" xfId="15288" xr:uid="{9C2A0514-02F4-4F84-BCC9-266BC2AB99A7}"/>
    <cellStyle name="Normal 5 2 11 3" xfId="11070" xr:uid="{79DBDBF8-9C39-4934-B5C7-32DE02B86A31}"/>
    <cellStyle name="Normal 5 2 12" xfId="4781" xr:uid="{00000000-0005-0000-0000-0000F1160000}"/>
    <cellStyle name="Normal 5 2 12 2" xfId="13223" xr:uid="{3E62507A-4062-4A73-838C-B3991AE267B7}"/>
    <cellStyle name="Normal 5 2 13" xfId="9005" xr:uid="{6F67FEE0-094C-4C5E-BFBB-D85CB5BB2DD6}"/>
    <cellStyle name="Normal 5 2 2" xfId="408" xr:uid="{00000000-0005-0000-0000-0000F2160000}"/>
    <cellStyle name="Normal 5 2 2 10" xfId="2563" xr:uid="{00000000-0005-0000-0000-0000F3160000}"/>
    <cellStyle name="Normal 5 2 2 10 2" xfId="6847" xr:uid="{00000000-0005-0000-0000-0000F4160000}"/>
    <cellStyle name="Normal 5 2 2 10 2 2" xfId="15289" xr:uid="{7C6F391C-6DE4-4CEF-B923-71D32BD8EE13}"/>
    <cellStyle name="Normal 5 2 2 10 3" xfId="11071" xr:uid="{EE2BC990-27E7-4DDA-9888-8712311AA244}"/>
    <cellStyle name="Normal 5 2 2 11" xfId="4782" xr:uid="{00000000-0005-0000-0000-0000F5160000}"/>
    <cellStyle name="Normal 5 2 2 11 2" xfId="13224" xr:uid="{B8935247-EC4F-4E63-BD0E-FDF62BF5E3BA}"/>
    <cellStyle name="Normal 5 2 2 12" xfId="9006" xr:uid="{4C032350-C741-4931-90D4-67AEFD727413}"/>
    <cellStyle name="Normal 5 2 2 2" xfId="409" xr:uid="{00000000-0005-0000-0000-0000F6160000}"/>
    <cellStyle name="Normal 5 2 2 2 10" xfId="4783" xr:uid="{00000000-0005-0000-0000-0000F7160000}"/>
    <cellStyle name="Normal 5 2 2 2 10 2" xfId="13225" xr:uid="{0268D1A9-CE4A-4DCD-992C-4A628D219BC3}"/>
    <cellStyle name="Normal 5 2 2 2 11" xfId="9007" xr:uid="{BB45F42F-EBA6-4941-B0DF-6660F28DCBD7}"/>
    <cellStyle name="Normal 5 2 2 2 2" xfId="410" xr:uid="{00000000-0005-0000-0000-0000F8160000}"/>
    <cellStyle name="Normal 5 2 2 2 2 10" xfId="9008" xr:uid="{C89FA3A2-C449-4CE8-9119-DC8AA65F1C86}"/>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6BE587B8-2C34-4A3D-8ADC-C7440BDEB8E8}"/>
    <cellStyle name="Normal 5 2 2 2 2 2 2 2 2 3" xfId="11568" xr:uid="{158A7C6F-B85B-4DB9-8521-BC0C904B87E0}"/>
    <cellStyle name="Normal 5 2 2 2 2 2 2 2 3" xfId="5199" xr:uid="{00000000-0005-0000-0000-0000FE160000}"/>
    <cellStyle name="Normal 5 2 2 2 2 2 2 2 3 2" xfId="13641" xr:uid="{C8759630-D89C-4D0F-B9B4-96A8AB5F8D26}"/>
    <cellStyle name="Normal 5 2 2 2 2 2 2 2 4" xfId="9423" xr:uid="{11D8DE6A-3033-4E88-8B0F-51A10A95D2E2}"/>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FE328032-3955-41FD-8A31-51F9AA24922D}"/>
    <cellStyle name="Normal 5 2 2 2 2 2 2 3 2 3" xfId="11981" xr:uid="{E2645F1D-977F-49E7-93BA-028578AB778B}"/>
    <cellStyle name="Normal 5 2 2 2 2 2 2 3 3" xfId="5612" xr:uid="{00000000-0005-0000-0000-000002170000}"/>
    <cellStyle name="Normal 5 2 2 2 2 2 2 3 3 2" xfId="14054" xr:uid="{32AF6A66-4468-4E5E-9A1C-02215BF9A325}"/>
    <cellStyle name="Normal 5 2 2 2 2 2 2 3 4" xfId="9836" xr:uid="{A9D7FC96-2FD1-4DB8-8228-3A60AB0EEF25}"/>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502ED2A6-E3B8-4278-BE10-3D471DD755B5}"/>
    <cellStyle name="Normal 5 2 2 2 2 2 2 4 2 3" xfId="12394" xr:uid="{56FFA887-FAF7-4A84-9658-42FFDAB5E875}"/>
    <cellStyle name="Normal 5 2 2 2 2 2 2 4 3" xfId="6025" xr:uid="{00000000-0005-0000-0000-000006170000}"/>
    <cellStyle name="Normal 5 2 2 2 2 2 2 4 3 2" xfId="14467" xr:uid="{C322D550-BE50-47AB-B64B-26B939D10490}"/>
    <cellStyle name="Normal 5 2 2 2 2 2 2 4 4" xfId="10249" xr:uid="{90C35C47-176A-4CD1-BEA2-1580C3AAE644}"/>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BBDD7D06-6B07-4B2F-B706-B0D64DC393C6}"/>
    <cellStyle name="Normal 5 2 2 2 2 2 2 5 2 3" xfId="12807" xr:uid="{C43FC2D2-DC62-425F-848F-C2DB158AA13D}"/>
    <cellStyle name="Normal 5 2 2 2 2 2 2 5 3" xfId="6438" xr:uid="{00000000-0005-0000-0000-00000A170000}"/>
    <cellStyle name="Normal 5 2 2 2 2 2 2 5 3 2" xfId="14880" xr:uid="{5DE5FC29-A22A-4DDE-AC00-4E7FA68699EC}"/>
    <cellStyle name="Normal 5 2 2 2 2 2 2 5 4" xfId="10662" xr:uid="{9D839F7C-4E1F-4C57-8FF7-2AE70096C28A}"/>
    <cellStyle name="Normal 5 2 2 2 2 2 2 6" xfId="2567" xr:uid="{00000000-0005-0000-0000-00000B170000}"/>
    <cellStyle name="Normal 5 2 2 2 2 2 2 6 2" xfId="6851" xr:uid="{00000000-0005-0000-0000-00000C170000}"/>
    <cellStyle name="Normal 5 2 2 2 2 2 2 6 2 2" xfId="15293" xr:uid="{8749B5DB-8DE9-40A6-8021-B38B696F1ABE}"/>
    <cellStyle name="Normal 5 2 2 2 2 2 2 6 3" xfId="11075" xr:uid="{A8C08FDE-B82B-461F-AA64-7BBA401BA7B8}"/>
    <cellStyle name="Normal 5 2 2 2 2 2 2 7" xfId="4786" xr:uid="{00000000-0005-0000-0000-00000D170000}"/>
    <cellStyle name="Normal 5 2 2 2 2 2 2 7 2" xfId="13228" xr:uid="{39D3ED39-F60A-4CD3-B485-DC402C75BDC3}"/>
    <cellStyle name="Normal 5 2 2 2 2 2 2 8" xfId="9010" xr:uid="{BBDE8580-7339-4A5F-9E4E-79C0352BD974}"/>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3F0D0841-03B1-4342-B051-9F1919052315}"/>
    <cellStyle name="Normal 5 2 2 2 2 2 3 2 3" xfId="11567" xr:uid="{D6B51950-75B5-4A9D-859B-689F8D0D8C78}"/>
    <cellStyle name="Normal 5 2 2 2 2 2 3 3" xfId="5198" xr:uid="{00000000-0005-0000-0000-000011170000}"/>
    <cellStyle name="Normal 5 2 2 2 2 2 3 3 2" xfId="13640" xr:uid="{1B70292D-DC5F-4881-A265-11E0C9A52AA2}"/>
    <cellStyle name="Normal 5 2 2 2 2 2 3 4" xfId="9422" xr:uid="{90425731-1223-481B-9295-955E37EC6147}"/>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C9F177B2-7FF1-4F73-BC8A-329B91402395}"/>
    <cellStyle name="Normal 5 2 2 2 2 2 4 2 3" xfId="11980" xr:uid="{F6BAB447-923E-42E4-A049-60240370508C}"/>
    <cellStyle name="Normal 5 2 2 2 2 2 4 3" xfId="5611" xr:uid="{00000000-0005-0000-0000-000015170000}"/>
    <cellStyle name="Normal 5 2 2 2 2 2 4 3 2" xfId="14053" xr:uid="{24741A00-5A75-45B3-A46D-74BE50386C50}"/>
    <cellStyle name="Normal 5 2 2 2 2 2 4 4" xfId="9835" xr:uid="{D2358A19-6D7B-4CEF-AFBA-F51EDFB10CF4}"/>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80BBEF0E-475C-49A2-A789-DFAC743FA12B}"/>
    <cellStyle name="Normal 5 2 2 2 2 2 5 2 3" xfId="12393" xr:uid="{7D7681DC-CA90-4284-A7AD-F0111EC14402}"/>
    <cellStyle name="Normal 5 2 2 2 2 2 5 3" xfId="6024" xr:uid="{00000000-0005-0000-0000-000019170000}"/>
    <cellStyle name="Normal 5 2 2 2 2 2 5 3 2" xfId="14466" xr:uid="{8E4E1155-2119-40B5-9370-F7D850C2616B}"/>
    <cellStyle name="Normal 5 2 2 2 2 2 5 4" xfId="10248" xr:uid="{648AB72F-5B3A-4BCD-947F-5ADDB11F00F3}"/>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F65E3CF4-3C2A-4040-AFA0-0A648FFCB790}"/>
    <cellStyle name="Normal 5 2 2 2 2 2 6 2 3" xfId="12806" xr:uid="{30DA8341-C4D9-4560-AE75-659BDD925448}"/>
    <cellStyle name="Normal 5 2 2 2 2 2 6 3" xfId="6437" xr:uid="{00000000-0005-0000-0000-00001D170000}"/>
    <cellStyle name="Normal 5 2 2 2 2 2 6 3 2" xfId="14879" xr:uid="{17FF3E16-7CFD-43A7-BAB2-07CF9664311C}"/>
    <cellStyle name="Normal 5 2 2 2 2 2 6 4" xfId="10661" xr:uid="{8276BD31-A5A7-45EF-91E0-DB5BCD4F57B4}"/>
    <cellStyle name="Normal 5 2 2 2 2 2 7" xfId="2566" xr:uid="{00000000-0005-0000-0000-00001E170000}"/>
    <cellStyle name="Normal 5 2 2 2 2 2 7 2" xfId="6850" xr:uid="{00000000-0005-0000-0000-00001F170000}"/>
    <cellStyle name="Normal 5 2 2 2 2 2 7 2 2" xfId="15292" xr:uid="{DB5C4332-BA8E-4328-801F-7F69A46AA355}"/>
    <cellStyle name="Normal 5 2 2 2 2 2 7 3" xfId="11074" xr:uid="{DF257BDB-F3F2-402C-B941-449177089B2C}"/>
    <cellStyle name="Normal 5 2 2 2 2 2 8" xfId="4785" xr:uid="{00000000-0005-0000-0000-000020170000}"/>
    <cellStyle name="Normal 5 2 2 2 2 2 8 2" xfId="13227" xr:uid="{A2067118-8A34-4C5B-8766-357455667A48}"/>
    <cellStyle name="Normal 5 2 2 2 2 2 9" xfId="9009" xr:uid="{B8D23733-48BB-439C-AB02-0300A1C107E6}"/>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45E27B84-2C9F-4487-9235-4E06E6BF8C7F}"/>
    <cellStyle name="Normal 5 2 2 2 2 3 2 2 3" xfId="11569" xr:uid="{F9452E3A-41DC-4CF7-AE86-7B41D6B514AF}"/>
    <cellStyle name="Normal 5 2 2 2 2 3 2 3" xfId="5200" xr:uid="{00000000-0005-0000-0000-000025170000}"/>
    <cellStyle name="Normal 5 2 2 2 2 3 2 3 2" xfId="13642" xr:uid="{7BDFC6A7-DD3E-4D4B-B4A8-2C252F7B5D9D}"/>
    <cellStyle name="Normal 5 2 2 2 2 3 2 4" xfId="9424" xr:uid="{7D17A7A6-D4CD-4E90-B43C-3C645C88644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200C0472-9982-4306-847A-9AED5E45D0D3}"/>
    <cellStyle name="Normal 5 2 2 2 2 3 3 2 3" xfId="11982" xr:uid="{2976397D-5D8D-4305-B6C1-D891EB402268}"/>
    <cellStyle name="Normal 5 2 2 2 2 3 3 3" xfId="5613" xr:uid="{00000000-0005-0000-0000-000029170000}"/>
    <cellStyle name="Normal 5 2 2 2 2 3 3 3 2" xfId="14055" xr:uid="{02D5C4DF-222D-4B25-9937-4AA766F2FF3E}"/>
    <cellStyle name="Normal 5 2 2 2 2 3 3 4" xfId="9837" xr:uid="{13CA9703-2D09-42B3-B87E-CE91E2965C2E}"/>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F053C75F-2E7F-42A6-AEBE-72467E3BEAF2}"/>
    <cellStyle name="Normal 5 2 2 2 2 3 4 2 3" xfId="12395" xr:uid="{E153E4AA-7A89-4943-8015-F729648E390F}"/>
    <cellStyle name="Normal 5 2 2 2 2 3 4 3" xfId="6026" xr:uid="{00000000-0005-0000-0000-00002D170000}"/>
    <cellStyle name="Normal 5 2 2 2 2 3 4 3 2" xfId="14468" xr:uid="{C2CCC6AC-D661-4264-A8E0-7FBD67DA260F}"/>
    <cellStyle name="Normal 5 2 2 2 2 3 4 4" xfId="10250" xr:uid="{E9A4AAAC-7FF4-4404-8632-25B27FDF97FC}"/>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C483F3B3-3730-448A-AC6B-DBE89B1BCC03}"/>
    <cellStyle name="Normal 5 2 2 2 2 3 5 2 3" xfId="12808" xr:uid="{01026658-63EC-4E0C-8C23-DC5E35F86783}"/>
    <cellStyle name="Normal 5 2 2 2 2 3 5 3" xfId="6439" xr:uid="{00000000-0005-0000-0000-000031170000}"/>
    <cellStyle name="Normal 5 2 2 2 2 3 5 3 2" xfId="14881" xr:uid="{51D9574F-E5D4-463E-A97A-9F9E4019DC50}"/>
    <cellStyle name="Normal 5 2 2 2 2 3 5 4" xfId="10663" xr:uid="{84FA7BB3-CB4C-46C7-8A08-69EEF2150635}"/>
    <cellStyle name="Normal 5 2 2 2 2 3 6" xfId="2568" xr:uid="{00000000-0005-0000-0000-000032170000}"/>
    <cellStyle name="Normal 5 2 2 2 2 3 6 2" xfId="6852" xr:uid="{00000000-0005-0000-0000-000033170000}"/>
    <cellStyle name="Normal 5 2 2 2 2 3 6 2 2" xfId="15294" xr:uid="{789D291D-DBFF-43D7-B708-FFC21C84004A}"/>
    <cellStyle name="Normal 5 2 2 2 2 3 6 3" xfId="11076" xr:uid="{299C9434-F415-4E8F-8008-DA6E6EBE3F16}"/>
    <cellStyle name="Normal 5 2 2 2 2 3 7" xfId="4787" xr:uid="{00000000-0005-0000-0000-000034170000}"/>
    <cellStyle name="Normal 5 2 2 2 2 3 7 2" xfId="13229" xr:uid="{F12FAA81-6999-42B3-BA3D-3C4BEFC71302}"/>
    <cellStyle name="Normal 5 2 2 2 2 3 8" xfId="9011" xr:uid="{87A72A6B-FFE3-4104-882A-147B5FE6F44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0F540005-FF8C-4A95-90FD-98832D46E267}"/>
    <cellStyle name="Normal 5 2 2 2 2 4 2 3" xfId="11566" xr:uid="{02B4C995-FD8B-4F74-A58D-8067A1614CA3}"/>
    <cellStyle name="Normal 5 2 2 2 2 4 3" xfId="5197" xr:uid="{00000000-0005-0000-0000-000038170000}"/>
    <cellStyle name="Normal 5 2 2 2 2 4 3 2" xfId="13639" xr:uid="{D2593D2F-6A7F-43B4-B0D6-6C3FE88B4AC8}"/>
    <cellStyle name="Normal 5 2 2 2 2 4 4" xfId="9421" xr:uid="{75C113BC-CAF7-418E-918D-8F4832547C0B}"/>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7340492E-EBAA-4D7A-8189-4E5598278BAB}"/>
    <cellStyle name="Normal 5 2 2 2 2 5 2 3" xfId="11979" xr:uid="{569871D1-1B66-4CC9-A1DC-ED60E050F380}"/>
    <cellStyle name="Normal 5 2 2 2 2 5 3" xfId="5610" xr:uid="{00000000-0005-0000-0000-00003C170000}"/>
    <cellStyle name="Normal 5 2 2 2 2 5 3 2" xfId="14052" xr:uid="{C3BBDAB2-7531-487F-A741-1871491A612F}"/>
    <cellStyle name="Normal 5 2 2 2 2 5 4" xfId="9834" xr:uid="{E22447D0-3125-4176-8A32-A27E738B2BBD}"/>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456DF5BD-299B-4FB5-BB1A-C2A9EC0B0FB6}"/>
    <cellStyle name="Normal 5 2 2 2 2 6 2 3" xfId="12392" xr:uid="{31490C1F-4831-4103-81E9-A61000228C2F}"/>
    <cellStyle name="Normal 5 2 2 2 2 6 3" xfId="6023" xr:uid="{00000000-0005-0000-0000-000040170000}"/>
    <cellStyle name="Normal 5 2 2 2 2 6 3 2" xfId="14465" xr:uid="{0F101B40-7115-46B3-9A15-BCD881543D10}"/>
    <cellStyle name="Normal 5 2 2 2 2 6 4" xfId="10247" xr:uid="{C8547C81-6357-4986-A4CA-832B9DE43F9E}"/>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2D645D0A-ACEE-471E-87FD-319563CF85E0}"/>
    <cellStyle name="Normal 5 2 2 2 2 7 2 3" xfId="12805" xr:uid="{51180626-99AF-4671-9049-FE69524F4BBE}"/>
    <cellStyle name="Normal 5 2 2 2 2 7 3" xfId="6436" xr:uid="{00000000-0005-0000-0000-000044170000}"/>
    <cellStyle name="Normal 5 2 2 2 2 7 3 2" xfId="14878" xr:uid="{28AA7D43-EB7A-4DAC-8383-5F8B425BD551}"/>
    <cellStyle name="Normal 5 2 2 2 2 7 4" xfId="10660" xr:uid="{A9FEF08F-C4F6-4E61-824A-A0498DAF7614}"/>
    <cellStyle name="Normal 5 2 2 2 2 8" xfId="2565" xr:uid="{00000000-0005-0000-0000-000045170000}"/>
    <cellStyle name="Normal 5 2 2 2 2 8 2" xfId="6849" xr:uid="{00000000-0005-0000-0000-000046170000}"/>
    <cellStyle name="Normal 5 2 2 2 2 8 2 2" xfId="15291" xr:uid="{73A4450E-8BD2-4275-A8D6-D68D4E103941}"/>
    <cellStyle name="Normal 5 2 2 2 2 8 3" xfId="11073" xr:uid="{DEB24304-8A2E-48CE-A920-5C3568B57A85}"/>
    <cellStyle name="Normal 5 2 2 2 2 9" xfId="4784" xr:uid="{00000000-0005-0000-0000-000047170000}"/>
    <cellStyle name="Normal 5 2 2 2 2 9 2" xfId="13226" xr:uid="{02E0C468-3EFB-4620-B4B7-47B4F25BE671}"/>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A8BFC12F-A67C-4FD9-A071-CD41DE4750B5}"/>
    <cellStyle name="Normal 5 2 2 2 3 2 2 2 3" xfId="11571" xr:uid="{286C8675-5351-4CEB-9632-07047E249C43}"/>
    <cellStyle name="Normal 5 2 2 2 3 2 2 3" xfId="5202" xr:uid="{00000000-0005-0000-0000-00004D170000}"/>
    <cellStyle name="Normal 5 2 2 2 3 2 2 3 2" xfId="13644" xr:uid="{3A27EF5C-8681-400D-B288-D11966C140FA}"/>
    <cellStyle name="Normal 5 2 2 2 3 2 2 4" xfId="9426" xr:uid="{C0D876B7-EB62-4CB7-BEC0-F016F002173B}"/>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6311B3B7-8329-4BE4-BDFC-642742584F98}"/>
    <cellStyle name="Normal 5 2 2 2 3 2 3 2 3" xfId="11984" xr:uid="{ABD02334-27ED-4F6D-B8E5-67DFFB320463}"/>
    <cellStyle name="Normal 5 2 2 2 3 2 3 3" xfId="5615" xr:uid="{00000000-0005-0000-0000-000051170000}"/>
    <cellStyle name="Normal 5 2 2 2 3 2 3 3 2" xfId="14057" xr:uid="{E54B2484-9F4F-4A0D-A9C0-E57C3DA8282D}"/>
    <cellStyle name="Normal 5 2 2 2 3 2 3 4" xfId="9839" xr:uid="{FEE7A52F-A46E-4B5F-BF69-D4125CB4A1A9}"/>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82C34604-AA00-4707-B7D9-CE27142EB13F}"/>
    <cellStyle name="Normal 5 2 2 2 3 2 4 2 3" xfId="12397" xr:uid="{73510338-7F84-41C5-AC41-31A17B2C0BE3}"/>
    <cellStyle name="Normal 5 2 2 2 3 2 4 3" xfId="6028" xr:uid="{00000000-0005-0000-0000-000055170000}"/>
    <cellStyle name="Normal 5 2 2 2 3 2 4 3 2" xfId="14470" xr:uid="{14FDEA5C-CF70-46F9-8D89-7FE8B7E6312F}"/>
    <cellStyle name="Normal 5 2 2 2 3 2 4 4" xfId="10252" xr:uid="{9F88CC84-7435-431A-AA05-B6EB6286082F}"/>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B3CE3110-1F4B-4DD1-905D-F2502A61D508}"/>
    <cellStyle name="Normal 5 2 2 2 3 2 5 2 3" xfId="12810" xr:uid="{67675452-2B36-4D4B-A3A7-D7F26B14D1A9}"/>
    <cellStyle name="Normal 5 2 2 2 3 2 5 3" xfId="6441" xr:uid="{00000000-0005-0000-0000-000059170000}"/>
    <cellStyle name="Normal 5 2 2 2 3 2 5 3 2" xfId="14883" xr:uid="{D3B3C93B-86E4-4BDC-B865-E7B88D5C80D8}"/>
    <cellStyle name="Normal 5 2 2 2 3 2 5 4" xfId="10665" xr:uid="{27217129-6615-4C0C-A40A-03F83FDC6CCC}"/>
    <cellStyle name="Normal 5 2 2 2 3 2 6" xfId="2570" xr:uid="{00000000-0005-0000-0000-00005A170000}"/>
    <cellStyle name="Normal 5 2 2 2 3 2 6 2" xfId="6854" xr:uid="{00000000-0005-0000-0000-00005B170000}"/>
    <cellStyle name="Normal 5 2 2 2 3 2 6 2 2" xfId="15296" xr:uid="{D23D82DB-5470-4D37-B679-56D44C505C08}"/>
    <cellStyle name="Normal 5 2 2 2 3 2 6 3" xfId="11078" xr:uid="{56A29667-4E41-4590-BE9D-E28FED1C5AC2}"/>
    <cellStyle name="Normal 5 2 2 2 3 2 7" xfId="4789" xr:uid="{00000000-0005-0000-0000-00005C170000}"/>
    <cellStyle name="Normal 5 2 2 2 3 2 7 2" xfId="13231" xr:uid="{1C2B9453-AC2A-46A1-BDEB-EC71F3F4505B}"/>
    <cellStyle name="Normal 5 2 2 2 3 2 8" xfId="9013" xr:uid="{BEA425EF-1819-4AC2-B47B-2999BF44E186}"/>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60D0F754-DD84-40F8-A4B3-C1D0DA2BC348}"/>
    <cellStyle name="Normal 5 2 2 2 3 3 2 3" xfId="11570" xr:uid="{5C822052-4C15-410B-86AE-1A3755AEA595}"/>
    <cellStyle name="Normal 5 2 2 2 3 3 3" xfId="5201" xr:uid="{00000000-0005-0000-0000-000060170000}"/>
    <cellStyle name="Normal 5 2 2 2 3 3 3 2" xfId="13643" xr:uid="{3DEA4E42-C6BD-4EC4-A83E-B62F12A31F46}"/>
    <cellStyle name="Normal 5 2 2 2 3 3 4" xfId="9425" xr:uid="{5E5D386F-3B22-4240-8FCC-22AF03E28B3A}"/>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13F3251D-5EED-4AAE-9482-F75F7B4680E9}"/>
    <cellStyle name="Normal 5 2 2 2 3 4 2 3" xfId="11983" xr:uid="{095C9841-56CF-4758-9697-934F9ADD4378}"/>
    <cellStyle name="Normal 5 2 2 2 3 4 3" xfId="5614" xr:uid="{00000000-0005-0000-0000-000064170000}"/>
    <cellStyle name="Normal 5 2 2 2 3 4 3 2" xfId="14056" xr:uid="{0EDF4674-60E7-4850-82A5-8919D81D8E0B}"/>
    <cellStyle name="Normal 5 2 2 2 3 4 4" xfId="9838" xr:uid="{FF7E652B-4A5A-4A44-BF5F-CBE28DC12481}"/>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4A28D4D1-5DA5-42DB-B0D4-BBA587D45A4B}"/>
    <cellStyle name="Normal 5 2 2 2 3 5 2 3" xfId="12396" xr:uid="{158AE446-4854-49C4-8A1D-923685D387C1}"/>
    <cellStyle name="Normal 5 2 2 2 3 5 3" xfId="6027" xr:uid="{00000000-0005-0000-0000-000068170000}"/>
    <cellStyle name="Normal 5 2 2 2 3 5 3 2" xfId="14469" xr:uid="{E30532D6-8C14-44AC-9796-1CB0FCBD65E0}"/>
    <cellStyle name="Normal 5 2 2 2 3 5 4" xfId="10251" xr:uid="{C370B974-7A18-431C-B9D3-1FC4A56EA0E8}"/>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74FB1537-75A5-4A33-B069-BBF63F3CC523}"/>
    <cellStyle name="Normal 5 2 2 2 3 6 2 3" xfId="12809" xr:uid="{6FAC766A-9FE2-4055-B75F-90184D253D34}"/>
    <cellStyle name="Normal 5 2 2 2 3 6 3" xfId="6440" xr:uid="{00000000-0005-0000-0000-00006C170000}"/>
    <cellStyle name="Normal 5 2 2 2 3 6 3 2" xfId="14882" xr:uid="{DE923E70-1584-4096-92AA-86D9C4B6E875}"/>
    <cellStyle name="Normal 5 2 2 2 3 6 4" xfId="10664" xr:uid="{AD76D416-4982-45C2-AAE2-87F3D1CD83A9}"/>
    <cellStyle name="Normal 5 2 2 2 3 7" xfId="2569" xr:uid="{00000000-0005-0000-0000-00006D170000}"/>
    <cellStyle name="Normal 5 2 2 2 3 7 2" xfId="6853" xr:uid="{00000000-0005-0000-0000-00006E170000}"/>
    <cellStyle name="Normal 5 2 2 2 3 7 2 2" xfId="15295" xr:uid="{53AE76CE-FFF2-48EF-A80C-CC640587F40F}"/>
    <cellStyle name="Normal 5 2 2 2 3 7 3" xfId="11077" xr:uid="{2ECDC3DE-E44E-4479-8DD2-92FBD94843F7}"/>
    <cellStyle name="Normal 5 2 2 2 3 8" xfId="4788" xr:uid="{00000000-0005-0000-0000-00006F170000}"/>
    <cellStyle name="Normal 5 2 2 2 3 8 2" xfId="13230" xr:uid="{D6CCBC6C-959A-45BF-AECC-AFD0D0055A6D}"/>
    <cellStyle name="Normal 5 2 2 2 3 9" xfId="9012" xr:uid="{596C9994-7B09-4CA9-AE42-7E4B7E52A9C2}"/>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EC366D43-256E-4277-80AE-4EF3100E88D1}"/>
    <cellStyle name="Normal 5 2 2 2 4 2 2 3" xfId="11572" xr:uid="{2EBC7EFD-49BF-4311-863C-C49B07ED5AF7}"/>
    <cellStyle name="Normal 5 2 2 2 4 2 3" xfId="5203" xr:uid="{00000000-0005-0000-0000-000074170000}"/>
    <cellStyle name="Normal 5 2 2 2 4 2 3 2" xfId="13645" xr:uid="{1DC644E5-EED1-444A-A16B-A5EE3BDE2DA2}"/>
    <cellStyle name="Normal 5 2 2 2 4 2 4" xfId="9427" xr:uid="{75D328FA-74DD-4E47-80D4-A969AEDE3133}"/>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097006FE-D7E1-4BF5-9800-FE7B9C15CBEA}"/>
    <cellStyle name="Normal 5 2 2 2 4 3 2 3" xfId="11985" xr:uid="{479D56E1-9D98-44E4-9987-1DD9EFF7C013}"/>
    <cellStyle name="Normal 5 2 2 2 4 3 3" xfId="5616" xr:uid="{00000000-0005-0000-0000-000078170000}"/>
    <cellStyle name="Normal 5 2 2 2 4 3 3 2" xfId="14058" xr:uid="{EA573E4F-3189-4AFD-87BB-77CF58CCB795}"/>
    <cellStyle name="Normal 5 2 2 2 4 3 4" xfId="9840" xr:uid="{B7623745-F7AB-4934-BE1D-A6AE0FBE0FDF}"/>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FA30349E-05F0-4BA2-9A46-4ECF602812E0}"/>
    <cellStyle name="Normal 5 2 2 2 4 4 2 3" xfId="12398" xr:uid="{CA4A95AA-BE70-48A8-A5BD-16F8DECF0FD3}"/>
    <cellStyle name="Normal 5 2 2 2 4 4 3" xfId="6029" xr:uid="{00000000-0005-0000-0000-00007C170000}"/>
    <cellStyle name="Normal 5 2 2 2 4 4 3 2" xfId="14471" xr:uid="{8E130B4A-B8DF-4385-AB5E-176AC96C4380}"/>
    <cellStyle name="Normal 5 2 2 2 4 4 4" xfId="10253" xr:uid="{A35692AE-D14F-46DC-B662-D3CED1657DB5}"/>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0FC09FBE-9173-425E-85AA-D23F99178E1D}"/>
    <cellStyle name="Normal 5 2 2 2 4 5 2 3" xfId="12811" xr:uid="{D628AFAB-4A6C-4848-A89B-7B75C408C1AB}"/>
    <cellStyle name="Normal 5 2 2 2 4 5 3" xfId="6442" xr:uid="{00000000-0005-0000-0000-000080170000}"/>
    <cellStyle name="Normal 5 2 2 2 4 5 3 2" xfId="14884" xr:uid="{462EA9B0-3595-42FF-ACA5-146FC30AE85F}"/>
    <cellStyle name="Normal 5 2 2 2 4 5 4" xfId="10666" xr:uid="{460E6CC0-C83E-4D8F-A071-8225FDCBD05E}"/>
    <cellStyle name="Normal 5 2 2 2 4 6" xfId="2571" xr:uid="{00000000-0005-0000-0000-000081170000}"/>
    <cellStyle name="Normal 5 2 2 2 4 6 2" xfId="6855" xr:uid="{00000000-0005-0000-0000-000082170000}"/>
    <cellStyle name="Normal 5 2 2 2 4 6 2 2" xfId="15297" xr:uid="{A4BE7267-6111-423B-A053-322C01A47F0D}"/>
    <cellStyle name="Normal 5 2 2 2 4 6 3" xfId="11079" xr:uid="{5C3507F8-05BA-4EA0-8C9B-71C958941D6E}"/>
    <cellStyle name="Normal 5 2 2 2 4 7" xfId="4790" xr:uid="{00000000-0005-0000-0000-000083170000}"/>
    <cellStyle name="Normal 5 2 2 2 4 7 2" xfId="13232" xr:uid="{0A2A7917-C042-4747-848C-6E1A389B84B5}"/>
    <cellStyle name="Normal 5 2 2 2 4 8" xfId="9014" xr:uid="{70D68DBB-418F-41E3-A541-1182916E1B0D}"/>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7B73ED70-FE99-4DD6-85AE-EB27189D6BF8}"/>
    <cellStyle name="Normal 5 2 2 2 5 2 3" xfId="11565" xr:uid="{0041638B-5A69-4D05-A031-321151A086C0}"/>
    <cellStyle name="Normal 5 2 2 2 5 3" xfId="5196" xr:uid="{00000000-0005-0000-0000-000087170000}"/>
    <cellStyle name="Normal 5 2 2 2 5 3 2" xfId="13638" xr:uid="{2714F9C3-4D61-40B2-9F63-33F80D11BEFC}"/>
    <cellStyle name="Normal 5 2 2 2 5 4" xfId="9420" xr:uid="{1D6CAA18-F9AB-46F9-86CD-4B6E97CF76C3}"/>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5FE950F4-5111-4B9D-9D12-9DF50584E727}"/>
    <cellStyle name="Normal 5 2 2 2 6 2 3" xfId="11978" xr:uid="{F1B5EC3F-D74B-4C58-AC56-D3B3EF784C1B}"/>
    <cellStyle name="Normal 5 2 2 2 6 3" xfId="5609" xr:uid="{00000000-0005-0000-0000-00008B170000}"/>
    <cellStyle name="Normal 5 2 2 2 6 3 2" xfId="14051" xr:uid="{27AFAA08-3B7A-4920-9C95-9209246B206D}"/>
    <cellStyle name="Normal 5 2 2 2 6 4" xfId="9833" xr:uid="{E3B02751-1F12-41AE-AF29-FA0229994358}"/>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6A317D4B-66A4-4BF4-B9D4-290DB5B88F0B}"/>
    <cellStyle name="Normal 5 2 2 2 7 2 3" xfId="12391" xr:uid="{5649EDB0-2211-43D0-935E-475D7978D899}"/>
    <cellStyle name="Normal 5 2 2 2 7 3" xfId="6022" xr:uid="{00000000-0005-0000-0000-00008F170000}"/>
    <cellStyle name="Normal 5 2 2 2 7 3 2" xfId="14464" xr:uid="{F7D6A2AB-0B65-4BFB-B306-8C81D644A3F4}"/>
    <cellStyle name="Normal 5 2 2 2 7 4" xfId="10246" xr:uid="{746B438D-E46E-44ED-A472-D7BA5ABF0DE2}"/>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2EACF6BD-A837-4DE4-AF5D-8C1A98288DBE}"/>
    <cellStyle name="Normal 5 2 2 2 8 2 3" xfId="12804" xr:uid="{EC6250E7-1EDC-4585-B3CF-0E597CF42A76}"/>
    <cellStyle name="Normal 5 2 2 2 8 3" xfId="6435" xr:uid="{00000000-0005-0000-0000-000093170000}"/>
    <cellStyle name="Normal 5 2 2 2 8 3 2" xfId="14877" xr:uid="{BFD49BD9-9EA8-4F2A-B112-9858113099C5}"/>
    <cellStyle name="Normal 5 2 2 2 8 4" xfId="10659" xr:uid="{16F025E7-05F8-4D32-B050-4CFCB0006F4F}"/>
    <cellStyle name="Normal 5 2 2 2 9" xfId="2564" xr:uid="{00000000-0005-0000-0000-000094170000}"/>
    <cellStyle name="Normal 5 2 2 2 9 2" xfId="6848" xr:uid="{00000000-0005-0000-0000-000095170000}"/>
    <cellStyle name="Normal 5 2 2 2 9 2 2" xfId="15290" xr:uid="{11D88698-8236-4A9A-9724-DF04BD86AA72}"/>
    <cellStyle name="Normal 5 2 2 2 9 3" xfId="11072" xr:uid="{86151F3B-BE51-44D0-BFE7-44C50917636B}"/>
    <cellStyle name="Normal 5 2 2 3" xfId="417" xr:uid="{00000000-0005-0000-0000-000096170000}"/>
    <cellStyle name="Normal 5 2 2 3 10" xfId="9015" xr:uid="{F1B570DF-ED47-4FFA-82DE-CC8F7186A4D1}"/>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48DB678F-E48C-4F33-B537-A3700503EFF8}"/>
    <cellStyle name="Normal 5 2 2 3 2 2 2 2 3" xfId="11575" xr:uid="{CAAFBD8C-09A4-498A-A84D-A7E43D33584C}"/>
    <cellStyle name="Normal 5 2 2 3 2 2 2 3" xfId="5206" xr:uid="{00000000-0005-0000-0000-00009C170000}"/>
    <cellStyle name="Normal 5 2 2 3 2 2 2 3 2" xfId="13648" xr:uid="{C8E22B15-BFD4-4FBD-B2A6-8673A86E3449}"/>
    <cellStyle name="Normal 5 2 2 3 2 2 2 4" xfId="9430" xr:uid="{4E6C3DD9-1014-4F52-A477-6E96FB5647DE}"/>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971F4FD2-3A19-44F4-B45B-96D11E35E141}"/>
    <cellStyle name="Normal 5 2 2 3 2 2 3 2 3" xfId="11988" xr:uid="{8285F996-E4B9-4D5C-9B58-6FD7A3BF2B7D}"/>
    <cellStyle name="Normal 5 2 2 3 2 2 3 3" xfId="5619" xr:uid="{00000000-0005-0000-0000-0000A0170000}"/>
    <cellStyle name="Normal 5 2 2 3 2 2 3 3 2" xfId="14061" xr:uid="{790F19DC-E64D-40A5-AE4F-3DB7D99DF09D}"/>
    <cellStyle name="Normal 5 2 2 3 2 2 3 4" xfId="9843" xr:uid="{36C677CF-06A8-43EE-AA95-D68226B1DAFE}"/>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58F38D82-A12A-41C9-BF72-C3B168592169}"/>
    <cellStyle name="Normal 5 2 2 3 2 2 4 2 3" xfId="12401" xr:uid="{3029B4F1-9FB4-459D-BA42-525F57256221}"/>
    <cellStyle name="Normal 5 2 2 3 2 2 4 3" xfId="6032" xr:uid="{00000000-0005-0000-0000-0000A4170000}"/>
    <cellStyle name="Normal 5 2 2 3 2 2 4 3 2" xfId="14474" xr:uid="{8512515A-2DCF-41FB-B7D7-8DA1C02E3880}"/>
    <cellStyle name="Normal 5 2 2 3 2 2 4 4" xfId="10256" xr:uid="{015CDA29-007A-456F-ADE1-9174ED81A5D8}"/>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6709BB59-E1B2-4526-9102-431E5C24870D}"/>
    <cellStyle name="Normal 5 2 2 3 2 2 5 2 3" xfId="12814" xr:uid="{FD4BCC07-03AB-4872-BD58-FDD60F77A5F8}"/>
    <cellStyle name="Normal 5 2 2 3 2 2 5 3" xfId="6445" xr:uid="{00000000-0005-0000-0000-0000A8170000}"/>
    <cellStyle name="Normal 5 2 2 3 2 2 5 3 2" xfId="14887" xr:uid="{1CD7CCDF-506F-4A38-9D8A-39BF61636305}"/>
    <cellStyle name="Normal 5 2 2 3 2 2 5 4" xfId="10669" xr:uid="{170FD6FA-A276-46E0-AEDD-4589CDC04E49}"/>
    <cellStyle name="Normal 5 2 2 3 2 2 6" xfId="2574" xr:uid="{00000000-0005-0000-0000-0000A9170000}"/>
    <cellStyle name="Normal 5 2 2 3 2 2 6 2" xfId="6858" xr:uid="{00000000-0005-0000-0000-0000AA170000}"/>
    <cellStyle name="Normal 5 2 2 3 2 2 6 2 2" xfId="15300" xr:uid="{43A6E78A-B554-44A5-B335-A6A6EEAF812E}"/>
    <cellStyle name="Normal 5 2 2 3 2 2 6 3" xfId="11082" xr:uid="{BDC0CBDB-9BB2-402F-8391-28A2265FBFB2}"/>
    <cellStyle name="Normal 5 2 2 3 2 2 7" xfId="4793" xr:uid="{00000000-0005-0000-0000-0000AB170000}"/>
    <cellStyle name="Normal 5 2 2 3 2 2 7 2" xfId="13235" xr:uid="{57A5B118-EFBD-4749-B381-35026046BBC2}"/>
    <cellStyle name="Normal 5 2 2 3 2 2 8" xfId="9017" xr:uid="{2D39D8ED-6819-49AB-8915-2A37CB6EE8D8}"/>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01E9DC17-3CBD-4556-B28F-A83A9AEEDAE3}"/>
    <cellStyle name="Normal 5 2 2 3 2 3 2 3" xfId="11574" xr:uid="{F63C4BF7-C107-4B30-BC02-7FE1518C0139}"/>
    <cellStyle name="Normal 5 2 2 3 2 3 3" xfId="5205" xr:uid="{00000000-0005-0000-0000-0000AF170000}"/>
    <cellStyle name="Normal 5 2 2 3 2 3 3 2" xfId="13647" xr:uid="{EFF0A5E9-CAFA-4AF5-88ED-77201DAB74C4}"/>
    <cellStyle name="Normal 5 2 2 3 2 3 4" xfId="9429" xr:uid="{541FC977-95EB-431C-B44E-4FAA954B30AA}"/>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3AFCB294-55CD-4488-8EAA-9A43C198799B}"/>
    <cellStyle name="Normal 5 2 2 3 2 4 2 3" xfId="11987" xr:uid="{86770217-55BF-4EA6-8978-40D82CEBD69E}"/>
    <cellStyle name="Normal 5 2 2 3 2 4 3" xfId="5618" xr:uid="{00000000-0005-0000-0000-0000B3170000}"/>
    <cellStyle name="Normal 5 2 2 3 2 4 3 2" xfId="14060" xr:uid="{04FE518E-72D4-4052-AA7F-3C0C61875754}"/>
    <cellStyle name="Normal 5 2 2 3 2 4 4" xfId="9842" xr:uid="{D6A45959-E5C7-44EF-A5F4-F9C5BF0BBB0E}"/>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4AA17268-5B2B-4C01-8DA6-6648215A796E}"/>
    <cellStyle name="Normal 5 2 2 3 2 5 2 3" xfId="12400" xr:uid="{C4B496AD-5BCB-42FF-B8F5-19B4EFAFD71B}"/>
    <cellStyle name="Normal 5 2 2 3 2 5 3" xfId="6031" xr:uid="{00000000-0005-0000-0000-0000B7170000}"/>
    <cellStyle name="Normal 5 2 2 3 2 5 3 2" xfId="14473" xr:uid="{DDDC574F-AE84-4A97-B16C-13091910D8F3}"/>
    <cellStyle name="Normal 5 2 2 3 2 5 4" xfId="10255" xr:uid="{811C5310-379C-4682-9A3E-63E1E5D8F545}"/>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7070E76B-A06B-4CD7-8D52-C70FA17EA2B1}"/>
    <cellStyle name="Normal 5 2 2 3 2 6 2 3" xfId="12813" xr:uid="{37589CEA-833C-4BC8-A087-567735EFDACA}"/>
    <cellStyle name="Normal 5 2 2 3 2 6 3" xfId="6444" xr:uid="{00000000-0005-0000-0000-0000BB170000}"/>
    <cellStyle name="Normal 5 2 2 3 2 6 3 2" xfId="14886" xr:uid="{888A4983-A2E2-40C4-A186-FC3C438FB0C6}"/>
    <cellStyle name="Normal 5 2 2 3 2 6 4" xfId="10668" xr:uid="{F0816F6B-D82C-4388-8DC4-6361DB3ABA55}"/>
    <cellStyle name="Normal 5 2 2 3 2 7" xfId="2573" xr:uid="{00000000-0005-0000-0000-0000BC170000}"/>
    <cellStyle name="Normal 5 2 2 3 2 7 2" xfId="6857" xr:uid="{00000000-0005-0000-0000-0000BD170000}"/>
    <cellStyle name="Normal 5 2 2 3 2 7 2 2" xfId="15299" xr:uid="{88A72EAF-2018-44ED-A869-BC6AF29421F4}"/>
    <cellStyle name="Normal 5 2 2 3 2 7 3" xfId="11081" xr:uid="{304EB4A8-40B3-4405-A201-A901E84D51A7}"/>
    <cellStyle name="Normal 5 2 2 3 2 8" xfId="4792" xr:uid="{00000000-0005-0000-0000-0000BE170000}"/>
    <cellStyle name="Normal 5 2 2 3 2 8 2" xfId="13234" xr:uid="{E4BBB72D-132F-4F7A-BE66-F66D9277E74D}"/>
    <cellStyle name="Normal 5 2 2 3 2 9" xfId="9016" xr:uid="{7F95937B-E528-423D-AE49-008F96BFED58}"/>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1EFBE988-9246-44B0-9E46-C9CE567F0D94}"/>
    <cellStyle name="Normal 5 2 2 3 3 2 2 3" xfId="11576" xr:uid="{919F0E76-7E79-4F9E-9CF6-A300C61B6772}"/>
    <cellStyle name="Normal 5 2 2 3 3 2 3" xfId="5207" xr:uid="{00000000-0005-0000-0000-0000C3170000}"/>
    <cellStyle name="Normal 5 2 2 3 3 2 3 2" xfId="13649" xr:uid="{8EC54DF0-13D3-4630-9155-F2BC7E262E8C}"/>
    <cellStyle name="Normal 5 2 2 3 3 2 4" xfId="9431" xr:uid="{AA23AC18-D270-48B2-9E7C-875A095C59B2}"/>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3ACD3938-0EC8-42D8-9477-6DB3B9A31418}"/>
    <cellStyle name="Normal 5 2 2 3 3 3 2 3" xfId="11989" xr:uid="{04A1DCB2-4571-462A-A0BD-0EEE2E92EA00}"/>
    <cellStyle name="Normal 5 2 2 3 3 3 3" xfId="5620" xr:uid="{00000000-0005-0000-0000-0000C7170000}"/>
    <cellStyle name="Normal 5 2 2 3 3 3 3 2" xfId="14062" xr:uid="{24BDA354-A097-438E-99E5-31DC16EFD8F3}"/>
    <cellStyle name="Normal 5 2 2 3 3 3 4" xfId="9844" xr:uid="{5B395C67-3B70-4701-BDA1-FC94F5D736A4}"/>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24EE73B4-0EAC-43DF-9FE4-D933C4B5594F}"/>
    <cellStyle name="Normal 5 2 2 3 3 4 2 3" xfId="12402" xr:uid="{BFA4CC72-776E-4DC4-B320-894729CCD971}"/>
    <cellStyle name="Normal 5 2 2 3 3 4 3" xfId="6033" xr:uid="{00000000-0005-0000-0000-0000CB170000}"/>
    <cellStyle name="Normal 5 2 2 3 3 4 3 2" xfId="14475" xr:uid="{9A936F7B-BB3E-4A7D-AFA4-5666E7289CC8}"/>
    <cellStyle name="Normal 5 2 2 3 3 4 4" xfId="10257" xr:uid="{33DB9109-94F8-48C5-BAC9-2BDE71111872}"/>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AC5F5298-5C3A-4D79-9699-09F788E9F9A7}"/>
    <cellStyle name="Normal 5 2 2 3 3 5 2 3" xfId="12815" xr:uid="{BEEE3919-A7C1-4D29-B067-D67940955E95}"/>
    <cellStyle name="Normal 5 2 2 3 3 5 3" xfId="6446" xr:uid="{00000000-0005-0000-0000-0000CF170000}"/>
    <cellStyle name="Normal 5 2 2 3 3 5 3 2" xfId="14888" xr:uid="{73E05775-6818-4FEA-9AB3-4689F6DF5B4C}"/>
    <cellStyle name="Normal 5 2 2 3 3 5 4" xfId="10670" xr:uid="{82C4F6D1-B9F3-4188-BD00-E0912ABC7A3E}"/>
    <cellStyle name="Normal 5 2 2 3 3 6" xfId="2575" xr:uid="{00000000-0005-0000-0000-0000D0170000}"/>
    <cellStyle name="Normal 5 2 2 3 3 6 2" xfId="6859" xr:uid="{00000000-0005-0000-0000-0000D1170000}"/>
    <cellStyle name="Normal 5 2 2 3 3 6 2 2" xfId="15301" xr:uid="{30D76B9E-EC03-45DF-8464-98AE49B06C57}"/>
    <cellStyle name="Normal 5 2 2 3 3 6 3" xfId="11083" xr:uid="{7395E1B2-EB88-47CD-B4FD-869370ECF2BA}"/>
    <cellStyle name="Normal 5 2 2 3 3 7" xfId="4794" xr:uid="{00000000-0005-0000-0000-0000D2170000}"/>
    <cellStyle name="Normal 5 2 2 3 3 7 2" xfId="13236" xr:uid="{B6F0770B-59FF-4D9B-9365-2778E3A35812}"/>
    <cellStyle name="Normal 5 2 2 3 3 8" xfId="9018" xr:uid="{416CCAC8-0E3E-48A0-A319-34BEB84AF96D}"/>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CCEE5C80-4F67-4378-A81C-CD3C88B16F84}"/>
    <cellStyle name="Normal 5 2 2 3 4 2 3" xfId="11573" xr:uid="{6E431CF1-8E09-4824-92F9-CA6CAE546F19}"/>
    <cellStyle name="Normal 5 2 2 3 4 3" xfId="5204" xr:uid="{00000000-0005-0000-0000-0000D6170000}"/>
    <cellStyle name="Normal 5 2 2 3 4 3 2" xfId="13646" xr:uid="{3CBC1764-23C9-4491-A9BE-4E38559714D1}"/>
    <cellStyle name="Normal 5 2 2 3 4 4" xfId="9428" xr:uid="{43A8FE79-AE00-4B59-956C-86D1F8CD0C04}"/>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D6BCD9FE-ACF0-4C1B-9726-B4C4C3C46AF1}"/>
    <cellStyle name="Normal 5 2 2 3 5 2 3" xfId="11986" xr:uid="{DBF7EE8B-BB63-400E-8C65-BB2BE210970D}"/>
    <cellStyle name="Normal 5 2 2 3 5 3" xfId="5617" xr:uid="{00000000-0005-0000-0000-0000DA170000}"/>
    <cellStyle name="Normal 5 2 2 3 5 3 2" xfId="14059" xr:uid="{7D871110-D71F-426B-8D02-F512403F5167}"/>
    <cellStyle name="Normal 5 2 2 3 5 4" xfId="9841" xr:uid="{B04475EC-6E4E-4651-8C4C-DDD8A36F57F8}"/>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1CAF1744-C9E2-4F96-9B7A-5A65372C0993}"/>
    <cellStyle name="Normal 5 2 2 3 6 2 3" xfId="12399" xr:uid="{ED8CC665-9DF9-4508-95FF-8ED305E9EC36}"/>
    <cellStyle name="Normal 5 2 2 3 6 3" xfId="6030" xr:uid="{00000000-0005-0000-0000-0000DE170000}"/>
    <cellStyle name="Normal 5 2 2 3 6 3 2" xfId="14472" xr:uid="{E189402E-9823-4C04-94FB-F3B91A62E05C}"/>
    <cellStyle name="Normal 5 2 2 3 6 4" xfId="10254" xr:uid="{0A575961-8E25-4C3F-AFC8-8D4C12F77AA8}"/>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67FA4433-3169-494F-ADB3-46339EF88678}"/>
    <cellStyle name="Normal 5 2 2 3 7 2 3" xfId="12812" xr:uid="{F05F02E6-6D1A-4953-9EF5-13F0B5D5C0D9}"/>
    <cellStyle name="Normal 5 2 2 3 7 3" xfId="6443" xr:uid="{00000000-0005-0000-0000-0000E2170000}"/>
    <cellStyle name="Normal 5 2 2 3 7 3 2" xfId="14885" xr:uid="{4A77C065-3FE5-48A0-8408-04D4A5330347}"/>
    <cellStyle name="Normal 5 2 2 3 7 4" xfId="10667" xr:uid="{CC7BD52A-D589-40F0-94EC-299EC7BBD7B0}"/>
    <cellStyle name="Normal 5 2 2 3 8" xfId="2572" xr:uid="{00000000-0005-0000-0000-0000E3170000}"/>
    <cellStyle name="Normal 5 2 2 3 8 2" xfId="6856" xr:uid="{00000000-0005-0000-0000-0000E4170000}"/>
    <cellStyle name="Normal 5 2 2 3 8 2 2" xfId="15298" xr:uid="{229D12E7-CD82-4F94-9827-08E649AE87D2}"/>
    <cellStyle name="Normal 5 2 2 3 8 3" xfId="11080" xr:uid="{66F62B8E-E2A9-47A8-9ED8-94638F57ACA2}"/>
    <cellStyle name="Normal 5 2 2 3 9" xfId="4791" xr:uid="{00000000-0005-0000-0000-0000E5170000}"/>
    <cellStyle name="Normal 5 2 2 3 9 2" xfId="13233" xr:uid="{2D469BFB-8AD4-42BA-9067-BD2B544332DB}"/>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ED3F9688-E635-4EFD-9406-D7C56BF0E08E}"/>
    <cellStyle name="Normal 5 2 2 4 2 2 2 3" xfId="11578" xr:uid="{9489E96D-6063-4AF1-A877-4F4FDB7FB094}"/>
    <cellStyle name="Normal 5 2 2 4 2 2 3" xfId="5209" xr:uid="{00000000-0005-0000-0000-0000EB170000}"/>
    <cellStyle name="Normal 5 2 2 4 2 2 3 2" xfId="13651" xr:uid="{389CF792-63F8-42CA-8533-25ADD8266AB1}"/>
    <cellStyle name="Normal 5 2 2 4 2 2 4" xfId="9433" xr:uid="{4D99A7F8-D61F-4D03-BEF2-D7ACD8FE0B42}"/>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8FB04B7E-5711-4D4C-BBC4-AF43465D6989}"/>
    <cellStyle name="Normal 5 2 2 4 2 3 2 3" xfId="11991" xr:uid="{8AC985F6-9E89-4B28-BB7E-29A15CFF7A2E}"/>
    <cellStyle name="Normal 5 2 2 4 2 3 3" xfId="5622" xr:uid="{00000000-0005-0000-0000-0000EF170000}"/>
    <cellStyle name="Normal 5 2 2 4 2 3 3 2" xfId="14064" xr:uid="{D05A7616-9D5D-4C77-9B14-9078664BC6CF}"/>
    <cellStyle name="Normal 5 2 2 4 2 3 4" xfId="9846" xr:uid="{EA439AF8-D21D-46AE-BBDF-66BD175CF5E1}"/>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0F0DCB3A-DF54-4BDC-AB25-F358D639F5FE}"/>
    <cellStyle name="Normal 5 2 2 4 2 4 2 3" xfId="12404" xr:uid="{18A9E73A-D8FA-4F39-A32B-9F6915717164}"/>
    <cellStyle name="Normal 5 2 2 4 2 4 3" xfId="6035" xr:uid="{00000000-0005-0000-0000-0000F3170000}"/>
    <cellStyle name="Normal 5 2 2 4 2 4 3 2" xfId="14477" xr:uid="{5A9A4115-8F5C-44D3-9EDD-3BA7852C45BC}"/>
    <cellStyle name="Normal 5 2 2 4 2 4 4" xfId="10259" xr:uid="{7A85EF9C-8418-4DF3-A1BF-EA493D787C04}"/>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B68A07FD-6755-4B3F-92EC-24B279AD6A8D}"/>
    <cellStyle name="Normal 5 2 2 4 2 5 2 3" xfId="12817" xr:uid="{CD6FE8C0-D48C-4130-A5A6-48C259B99CA3}"/>
    <cellStyle name="Normal 5 2 2 4 2 5 3" xfId="6448" xr:uid="{00000000-0005-0000-0000-0000F7170000}"/>
    <cellStyle name="Normal 5 2 2 4 2 5 3 2" xfId="14890" xr:uid="{9C43A394-1F58-4A43-8C96-30E52777B6F5}"/>
    <cellStyle name="Normal 5 2 2 4 2 5 4" xfId="10672" xr:uid="{86A03724-A53E-4F90-B7F1-E64ECDAA4A5B}"/>
    <cellStyle name="Normal 5 2 2 4 2 6" xfId="2577" xr:uid="{00000000-0005-0000-0000-0000F8170000}"/>
    <cellStyle name="Normal 5 2 2 4 2 6 2" xfId="6861" xr:uid="{00000000-0005-0000-0000-0000F9170000}"/>
    <cellStyle name="Normal 5 2 2 4 2 6 2 2" xfId="15303" xr:uid="{F99DA968-3453-4D3F-9EAE-D51837516084}"/>
    <cellStyle name="Normal 5 2 2 4 2 6 3" xfId="11085" xr:uid="{6E77921F-763B-4A43-A02E-1829752B71FD}"/>
    <cellStyle name="Normal 5 2 2 4 2 7" xfId="4796" xr:uid="{00000000-0005-0000-0000-0000FA170000}"/>
    <cellStyle name="Normal 5 2 2 4 2 7 2" xfId="13238" xr:uid="{B9B2DB99-54A8-48D9-A147-54BC2CB57A1D}"/>
    <cellStyle name="Normal 5 2 2 4 2 8" xfId="9020" xr:uid="{52D10CAC-9A68-498C-94F4-3C2AB582A8A2}"/>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F670FDF8-17EC-4744-A76B-B5E7FC744F3F}"/>
    <cellStyle name="Normal 5 2 2 4 3 2 3" xfId="11577" xr:uid="{19848BE5-9C4A-4156-9176-B20E27FFB0F0}"/>
    <cellStyle name="Normal 5 2 2 4 3 3" xfId="5208" xr:uid="{00000000-0005-0000-0000-0000FE170000}"/>
    <cellStyle name="Normal 5 2 2 4 3 3 2" xfId="13650" xr:uid="{6A538904-80AF-4CD0-8531-523F57BA198B}"/>
    <cellStyle name="Normal 5 2 2 4 3 4" xfId="9432" xr:uid="{10218C6C-91E2-426D-A563-81FC0ECE6EDC}"/>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5A368897-86EE-4C0B-9F0C-887948919A53}"/>
    <cellStyle name="Normal 5 2 2 4 4 2 3" xfId="11990" xr:uid="{1AA71D8E-2A5C-4B02-97A1-1820D637C7C2}"/>
    <cellStyle name="Normal 5 2 2 4 4 3" xfId="5621" xr:uid="{00000000-0005-0000-0000-000002180000}"/>
    <cellStyle name="Normal 5 2 2 4 4 3 2" xfId="14063" xr:uid="{85FC30F7-7D58-4BB4-85D6-3F670DBA89B2}"/>
    <cellStyle name="Normal 5 2 2 4 4 4" xfId="9845" xr:uid="{517812D6-45C9-4A75-9500-E75DB4EB3877}"/>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13A1247A-B898-4ABF-88D7-0B5E5ECAD715}"/>
    <cellStyle name="Normal 5 2 2 4 5 2 3" xfId="12403" xr:uid="{04705928-F2B1-497E-8BC4-4950584C541C}"/>
    <cellStyle name="Normal 5 2 2 4 5 3" xfId="6034" xr:uid="{00000000-0005-0000-0000-000006180000}"/>
    <cellStyle name="Normal 5 2 2 4 5 3 2" xfId="14476" xr:uid="{C7C76165-6CF1-4B14-9611-064506836FDA}"/>
    <cellStyle name="Normal 5 2 2 4 5 4" xfId="10258" xr:uid="{4D8E56A5-00BD-4975-AC8D-5B5FCC2FBBBD}"/>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E3932AB8-9061-462B-B067-23941282C714}"/>
    <cellStyle name="Normal 5 2 2 4 6 2 3" xfId="12816" xr:uid="{6B31F5A3-6151-4414-B1FB-18890BDBD031}"/>
    <cellStyle name="Normal 5 2 2 4 6 3" xfId="6447" xr:uid="{00000000-0005-0000-0000-00000A180000}"/>
    <cellStyle name="Normal 5 2 2 4 6 3 2" xfId="14889" xr:uid="{A1E0478C-44C8-4417-BFD0-94245139253C}"/>
    <cellStyle name="Normal 5 2 2 4 6 4" xfId="10671" xr:uid="{9B75754A-D3AA-42D5-A5D8-5C7FED7A2F9E}"/>
    <cellStyle name="Normal 5 2 2 4 7" xfId="2576" xr:uid="{00000000-0005-0000-0000-00000B180000}"/>
    <cellStyle name="Normal 5 2 2 4 7 2" xfId="6860" xr:uid="{00000000-0005-0000-0000-00000C180000}"/>
    <cellStyle name="Normal 5 2 2 4 7 2 2" xfId="15302" xr:uid="{8BABA99A-D498-4676-B89E-0AA79D599152}"/>
    <cellStyle name="Normal 5 2 2 4 7 3" xfId="11084" xr:uid="{6FA030E8-B205-472F-85ED-4E52661A2901}"/>
    <cellStyle name="Normal 5 2 2 4 8" xfId="4795" xr:uid="{00000000-0005-0000-0000-00000D180000}"/>
    <cellStyle name="Normal 5 2 2 4 8 2" xfId="13237" xr:uid="{9E3F8024-B2E6-47CF-B33F-E6E804EF82B8}"/>
    <cellStyle name="Normal 5 2 2 4 9" xfId="9019" xr:uid="{1A9B2E9F-4D7C-45FB-ABCB-7BA9D09E3FB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19745279-B516-4C2D-873C-65644B7AB6A6}"/>
    <cellStyle name="Normal 5 2 2 5 2 2 3" xfId="11579" xr:uid="{E2CC05C9-D81B-417D-997C-80AE53A2DB25}"/>
    <cellStyle name="Normal 5 2 2 5 2 3" xfId="5210" xr:uid="{00000000-0005-0000-0000-000012180000}"/>
    <cellStyle name="Normal 5 2 2 5 2 3 2" xfId="13652" xr:uid="{9817C032-3678-4A73-B172-59642E2A6D00}"/>
    <cellStyle name="Normal 5 2 2 5 2 4" xfId="9434" xr:uid="{113F8884-7450-4BD2-91BF-F8304875FF95}"/>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AF3C3362-322E-497A-80D7-34FDB6726399}"/>
    <cellStyle name="Normal 5 2 2 5 3 2 3" xfId="11992" xr:uid="{860A2E95-25BD-43B8-ABF3-8AA1E81027F5}"/>
    <cellStyle name="Normal 5 2 2 5 3 3" xfId="5623" xr:uid="{00000000-0005-0000-0000-000016180000}"/>
    <cellStyle name="Normal 5 2 2 5 3 3 2" xfId="14065" xr:uid="{DB3D6765-08CF-4011-AD1A-A4192716BB37}"/>
    <cellStyle name="Normal 5 2 2 5 3 4" xfId="9847" xr:uid="{DA6428AB-EA9B-4067-AA92-64E1F1914D9C}"/>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1326D55F-8A6F-4B38-80DF-C59CCB91FD86}"/>
    <cellStyle name="Normal 5 2 2 5 4 2 3" xfId="12405" xr:uid="{F478D171-7B66-48D9-BB97-C648CC47847C}"/>
    <cellStyle name="Normal 5 2 2 5 4 3" xfId="6036" xr:uid="{00000000-0005-0000-0000-00001A180000}"/>
    <cellStyle name="Normal 5 2 2 5 4 3 2" xfId="14478" xr:uid="{ED1369FD-DE6D-4418-BDD6-37B47D09BE3C}"/>
    <cellStyle name="Normal 5 2 2 5 4 4" xfId="10260" xr:uid="{D8B4A0AD-6F70-4391-8790-7263D20D1C16}"/>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F1BE5B6A-23A0-4FB0-AA32-4CCC5493197D}"/>
    <cellStyle name="Normal 5 2 2 5 5 2 3" xfId="12818" xr:uid="{D6BC5E59-4DB9-4C8F-A262-E55625838206}"/>
    <cellStyle name="Normal 5 2 2 5 5 3" xfId="6449" xr:uid="{00000000-0005-0000-0000-00001E180000}"/>
    <cellStyle name="Normal 5 2 2 5 5 3 2" xfId="14891" xr:uid="{0E28BA08-4B75-4536-A910-C115BFFC1C4F}"/>
    <cellStyle name="Normal 5 2 2 5 5 4" xfId="10673" xr:uid="{7580ADE9-8C6C-46AE-B427-C8F387E575A1}"/>
    <cellStyle name="Normal 5 2 2 5 6" xfId="2578" xr:uid="{00000000-0005-0000-0000-00001F180000}"/>
    <cellStyle name="Normal 5 2 2 5 6 2" xfId="6862" xr:uid="{00000000-0005-0000-0000-000020180000}"/>
    <cellStyle name="Normal 5 2 2 5 6 2 2" xfId="15304" xr:uid="{98766C5E-5A0A-44C2-9996-3F79E8E63A09}"/>
    <cellStyle name="Normal 5 2 2 5 6 3" xfId="11086" xr:uid="{DD02D8A5-847A-4F65-BE23-81C21CAB3828}"/>
    <cellStyle name="Normal 5 2 2 5 7" xfId="4797" xr:uid="{00000000-0005-0000-0000-000021180000}"/>
    <cellStyle name="Normal 5 2 2 5 7 2" xfId="13239" xr:uid="{916BE64E-AE87-437C-8C8A-06E1C3D1C040}"/>
    <cellStyle name="Normal 5 2 2 5 8" xfId="9021" xr:uid="{0F782DAC-CA1D-4D36-8229-3C42ABDD2E13}"/>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2CA9DAFE-B659-4220-BFB2-0647D4A0E6F9}"/>
    <cellStyle name="Normal 5 2 2 6 2 3" xfId="11564" xr:uid="{3DBF9BA7-1EE5-458B-B6AD-1438FC08FECE}"/>
    <cellStyle name="Normal 5 2 2 6 3" xfId="5195" xr:uid="{00000000-0005-0000-0000-000025180000}"/>
    <cellStyle name="Normal 5 2 2 6 3 2" xfId="13637" xr:uid="{6DE3945A-6912-42DC-83C1-679482778ECC}"/>
    <cellStyle name="Normal 5 2 2 6 4" xfId="9419" xr:uid="{C72F6969-1C64-49C2-AB1E-DAF3BD1F1261}"/>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73A2B7CA-95D4-435E-A531-4B2E824E7E9A}"/>
    <cellStyle name="Normal 5 2 2 7 2 3" xfId="11977" xr:uid="{123EAC34-D429-49F8-8839-BD76F32A2C64}"/>
    <cellStyle name="Normal 5 2 2 7 3" xfId="5608" xr:uid="{00000000-0005-0000-0000-000029180000}"/>
    <cellStyle name="Normal 5 2 2 7 3 2" xfId="14050" xr:uid="{0660FD6E-0B0E-4EE3-ABAF-72680EE393CC}"/>
    <cellStyle name="Normal 5 2 2 7 4" xfId="9832" xr:uid="{DADD2ADF-9849-422A-8D64-7181F48F793E}"/>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6F20D84D-46C7-4B7D-AF05-0A9887447F11}"/>
    <cellStyle name="Normal 5 2 2 8 2 3" xfId="12390" xr:uid="{C6390B56-A303-451E-A4A3-0FA96898B2DC}"/>
    <cellStyle name="Normal 5 2 2 8 3" xfId="6021" xr:uid="{00000000-0005-0000-0000-00002D180000}"/>
    <cellStyle name="Normal 5 2 2 8 3 2" xfId="14463" xr:uid="{4663218C-571F-47B9-80BF-B7ABDA2F8BBA}"/>
    <cellStyle name="Normal 5 2 2 8 4" xfId="10245" xr:uid="{4E4F89DA-1D69-4CDC-89E8-C2688AF4C0C7}"/>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0CD72EFE-7344-47C8-8742-D34C111C05C8}"/>
    <cellStyle name="Normal 5 2 2 9 2 3" xfId="12803" xr:uid="{894F0320-2CAB-4B42-8477-244E0BC57C45}"/>
    <cellStyle name="Normal 5 2 2 9 3" xfId="6434" xr:uid="{00000000-0005-0000-0000-000031180000}"/>
    <cellStyle name="Normal 5 2 2 9 3 2" xfId="14876" xr:uid="{714FDF7F-FC9A-4C50-865C-C78B29553B52}"/>
    <cellStyle name="Normal 5 2 2 9 4" xfId="10658" xr:uid="{E3F09DF3-0E3D-4B83-BDFC-0B6246A454DB}"/>
    <cellStyle name="Normal 5 2 3" xfId="424" xr:uid="{00000000-0005-0000-0000-000032180000}"/>
    <cellStyle name="Normal 5 2 3 10" xfId="4798" xr:uid="{00000000-0005-0000-0000-000033180000}"/>
    <cellStyle name="Normal 5 2 3 10 2" xfId="13240" xr:uid="{8040F6E2-D767-4422-B640-18A1634FEA71}"/>
    <cellStyle name="Normal 5 2 3 11" xfId="9022" xr:uid="{94503D70-CF43-4A16-B8D1-AC66CAF50BAE}"/>
    <cellStyle name="Normal 5 2 3 2" xfId="425" xr:uid="{00000000-0005-0000-0000-000034180000}"/>
    <cellStyle name="Normal 5 2 3 2 10" xfId="9023" xr:uid="{775A2688-4C8D-4FDC-B43F-745DE74047C2}"/>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EB740E02-8107-4A61-9D81-4FC4BC07D14B}"/>
    <cellStyle name="Normal 5 2 3 2 2 2 2 2 3" xfId="11583" xr:uid="{35A49BC4-546C-45AB-AD0D-39BDD57661FE}"/>
    <cellStyle name="Normal 5 2 3 2 2 2 2 3" xfId="5214" xr:uid="{00000000-0005-0000-0000-00003A180000}"/>
    <cellStyle name="Normal 5 2 3 2 2 2 2 3 2" xfId="13656" xr:uid="{D0D04E61-93A3-4C71-9DE4-32AAA1F2C875}"/>
    <cellStyle name="Normal 5 2 3 2 2 2 2 4" xfId="9438" xr:uid="{4A247F16-FCC6-4A54-8C67-D81938430857}"/>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C57BA909-3EDD-4257-AD2C-358554EF4382}"/>
    <cellStyle name="Normal 5 2 3 2 2 2 3 2 3" xfId="11996" xr:uid="{2B3D0698-9A35-4506-85CF-F82BEF5CFBD0}"/>
    <cellStyle name="Normal 5 2 3 2 2 2 3 3" xfId="5627" xr:uid="{00000000-0005-0000-0000-00003E180000}"/>
    <cellStyle name="Normal 5 2 3 2 2 2 3 3 2" xfId="14069" xr:uid="{817E47B0-48D2-4112-8D3F-7EABB2CEE533}"/>
    <cellStyle name="Normal 5 2 3 2 2 2 3 4" xfId="9851" xr:uid="{6CAD9A6E-82F1-4365-843E-9A4A3A26B2CD}"/>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BD2DD9EC-6300-49EE-9B06-0E0299B6F12A}"/>
    <cellStyle name="Normal 5 2 3 2 2 2 4 2 3" xfId="12409" xr:uid="{3812C011-D3DC-44BB-9B10-356094AA3943}"/>
    <cellStyle name="Normal 5 2 3 2 2 2 4 3" xfId="6040" xr:uid="{00000000-0005-0000-0000-000042180000}"/>
    <cellStyle name="Normal 5 2 3 2 2 2 4 3 2" xfId="14482" xr:uid="{A267ED33-6674-4177-BEAB-A8DFB862D972}"/>
    <cellStyle name="Normal 5 2 3 2 2 2 4 4" xfId="10264" xr:uid="{B56FE5D0-869F-4F24-9ECA-9C56769EF6C5}"/>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29D203A8-9D54-48AD-B242-5528C96A37A6}"/>
    <cellStyle name="Normal 5 2 3 2 2 2 5 2 3" xfId="12822" xr:uid="{D824981E-8028-411A-A89B-DCE1493C89BC}"/>
    <cellStyle name="Normal 5 2 3 2 2 2 5 3" xfId="6453" xr:uid="{00000000-0005-0000-0000-000046180000}"/>
    <cellStyle name="Normal 5 2 3 2 2 2 5 3 2" xfId="14895" xr:uid="{C925D317-9C5E-49BD-B1B5-AD376749C82F}"/>
    <cellStyle name="Normal 5 2 3 2 2 2 5 4" xfId="10677" xr:uid="{90E30C7B-D216-487B-9CC6-D16416CDE60C}"/>
    <cellStyle name="Normal 5 2 3 2 2 2 6" xfId="2582" xr:uid="{00000000-0005-0000-0000-000047180000}"/>
    <cellStyle name="Normal 5 2 3 2 2 2 6 2" xfId="6866" xr:uid="{00000000-0005-0000-0000-000048180000}"/>
    <cellStyle name="Normal 5 2 3 2 2 2 6 2 2" xfId="15308" xr:uid="{063D9589-2259-4AEC-A6A9-60E756F392E7}"/>
    <cellStyle name="Normal 5 2 3 2 2 2 6 3" xfId="11090" xr:uid="{2D92D131-173D-4D05-96AD-110BB605B153}"/>
    <cellStyle name="Normal 5 2 3 2 2 2 7" xfId="4801" xr:uid="{00000000-0005-0000-0000-000049180000}"/>
    <cellStyle name="Normal 5 2 3 2 2 2 7 2" xfId="13243" xr:uid="{C960D971-1B66-41B6-BF7F-7CEF2ACF67C1}"/>
    <cellStyle name="Normal 5 2 3 2 2 2 8" xfId="9025" xr:uid="{DA87DDA8-CCA7-4E62-8E1D-082DA57D383D}"/>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E23BCA4A-0545-4BB8-9DBD-F799D3FA2595}"/>
    <cellStyle name="Normal 5 2 3 2 2 3 2 3" xfId="11582" xr:uid="{A0940BE9-4F33-4671-90AC-CC14B2863EB1}"/>
    <cellStyle name="Normal 5 2 3 2 2 3 3" xfId="5213" xr:uid="{00000000-0005-0000-0000-00004D180000}"/>
    <cellStyle name="Normal 5 2 3 2 2 3 3 2" xfId="13655" xr:uid="{C85E3C02-5D18-459F-AE28-C63BC362EFA6}"/>
    <cellStyle name="Normal 5 2 3 2 2 3 4" xfId="9437" xr:uid="{08A3DE86-AFCD-4C33-AB54-28AD34F4EAF8}"/>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E9F8EE5E-15AF-42A0-8A4A-84FAE9C4714A}"/>
    <cellStyle name="Normal 5 2 3 2 2 4 2 3" xfId="11995" xr:uid="{288FF6D6-F2B4-4959-B6F5-094047B79979}"/>
    <cellStyle name="Normal 5 2 3 2 2 4 3" xfId="5626" xr:uid="{00000000-0005-0000-0000-000051180000}"/>
    <cellStyle name="Normal 5 2 3 2 2 4 3 2" xfId="14068" xr:uid="{72B3B709-91A1-4186-930F-6C678792C998}"/>
    <cellStyle name="Normal 5 2 3 2 2 4 4" xfId="9850" xr:uid="{E1503283-F9D7-4544-B260-DF0D9B807432}"/>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16CD75B1-EBC9-4413-8A9F-22F384135F03}"/>
    <cellStyle name="Normal 5 2 3 2 2 5 2 3" xfId="12408" xr:uid="{F8D781BF-1C3F-4995-BE59-881DE460164D}"/>
    <cellStyle name="Normal 5 2 3 2 2 5 3" xfId="6039" xr:uid="{00000000-0005-0000-0000-000055180000}"/>
    <cellStyle name="Normal 5 2 3 2 2 5 3 2" xfId="14481" xr:uid="{E8B6E757-A80F-44C2-86FE-470E0043131C}"/>
    <cellStyle name="Normal 5 2 3 2 2 5 4" xfId="10263" xr:uid="{E26EFDCD-0AF7-4A56-B355-C268456EED2B}"/>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F6CF3FEC-478C-409E-B17F-7D7EF33B074A}"/>
    <cellStyle name="Normal 5 2 3 2 2 6 2 3" xfId="12821" xr:uid="{4A60EA28-F5B1-47C1-B815-0F6BF1554453}"/>
    <cellStyle name="Normal 5 2 3 2 2 6 3" xfId="6452" xr:uid="{00000000-0005-0000-0000-000059180000}"/>
    <cellStyle name="Normal 5 2 3 2 2 6 3 2" xfId="14894" xr:uid="{CE2893E3-215F-4307-B88B-B5B63DCBA420}"/>
    <cellStyle name="Normal 5 2 3 2 2 6 4" xfId="10676" xr:uid="{ABBDEA4F-BC06-4C98-B120-890B882C3DFE}"/>
    <cellStyle name="Normal 5 2 3 2 2 7" xfId="2581" xr:uid="{00000000-0005-0000-0000-00005A180000}"/>
    <cellStyle name="Normal 5 2 3 2 2 7 2" xfId="6865" xr:uid="{00000000-0005-0000-0000-00005B180000}"/>
    <cellStyle name="Normal 5 2 3 2 2 7 2 2" xfId="15307" xr:uid="{1275C3A2-86E5-4990-8FC0-C897AC9DFF68}"/>
    <cellStyle name="Normal 5 2 3 2 2 7 3" xfId="11089" xr:uid="{9082D7F5-7F2E-4910-9BBC-11AE2CEF9247}"/>
    <cellStyle name="Normal 5 2 3 2 2 8" xfId="4800" xr:uid="{00000000-0005-0000-0000-00005C180000}"/>
    <cellStyle name="Normal 5 2 3 2 2 8 2" xfId="13242" xr:uid="{CE09D649-6F70-4C39-A9DF-B23EC78F4838}"/>
    <cellStyle name="Normal 5 2 3 2 2 9" xfId="9024" xr:uid="{98E08265-8D54-41FA-9AEB-70099C9D1E69}"/>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430E91CA-640B-46CA-8FC7-05B88B2336A5}"/>
    <cellStyle name="Normal 5 2 3 2 3 2 2 3" xfId="11584" xr:uid="{CEE56258-B8CC-457F-A26F-8D1C3A3467CB}"/>
    <cellStyle name="Normal 5 2 3 2 3 2 3" xfId="5215" xr:uid="{00000000-0005-0000-0000-000061180000}"/>
    <cellStyle name="Normal 5 2 3 2 3 2 3 2" xfId="13657" xr:uid="{9F231C59-7F49-467B-8637-436281B1E323}"/>
    <cellStyle name="Normal 5 2 3 2 3 2 4" xfId="9439" xr:uid="{EBCAC571-4406-41BF-9E36-77034D25AC9E}"/>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84440A35-9C01-45A9-910A-721D1EDEA3EA}"/>
    <cellStyle name="Normal 5 2 3 2 3 3 2 3" xfId="11997" xr:uid="{0755B91C-46CA-4098-BBB0-1C77BEE5F635}"/>
    <cellStyle name="Normal 5 2 3 2 3 3 3" xfId="5628" xr:uid="{00000000-0005-0000-0000-000065180000}"/>
    <cellStyle name="Normal 5 2 3 2 3 3 3 2" xfId="14070" xr:uid="{749BA927-0F86-4FDB-8C5B-4C688432CE96}"/>
    <cellStyle name="Normal 5 2 3 2 3 3 4" xfId="9852" xr:uid="{19D02641-247A-4A14-B8D0-099D9B19706E}"/>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3F00A8E3-8BFC-4B6B-B892-7AC7615CDB8A}"/>
    <cellStyle name="Normal 5 2 3 2 3 4 2 3" xfId="12410" xr:uid="{5EA7CD29-B50D-459F-A9AE-B5697E741896}"/>
    <cellStyle name="Normal 5 2 3 2 3 4 3" xfId="6041" xr:uid="{00000000-0005-0000-0000-000069180000}"/>
    <cellStyle name="Normal 5 2 3 2 3 4 3 2" xfId="14483" xr:uid="{D81E09B4-6A5D-42D1-A0AE-32542AC65B81}"/>
    <cellStyle name="Normal 5 2 3 2 3 4 4" xfId="10265" xr:uid="{5C024D81-964D-4C94-9A42-CD20D388D9BC}"/>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2FD3F7A0-0A69-45C5-BE74-D1C54EF637C9}"/>
    <cellStyle name="Normal 5 2 3 2 3 5 2 3" xfId="12823" xr:uid="{4998A093-5DE6-41B5-AB54-3A5F149AF368}"/>
    <cellStyle name="Normal 5 2 3 2 3 5 3" xfId="6454" xr:uid="{00000000-0005-0000-0000-00006D180000}"/>
    <cellStyle name="Normal 5 2 3 2 3 5 3 2" xfId="14896" xr:uid="{94E04315-ACC7-4249-A3FC-9EC3273525BC}"/>
    <cellStyle name="Normal 5 2 3 2 3 5 4" xfId="10678" xr:uid="{355C7BAC-FEFA-4D63-8906-EB193553628E}"/>
    <cellStyle name="Normal 5 2 3 2 3 6" xfId="2583" xr:uid="{00000000-0005-0000-0000-00006E180000}"/>
    <cellStyle name="Normal 5 2 3 2 3 6 2" xfId="6867" xr:uid="{00000000-0005-0000-0000-00006F180000}"/>
    <cellStyle name="Normal 5 2 3 2 3 6 2 2" xfId="15309" xr:uid="{31F247E1-5379-4198-AFA2-08B9E1C801E6}"/>
    <cellStyle name="Normal 5 2 3 2 3 6 3" xfId="11091" xr:uid="{ED4F8A1B-5B6C-4167-9720-6E41486770BE}"/>
    <cellStyle name="Normal 5 2 3 2 3 7" xfId="4802" xr:uid="{00000000-0005-0000-0000-000070180000}"/>
    <cellStyle name="Normal 5 2 3 2 3 7 2" xfId="13244" xr:uid="{F2B42F7B-D426-4310-B67A-7FC6D2EB1C2F}"/>
    <cellStyle name="Normal 5 2 3 2 3 8" xfId="9026" xr:uid="{7424389A-1BCE-465C-8551-E2FA56A5013C}"/>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A4ABD037-D72C-41DC-BF26-43DEB3F55FD3}"/>
    <cellStyle name="Normal 5 2 3 2 4 2 3" xfId="11581" xr:uid="{E6CD390B-B99D-4A44-8CF7-9A89FA414A7A}"/>
    <cellStyle name="Normal 5 2 3 2 4 3" xfId="5212" xr:uid="{00000000-0005-0000-0000-000074180000}"/>
    <cellStyle name="Normal 5 2 3 2 4 3 2" xfId="13654" xr:uid="{051B829E-0E31-4DB7-A07C-085E50D71330}"/>
    <cellStyle name="Normal 5 2 3 2 4 4" xfId="9436" xr:uid="{0106D228-4283-4F6C-8FBD-6B0FFB7ACA11}"/>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B9A5295E-6E14-4C3D-B3DE-3A0A70AE8033}"/>
    <cellStyle name="Normal 5 2 3 2 5 2 3" xfId="11994" xr:uid="{D3144E8F-CD03-4BD9-8354-56F3D3E90FD8}"/>
    <cellStyle name="Normal 5 2 3 2 5 3" xfId="5625" xr:uid="{00000000-0005-0000-0000-000078180000}"/>
    <cellStyle name="Normal 5 2 3 2 5 3 2" xfId="14067" xr:uid="{CBCF0743-D028-4EC2-8ECB-581F9703561D}"/>
    <cellStyle name="Normal 5 2 3 2 5 4" xfId="9849" xr:uid="{404117F5-AB64-491B-A8E0-6A2C7C277EAE}"/>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1C5439E1-A25B-4D9C-8444-2C9412F1CB27}"/>
    <cellStyle name="Normal 5 2 3 2 6 2 3" xfId="12407" xr:uid="{A229EDDB-2CF9-4DE9-96D2-D89C94C2B130}"/>
    <cellStyle name="Normal 5 2 3 2 6 3" xfId="6038" xr:uid="{00000000-0005-0000-0000-00007C180000}"/>
    <cellStyle name="Normal 5 2 3 2 6 3 2" xfId="14480" xr:uid="{8599711F-BC2A-484D-BE25-5A5D8FF98612}"/>
    <cellStyle name="Normal 5 2 3 2 6 4" xfId="10262" xr:uid="{20506775-1BBF-4B2E-BB50-5E99A5821700}"/>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20B214DD-9021-4497-9511-6DD2BA66C0B9}"/>
    <cellStyle name="Normal 5 2 3 2 7 2 3" xfId="12820" xr:uid="{1295ABF5-A273-4141-B14D-0CB2FDBDB509}"/>
    <cellStyle name="Normal 5 2 3 2 7 3" xfId="6451" xr:uid="{00000000-0005-0000-0000-000080180000}"/>
    <cellStyle name="Normal 5 2 3 2 7 3 2" xfId="14893" xr:uid="{011BCFBB-249E-45D7-B3B8-1B148C8DF9F6}"/>
    <cellStyle name="Normal 5 2 3 2 7 4" xfId="10675" xr:uid="{CADB6BB1-459F-4E74-87BF-ADE1182EAD57}"/>
    <cellStyle name="Normal 5 2 3 2 8" xfId="2580" xr:uid="{00000000-0005-0000-0000-000081180000}"/>
    <cellStyle name="Normal 5 2 3 2 8 2" xfId="6864" xr:uid="{00000000-0005-0000-0000-000082180000}"/>
    <cellStyle name="Normal 5 2 3 2 8 2 2" xfId="15306" xr:uid="{CB518E9A-65E0-498B-A77A-8286F6000673}"/>
    <cellStyle name="Normal 5 2 3 2 8 3" xfId="11088" xr:uid="{7B564400-2533-4E04-8C32-5523975CFC8D}"/>
    <cellStyle name="Normal 5 2 3 2 9" xfId="4799" xr:uid="{00000000-0005-0000-0000-000083180000}"/>
    <cellStyle name="Normal 5 2 3 2 9 2" xfId="13241" xr:uid="{9A0AFF7F-29E8-4FD6-AD33-2AB0F01AB14C}"/>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332EC19E-D1C2-489A-A92C-A8CF47873553}"/>
    <cellStyle name="Normal 5 2 3 3 2 2 2 3" xfId="11586" xr:uid="{62DDC5EF-C46B-4701-B9F8-F71150F11D35}"/>
    <cellStyle name="Normal 5 2 3 3 2 2 3" xfId="5217" xr:uid="{00000000-0005-0000-0000-000089180000}"/>
    <cellStyle name="Normal 5 2 3 3 2 2 3 2" xfId="13659" xr:uid="{2E2984AC-55D7-496C-A36B-0F6469219BF4}"/>
    <cellStyle name="Normal 5 2 3 3 2 2 4" xfId="9441" xr:uid="{843CA8B6-09FB-4202-81B0-4F08DA84694A}"/>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52E14864-3C7A-4336-959C-DA6ACE4BCF61}"/>
    <cellStyle name="Normal 5 2 3 3 2 3 2 3" xfId="11999" xr:uid="{36247543-E4C1-4535-A6A0-6B733498E554}"/>
    <cellStyle name="Normal 5 2 3 3 2 3 3" xfId="5630" xr:uid="{00000000-0005-0000-0000-00008D180000}"/>
    <cellStyle name="Normal 5 2 3 3 2 3 3 2" xfId="14072" xr:uid="{ACDBFBE5-ABC6-4970-9BB9-724CB84D61F2}"/>
    <cellStyle name="Normal 5 2 3 3 2 3 4" xfId="9854" xr:uid="{2FBB68ED-B638-4F65-88DE-FBA47031580E}"/>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8D369616-E160-4E37-A3E5-35CE91040338}"/>
    <cellStyle name="Normal 5 2 3 3 2 4 2 3" xfId="12412" xr:uid="{F2699F9E-9262-406B-B440-21F23467E555}"/>
    <cellStyle name="Normal 5 2 3 3 2 4 3" xfId="6043" xr:uid="{00000000-0005-0000-0000-000091180000}"/>
    <cellStyle name="Normal 5 2 3 3 2 4 3 2" xfId="14485" xr:uid="{9251F022-C5DB-4841-BEF5-57A06E61C4C9}"/>
    <cellStyle name="Normal 5 2 3 3 2 4 4" xfId="10267" xr:uid="{A409145C-6D1C-4DC2-B824-7A07CC591906}"/>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03061114-609B-459B-A5A8-18D336F3B04D}"/>
    <cellStyle name="Normal 5 2 3 3 2 5 2 3" xfId="12825" xr:uid="{10BD924C-E5E9-4A71-96F5-A701E4806C74}"/>
    <cellStyle name="Normal 5 2 3 3 2 5 3" xfId="6456" xr:uid="{00000000-0005-0000-0000-000095180000}"/>
    <cellStyle name="Normal 5 2 3 3 2 5 3 2" xfId="14898" xr:uid="{1890CC9E-EA3D-48B3-ABA0-440ED10CC12E}"/>
    <cellStyle name="Normal 5 2 3 3 2 5 4" xfId="10680" xr:uid="{E237DA03-7C41-4A20-9C47-14B5CF308B22}"/>
    <cellStyle name="Normal 5 2 3 3 2 6" xfId="2585" xr:uid="{00000000-0005-0000-0000-000096180000}"/>
    <cellStyle name="Normal 5 2 3 3 2 6 2" xfId="6869" xr:uid="{00000000-0005-0000-0000-000097180000}"/>
    <cellStyle name="Normal 5 2 3 3 2 6 2 2" xfId="15311" xr:uid="{32AB6B21-0F14-4B5F-BE8C-1E058B505878}"/>
    <cellStyle name="Normal 5 2 3 3 2 6 3" xfId="11093" xr:uid="{87B2E224-57BE-4BBE-A58E-85BD4FBAB769}"/>
    <cellStyle name="Normal 5 2 3 3 2 7" xfId="4804" xr:uid="{00000000-0005-0000-0000-000098180000}"/>
    <cellStyle name="Normal 5 2 3 3 2 7 2" xfId="13246" xr:uid="{4F910075-63B8-4245-9B30-7A6DDF4E2964}"/>
    <cellStyle name="Normal 5 2 3 3 2 8" xfId="9028" xr:uid="{CD0709A0-388C-4F2F-AF02-E082642D61D1}"/>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36AAD373-DC28-4BD6-8FA9-411B37A4829F}"/>
    <cellStyle name="Normal 5 2 3 3 3 2 3" xfId="11585" xr:uid="{94D03EED-D634-4F8C-91E9-EE5C8F391327}"/>
    <cellStyle name="Normal 5 2 3 3 3 3" xfId="5216" xr:uid="{00000000-0005-0000-0000-00009C180000}"/>
    <cellStyle name="Normal 5 2 3 3 3 3 2" xfId="13658" xr:uid="{79D4B497-ADA5-40FE-BE87-92DFDAFCFC6C}"/>
    <cellStyle name="Normal 5 2 3 3 3 4" xfId="9440" xr:uid="{5E824A93-7E75-4C37-A431-FB2EE5F07BE4}"/>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E78DC38F-0D62-41B4-8D7D-BD7AC4EDD81D}"/>
    <cellStyle name="Normal 5 2 3 3 4 2 3" xfId="11998" xr:uid="{1EC01AC9-63E2-444A-A74C-7418EB5C0AF2}"/>
    <cellStyle name="Normal 5 2 3 3 4 3" xfId="5629" xr:uid="{00000000-0005-0000-0000-0000A0180000}"/>
    <cellStyle name="Normal 5 2 3 3 4 3 2" xfId="14071" xr:uid="{543FF008-4B04-4A1C-BB72-0F58F6C15332}"/>
    <cellStyle name="Normal 5 2 3 3 4 4" xfId="9853" xr:uid="{ACA17390-5FE4-4193-B125-2DB551F9986A}"/>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06BAF89C-9E26-4852-8CFF-CB3E2FCCB827}"/>
    <cellStyle name="Normal 5 2 3 3 5 2 3" xfId="12411" xr:uid="{B8A6A521-E034-4A78-BE47-33C5557DA8D3}"/>
    <cellStyle name="Normal 5 2 3 3 5 3" xfId="6042" xr:uid="{00000000-0005-0000-0000-0000A4180000}"/>
    <cellStyle name="Normal 5 2 3 3 5 3 2" xfId="14484" xr:uid="{75390203-A07E-4D21-AC11-109DC9C7C40C}"/>
    <cellStyle name="Normal 5 2 3 3 5 4" xfId="10266" xr:uid="{41267D92-FE42-4CCC-A20B-F91C0CF1EB4B}"/>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93FCD00D-F5AA-4D50-B456-C1E76A912F92}"/>
    <cellStyle name="Normal 5 2 3 3 6 2 3" xfId="12824" xr:uid="{F10837C4-45DF-4C23-A633-47CF9903FC95}"/>
    <cellStyle name="Normal 5 2 3 3 6 3" xfId="6455" xr:uid="{00000000-0005-0000-0000-0000A8180000}"/>
    <cellStyle name="Normal 5 2 3 3 6 3 2" xfId="14897" xr:uid="{877B151F-8745-4AD2-9631-BE7EE764879A}"/>
    <cellStyle name="Normal 5 2 3 3 6 4" xfId="10679" xr:uid="{D3D70A90-1192-4EA2-9C09-C3E3681A7AF3}"/>
    <cellStyle name="Normal 5 2 3 3 7" xfId="2584" xr:uid="{00000000-0005-0000-0000-0000A9180000}"/>
    <cellStyle name="Normal 5 2 3 3 7 2" xfId="6868" xr:uid="{00000000-0005-0000-0000-0000AA180000}"/>
    <cellStyle name="Normal 5 2 3 3 7 2 2" xfId="15310" xr:uid="{ABCE003E-28C9-4F2F-863B-EC2F36C5FC08}"/>
    <cellStyle name="Normal 5 2 3 3 7 3" xfId="11092" xr:uid="{0B4DB4E7-C75D-4056-9739-A58B792E59A2}"/>
    <cellStyle name="Normal 5 2 3 3 8" xfId="4803" xr:uid="{00000000-0005-0000-0000-0000AB180000}"/>
    <cellStyle name="Normal 5 2 3 3 8 2" xfId="13245" xr:uid="{26368BC2-927B-4B47-958B-3369ECFF6D5A}"/>
    <cellStyle name="Normal 5 2 3 3 9" xfId="9027" xr:uid="{0BD0533B-1CD9-4C31-9418-576135CF96C8}"/>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062606EB-EAB5-4925-B7AE-4AF89328D0D7}"/>
    <cellStyle name="Normal 5 2 3 4 2 2 3" xfId="11587" xr:uid="{4084D4DE-AF6B-473B-B5D5-72F2B3C11A3F}"/>
    <cellStyle name="Normal 5 2 3 4 2 3" xfId="5218" xr:uid="{00000000-0005-0000-0000-0000B0180000}"/>
    <cellStyle name="Normal 5 2 3 4 2 3 2" xfId="13660" xr:uid="{4A8809FB-F6D5-4240-B969-669271DBF597}"/>
    <cellStyle name="Normal 5 2 3 4 2 4" xfId="9442" xr:uid="{7ECB6320-6851-46BE-A8FB-86E4FFA1EF99}"/>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DDF408F2-35E8-4D58-898D-3163C0FE8704}"/>
    <cellStyle name="Normal 5 2 3 4 3 2 3" xfId="12000" xr:uid="{0CCD41A9-9E02-4210-A7D9-EE92CD25947A}"/>
    <cellStyle name="Normal 5 2 3 4 3 3" xfId="5631" xr:uid="{00000000-0005-0000-0000-0000B4180000}"/>
    <cellStyle name="Normal 5 2 3 4 3 3 2" xfId="14073" xr:uid="{09AB475D-2CBD-4BFC-BE8D-FCB3505B780B}"/>
    <cellStyle name="Normal 5 2 3 4 3 4" xfId="9855" xr:uid="{4CC1EAC1-71E6-41AE-8767-27B9E2C408A5}"/>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62915B0D-05D5-4F1D-95CC-C190BBD82268}"/>
    <cellStyle name="Normal 5 2 3 4 4 2 3" xfId="12413" xr:uid="{B3A7C06D-D0A8-4018-A895-802CE2C97D21}"/>
    <cellStyle name="Normal 5 2 3 4 4 3" xfId="6044" xr:uid="{00000000-0005-0000-0000-0000B8180000}"/>
    <cellStyle name="Normal 5 2 3 4 4 3 2" xfId="14486" xr:uid="{263D4150-11B4-432D-9CAC-92E6D33D3603}"/>
    <cellStyle name="Normal 5 2 3 4 4 4" xfId="10268" xr:uid="{4B19165D-2EDE-4DB8-8613-B0BEDB62C157}"/>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306F60B2-8D96-4DCB-AB52-179DD2AB2E2E}"/>
    <cellStyle name="Normal 5 2 3 4 5 2 3" xfId="12826" xr:uid="{A91F2B03-BD83-44EA-8D07-8CD9370805AA}"/>
    <cellStyle name="Normal 5 2 3 4 5 3" xfId="6457" xr:uid="{00000000-0005-0000-0000-0000BC180000}"/>
    <cellStyle name="Normal 5 2 3 4 5 3 2" xfId="14899" xr:uid="{A64B830C-2792-41C5-A3A3-943DEFFFD363}"/>
    <cellStyle name="Normal 5 2 3 4 5 4" xfId="10681" xr:uid="{BE004ADF-395B-4632-9A7A-8B45E102D881}"/>
    <cellStyle name="Normal 5 2 3 4 6" xfId="2586" xr:uid="{00000000-0005-0000-0000-0000BD180000}"/>
    <cellStyle name="Normal 5 2 3 4 6 2" xfId="6870" xr:uid="{00000000-0005-0000-0000-0000BE180000}"/>
    <cellStyle name="Normal 5 2 3 4 6 2 2" xfId="15312" xr:uid="{E023A1FC-EFBC-4D5E-AA11-E88A898FFF0E}"/>
    <cellStyle name="Normal 5 2 3 4 6 3" xfId="11094" xr:uid="{EE7DC0DD-55EF-4D84-9618-4A029B025405}"/>
    <cellStyle name="Normal 5 2 3 4 7" xfId="4805" xr:uid="{00000000-0005-0000-0000-0000BF180000}"/>
    <cellStyle name="Normal 5 2 3 4 7 2" xfId="13247" xr:uid="{028D12EA-7763-4F13-9F10-35C842A03556}"/>
    <cellStyle name="Normal 5 2 3 4 8" xfId="9029" xr:uid="{AAA49249-DBCA-46F9-A051-E8CD9DF51B81}"/>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FBFC8B69-1BD8-4C3E-A576-D547DDC464D3}"/>
    <cellStyle name="Normal 5 2 3 5 2 3" xfId="11580" xr:uid="{7967D7D9-2B38-40FC-BD95-5B25DB18B3FE}"/>
    <cellStyle name="Normal 5 2 3 5 3" xfId="5211" xr:uid="{00000000-0005-0000-0000-0000C3180000}"/>
    <cellStyle name="Normal 5 2 3 5 3 2" xfId="13653" xr:uid="{6A9CA2EB-543A-4429-8C4D-FF7E898AD845}"/>
    <cellStyle name="Normal 5 2 3 5 4" xfId="9435" xr:uid="{998EB843-14CF-49E5-AEBA-7132B1F1A16F}"/>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327E71A4-12F4-42B3-B991-4D38EE665071}"/>
    <cellStyle name="Normal 5 2 3 6 2 3" xfId="11993" xr:uid="{AF99B003-D4D5-416A-8FCD-D5527C8A2BF7}"/>
    <cellStyle name="Normal 5 2 3 6 3" xfId="5624" xr:uid="{00000000-0005-0000-0000-0000C7180000}"/>
    <cellStyle name="Normal 5 2 3 6 3 2" xfId="14066" xr:uid="{AA0BDD48-7922-4309-B816-3282AA8215DF}"/>
    <cellStyle name="Normal 5 2 3 6 4" xfId="9848" xr:uid="{49EF7398-1861-44AF-B8F0-BA1612D42F82}"/>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BAB0B406-70C2-4CFE-BB83-57DB7DC875BA}"/>
    <cellStyle name="Normal 5 2 3 7 2 3" xfId="12406" xr:uid="{79EDD5F6-CB0E-49F8-922D-0A920AED7A29}"/>
    <cellStyle name="Normal 5 2 3 7 3" xfId="6037" xr:uid="{00000000-0005-0000-0000-0000CB180000}"/>
    <cellStyle name="Normal 5 2 3 7 3 2" xfId="14479" xr:uid="{0AF9C438-040D-4E97-9FCE-AA392BB48985}"/>
    <cellStyle name="Normal 5 2 3 7 4" xfId="10261" xr:uid="{D2B75052-1511-4A1E-91B0-F6CB6F297351}"/>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9279D4FA-33D0-4E83-BFB5-609994BA6C1B}"/>
    <cellStyle name="Normal 5 2 3 8 2 3" xfId="12819" xr:uid="{02F2970B-B930-4D02-A784-6FEB2D17B410}"/>
    <cellStyle name="Normal 5 2 3 8 3" xfId="6450" xr:uid="{00000000-0005-0000-0000-0000CF180000}"/>
    <cellStyle name="Normal 5 2 3 8 3 2" xfId="14892" xr:uid="{23016450-40EE-45BE-87E8-A2CF913FBA1C}"/>
    <cellStyle name="Normal 5 2 3 8 4" xfId="10674" xr:uid="{600CFD17-645F-4338-B3AE-1E15689A8BF3}"/>
    <cellStyle name="Normal 5 2 3 9" xfId="2579" xr:uid="{00000000-0005-0000-0000-0000D0180000}"/>
    <cellStyle name="Normal 5 2 3 9 2" xfId="6863" xr:uid="{00000000-0005-0000-0000-0000D1180000}"/>
    <cellStyle name="Normal 5 2 3 9 2 2" xfId="15305" xr:uid="{AAD93147-353F-4938-A54A-EED01660418E}"/>
    <cellStyle name="Normal 5 2 3 9 3" xfId="11087" xr:uid="{232724B1-D969-4F28-8E80-FE4EF449A5F5}"/>
    <cellStyle name="Normal 5 2 4" xfId="432" xr:uid="{00000000-0005-0000-0000-0000D2180000}"/>
    <cellStyle name="Normal 5 2 4 10" xfId="9030" xr:uid="{AE4A3F01-8DA9-41C6-8614-C61D3B8E3766}"/>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817B3C6C-7F22-457A-8325-CD76D0C12973}"/>
    <cellStyle name="Normal 5 2 4 2 2 2 2 3" xfId="11590" xr:uid="{5F87EB8E-6330-4D96-90C3-119B27C1816D}"/>
    <cellStyle name="Normal 5 2 4 2 2 2 3" xfId="5221" xr:uid="{00000000-0005-0000-0000-0000D8180000}"/>
    <cellStyle name="Normal 5 2 4 2 2 2 3 2" xfId="13663" xr:uid="{B31BF011-3AEB-434F-8DDA-454EDEF8DC3F}"/>
    <cellStyle name="Normal 5 2 4 2 2 2 4" xfId="9445" xr:uid="{3F67F773-9101-41D6-A61C-7038A15949C1}"/>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76215922-3BE2-4987-B4B3-598F38677E99}"/>
    <cellStyle name="Normal 5 2 4 2 2 3 2 3" xfId="12003" xr:uid="{BB3C7667-7CE5-47FD-8664-F8A65120A91F}"/>
    <cellStyle name="Normal 5 2 4 2 2 3 3" xfId="5634" xr:uid="{00000000-0005-0000-0000-0000DC180000}"/>
    <cellStyle name="Normal 5 2 4 2 2 3 3 2" xfId="14076" xr:uid="{71B56417-E706-4CA0-B9B3-5895DB01848E}"/>
    <cellStyle name="Normal 5 2 4 2 2 3 4" xfId="9858" xr:uid="{BED6C961-EE73-4F39-9B6B-38AF8B3ABD18}"/>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69063E4E-694C-4A66-8596-DDF551AE82BB}"/>
    <cellStyle name="Normal 5 2 4 2 2 4 2 3" xfId="12416" xr:uid="{54D63F2B-30C7-40DB-9B30-F2005369CA5A}"/>
    <cellStyle name="Normal 5 2 4 2 2 4 3" xfId="6047" xr:uid="{00000000-0005-0000-0000-0000E0180000}"/>
    <cellStyle name="Normal 5 2 4 2 2 4 3 2" xfId="14489" xr:uid="{B41F88BD-71A5-4BDD-B847-C481921DD759}"/>
    <cellStyle name="Normal 5 2 4 2 2 4 4" xfId="10271" xr:uid="{6DC50E1C-CFB7-4743-94D0-052AE31385F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D17DF5C2-CEA3-420D-889C-980113559829}"/>
    <cellStyle name="Normal 5 2 4 2 2 5 2 3" xfId="12829" xr:uid="{C3598487-F4FA-4A13-AA96-EB6BB58387DF}"/>
    <cellStyle name="Normal 5 2 4 2 2 5 3" xfId="6460" xr:uid="{00000000-0005-0000-0000-0000E4180000}"/>
    <cellStyle name="Normal 5 2 4 2 2 5 3 2" xfId="14902" xr:uid="{35D3E1EE-8C42-45DA-9A8A-2F29981500CB}"/>
    <cellStyle name="Normal 5 2 4 2 2 5 4" xfId="10684" xr:uid="{6D1AF23D-DFE1-4642-BBAC-067CCDD11908}"/>
    <cellStyle name="Normal 5 2 4 2 2 6" xfId="2589" xr:uid="{00000000-0005-0000-0000-0000E5180000}"/>
    <cellStyle name="Normal 5 2 4 2 2 6 2" xfId="6873" xr:uid="{00000000-0005-0000-0000-0000E6180000}"/>
    <cellStyle name="Normal 5 2 4 2 2 6 2 2" xfId="15315" xr:uid="{2B72312F-6306-4FE2-B3FE-EAB54CFFDB37}"/>
    <cellStyle name="Normal 5 2 4 2 2 6 3" xfId="11097" xr:uid="{D3B2DE70-2BF5-462F-BAE5-B9A008D8F938}"/>
    <cellStyle name="Normal 5 2 4 2 2 7" xfId="4808" xr:uid="{00000000-0005-0000-0000-0000E7180000}"/>
    <cellStyle name="Normal 5 2 4 2 2 7 2" xfId="13250" xr:uid="{75D28518-CC0B-4C95-9DAF-284A0B9656D2}"/>
    <cellStyle name="Normal 5 2 4 2 2 8" xfId="9032" xr:uid="{65538248-F695-4C75-8A31-EF4A820E2572}"/>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09550632-D57B-4373-85D7-98FC48D1BC56}"/>
    <cellStyle name="Normal 5 2 4 2 3 2 3" xfId="11589" xr:uid="{D6ECE257-3419-4448-AADB-CFA09E3963C5}"/>
    <cellStyle name="Normal 5 2 4 2 3 3" xfId="5220" xr:uid="{00000000-0005-0000-0000-0000EB180000}"/>
    <cellStyle name="Normal 5 2 4 2 3 3 2" xfId="13662" xr:uid="{EF29694E-144C-40BB-8B06-3FAF405AD9F0}"/>
    <cellStyle name="Normal 5 2 4 2 3 4" xfId="9444" xr:uid="{65B9B8DA-7ED0-419C-BA8E-2CFFECCF4771}"/>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A0DC0997-0958-4362-9618-89254C57ACBF}"/>
    <cellStyle name="Normal 5 2 4 2 4 2 3" xfId="12002" xr:uid="{1E8C80E8-8B78-45ED-9F55-587A513A9765}"/>
    <cellStyle name="Normal 5 2 4 2 4 3" xfId="5633" xr:uid="{00000000-0005-0000-0000-0000EF180000}"/>
    <cellStyle name="Normal 5 2 4 2 4 3 2" xfId="14075" xr:uid="{154E90DA-6C29-4078-B6C2-A62989392CA5}"/>
    <cellStyle name="Normal 5 2 4 2 4 4" xfId="9857" xr:uid="{B808D0F8-C9C2-403D-BF2F-7FFB7F1A5DB1}"/>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B8508229-D3D9-475D-BBB0-C1E159B333E2}"/>
    <cellStyle name="Normal 5 2 4 2 5 2 3" xfId="12415" xr:uid="{F301414C-442F-457F-9CC9-C413E628E906}"/>
    <cellStyle name="Normal 5 2 4 2 5 3" xfId="6046" xr:uid="{00000000-0005-0000-0000-0000F3180000}"/>
    <cellStyle name="Normal 5 2 4 2 5 3 2" xfId="14488" xr:uid="{8C4F02AD-1C04-47AB-AEB5-C62567F165B2}"/>
    <cellStyle name="Normal 5 2 4 2 5 4" xfId="10270" xr:uid="{45287309-DE8F-4744-85BA-EE022F57510D}"/>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418CD1E8-E711-4EBB-9F6A-03F0EF25404A}"/>
    <cellStyle name="Normal 5 2 4 2 6 2 3" xfId="12828" xr:uid="{B0725E3A-8E34-42FD-A593-F67433D6816D}"/>
    <cellStyle name="Normal 5 2 4 2 6 3" xfId="6459" xr:uid="{00000000-0005-0000-0000-0000F7180000}"/>
    <cellStyle name="Normal 5 2 4 2 6 3 2" xfId="14901" xr:uid="{AB1CAA8D-9C40-4F9E-BB79-173360B7AC3B}"/>
    <cellStyle name="Normal 5 2 4 2 6 4" xfId="10683" xr:uid="{CE7E4BF0-907F-4B06-BAB6-8DC1857230EF}"/>
    <cellStyle name="Normal 5 2 4 2 7" xfId="2588" xr:uid="{00000000-0005-0000-0000-0000F8180000}"/>
    <cellStyle name="Normal 5 2 4 2 7 2" xfId="6872" xr:uid="{00000000-0005-0000-0000-0000F9180000}"/>
    <cellStyle name="Normal 5 2 4 2 7 2 2" xfId="15314" xr:uid="{37868D89-C326-4410-8C13-88E4173A96AD}"/>
    <cellStyle name="Normal 5 2 4 2 7 3" xfId="11096" xr:uid="{52AF7699-4255-4843-AFB1-0F325653F69F}"/>
    <cellStyle name="Normal 5 2 4 2 8" xfId="4807" xr:uid="{00000000-0005-0000-0000-0000FA180000}"/>
    <cellStyle name="Normal 5 2 4 2 8 2" xfId="13249" xr:uid="{6CD6AC06-20A7-458C-A056-C307963D9087}"/>
    <cellStyle name="Normal 5 2 4 2 9" xfId="9031" xr:uid="{109AA698-6403-4985-9FAA-F63B32FEA457}"/>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A8C49334-81CD-4ECB-BEF1-D2024C837DCE}"/>
    <cellStyle name="Normal 5 2 4 3 2 2 3" xfId="11591" xr:uid="{8FA2A846-DB9E-4C2E-BA18-FBB8CA197572}"/>
    <cellStyle name="Normal 5 2 4 3 2 3" xfId="5222" xr:uid="{00000000-0005-0000-0000-0000FF180000}"/>
    <cellStyle name="Normal 5 2 4 3 2 3 2" xfId="13664" xr:uid="{07E4A1EF-BD8B-4EA6-8C1A-5EE8B9E02A1E}"/>
    <cellStyle name="Normal 5 2 4 3 2 4" xfId="9446" xr:uid="{8E1DD39D-CFCF-4354-B390-133D9C29CA8A}"/>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18F664BE-03E0-48AC-9811-1E85D20C33D4}"/>
    <cellStyle name="Normal 5 2 4 3 3 2 3" xfId="12004" xr:uid="{5497DEB3-F9C2-492D-8BD2-2EE45877FD76}"/>
    <cellStyle name="Normal 5 2 4 3 3 3" xfId="5635" xr:uid="{00000000-0005-0000-0000-000003190000}"/>
    <cellStyle name="Normal 5 2 4 3 3 3 2" xfId="14077" xr:uid="{3C0140E4-E635-44E5-9209-09FF5E1ACB1F}"/>
    <cellStyle name="Normal 5 2 4 3 3 4" xfId="9859" xr:uid="{066E2BAC-E6AA-4383-93BA-3B1BC6E7A3B5}"/>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F48ABCEF-C502-4C93-A7BA-818B4F022629}"/>
    <cellStyle name="Normal 5 2 4 3 4 2 3" xfId="12417" xr:uid="{3C9042CF-38E6-4F4D-9480-A95CD5E04D6D}"/>
    <cellStyle name="Normal 5 2 4 3 4 3" xfId="6048" xr:uid="{00000000-0005-0000-0000-000007190000}"/>
    <cellStyle name="Normal 5 2 4 3 4 3 2" xfId="14490" xr:uid="{6757B937-9B42-4625-BDD0-73FA82F3FADB}"/>
    <cellStyle name="Normal 5 2 4 3 4 4" xfId="10272" xr:uid="{AB2E4CCF-55CA-471B-A9EC-2EFCC803529A}"/>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74A9DF47-0574-4B8C-B2EA-0409240D03E9}"/>
    <cellStyle name="Normal 5 2 4 3 5 2 3" xfId="12830" xr:uid="{0FE37190-835E-46C1-A703-63063F35F9A2}"/>
    <cellStyle name="Normal 5 2 4 3 5 3" xfId="6461" xr:uid="{00000000-0005-0000-0000-00000B190000}"/>
    <cellStyle name="Normal 5 2 4 3 5 3 2" xfId="14903" xr:uid="{2A5E06FE-C1A2-4E65-B508-137E96CE5B81}"/>
    <cellStyle name="Normal 5 2 4 3 5 4" xfId="10685" xr:uid="{7A191903-6F84-471C-BE85-8B2353F580BC}"/>
    <cellStyle name="Normal 5 2 4 3 6" xfId="2590" xr:uid="{00000000-0005-0000-0000-00000C190000}"/>
    <cellStyle name="Normal 5 2 4 3 6 2" xfId="6874" xr:uid="{00000000-0005-0000-0000-00000D190000}"/>
    <cellStyle name="Normal 5 2 4 3 6 2 2" xfId="15316" xr:uid="{BAFAA8AC-3CFD-45BC-8DDE-6407D34D23CC}"/>
    <cellStyle name="Normal 5 2 4 3 6 3" xfId="11098" xr:uid="{FB37A6A2-BD99-45C3-8D96-875DC80B3F27}"/>
    <cellStyle name="Normal 5 2 4 3 7" xfId="4809" xr:uid="{00000000-0005-0000-0000-00000E190000}"/>
    <cellStyle name="Normal 5 2 4 3 7 2" xfId="13251" xr:uid="{E3C3FDD7-8981-46DE-84EC-B7FCB2B479DA}"/>
    <cellStyle name="Normal 5 2 4 3 8" xfId="9033" xr:uid="{DA8A7838-E068-42BB-BDBB-C6E852848DCB}"/>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7B53D18B-A256-4551-A850-B4721BD4BB5F}"/>
    <cellStyle name="Normal 5 2 4 4 2 3" xfId="11588" xr:uid="{58D6CBB3-A107-4112-85BD-65783F73C561}"/>
    <cellStyle name="Normal 5 2 4 4 3" xfId="5219" xr:uid="{00000000-0005-0000-0000-000012190000}"/>
    <cellStyle name="Normal 5 2 4 4 3 2" xfId="13661" xr:uid="{FB50C06E-8ECD-4A8C-BDA6-A5E4D720C227}"/>
    <cellStyle name="Normal 5 2 4 4 4" xfId="9443" xr:uid="{AFE900D9-E8FA-4889-B045-4106ECAA49C4}"/>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1FAD7ADF-7305-4FA8-AF40-118AB7344A8C}"/>
    <cellStyle name="Normal 5 2 4 5 2 3" xfId="12001" xr:uid="{88CA9D54-658A-4267-A627-098192F8CA0E}"/>
    <cellStyle name="Normal 5 2 4 5 3" xfId="5632" xr:uid="{00000000-0005-0000-0000-000016190000}"/>
    <cellStyle name="Normal 5 2 4 5 3 2" xfId="14074" xr:uid="{46BA69F7-5928-4056-9CAE-9880577696E1}"/>
    <cellStyle name="Normal 5 2 4 5 4" xfId="9856" xr:uid="{55A9DC61-9058-4B8A-9AD0-B07876064E16}"/>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F7186A55-E26E-427C-90FD-F79F86773D9A}"/>
    <cellStyle name="Normal 5 2 4 6 2 3" xfId="12414" xr:uid="{970F68F0-0B76-43EE-98E6-04D9D8B474CD}"/>
    <cellStyle name="Normal 5 2 4 6 3" xfId="6045" xr:uid="{00000000-0005-0000-0000-00001A190000}"/>
    <cellStyle name="Normal 5 2 4 6 3 2" xfId="14487" xr:uid="{94E9A4D9-A6CE-470F-ADC9-17285F5F04A0}"/>
    <cellStyle name="Normal 5 2 4 6 4" xfId="10269" xr:uid="{19773916-19E6-49BB-BCA2-A51A0BCC0221}"/>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6723CB32-C6E2-4CC3-964C-C67C16CB7D29}"/>
    <cellStyle name="Normal 5 2 4 7 2 3" xfId="12827" xr:uid="{7B1E7FEE-83F4-439E-97D1-F0154F3ECB8C}"/>
    <cellStyle name="Normal 5 2 4 7 3" xfId="6458" xr:uid="{00000000-0005-0000-0000-00001E190000}"/>
    <cellStyle name="Normal 5 2 4 7 3 2" xfId="14900" xr:uid="{635A1746-7ED9-448B-BE55-4EE93731B6CA}"/>
    <cellStyle name="Normal 5 2 4 7 4" xfId="10682" xr:uid="{7B45217F-7D1B-49DD-A761-3B2BCD4D55F1}"/>
    <cellStyle name="Normal 5 2 4 8" xfId="2587" xr:uid="{00000000-0005-0000-0000-00001F190000}"/>
    <cellStyle name="Normal 5 2 4 8 2" xfId="6871" xr:uid="{00000000-0005-0000-0000-000020190000}"/>
    <cellStyle name="Normal 5 2 4 8 2 2" xfId="15313" xr:uid="{9C8C333E-A485-4142-9E2B-124E7D82737B}"/>
    <cellStyle name="Normal 5 2 4 8 3" xfId="11095" xr:uid="{2C41DD7B-4BD3-467D-A41D-5FFD7E3FBB03}"/>
    <cellStyle name="Normal 5 2 4 9" xfId="4806" xr:uid="{00000000-0005-0000-0000-000021190000}"/>
    <cellStyle name="Normal 5 2 4 9 2" xfId="13248" xr:uid="{35548D23-DBEF-4B2C-9776-F7DC8062669B}"/>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6D28FC88-867B-494C-8676-7534BBC64C2B}"/>
    <cellStyle name="Normal 5 2 5 2 2 2 3" xfId="11593" xr:uid="{45B279A0-6A3F-4B80-B517-6F89EF8A75CA}"/>
    <cellStyle name="Normal 5 2 5 2 2 3" xfId="5224" xr:uid="{00000000-0005-0000-0000-000027190000}"/>
    <cellStyle name="Normal 5 2 5 2 2 3 2" xfId="13666" xr:uid="{128BDC36-0DC0-4ED8-A0F3-0537AA63A0B1}"/>
    <cellStyle name="Normal 5 2 5 2 2 4" xfId="9448" xr:uid="{975EF74A-0168-4FA4-9060-B34DD32FE89A}"/>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39FDA843-9C5C-48EF-813F-00C851FFEFF1}"/>
    <cellStyle name="Normal 5 2 5 2 3 2 3" xfId="12006" xr:uid="{5A376ABB-B330-4BFD-B0CF-ACCA2B93F2A5}"/>
    <cellStyle name="Normal 5 2 5 2 3 3" xfId="5637" xr:uid="{00000000-0005-0000-0000-00002B190000}"/>
    <cellStyle name="Normal 5 2 5 2 3 3 2" xfId="14079" xr:uid="{34631EEC-10A1-4585-ADAA-862EF32B6481}"/>
    <cellStyle name="Normal 5 2 5 2 3 4" xfId="9861" xr:uid="{4D6DC94D-5A9F-40BD-91D7-80B3B730F50B}"/>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E63CB214-AF42-44B3-A807-E0C8EB312B00}"/>
    <cellStyle name="Normal 5 2 5 2 4 2 3" xfId="12419" xr:uid="{4C349905-FD1D-4E8B-9916-75F1EC326D77}"/>
    <cellStyle name="Normal 5 2 5 2 4 3" xfId="6050" xr:uid="{00000000-0005-0000-0000-00002F190000}"/>
    <cellStyle name="Normal 5 2 5 2 4 3 2" xfId="14492" xr:uid="{127679CC-E144-4F7B-A916-81AE0F67FD35}"/>
    <cellStyle name="Normal 5 2 5 2 4 4" xfId="10274" xr:uid="{FFE77DFE-421B-47DC-945F-B611C0BA1148}"/>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4D9710DA-CE83-411E-90C0-2D9C81A21DE3}"/>
    <cellStyle name="Normal 5 2 5 2 5 2 3" xfId="12832" xr:uid="{D10FAC7C-CD9D-4FC9-B593-4005B228A5CE}"/>
    <cellStyle name="Normal 5 2 5 2 5 3" xfId="6463" xr:uid="{00000000-0005-0000-0000-000033190000}"/>
    <cellStyle name="Normal 5 2 5 2 5 3 2" xfId="14905" xr:uid="{CFB49529-C7AA-4976-8A4B-6DA6FF454F44}"/>
    <cellStyle name="Normal 5 2 5 2 5 4" xfId="10687" xr:uid="{71BFC426-E3BE-400D-95D6-214A449BA3AC}"/>
    <cellStyle name="Normal 5 2 5 2 6" xfId="2592" xr:uid="{00000000-0005-0000-0000-000034190000}"/>
    <cellStyle name="Normal 5 2 5 2 6 2" xfId="6876" xr:uid="{00000000-0005-0000-0000-000035190000}"/>
    <cellStyle name="Normal 5 2 5 2 6 2 2" xfId="15318" xr:uid="{945631C6-4752-469C-A786-5281286EA0F5}"/>
    <cellStyle name="Normal 5 2 5 2 6 3" xfId="11100" xr:uid="{330373C5-4847-4218-86E4-2DA1C94CDE5F}"/>
    <cellStyle name="Normal 5 2 5 2 7" xfId="4811" xr:uid="{00000000-0005-0000-0000-000036190000}"/>
    <cellStyle name="Normal 5 2 5 2 7 2" xfId="13253" xr:uid="{1F8B1B5D-3A73-4060-B424-164DC5942B76}"/>
    <cellStyle name="Normal 5 2 5 2 8" xfId="9035" xr:uid="{D7008E2F-A2DD-4620-A492-EBC540930A8D}"/>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69B8B002-1913-4C5A-B2FF-0D710E757B0F}"/>
    <cellStyle name="Normal 5 2 5 3 2 3" xfId="11592" xr:uid="{BC6A4DA6-1C10-4977-9BE0-C3D21EB7209C}"/>
    <cellStyle name="Normal 5 2 5 3 3" xfId="5223" xr:uid="{00000000-0005-0000-0000-00003A190000}"/>
    <cellStyle name="Normal 5 2 5 3 3 2" xfId="13665" xr:uid="{019754EA-3E84-43B5-8A22-CE3B49118D4C}"/>
    <cellStyle name="Normal 5 2 5 3 4" xfId="9447" xr:uid="{C3AB0F7A-125F-48B4-817D-74BC582C5F6A}"/>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C634F3E0-0F6B-49DB-8F54-1184E15B0232}"/>
    <cellStyle name="Normal 5 2 5 4 2 3" xfId="12005" xr:uid="{F7065FCC-9A92-4B5F-97EE-EC3CE8DF0DBF}"/>
    <cellStyle name="Normal 5 2 5 4 3" xfId="5636" xr:uid="{00000000-0005-0000-0000-00003E190000}"/>
    <cellStyle name="Normal 5 2 5 4 3 2" xfId="14078" xr:uid="{C92D0A11-1BDA-46CF-B2C3-11E175CC6816}"/>
    <cellStyle name="Normal 5 2 5 4 4" xfId="9860" xr:uid="{E262C539-6180-49C2-ABDD-B6D646141489}"/>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F60EDCA3-2178-4D5F-8362-777398FF8716}"/>
    <cellStyle name="Normal 5 2 5 5 2 3" xfId="12418" xr:uid="{662EE0E0-0ADA-4661-BF5F-D665D637D882}"/>
    <cellStyle name="Normal 5 2 5 5 3" xfId="6049" xr:uid="{00000000-0005-0000-0000-000042190000}"/>
    <cellStyle name="Normal 5 2 5 5 3 2" xfId="14491" xr:uid="{F8337185-3195-4C46-B1FB-1CC026D80695}"/>
    <cellStyle name="Normal 5 2 5 5 4" xfId="10273" xr:uid="{53E01187-266F-4E98-B5FB-3328B2327000}"/>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B2D00F69-CB71-4FA2-9767-36400511A0D9}"/>
    <cellStyle name="Normal 5 2 5 6 2 3" xfId="12831" xr:uid="{B98A59B3-9CA5-43EF-85D6-8FEEB0697D10}"/>
    <cellStyle name="Normal 5 2 5 6 3" xfId="6462" xr:uid="{00000000-0005-0000-0000-000046190000}"/>
    <cellStyle name="Normal 5 2 5 6 3 2" xfId="14904" xr:uid="{BC398670-F80C-4A82-9A8D-D4434504BD2D}"/>
    <cellStyle name="Normal 5 2 5 6 4" xfId="10686" xr:uid="{6D9D2BD7-2B02-4084-A0DB-941E6E624D3B}"/>
    <cellStyle name="Normal 5 2 5 7" xfId="2591" xr:uid="{00000000-0005-0000-0000-000047190000}"/>
    <cellStyle name="Normal 5 2 5 7 2" xfId="6875" xr:uid="{00000000-0005-0000-0000-000048190000}"/>
    <cellStyle name="Normal 5 2 5 7 2 2" xfId="15317" xr:uid="{460A9482-7560-4C51-AB21-118F10CFA2F7}"/>
    <cellStyle name="Normal 5 2 5 7 3" xfId="11099" xr:uid="{A3271A84-6AF0-4642-89A3-AB0B80024A6D}"/>
    <cellStyle name="Normal 5 2 5 8" xfId="4810" xr:uid="{00000000-0005-0000-0000-000049190000}"/>
    <cellStyle name="Normal 5 2 5 8 2" xfId="13252" xr:uid="{7EA9BCDE-7B03-4A1E-8863-41AE11893926}"/>
    <cellStyle name="Normal 5 2 5 9" xfId="9034" xr:uid="{F195571B-1427-477D-BA62-629F7E5EAAD4}"/>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5CD07164-69A8-486A-ACA0-D2052CD4D72D}"/>
    <cellStyle name="Normal 5 2 6 2 2 3" xfId="11594" xr:uid="{46F5E140-8631-483E-9F07-569CE64B26D9}"/>
    <cellStyle name="Normal 5 2 6 2 3" xfId="5225" xr:uid="{00000000-0005-0000-0000-00004E190000}"/>
    <cellStyle name="Normal 5 2 6 2 3 2" xfId="13667" xr:uid="{207E774C-AFFD-48AD-AA37-0AC55385DF2E}"/>
    <cellStyle name="Normal 5 2 6 2 4" xfId="9449" xr:uid="{B9943EA2-8F90-43B8-857B-9A2087C8516D}"/>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0FD5BF53-69E9-4498-8DFA-98652EC61B9C}"/>
    <cellStyle name="Normal 5 2 6 3 2 3" xfId="12007" xr:uid="{A138AA81-7AED-4011-A961-3E40AD82E853}"/>
    <cellStyle name="Normal 5 2 6 3 3" xfId="5638" xr:uid="{00000000-0005-0000-0000-000052190000}"/>
    <cellStyle name="Normal 5 2 6 3 3 2" xfId="14080" xr:uid="{D9441824-31E7-43AD-8FC6-84C7E93C5AE1}"/>
    <cellStyle name="Normal 5 2 6 3 4" xfId="9862" xr:uid="{A0FA1F83-7706-4A62-B086-60708DFA0F82}"/>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298743B2-0865-4BA0-AB68-EE217E15A06A}"/>
    <cellStyle name="Normal 5 2 6 4 2 3" xfId="12420" xr:uid="{FEE99999-D060-4D3B-B0DC-A241782F4BB3}"/>
    <cellStyle name="Normal 5 2 6 4 3" xfId="6051" xr:uid="{00000000-0005-0000-0000-000056190000}"/>
    <cellStyle name="Normal 5 2 6 4 3 2" xfId="14493" xr:uid="{E8FC474C-F913-4AE1-B1B9-68DEF2EE31AE}"/>
    <cellStyle name="Normal 5 2 6 4 4" xfId="10275" xr:uid="{4F5F6AF1-02B8-43C1-9318-D3E5BEBD3CB2}"/>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CC6E39A8-2354-4680-A5D5-B043F59B615E}"/>
    <cellStyle name="Normal 5 2 6 5 2 3" xfId="12833" xr:uid="{F6202D4C-D031-48B8-8156-02EC14334425}"/>
    <cellStyle name="Normal 5 2 6 5 3" xfId="6464" xr:uid="{00000000-0005-0000-0000-00005A190000}"/>
    <cellStyle name="Normal 5 2 6 5 3 2" xfId="14906" xr:uid="{CE5ED46A-E6DB-420C-845A-832302D62685}"/>
    <cellStyle name="Normal 5 2 6 5 4" xfId="10688" xr:uid="{2C656D39-9B95-41C7-9A2D-60D270531E3E}"/>
    <cellStyle name="Normal 5 2 6 6" xfId="2593" xr:uid="{00000000-0005-0000-0000-00005B190000}"/>
    <cellStyle name="Normal 5 2 6 6 2" xfId="6877" xr:uid="{00000000-0005-0000-0000-00005C190000}"/>
    <cellStyle name="Normal 5 2 6 6 2 2" xfId="15319" xr:uid="{F96837C5-3FF8-452E-9780-2BF2BE866FB3}"/>
    <cellStyle name="Normal 5 2 6 6 3" xfId="11101" xr:uid="{AF0EFA02-5939-40FF-B7F1-7E940407BDF6}"/>
    <cellStyle name="Normal 5 2 6 7" xfId="4812" xr:uid="{00000000-0005-0000-0000-00005D190000}"/>
    <cellStyle name="Normal 5 2 6 7 2" xfId="13254" xr:uid="{5D450A07-2EDD-4A00-AB66-675CC33766BE}"/>
    <cellStyle name="Normal 5 2 6 8" xfId="9036" xr:uid="{9FCA509A-05D9-4EB0-BBC5-6F9E1722A597}"/>
    <cellStyle name="Normal 5 2 7" xfId="881" xr:uid="{00000000-0005-0000-0000-00005E190000}"/>
    <cellStyle name="Normal 5 2 7 2" xfId="3116" xr:uid="{00000000-0005-0000-0000-00005F190000}"/>
    <cellStyle name="Normal 5 2 7 2 2" xfId="7339" xr:uid="{00000000-0005-0000-0000-000060190000}"/>
    <cellStyle name="Normal 5 2 7 2 2 2" xfId="15781" xr:uid="{9ADE2653-87A2-4832-B830-EC68A9BBDC1E}"/>
    <cellStyle name="Normal 5 2 7 2 3" xfId="11563" xr:uid="{E0F99624-6832-4B96-B9E8-CBFAB560F0AE}"/>
    <cellStyle name="Normal 5 2 7 3" xfId="5194" xr:uid="{00000000-0005-0000-0000-000061190000}"/>
    <cellStyle name="Normal 5 2 7 3 2" xfId="13636" xr:uid="{62361DBD-250C-4981-9358-F03A9B6241EC}"/>
    <cellStyle name="Normal 5 2 7 4" xfId="9418" xr:uid="{3B8DCAF9-B77F-494D-A13E-9BE6E6E9897A}"/>
    <cellStyle name="Normal 5 2 8" xfId="1299" xr:uid="{00000000-0005-0000-0000-000062190000}"/>
    <cellStyle name="Normal 5 2 8 2" xfId="3529" xr:uid="{00000000-0005-0000-0000-000063190000}"/>
    <cellStyle name="Normal 5 2 8 2 2" xfId="7752" xr:uid="{00000000-0005-0000-0000-000064190000}"/>
    <cellStyle name="Normal 5 2 8 2 2 2" xfId="16194" xr:uid="{70FAD99D-5211-4BC5-ACDA-E7261128D408}"/>
    <cellStyle name="Normal 5 2 8 2 3" xfId="11976" xr:uid="{63DD9B29-9450-4FBE-8B4C-0DB4E66676C2}"/>
    <cellStyle name="Normal 5 2 8 3" xfId="5607" xr:uid="{00000000-0005-0000-0000-000065190000}"/>
    <cellStyle name="Normal 5 2 8 3 2" xfId="14049" xr:uid="{957C0500-4DCC-4B74-AA13-430A3D5F88EE}"/>
    <cellStyle name="Normal 5 2 8 4" xfId="9831" xr:uid="{B6A6E06E-60AE-4C24-BF75-A077BC493BD7}"/>
    <cellStyle name="Normal 5 2 9" xfId="1712" xr:uid="{00000000-0005-0000-0000-000066190000}"/>
    <cellStyle name="Normal 5 2 9 2" xfId="3942" xr:uid="{00000000-0005-0000-0000-000067190000}"/>
    <cellStyle name="Normal 5 2 9 2 2" xfId="8165" xr:uid="{00000000-0005-0000-0000-000068190000}"/>
    <cellStyle name="Normal 5 2 9 2 2 2" xfId="16607" xr:uid="{24942BFC-C24E-4EF6-BC98-236F9A381A8D}"/>
    <cellStyle name="Normal 5 2 9 2 3" xfId="12389" xr:uid="{191E2800-2C29-444B-A02F-10FFAFDED8CF}"/>
    <cellStyle name="Normal 5 2 9 3" xfId="6020" xr:uid="{00000000-0005-0000-0000-000069190000}"/>
    <cellStyle name="Normal 5 2 9 3 2" xfId="14462" xr:uid="{5E18E3B4-1453-4642-9F4A-94A51A39DD7E}"/>
    <cellStyle name="Normal 5 2 9 4" xfId="10244" xr:uid="{11536D92-EB1C-402C-BD06-F6E0B66C0AED}"/>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60869D92-794F-405B-B055-8A5C96E9F5CC}"/>
    <cellStyle name="Normal 5 3 10 2 3" xfId="12834" xr:uid="{C410B6B4-EE5B-4E20-8D0D-6E31EAE38D1A}"/>
    <cellStyle name="Normal 5 3 10 3" xfId="6465" xr:uid="{00000000-0005-0000-0000-00006E190000}"/>
    <cellStyle name="Normal 5 3 10 3 2" xfId="14907" xr:uid="{F4C46DB4-A7A9-493E-8DD4-DE0EB3BF6FA0}"/>
    <cellStyle name="Normal 5 3 10 4" xfId="10689" xr:uid="{E1E4A48A-B8FC-46E0-8BCB-1E91127F6B34}"/>
    <cellStyle name="Normal 5 3 11" xfId="2594" xr:uid="{00000000-0005-0000-0000-00006F190000}"/>
    <cellStyle name="Normal 5 3 11 2" xfId="6878" xr:uid="{00000000-0005-0000-0000-000070190000}"/>
    <cellStyle name="Normal 5 3 11 2 2" xfId="15320" xr:uid="{092F31C3-56AA-451E-99B7-46C3D623FEC5}"/>
    <cellStyle name="Normal 5 3 11 3" xfId="11102" xr:uid="{D18FA597-AB8C-4787-9EE2-A48B34FBFF0F}"/>
    <cellStyle name="Normal 5 3 12" xfId="4813" xr:uid="{00000000-0005-0000-0000-000071190000}"/>
    <cellStyle name="Normal 5 3 12 2" xfId="13255" xr:uid="{34536056-23DA-4DBE-9B51-91EB1C50D52D}"/>
    <cellStyle name="Normal 5 3 13" xfId="9037" xr:uid="{A93C157B-FDC2-41FD-8C9A-38339E99C96B}"/>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069A0C48-299A-43B8-B0FD-6FF56E3D3023}"/>
    <cellStyle name="Normal 5 3 3 11" xfId="9038" xr:uid="{3E31F02D-653C-4DF6-855F-2D048A3F0276}"/>
    <cellStyle name="Normal 5 3 3 2" xfId="442" xr:uid="{00000000-0005-0000-0000-000076190000}"/>
    <cellStyle name="Normal 5 3 3 2 10" xfId="9039" xr:uid="{AD1DE9AA-8D9A-46BD-9DA5-005221BB3C8D}"/>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41AFB9A5-6C18-454E-8629-B356D91765A6}"/>
    <cellStyle name="Normal 5 3 3 2 2 2 2 2 3" xfId="11599" xr:uid="{A0B4849D-D0E8-43EE-9ED8-E399EEA03F6A}"/>
    <cellStyle name="Normal 5 3 3 2 2 2 2 3" xfId="5230" xr:uid="{00000000-0005-0000-0000-00007C190000}"/>
    <cellStyle name="Normal 5 3 3 2 2 2 2 3 2" xfId="13672" xr:uid="{9A9815C2-D763-4702-8B2B-FC93BCAAA08F}"/>
    <cellStyle name="Normal 5 3 3 2 2 2 2 4" xfId="9454" xr:uid="{2777674D-EACB-4F58-9544-DD94D24118C1}"/>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0C6CA9D3-91A4-4E00-AFD9-E839C513A5F7}"/>
    <cellStyle name="Normal 5 3 3 2 2 2 3 2 3" xfId="12012" xr:uid="{0490778A-1CBB-4C4C-BB97-9930BBA18394}"/>
    <cellStyle name="Normal 5 3 3 2 2 2 3 3" xfId="5643" xr:uid="{00000000-0005-0000-0000-000080190000}"/>
    <cellStyle name="Normal 5 3 3 2 2 2 3 3 2" xfId="14085" xr:uid="{8D48DFBD-73BA-43A7-8AD3-0586A5049475}"/>
    <cellStyle name="Normal 5 3 3 2 2 2 3 4" xfId="9867" xr:uid="{A40A0412-192C-43DC-86C9-1D1DE3D9918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395055E4-D837-49E6-82DA-F5FB19414305}"/>
    <cellStyle name="Normal 5 3 3 2 2 2 4 2 3" xfId="12425" xr:uid="{A34F4CD0-DE3A-465E-8C05-4DE00E564BEA}"/>
    <cellStyle name="Normal 5 3 3 2 2 2 4 3" xfId="6056" xr:uid="{00000000-0005-0000-0000-000084190000}"/>
    <cellStyle name="Normal 5 3 3 2 2 2 4 3 2" xfId="14498" xr:uid="{ED82EE8D-3206-4C18-A681-0898EF1DF6AF}"/>
    <cellStyle name="Normal 5 3 3 2 2 2 4 4" xfId="10280" xr:uid="{1D27641C-E6E9-4BD3-AEDB-6358BB36D1DB}"/>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D338841E-8D08-481E-A464-76E168D78DC1}"/>
    <cellStyle name="Normal 5 3 3 2 2 2 5 2 3" xfId="12838" xr:uid="{76603015-6026-4454-B6EA-AA0F6DFCA87C}"/>
    <cellStyle name="Normal 5 3 3 2 2 2 5 3" xfId="6469" xr:uid="{00000000-0005-0000-0000-000088190000}"/>
    <cellStyle name="Normal 5 3 3 2 2 2 5 3 2" xfId="14911" xr:uid="{303FC9F5-DBFA-4290-B7C4-B47D643D81D3}"/>
    <cellStyle name="Normal 5 3 3 2 2 2 5 4" xfId="10693" xr:uid="{B9D66547-25AC-46A2-9981-11B75FB90097}"/>
    <cellStyle name="Normal 5 3 3 2 2 2 6" xfId="2598" xr:uid="{00000000-0005-0000-0000-000089190000}"/>
    <cellStyle name="Normal 5 3 3 2 2 2 6 2" xfId="6882" xr:uid="{00000000-0005-0000-0000-00008A190000}"/>
    <cellStyle name="Normal 5 3 3 2 2 2 6 2 2" xfId="15324" xr:uid="{D756AE64-2D83-4E6B-A9CB-4FE976BF9183}"/>
    <cellStyle name="Normal 5 3 3 2 2 2 6 3" xfId="11106" xr:uid="{4768BF7B-2869-498A-BF92-8D72D4FF819F}"/>
    <cellStyle name="Normal 5 3 3 2 2 2 7" xfId="4817" xr:uid="{00000000-0005-0000-0000-00008B190000}"/>
    <cellStyle name="Normal 5 3 3 2 2 2 7 2" xfId="13259" xr:uid="{7EF0DFD4-B8C9-4399-B1FB-3700B8C7B196}"/>
    <cellStyle name="Normal 5 3 3 2 2 2 8" xfId="9041" xr:uid="{C51D74EC-B4CE-40FC-946A-D12A0AD17A0C}"/>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1F044A72-F614-448E-AFB7-8FA5F1B565A9}"/>
    <cellStyle name="Normal 5 3 3 2 2 3 2 3" xfId="11598" xr:uid="{48AFD414-8E37-41BF-A3A9-A419F9B75AD2}"/>
    <cellStyle name="Normal 5 3 3 2 2 3 3" xfId="5229" xr:uid="{00000000-0005-0000-0000-00008F190000}"/>
    <cellStyle name="Normal 5 3 3 2 2 3 3 2" xfId="13671" xr:uid="{399D2C14-A045-4B5D-814A-EDBD0DE3A18C}"/>
    <cellStyle name="Normal 5 3 3 2 2 3 4" xfId="9453" xr:uid="{798C238E-9526-404E-BF2E-DDB7C87D8EFD}"/>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025A1B1D-ECC3-4849-B3EA-951C099A8A72}"/>
    <cellStyle name="Normal 5 3 3 2 2 4 2 3" xfId="12011" xr:uid="{D7DE7B24-9E08-4507-8E0F-B05C1904406D}"/>
    <cellStyle name="Normal 5 3 3 2 2 4 3" xfId="5642" xr:uid="{00000000-0005-0000-0000-000093190000}"/>
    <cellStyle name="Normal 5 3 3 2 2 4 3 2" xfId="14084" xr:uid="{2F563E6C-C46E-42AD-9998-1539EE5E5FDA}"/>
    <cellStyle name="Normal 5 3 3 2 2 4 4" xfId="9866" xr:uid="{D849013E-9981-444F-93F5-8ED02EE48088}"/>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114E6D14-0A96-4A10-BE4D-CC5510AFBD12}"/>
    <cellStyle name="Normal 5 3 3 2 2 5 2 3" xfId="12424" xr:uid="{389977D9-50FA-4877-8366-F04E0CEC51B6}"/>
    <cellStyle name="Normal 5 3 3 2 2 5 3" xfId="6055" xr:uid="{00000000-0005-0000-0000-000097190000}"/>
    <cellStyle name="Normal 5 3 3 2 2 5 3 2" xfId="14497" xr:uid="{F09F1933-419A-4B52-AAD2-C115DA6F7709}"/>
    <cellStyle name="Normal 5 3 3 2 2 5 4" xfId="10279" xr:uid="{53461735-7CC2-4F2C-AEC2-D53699CA5D1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B6186C45-6495-4436-BE39-47CEE9698962}"/>
    <cellStyle name="Normal 5 3 3 2 2 6 2 3" xfId="12837" xr:uid="{CE025402-C997-4B64-8CE3-C96C5FDFBE60}"/>
    <cellStyle name="Normal 5 3 3 2 2 6 3" xfId="6468" xr:uid="{00000000-0005-0000-0000-00009B190000}"/>
    <cellStyle name="Normal 5 3 3 2 2 6 3 2" xfId="14910" xr:uid="{3CBCB04F-1BDA-4FB5-8D6C-B10DA1981259}"/>
    <cellStyle name="Normal 5 3 3 2 2 6 4" xfId="10692" xr:uid="{97A74AAD-6509-4900-B0EC-030CBBA195CC}"/>
    <cellStyle name="Normal 5 3 3 2 2 7" xfId="2597" xr:uid="{00000000-0005-0000-0000-00009C190000}"/>
    <cellStyle name="Normal 5 3 3 2 2 7 2" xfId="6881" xr:uid="{00000000-0005-0000-0000-00009D190000}"/>
    <cellStyle name="Normal 5 3 3 2 2 7 2 2" xfId="15323" xr:uid="{4E5739E3-55F4-4B87-BAB9-2334F57D379D}"/>
    <cellStyle name="Normal 5 3 3 2 2 7 3" xfId="11105" xr:uid="{359687C4-F92C-4F01-959B-1ADC36B6207B}"/>
    <cellStyle name="Normal 5 3 3 2 2 8" xfId="4816" xr:uid="{00000000-0005-0000-0000-00009E190000}"/>
    <cellStyle name="Normal 5 3 3 2 2 8 2" xfId="13258" xr:uid="{6ABB9A72-8CE4-4B35-8518-9C02B2A54BF5}"/>
    <cellStyle name="Normal 5 3 3 2 2 9" xfId="9040" xr:uid="{ACCEC4BB-2DA2-4F96-A86E-482E044F331D}"/>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B440F317-D520-48F9-990D-65B5C9C01D47}"/>
    <cellStyle name="Normal 5 3 3 2 3 2 2 3" xfId="11600" xr:uid="{C3198530-406B-4343-AE14-FB377BF6406C}"/>
    <cellStyle name="Normal 5 3 3 2 3 2 3" xfId="5231" xr:uid="{00000000-0005-0000-0000-0000A3190000}"/>
    <cellStyle name="Normal 5 3 3 2 3 2 3 2" xfId="13673" xr:uid="{CE895064-1CDA-4857-B612-8942E91EC3E2}"/>
    <cellStyle name="Normal 5 3 3 2 3 2 4" xfId="9455" xr:uid="{193AD235-999E-4962-9DEC-3318A2531F88}"/>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C94F1C64-4C0A-4D79-8907-E273D4C88AE9}"/>
    <cellStyle name="Normal 5 3 3 2 3 3 2 3" xfId="12013" xr:uid="{42F3BF11-1833-45CB-81EC-F82EBED2C822}"/>
    <cellStyle name="Normal 5 3 3 2 3 3 3" xfId="5644" xr:uid="{00000000-0005-0000-0000-0000A7190000}"/>
    <cellStyle name="Normal 5 3 3 2 3 3 3 2" xfId="14086" xr:uid="{236F413A-F1B8-4BD7-B67F-E21D5450D9EF}"/>
    <cellStyle name="Normal 5 3 3 2 3 3 4" xfId="9868" xr:uid="{1966E9D4-D7F2-4FF8-A414-526F770062CD}"/>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C4FB033D-E019-46AD-A674-D2EFAFECFC7C}"/>
    <cellStyle name="Normal 5 3 3 2 3 4 2 3" xfId="12426" xr:uid="{643CD254-F39A-44AB-B119-09C36E3059A2}"/>
    <cellStyle name="Normal 5 3 3 2 3 4 3" xfId="6057" xr:uid="{00000000-0005-0000-0000-0000AB190000}"/>
    <cellStyle name="Normal 5 3 3 2 3 4 3 2" xfId="14499" xr:uid="{5E57A45D-03C2-4212-8341-26903C8BFF34}"/>
    <cellStyle name="Normal 5 3 3 2 3 4 4" xfId="10281" xr:uid="{F58E7376-AA23-4D78-AB92-6CCE4383031B}"/>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E6F62B9D-6DF2-4238-BEBA-2EA97E86D6D7}"/>
    <cellStyle name="Normal 5 3 3 2 3 5 2 3" xfId="12839" xr:uid="{3B813EC6-C44F-4AA1-916D-5FD1D5D75032}"/>
    <cellStyle name="Normal 5 3 3 2 3 5 3" xfId="6470" xr:uid="{00000000-0005-0000-0000-0000AF190000}"/>
    <cellStyle name="Normal 5 3 3 2 3 5 3 2" xfId="14912" xr:uid="{7CDBB7FD-BD51-4B76-BF51-360DEC001401}"/>
    <cellStyle name="Normal 5 3 3 2 3 5 4" xfId="10694" xr:uid="{18D621A7-D5C3-4DF9-A39E-44DA8365AC67}"/>
    <cellStyle name="Normal 5 3 3 2 3 6" xfId="2599" xr:uid="{00000000-0005-0000-0000-0000B0190000}"/>
    <cellStyle name="Normal 5 3 3 2 3 6 2" xfId="6883" xr:uid="{00000000-0005-0000-0000-0000B1190000}"/>
    <cellStyle name="Normal 5 3 3 2 3 6 2 2" xfId="15325" xr:uid="{DA815690-111F-4F46-A857-17B647B933CF}"/>
    <cellStyle name="Normal 5 3 3 2 3 6 3" xfId="11107" xr:uid="{A3C5044F-CF6E-4816-9FC9-F42632EABA66}"/>
    <cellStyle name="Normal 5 3 3 2 3 7" xfId="4818" xr:uid="{00000000-0005-0000-0000-0000B2190000}"/>
    <cellStyle name="Normal 5 3 3 2 3 7 2" xfId="13260" xr:uid="{947BA4E3-82E7-48F7-A5CE-948C549AB038}"/>
    <cellStyle name="Normal 5 3 3 2 3 8" xfId="9042" xr:uid="{5B9FF5BA-A773-467C-B85A-2CC23423AA4B}"/>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6F341959-CB8C-4ADE-B663-5DF720F0DCA1}"/>
    <cellStyle name="Normal 5 3 3 2 4 2 3" xfId="11597" xr:uid="{BD3A2E2A-7648-4E9E-8D97-564550FD3B01}"/>
    <cellStyle name="Normal 5 3 3 2 4 3" xfId="5228" xr:uid="{00000000-0005-0000-0000-0000B6190000}"/>
    <cellStyle name="Normal 5 3 3 2 4 3 2" xfId="13670" xr:uid="{4512D8ED-AB2B-45CD-B8EE-69577E1AFFCD}"/>
    <cellStyle name="Normal 5 3 3 2 4 4" xfId="9452" xr:uid="{3F5A4CAA-5F06-48C3-88C4-8D8F64F7E96D}"/>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33893B98-1615-455B-B4CB-795A1B5532F0}"/>
    <cellStyle name="Normal 5 3 3 2 5 2 3" xfId="12010" xr:uid="{FD97071E-1E08-4574-8E21-37896DB846E7}"/>
    <cellStyle name="Normal 5 3 3 2 5 3" xfId="5641" xr:uid="{00000000-0005-0000-0000-0000BA190000}"/>
    <cellStyle name="Normal 5 3 3 2 5 3 2" xfId="14083" xr:uid="{067ED936-3E49-4368-8552-E1AFDEBED604}"/>
    <cellStyle name="Normal 5 3 3 2 5 4" xfId="9865" xr:uid="{12270291-4F01-46B3-8724-A9BA18D5753A}"/>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D3EEE761-AD78-4C08-B8E7-231AF347CD3D}"/>
    <cellStyle name="Normal 5 3 3 2 6 2 3" xfId="12423" xr:uid="{874477B2-8013-4EEF-A773-F8B4B516B704}"/>
    <cellStyle name="Normal 5 3 3 2 6 3" xfId="6054" xr:uid="{00000000-0005-0000-0000-0000BE190000}"/>
    <cellStyle name="Normal 5 3 3 2 6 3 2" xfId="14496" xr:uid="{E56D82E1-B41A-4B4C-B115-8A0DA83C5E35}"/>
    <cellStyle name="Normal 5 3 3 2 6 4" xfId="10278" xr:uid="{5CC4303E-1B82-4FE0-BBA9-6EDF13AB7753}"/>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EBF025C8-7055-4414-BA06-DD394CB16288}"/>
    <cellStyle name="Normal 5 3 3 2 7 2 3" xfId="12836" xr:uid="{954B7015-AD71-4606-BF56-522E237493FF}"/>
    <cellStyle name="Normal 5 3 3 2 7 3" xfId="6467" xr:uid="{00000000-0005-0000-0000-0000C2190000}"/>
    <cellStyle name="Normal 5 3 3 2 7 3 2" xfId="14909" xr:uid="{9707A857-574F-4284-AAF2-C5A211C63E97}"/>
    <cellStyle name="Normal 5 3 3 2 7 4" xfId="10691" xr:uid="{B47CDE7B-1019-4EC2-9383-B7E5EEC13EC2}"/>
    <cellStyle name="Normal 5 3 3 2 8" xfId="2596" xr:uid="{00000000-0005-0000-0000-0000C3190000}"/>
    <cellStyle name="Normal 5 3 3 2 8 2" xfId="6880" xr:uid="{00000000-0005-0000-0000-0000C4190000}"/>
    <cellStyle name="Normal 5 3 3 2 8 2 2" xfId="15322" xr:uid="{78B9AD42-5A9A-4134-A3CF-28C4778F1FE3}"/>
    <cellStyle name="Normal 5 3 3 2 8 3" xfId="11104" xr:uid="{2B34FD4C-B248-486A-BEDD-D86084124CDF}"/>
    <cellStyle name="Normal 5 3 3 2 9" xfId="4815" xr:uid="{00000000-0005-0000-0000-0000C5190000}"/>
    <cellStyle name="Normal 5 3 3 2 9 2" xfId="13257" xr:uid="{53F779CE-23E0-493C-A945-259ABC63A45C}"/>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946700E9-A5A3-4B03-A4B1-D06F54A9EBE9}"/>
    <cellStyle name="Normal 5 3 3 3 2 2 2 3" xfId="11602" xr:uid="{EDD7D9D2-F539-46A5-9209-A059381F4FCB}"/>
    <cellStyle name="Normal 5 3 3 3 2 2 3" xfId="5233" xr:uid="{00000000-0005-0000-0000-0000CB190000}"/>
    <cellStyle name="Normal 5 3 3 3 2 2 3 2" xfId="13675" xr:uid="{155502F2-79D7-4D5A-B192-F91B27570423}"/>
    <cellStyle name="Normal 5 3 3 3 2 2 4" xfId="9457" xr:uid="{A9D305EA-BA4E-4BFA-9BD1-93A2C154A724}"/>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01B561E2-7330-4CDE-9829-A420972623EA}"/>
    <cellStyle name="Normal 5 3 3 3 2 3 2 3" xfId="12015" xr:uid="{45E39161-08BF-48AF-B530-A24D55C1F151}"/>
    <cellStyle name="Normal 5 3 3 3 2 3 3" xfId="5646" xr:uid="{00000000-0005-0000-0000-0000CF190000}"/>
    <cellStyle name="Normal 5 3 3 3 2 3 3 2" xfId="14088" xr:uid="{65A992BD-8CEC-49B9-9F63-47A72F690FAE}"/>
    <cellStyle name="Normal 5 3 3 3 2 3 4" xfId="9870" xr:uid="{54BD0831-1332-418C-9497-EE0A14CC3515}"/>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0F88FF41-737E-4A34-B4C7-A77E647A8CB6}"/>
    <cellStyle name="Normal 5 3 3 3 2 4 2 3" xfId="12428" xr:uid="{57789A28-82C5-427F-9279-0753BD3F9F49}"/>
    <cellStyle name="Normal 5 3 3 3 2 4 3" xfId="6059" xr:uid="{00000000-0005-0000-0000-0000D3190000}"/>
    <cellStyle name="Normal 5 3 3 3 2 4 3 2" xfId="14501" xr:uid="{22E2CC1E-7BE5-4A52-80C0-3749D5194005}"/>
    <cellStyle name="Normal 5 3 3 3 2 4 4" xfId="10283" xr:uid="{C03691CC-C784-440F-8BD6-EA722BB9E716}"/>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90668699-F947-4861-BC3F-0B0970023C7C}"/>
    <cellStyle name="Normal 5 3 3 3 2 5 2 3" xfId="12841" xr:uid="{3A7674B4-77AB-47B4-B4A3-FD2E92A56FDB}"/>
    <cellStyle name="Normal 5 3 3 3 2 5 3" xfId="6472" xr:uid="{00000000-0005-0000-0000-0000D7190000}"/>
    <cellStyle name="Normal 5 3 3 3 2 5 3 2" xfId="14914" xr:uid="{BE80117A-96EC-4776-8666-7B1EE32E588C}"/>
    <cellStyle name="Normal 5 3 3 3 2 5 4" xfId="10696" xr:uid="{3A5615CE-5A9D-4F19-89F9-039381609C29}"/>
    <cellStyle name="Normal 5 3 3 3 2 6" xfId="2601" xr:uid="{00000000-0005-0000-0000-0000D8190000}"/>
    <cellStyle name="Normal 5 3 3 3 2 6 2" xfId="6885" xr:uid="{00000000-0005-0000-0000-0000D9190000}"/>
    <cellStyle name="Normal 5 3 3 3 2 6 2 2" xfId="15327" xr:uid="{D08E2345-623E-4948-B527-95AE820CDD47}"/>
    <cellStyle name="Normal 5 3 3 3 2 6 3" xfId="11109" xr:uid="{1A9865F7-8089-4C57-87CD-B2478ADF5700}"/>
    <cellStyle name="Normal 5 3 3 3 2 7" xfId="4820" xr:uid="{00000000-0005-0000-0000-0000DA190000}"/>
    <cellStyle name="Normal 5 3 3 3 2 7 2" xfId="13262" xr:uid="{3D1D36E8-E4D8-4C9F-9982-299F9FB31ABF}"/>
    <cellStyle name="Normal 5 3 3 3 2 8" xfId="9044" xr:uid="{F3F7470B-FD68-475B-8CFB-ADAC6EDF8DE4}"/>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130CAA6E-D424-4C7B-B8A7-B7EC8299CA2B}"/>
    <cellStyle name="Normal 5 3 3 3 3 2 3" xfId="11601" xr:uid="{7D036A72-BAB4-498B-8AF7-769D2B4AE1A4}"/>
    <cellStyle name="Normal 5 3 3 3 3 3" xfId="5232" xr:uid="{00000000-0005-0000-0000-0000DE190000}"/>
    <cellStyle name="Normal 5 3 3 3 3 3 2" xfId="13674" xr:uid="{F78C05B6-3C1C-4374-9B3F-90E5C26FBE49}"/>
    <cellStyle name="Normal 5 3 3 3 3 4" xfId="9456" xr:uid="{1C849F00-5F4A-4A46-9674-1DD92B97CCAB}"/>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9EB1D841-B3A4-4337-870D-8501C8CB09E3}"/>
    <cellStyle name="Normal 5 3 3 3 4 2 3" xfId="12014" xr:uid="{19005DFC-A0F6-46D4-AA4C-DDC717194B0A}"/>
    <cellStyle name="Normal 5 3 3 3 4 3" xfId="5645" xr:uid="{00000000-0005-0000-0000-0000E2190000}"/>
    <cellStyle name="Normal 5 3 3 3 4 3 2" xfId="14087" xr:uid="{3A4F7F3E-BF4A-4263-9D43-DF0533725DAD}"/>
    <cellStyle name="Normal 5 3 3 3 4 4" xfId="9869" xr:uid="{5426DEB4-57BB-4F35-9BDF-673C2971E215}"/>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38DBFE96-2EC2-4344-9B56-1C6D563820FF}"/>
    <cellStyle name="Normal 5 3 3 3 5 2 3" xfId="12427" xr:uid="{36BE5F01-B00F-4918-BB7A-BA21B6A6AD70}"/>
    <cellStyle name="Normal 5 3 3 3 5 3" xfId="6058" xr:uid="{00000000-0005-0000-0000-0000E6190000}"/>
    <cellStyle name="Normal 5 3 3 3 5 3 2" xfId="14500" xr:uid="{6E29939F-E72B-4BE5-9E68-8960FEED4A00}"/>
    <cellStyle name="Normal 5 3 3 3 5 4" xfId="10282" xr:uid="{84C1A524-222C-4BEA-95AA-88507DE0E003}"/>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FA28DA6E-EB88-4801-B277-BCCFFE258B38}"/>
    <cellStyle name="Normal 5 3 3 3 6 2 3" xfId="12840" xr:uid="{9E759046-B093-494A-835C-31E7AE451A56}"/>
    <cellStyle name="Normal 5 3 3 3 6 3" xfId="6471" xr:uid="{00000000-0005-0000-0000-0000EA190000}"/>
    <cellStyle name="Normal 5 3 3 3 6 3 2" xfId="14913" xr:uid="{61255B33-1BFE-4048-A19C-8F36C29FDBC0}"/>
    <cellStyle name="Normal 5 3 3 3 6 4" xfId="10695" xr:uid="{ED5AD31F-A60D-4CB7-9B2F-F47EF70143AA}"/>
    <cellStyle name="Normal 5 3 3 3 7" xfId="2600" xr:uid="{00000000-0005-0000-0000-0000EB190000}"/>
    <cellStyle name="Normal 5 3 3 3 7 2" xfId="6884" xr:uid="{00000000-0005-0000-0000-0000EC190000}"/>
    <cellStyle name="Normal 5 3 3 3 7 2 2" xfId="15326" xr:uid="{EB49EE2B-45E0-4BED-AFCA-66324BBFF90B}"/>
    <cellStyle name="Normal 5 3 3 3 7 3" xfId="11108" xr:uid="{F0FC4C10-D46D-4051-B995-599853406C44}"/>
    <cellStyle name="Normal 5 3 3 3 8" xfId="4819" xr:uid="{00000000-0005-0000-0000-0000ED190000}"/>
    <cellStyle name="Normal 5 3 3 3 8 2" xfId="13261" xr:uid="{B1B09AC5-4A97-4C63-B8F9-BC8D26C7992B}"/>
    <cellStyle name="Normal 5 3 3 3 9" xfId="9043" xr:uid="{0EA66064-CB35-4AFE-8280-10F688C88A2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11A9E71F-1F86-48C0-AC30-C6E7571FB485}"/>
    <cellStyle name="Normal 5 3 3 4 2 2 3" xfId="11603" xr:uid="{A16E8E84-12B5-4109-B6A5-85A797E3B4DD}"/>
    <cellStyle name="Normal 5 3 3 4 2 3" xfId="5234" xr:uid="{00000000-0005-0000-0000-0000F2190000}"/>
    <cellStyle name="Normal 5 3 3 4 2 3 2" xfId="13676" xr:uid="{F0256CD5-61E7-4629-8006-30B88B72AEF6}"/>
    <cellStyle name="Normal 5 3 3 4 2 4" xfId="9458" xr:uid="{43A82B4F-10CE-4C5D-A721-9B3E1A9D02E5}"/>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2670E120-D58B-4350-9DAA-1BA080A2E3F2}"/>
    <cellStyle name="Normal 5 3 3 4 3 2 3" xfId="12016" xr:uid="{EC120546-5229-45E8-B9A1-03492A4FA6FE}"/>
    <cellStyle name="Normal 5 3 3 4 3 3" xfId="5647" xr:uid="{00000000-0005-0000-0000-0000F6190000}"/>
    <cellStyle name="Normal 5 3 3 4 3 3 2" xfId="14089" xr:uid="{20CFE411-3D04-4390-9B68-E36DAC6C4241}"/>
    <cellStyle name="Normal 5 3 3 4 3 4" xfId="9871" xr:uid="{6B30CD50-586E-4317-97EB-D86644BAF554}"/>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01F5A27B-0B16-416C-B256-7D479EAE141E}"/>
    <cellStyle name="Normal 5 3 3 4 4 2 3" xfId="12429" xr:uid="{1018AC3F-4F4F-467A-92D4-AB0499EA12E8}"/>
    <cellStyle name="Normal 5 3 3 4 4 3" xfId="6060" xr:uid="{00000000-0005-0000-0000-0000FA190000}"/>
    <cellStyle name="Normal 5 3 3 4 4 3 2" xfId="14502" xr:uid="{E42AF663-5B96-4285-998C-4917B18ECD03}"/>
    <cellStyle name="Normal 5 3 3 4 4 4" xfId="10284" xr:uid="{B309F4DF-CB45-407F-ACCE-720551970B15}"/>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4EDEBC44-912A-47B4-94C2-0061F8290C9E}"/>
    <cellStyle name="Normal 5 3 3 4 5 2 3" xfId="12842" xr:uid="{DD37FD94-0DA9-4247-AE49-E5351E5908F2}"/>
    <cellStyle name="Normal 5 3 3 4 5 3" xfId="6473" xr:uid="{00000000-0005-0000-0000-0000FE190000}"/>
    <cellStyle name="Normal 5 3 3 4 5 3 2" xfId="14915" xr:uid="{6F8E13BB-58FA-4AEB-B5A5-AAA862154157}"/>
    <cellStyle name="Normal 5 3 3 4 5 4" xfId="10697" xr:uid="{C16DFC39-5D3E-4B73-AF29-22D5DE34FB29}"/>
    <cellStyle name="Normal 5 3 3 4 6" xfId="2602" xr:uid="{00000000-0005-0000-0000-0000FF190000}"/>
    <cellStyle name="Normal 5 3 3 4 6 2" xfId="6886" xr:uid="{00000000-0005-0000-0000-0000001A0000}"/>
    <cellStyle name="Normal 5 3 3 4 6 2 2" xfId="15328" xr:uid="{A9CE8171-2C1F-4184-915B-AA0E4CAB7893}"/>
    <cellStyle name="Normal 5 3 3 4 6 3" xfId="11110" xr:uid="{01FC9D42-439A-4BBC-B211-42A8B83F1E50}"/>
    <cellStyle name="Normal 5 3 3 4 7" xfId="4821" xr:uid="{00000000-0005-0000-0000-0000011A0000}"/>
    <cellStyle name="Normal 5 3 3 4 7 2" xfId="13263" xr:uid="{315A19B1-42DC-44A0-8129-A11CF40F7591}"/>
    <cellStyle name="Normal 5 3 3 4 8" xfId="9045" xr:uid="{C652E754-7323-49B7-8769-411FEAA71B7E}"/>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511B80B7-D3F0-4ADC-B80A-E37270FF461D}"/>
    <cellStyle name="Normal 5 3 3 5 2 3" xfId="11596" xr:uid="{1F4F206F-331F-4531-9ADF-0EF30D238AA1}"/>
    <cellStyle name="Normal 5 3 3 5 3" xfId="5227" xr:uid="{00000000-0005-0000-0000-0000051A0000}"/>
    <cellStyle name="Normal 5 3 3 5 3 2" xfId="13669" xr:uid="{42873E91-5EBB-4B01-B887-36BF88FEC8BA}"/>
    <cellStyle name="Normal 5 3 3 5 4" xfId="9451" xr:uid="{64804366-9ECC-4B93-B70A-98D84391EC8B}"/>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3D3CFC1D-17A3-4881-8E2C-754969D7D185}"/>
    <cellStyle name="Normal 5 3 3 6 2 3" xfId="12009" xr:uid="{30CBDE7C-8182-4F50-BE07-8487BAF2C589}"/>
    <cellStyle name="Normal 5 3 3 6 3" xfId="5640" xr:uid="{00000000-0005-0000-0000-0000091A0000}"/>
    <cellStyle name="Normal 5 3 3 6 3 2" xfId="14082" xr:uid="{3EF9A7EE-2E0E-42A8-A4BA-50B992CC45A7}"/>
    <cellStyle name="Normal 5 3 3 6 4" xfId="9864" xr:uid="{9309C0D6-1791-473A-81D8-D3A388A17E78}"/>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64985FF9-99BA-4C0E-9C01-1D42B379D576}"/>
    <cellStyle name="Normal 5 3 3 7 2 3" xfId="12422" xr:uid="{B63678AB-AAFE-4B97-B20D-5A67CBE12AED}"/>
    <cellStyle name="Normal 5 3 3 7 3" xfId="6053" xr:uid="{00000000-0005-0000-0000-00000D1A0000}"/>
    <cellStyle name="Normal 5 3 3 7 3 2" xfId="14495" xr:uid="{E71F1233-9005-47E5-B339-C481DD262C2F}"/>
    <cellStyle name="Normal 5 3 3 7 4" xfId="10277" xr:uid="{893400DC-2749-4D60-961B-48EB943C578D}"/>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BA607E91-AD8A-46B9-AD06-B1AD490AEBE9}"/>
    <cellStyle name="Normal 5 3 3 8 2 3" xfId="12835" xr:uid="{0E57C1B8-EC59-47B7-AB53-FAC8718E03C6}"/>
    <cellStyle name="Normal 5 3 3 8 3" xfId="6466" xr:uid="{00000000-0005-0000-0000-0000111A0000}"/>
    <cellStyle name="Normal 5 3 3 8 3 2" xfId="14908" xr:uid="{8F0AEA55-99D7-4A4E-949C-E5B0193940D9}"/>
    <cellStyle name="Normal 5 3 3 8 4" xfId="10690" xr:uid="{838EF6F5-2ABB-4B34-8D86-235B103632C8}"/>
    <cellStyle name="Normal 5 3 3 9" xfId="2595" xr:uid="{00000000-0005-0000-0000-0000121A0000}"/>
    <cellStyle name="Normal 5 3 3 9 2" xfId="6879" xr:uid="{00000000-0005-0000-0000-0000131A0000}"/>
    <cellStyle name="Normal 5 3 3 9 2 2" xfId="15321" xr:uid="{0BCA23DF-B0DA-4EF2-818D-71E8E3516B82}"/>
    <cellStyle name="Normal 5 3 3 9 3" xfId="11103" xr:uid="{B96BCDBB-D011-48A0-8EE8-991F757D34EC}"/>
    <cellStyle name="Normal 5 3 4" xfId="449" xr:uid="{00000000-0005-0000-0000-0000141A0000}"/>
    <cellStyle name="Normal 5 3 4 10" xfId="9046" xr:uid="{3DEF5B0C-2F58-4310-AD36-F9A3420A034B}"/>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1347144D-55A6-41ED-BFC1-AB98FB0663DB}"/>
    <cellStyle name="Normal 5 3 4 2 2 2 2 3" xfId="11606" xr:uid="{6FD8AA0B-5D08-45CB-B65A-3564AAE3DBFA}"/>
    <cellStyle name="Normal 5 3 4 2 2 2 3" xfId="5237" xr:uid="{00000000-0005-0000-0000-00001A1A0000}"/>
    <cellStyle name="Normal 5 3 4 2 2 2 3 2" xfId="13679" xr:uid="{965BEEC3-5DC8-4623-946F-9DED38B01D18}"/>
    <cellStyle name="Normal 5 3 4 2 2 2 4" xfId="9461" xr:uid="{F2AE1F7C-DC1F-4E34-8B44-C7EFF5B57444}"/>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C61FAB3C-9BC9-490C-83F6-E553B48E6C88}"/>
    <cellStyle name="Normal 5 3 4 2 2 3 2 3" xfId="12019" xr:uid="{48F10F76-4F5A-49D9-BD34-EE18515188AA}"/>
    <cellStyle name="Normal 5 3 4 2 2 3 3" xfId="5650" xr:uid="{00000000-0005-0000-0000-00001E1A0000}"/>
    <cellStyle name="Normal 5 3 4 2 2 3 3 2" xfId="14092" xr:uid="{86EC3741-7691-4D04-8173-E180CEAAB521}"/>
    <cellStyle name="Normal 5 3 4 2 2 3 4" xfId="9874" xr:uid="{51AF23D0-B21F-49B8-8EDB-E7B144A7AA5D}"/>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2929B97C-9C49-4EC1-ADC5-39940DFBAAC4}"/>
    <cellStyle name="Normal 5 3 4 2 2 4 2 3" xfId="12432" xr:uid="{983D309C-9B37-440C-991F-5FD09E75D070}"/>
    <cellStyle name="Normal 5 3 4 2 2 4 3" xfId="6063" xr:uid="{00000000-0005-0000-0000-0000221A0000}"/>
    <cellStyle name="Normal 5 3 4 2 2 4 3 2" xfId="14505" xr:uid="{EB390B1C-BB94-4B9D-AFCE-7745728B959F}"/>
    <cellStyle name="Normal 5 3 4 2 2 4 4" xfId="10287" xr:uid="{5E74EDE3-CA2E-4EF2-B12A-35B292DFD65F}"/>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723CF2AC-0B3B-40DF-8C66-3B79696177C7}"/>
    <cellStyle name="Normal 5 3 4 2 2 5 2 3" xfId="12845" xr:uid="{4885D4F9-BEB3-4391-B8B0-E3D4B18D530C}"/>
    <cellStyle name="Normal 5 3 4 2 2 5 3" xfId="6476" xr:uid="{00000000-0005-0000-0000-0000261A0000}"/>
    <cellStyle name="Normal 5 3 4 2 2 5 3 2" xfId="14918" xr:uid="{A974D933-3894-4021-A6B1-EE5732C7079E}"/>
    <cellStyle name="Normal 5 3 4 2 2 5 4" xfId="10700" xr:uid="{69C736B7-2AB3-4840-BC49-CF593D690EA2}"/>
    <cellStyle name="Normal 5 3 4 2 2 6" xfId="2605" xr:uid="{00000000-0005-0000-0000-0000271A0000}"/>
    <cellStyle name="Normal 5 3 4 2 2 6 2" xfId="6889" xr:uid="{00000000-0005-0000-0000-0000281A0000}"/>
    <cellStyle name="Normal 5 3 4 2 2 6 2 2" xfId="15331" xr:uid="{C5204936-D32E-4930-A53A-6C66F93BD8CA}"/>
    <cellStyle name="Normal 5 3 4 2 2 6 3" xfId="11113" xr:uid="{944EC5D0-DCED-4625-8F6E-7F5FFB2A8FE7}"/>
    <cellStyle name="Normal 5 3 4 2 2 7" xfId="4824" xr:uid="{00000000-0005-0000-0000-0000291A0000}"/>
    <cellStyle name="Normal 5 3 4 2 2 7 2" xfId="13266" xr:uid="{9EA94066-52B5-4B52-8468-FF8B0B1124D8}"/>
    <cellStyle name="Normal 5 3 4 2 2 8" xfId="9048" xr:uid="{A5F088E5-998C-40BF-8411-5600537D9CD7}"/>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0E187D85-A6B4-4E1C-866B-D82D1C5C628C}"/>
    <cellStyle name="Normal 5 3 4 2 3 2 3" xfId="11605" xr:uid="{DDB149CD-B6E7-4361-93E7-CD26F3D644CF}"/>
    <cellStyle name="Normal 5 3 4 2 3 3" xfId="5236" xr:uid="{00000000-0005-0000-0000-00002D1A0000}"/>
    <cellStyle name="Normal 5 3 4 2 3 3 2" xfId="13678" xr:uid="{F4AC29B3-47FA-4A1E-8A8B-58C0166A3CAE}"/>
    <cellStyle name="Normal 5 3 4 2 3 4" xfId="9460" xr:uid="{4EBF7378-B855-49F6-82AB-00C2DB49456C}"/>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C24588A4-3CCB-4903-9E21-AD32B207FB56}"/>
    <cellStyle name="Normal 5 3 4 2 4 2 3" xfId="12018" xr:uid="{A8A1B445-75FF-4271-923E-9DEAA2EB31F5}"/>
    <cellStyle name="Normal 5 3 4 2 4 3" xfId="5649" xr:uid="{00000000-0005-0000-0000-0000311A0000}"/>
    <cellStyle name="Normal 5 3 4 2 4 3 2" xfId="14091" xr:uid="{71B52431-05D6-4FC9-A11E-852F2B8EA589}"/>
    <cellStyle name="Normal 5 3 4 2 4 4" xfId="9873" xr:uid="{DC73CD50-134C-4E78-8AC1-87A218A747FB}"/>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C4EB3E5A-EE9B-44CC-8C27-04012F3FCBCE}"/>
    <cellStyle name="Normal 5 3 4 2 5 2 3" xfId="12431" xr:uid="{2B706515-4BCE-4815-A0D3-66B848047D7E}"/>
    <cellStyle name="Normal 5 3 4 2 5 3" xfId="6062" xr:uid="{00000000-0005-0000-0000-0000351A0000}"/>
    <cellStyle name="Normal 5 3 4 2 5 3 2" xfId="14504" xr:uid="{698A4F14-5D2F-4EA1-AC55-5C1661178A27}"/>
    <cellStyle name="Normal 5 3 4 2 5 4" xfId="10286" xr:uid="{08D0B9E1-66CA-43DD-B2D0-CF336A7ABF0A}"/>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4FF57147-02DB-49F5-AE80-2F66AA5521F2}"/>
    <cellStyle name="Normal 5 3 4 2 6 2 3" xfId="12844" xr:uid="{04B71820-EB30-4932-BF2B-E51C64C01387}"/>
    <cellStyle name="Normal 5 3 4 2 6 3" xfId="6475" xr:uid="{00000000-0005-0000-0000-0000391A0000}"/>
    <cellStyle name="Normal 5 3 4 2 6 3 2" xfId="14917" xr:uid="{B627864E-CE23-4CA3-A419-5A9E7F00E564}"/>
    <cellStyle name="Normal 5 3 4 2 6 4" xfId="10699" xr:uid="{9974F249-96E2-4E46-969E-CBB3B1D510C2}"/>
    <cellStyle name="Normal 5 3 4 2 7" xfId="2604" xr:uid="{00000000-0005-0000-0000-00003A1A0000}"/>
    <cellStyle name="Normal 5 3 4 2 7 2" xfId="6888" xr:uid="{00000000-0005-0000-0000-00003B1A0000}"/>
    <cellStyle name="Normal 5 3 4 2 7 2 2" xfId="15330" xr:uid="{A2FF500C-F6E5-4894-839F-4FA17E515EE7}"/>
    <cellStyle name="Normal 5 3 4 2 7 3" xfId="11112" xr:uid="{28E24A59-85FE-40FF-AF42-2F7BE518DCA0}"/>
    <cellStyle name="Normal 5 3 4 2 8" xfId="4823" xr:uid="{00000000-0005-0000-0000-00003C1A0000}"/>
    <cellStyle name="Normal 5 3 4 2 8 2" xfId="13265" xr:uid="{02A7A88D-9426-4571-856B-A6F9C1DA7CBD}"/>
    <cellStyle name="Normal 5 3 4 2 9" xfId="9047" xr:uid="{E5AFC65B-5440-4ED0-9DC8-2DDF11D2D3B4}"/>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40FD63EA-8EAB-4281-A8B3-79187527F512}"/>
    <cellStyle name="Normal 5 3 4 3 2 2 3" xfId="11607" xr:uid="{9F8D45E1-E001-4CE3-841D-5FBF9E4520AB}"/>
    <cellStyle name="Normal 5 3 4 3 2 3" xfId="5238" xr:uid="{00000000-0005-0000-0000-0000411A0000}"/>
    <cellStyle name="Normal 5 3 4 3 2 3 2" xfId="13680" xr:uid="{ABA2150A-B885-444B-91D8-D16D3D674976}"/>
    <cellStyle name="Normal 5 3 4 3 2 4" xfId="9462" xr:uid="{17568A8B-59D4-4481-A699-CDC51AD61FE6}"/>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B61A19EE-8708-4870-9943-9EF69AF80BB8}"/>
    <cellStyle name="Normal 5 3 4 3 3 2 3" xfId="12020" xr:uid="{9B4E5B77-099A-42E0-B7EF-A5E3BC3AB299}"/>
    <cellStyle name="Normal 5 3 4 3 3 3" xfId="5651" xr:uid="{00000000-0005-0000-0000-0000451A0000}"/>
    <cellStyle name="Normal 5 3 4 3 3 3 2" xfId="14093" xr:uid="{AA0CC4EF-D151-4425-930A-13F34423B5D5}"/>
    <cellStyle name="Normal 5 3 4 3 3 4" xfId="9875" xr:uid="{7C290F0B-62E2-4089-ABC6-AC7AC35FF0A7}"/>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5C92CE3B-E431-485D-85B0-8404DF734516}"/>
    <cellStyle name="Normal 5 3 4 3 4 2 3" xfId="12433" xr:uid="{5B47D953-B2BD-4E6E-900C-D151E64697E5}"/>
    <cellStyle name="Normal 5 3 4 3 4 3" xfId="6064" xr:uid="{00000000-0005-0000-0000-0000491A0000}"/>
    <cellStyle name="Normal 5 3 4 3 4 3 2" xfId="14506" xr:uid="{7FAAC3B5-86BA-4E67-8A3C-57BF6C3D233C}"/>
    <cellStyle name="Normal 5 3 4 3 4 4" xfId="10288" xr:uid="{8615E379-23AC-488D-8B60-EC041CBCCB74}"/>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2CFDF197-BCE8-43B5-8B8E-C93AA0ACE388}"/>
    <cellStyle name="Normal 5 3 4 3 5 2 3" xfId="12846" xr:uid="{F4FD424F-7536-4D97-B83B-305EF2D1CA34}"/>
    <cellStyle name="Normal 5 3 4 3 5 3" xfId="6477" xr:uid="{00000000-0005-0000-0000-00004D1A0000}"/>
    <cellStyle name="Normal 5 3 4 3 5 3 2" xfId="14919" xr:uid="{ADF93B29-DA96-4A5C-82A8-A0A1DA40263B}"/>
    <cellStyle name="Normal 5 3 4 3 5 4" xfId="10701" xr:uid="{86A08DB8-67C2-476E-8663-986F4EB43676}"/>
    <cellStyle name="Normal 5 3 4 3 6" xfId="2606" xr:uid="{00000000-0005-0000-0000-00004E1A0000}"/>
    <cellStyle name="Normal 5 3 4 3 6 2" xfId="6890" xr:uid="{00000000-0005-0000-0000-00004F1A0000}"/>
    <cellStyle name="Normal 5 3 4 3 6 2 2" xfId="15332" xr:uid="{D2B31E8E-3898-4A00-8D2E-3FA33FE3D155}"/>
    <cellStyle name="Normal 5 3 4 3 6 3" xfId="11114" xr:uid="{82FC16C4-E04D-4630-BBD4-8195F015E116}"/>
    <cellStyle name="Normal 5 3 4 3 7" xfId="4825" xr:uid="{00000000-0005-0000-0000-0000501A0000}"/>
    <cellStyle name="Normal 5 3 4 3 7 2" xfId="13267" xr:uid="{80807A6B-F910-43BA-8961-15C287395C0D}"/>
    <cellStyle name="Normal 5 3 4 3 8" xfId="9049" xr:uid="{E517CD5C-CB80-40D9-970C-026E14AA8203}"/>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7934C5EE-CDA8-4336-9F07-2611EB9B302C}"/>
    <cellStyle name="Normal 5 3 4 4 2 3" xfId="11604" xr:uid="{AD3AFD57-B1D0-4C09-B7C4-F75AEDBB3E15}"/>
    <cellStyle name="Normal 5 3 4 4 3" xfId="5235" xr:uid="{00000000-0005-0000-0000-0000541A0000}"/>
    <cellStyle name="Normal 5 3 4 4 3 2" xfId="13677" xr:uid="{78A544CB-E277-4059-8A25-FBF054598C97}"/>
    <cellStyle name="Normal 5 3 4 4 4" xfId="9459" xr:uid="{97B17F9E-72D6-4B4E-AD9C-1DF278018E39}"/>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6BCCC55C-AD3F-442F-87F2-1AD68BBABEBF}"/>
    <cellStyle name="Normal 5 3 4 5 2 3" xfId="12017" xr:uid="{AB622720-DCE3-4359-A243-FDDB698E8328}"/>
    <cellStyle name="Normal 5 3 4 5 3" xfId="5648" xr:uid="{00000000-0005-0000-0000-0000581A0000}"/>
    <cellStyle name="Normal 5 3 4 5 3 2" xfId="14090" xr:uid="{8C645A67-6F09-433A-B793-55F708EA1697}"/>
    <cellStyle name="Normal 5 3 4 5 4" xfId="9872" xr:uid="{BE7A3100-BDB9-47E8-8EA6-65BA7AD1B067}"/>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0775E903-B602-4F21-8448-E73307D293D2}"/>
    <cellStyle name="Normal 5 3 4 6 2 3" xfId="12430" xr:uid="{AA1247BC-9344-434D-A70C-C267171178D2}"/>
    <cellStyle name="Normal 5 3 4 6 3" xfId="6061" xr:uid="{00000000-0005-0000-0000-00005C1A0000}"/>
    <cellStyle name="Normal 5 3 4 6 3 2" xfId="14503" xr:uid="{A5BF0389-B9F8-41B7-BE34-DBDF9098AF4C}"/>
    <cellStyle name="Normal 5 3 4 6 4" xfId="10285" xr:uid="{9024DEE8-B095-4656-91A6-133F079C1051}"/>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CE7F7062-E879-4BFC-8875-EC7E31ECC048}"/>
    <cellStyle name="Normal 5 3 4 7 2 3" xfId="12843" xr:uid="{421B0C46-D13F-4FA2-ACB3-9B772BCC68D5}"/>
    <cellStyle name="Normal 5 3 4 7 3" xfId="6474" xr:uid="{00000000-0005-0000-0000-0000601A0000}"/>
    <cellStyle name="Normal 5 3 4 7 3 2" xfId="14916" xr:uid="{DA734072-7DFD-447A-A667-AE5295EE5D6C}"/>
    <cellStyle name="Normal 5 3 4 7 4" xfId="10698" xr:uid="{9C153FF2-D434-4F2A-9518-675DD87C2E30}"/>
    <cellStyle name="Normal 5 3 4 8" xfId="2603" xr:uid="{00000000-0005-0000-0000-0000611A0000}"/>
    <cellStyle name="Normal 5 3 4 8 2" xfId="6887" xr:uid="{00000000-0005-0000-0000-0000621A0000}"/>
    <cellStyle name="Normal 5 3 4 8 2 2" xfId="15329" xr:uid="{EB45326C-3BB4-474F-9A8E-ED420DD95696}"/>
    <cellStyle name="Normal 5 3 4 8 3" xfId="11111" xr:uid="{277E3F1C-CA76-419D-A507-81B3A5304FA3}"/>
    <cellStyle name="Normal 5 3 4 9" xfId="4822" xr:uid="{00000000-0005-0000-0000-0000631A0000}"/>
    <cellStyle name="Normal 5 3 4 9 2" xfId="13264" xr:uid="{1FAB2179-6425-448F-A68B-44CC7A8E134B}"/>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113CADB2-D59C-46C8-AE04-4E88E330BF7D}"/>
    <cellStyle name="Normal 5 3 5 2 2 2 3" xfId="11609" xr:uid="{1A555061-3B9C-4AC0-84DF-4E246670C5C9}"/>
    <cellStyle name="Normal 5 3 5 2 2 3" xfId="5240" xr:uid="{00000000-0005-0000-0000-0000691A0000}"/>
    <cellStyle name="Normal 5 3 5 2 2 3 2" xfId="13682" xr:uid="{39FC0F4C-64E9-420A-827B-71CBABAA928A}"/>
    <cellStyle name="Normal 5 3 5 2 2 4" xfId="9464" xr:uid="{EEE25B45-5F9A-4634-8C52-7EE391B8F3D5}"/>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2BD1FE19-8C18-48BC-96C2-4B8598C8857B}"/>
    <cellStyle name="Normal 5 3 5 2 3 2 3" xfId="12022" xr:uid="{B2604898-24C2-40F6-AFE3-9983E3A2A246}"/>
    <cellStyle name="Normal 5 3 5 2 3 3" xfId="5653" xr:uid="{00000000-0005-0000-0000-00006D1A0000}"/>
    <cellStyle name="Normal 5 3 5 2 3 3 2" xfId="14095" xr:uid="{89B5A3BD-EA44-4E4D-9EE7-BBA999DE85E4}"/>
    <cellStyle name="Normal 5 3 5 2 3 4" xfId="9877" xr:uid="{4B0E1845-E30A-4B24-83F9-BE1AF99C6A85}"/>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67C02917-35EB-4BB0-A84D-5FFA0F78D3D6}"/>
    <cellStyle name="Normal 5 3 5 2 4 2 3" xfId="12435" xr:uid="{FE3FECBB-BF0A-4CD6-8FD1-447DD4DDCF36}"/>
    <cellStyle name="Normal 5 3 5 2 4 3" xfId="6066" xr:uid="{00000000-0005-0000-0000-0000711A0000}"/>
    <cellStyle name="Normal 5 3 5 2 4 3 2" xfId="14508" xr:uid="{3F29F52D-887C-4A17-A954-ADA6DCD682A4}"/>
    <cellStyle name="Normal 5 3 5 2 4 4" xfId="10290" xr:uid="{014FB1C5-3D3E-4061-9315-EDE9B0511368}"/>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6A80F0A2-151C-4372-8E33-8B22A37F61C8}"/>
    <cellStyle name="Normal 5 3 5 2 5 2 3" xfId="12848" xr:uid="{DF77E91D-1F86-4ED3-BCF3-06C65C99167C}"/>
    <cellStyle name="Normal 5 3 5 2 5 3" xfId="6479" xr:uid="{00000000-0005-0000-0000-0000751A0000}"/>
    <cellStyle name="Normal 5 3 5 2 5 3 2" xfId="14921" xr:uid="{96AA3E56-3BF6-468D-81CD-5C7BCE7ED7EA}"/>
    <cellStyle name="Normal 5 3 5 2 5 4" xfId="10703" xr:uid="{F3691D31-0C03-464F-9DA4-34155070D326}"/>
    <cellStyle name="Normal 5 3 5 2 6" xfId="2608" xr:uid="{00000000-0005-0000-0000-0000761A0000}"/>
    <cellStyle name="Normal 5 3 5 2 6 2" xfId="6892" xr:uid="{00000000-0005-0000-0000-0000771A0000}"/>
    <cellStyle name="Normal 5 3 5 2 6 2 2" xfId="15334" xr:uid="{2D5FB0EC-C3AE-46FF-ADA2-834D622202D9}"/>
    <cellStyle name="Normal 5 3 5 2 6 3" xfId="11116" xr:uid="{D13C6F5D-EAD9-4E17-9F1F-0B5CA9F824F5}"/>
    <cellStyle name="Normal 5 3 5 2 7" xfId="4827" xr:uid="{00000000-0005-0000-0000-0000781A0000}"/>
    <cellStyle name="Normal 5 3 5 2 7 2" xfId="13269" xr:uid="{FF8707F0-F689-46A4-9178-CA614E1A8251}"/>
    <cellStyle name="Normal 5 3 5 2 8" xfId="9051" xr:uid="{D733787C-14E6-4AF6-997B-F50B554A8C6A}"/>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E50CCFD5-F4EC-45A1-9F85-D6EFF8C57B3F}"/>
    <cellStyle name="Normal 5 3 5 3 2 3" xfId="11608" xr:uid="{A129E2B3-C9DC-4809-8A42-72A180430E54}"/>
    <cellStyle name="Normal 5 3 5 3 3" xfId="5239" xr:uid="{00000000-0005-0000-0000-00007C1A0000}"/>
    <cellStyle name="Normal 5 3 5 3 3 2" xfId="13681" xr:uid="{4FF9F8CC-1F8D-4F77-83DE-33DF1280F1CD}"/>
    <cellStyle name="Normal 5 3 5 3 4" xfId="9463" xr:uid="{B7A3B09C-179C-4488-9AA6-C69105E4029F}"/>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D138258D-6FFF-421B-8A5C-8D7FFE401522}"/>
    <cellStyle name="Normal 5 3 5 4 2 3" xfId="12021" xr:uid="{383FDD23-D1B8-4808-921B-8FAE84C264CC}"/>
    <cellStyle name="Normal 5 3 5 4 3" xfId="5652" xr:uid="{00000000-0005-0000-0000-0000801A0000}"/>
    <cellStyle name="Normal 5 3 5 4 3 2" xfId="14094" xr:uid="{E8AFF6C7-5672-44E5-BF71-53F50702A555}"/>
    <cellStyle name="Normal 5 3 5 4 4" xfId="9876" xr:uid="{3D616A3E-3282-41F4-9371-D6B49F421CA4}"/>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0165AD71-34F6-4E40-A635-06F61FFC0A48}"/>
    <cellStyle name="Normal 5 3 5 5 2 3" xfId="12434" xr:uid="{8E57243E-D5B6-4CDD-9050-AF1F7E4770F5}"/>
    <cellStyle name="Normal 5 3 5 5 3" xfId="6065" xr:uid="{00000000-0005-0000-0000-0000841A0000}"/>
    <cellStyle name="Normal 5 3 5 5 3 2" xfId="14507" xr:uid="{D6D5843C-BA50-4356-82B7-4560C10DD0AA}"/>
    <cellStyle name="Normal 5 3 5 5 4" xfId="10289" xr:uid="{A612BF52-C3BF-47B7-B72C-D4598A5E84D3}"/>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AA8964D9-6F02-421B-8024-EB7B4119BF2A}"/>
    <cellStyle name="Normal 5 3 5 6 2 3" xfId="12847" xr:uid="{1585B70F-5D23-4CDD-83DB-64B88B488B51}"/>
    <cellStyle name="Normal 5 3 5 6 3" xfId="6478" xr:uid="{00000000-0005-0000-0000-0000881A0000}"/>
    <cellStyle name="Normal 5 3 5 6 3 2" xfId="14920" xr:uid="{48A93C63-DA56-4C9F-9511-997261C964F2}"/>
    <cellStyle name="Normal 5 3 5 6 4" xfId="10702" xr:uid="{96D32B16-C328-4E4D-AEDF-CF977A56987A}"/>
    <cellStyle name="Normal 5 3 5 7" xfId="2607" xr:uid="{00000000-0005-0000-0000-0000891A0000}"/>
    <cellStyle name="Normal 5 3 5 7 2" xfId="6891" xr:uid="{00000000-0005-0000-0000-00008A1A0000}"/>
    <cellStyle name="Normal 5 3 5 7 2 2" xfId="15333" xr:uid="{4E1212D5-7744-41A2-B772-12193BD7B799}"/>
    <cellStyle name="Normal 5 3 5 7 3" xfId="11115" xr:uid="{B067A0C1-C60F-420D-B7BE-93AD5325CFB7}"/>
    <cellStyle name="Normal 5 3 5 8" xfId="4826" xr:uid="{00000000-0005-0000-0000-00008B1A0000}"/>
    <cellStyle name="Normal 5 3 5 8 2" xfId="13268" xr:uid="{15AF9D96-2D6A-41D1-B91C-8B3959D31693}"/>
    <cellStyle name="Normal 5 3 5 9" xfId="9050" xr:uid="{F805BBA9-C82F-4502-A0BA-944CB9725D46}"/>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ED11F462-63B4-4C81-97F5-6832195E37B0}"/>
    <cellStyle name="Normal 5 3 6 2 2 3" xfId="11610" xr:uid="{EE770D12-BAE7-4066-9DCB-C533B89FC4F0}"/>
    <cellStyle name="Normal 5 3 6 2 3" xfId="5241" xr:uid="{00000000-0005-0000-0000-0000901A0000}"/>
    <cellStyle name="Normal 5 3 6 2 3 2" xfId="13683" xr:uid="{8E7E172B-4083-48E1-9975-1D2B30F22BDC}"/>
    <cellStyle name="Normal 5 3 6 2 4" xfId="9465" xr:uid="{76964A98-5928-4EF3-BF01-EEAAF54018F7}"/>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C2EFAEE1-8036-421D-B057-6E0E7BDEBE4F}"/>
    <cellStyle name="Normal 5 3 6 3 2 3" xfId="12023" xr:uid="{2627962B-A78C-4414-A6BB-B92AC329037E}"/>
    <cellStyle name="Normal 5 3 6 3 3" xfId="5654" xr:uid="{00000000-0005-0000-0000-0000941A0000}"/>
    <cellStyle name="Normal 5 3 6 3 3 2" xfId="14096" xr:uid="{77799BFE-0545-4AEF-8960-EAB2C7674F45}"/>
    <cellStyle name="Normal 5 3 6 3 4" xfId="9878" xr:uid="{64771E26-F395-468B-9248-A289777F0C28}"/>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DC76A4C4-E70E-4E18-A30F-B8BB4D377BBE}"/>
    <cellStyle name="Normal 5 3 6 4 2 3" xfId="12436" xr:uid="{EAE28FF9-1298-4CDE-976D-D1B2CCF389EA}"/>
    <cellStyle name="Normal 5 3 6 4 3" xfId="6067" xr:uid="{00000000-0005-0000-0000-0000981A0000}"/>
    <cellStyle name="Normal 5 3 6 4 3 2" xfId="14509" xr:uid="{CC7FE71D-B2C0-4FF6-8ABE-9C57840B1BEB}"/>
    <cellStyle name="Normal 5 3 6 4 4" xfId="10291" xr:uid="{9498BC88-4A85-4474-A4AB-7A01EDCEA34A}"/>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8A1542F2-2213-4853-A0F9-B4608374381D}"/>
    <cellStyle name="Normal 5 3 6 5 2 3" xfId="12849" xr:uid="{FF902963-387B-4FC6-922A-C493D9CAAD47}"/>
    <cellStyle name="Normal 5 3 6 5 3" xfId="6480" xr:uid="{00000000-0005-0000-0000-00009C1A0000}"/>
    <cellStyle name="Normal 5 3 6 5 3 2" xfId="14922" xr:uid="{D5C82386-3962-4BC8-9B6A-B83C07A3B687}"/>
    <cellStyle name="Normal 5 3 6 5 4" xfId="10704" xr:uid="{3A6D2FD0-0392-4415-9C42-5CB27F826033}"/>
    <cellStyle name="Normal 5 3 6 6" xfId="2609" xr:uid="{00000000-0005-0000-0000-00009D1A0000}"/>
    <cellStyle name="Normal 5 3 6 6 2" xfId="6893" xr:uid="{00000000-0005-0000-0000-00009E1A0000}"/>
    <cellStyle name="Normal 5 3 6 6 2 2" xfId="15335" xr:uid="{FC9C1489-9D92-4157-B4B5-384DD2327D60}"/>
    <cellStyle name="Normal 5 3 6 6 3" xfId="11117" xr:uid="{A3D88336-0194-4B37-9153-D8C44164B50A}"/>
    <cellStyle name="Normal 5 3 6 7" xfId="4828" xr:uid="{00000000-0005-0000-0000-00009F1A0000}"/>
    <cellStyle name="Normal 5 3 6 7 2" xfId="13270" xr:uid="{74E54C23-7671-4DCD-91FF-341A77D18BF4}"/>
    <cellStyle name="Normal 5 3 6 8" xfId="9052" xr:uid="{C2691431-2FDB-4188-9122-C87B1C487503}"/>
    <cellStyle name="Normal 5 3 7" xfId="913" xr:uid="{00000000-0005-0000-0000-0000A01A0000}"/>
    <cellStyle name="Normal 5 3 7 2" xfId="3148" xr:uid="{00000000-0005-0000-0000-0000A11A0000}"/>
    <cellStyle name="Normal 5 3 7 2 2" xfId="7371" xr:uid="{00000000-0005-0000-0000-0000A21A0000}"/>
    <cellStyle name="Normal 5 3 7 2 2 2" xfId="15813" xr:uid="{71B6F4E2-22A4-4977-9BBF-628EB2F56D22}"/>
    <cellStyle name="Normal 5 3 7 2 3" xfId="11595" xr:uid="{6B018A05-34FD-4CAB-82DC-009BD182FCE2}"/>
    <cellStyle name="Normal 5 3 7 3" xfId="5226" xr:uid="{00000000-0005-0000-0000-0000A31A0000}"/>
    <cellStyle name="Normal 5 3 7 3 2" xfId="13668" xr:uid="{6CB336B1-1734-4957-A029-F7026A6C0378}"/>
    <cellStyle name="Normal 5 3 7 4" xfId="9450" xr:uid="{CDC3956D-0F8A-4F56-8B07-F13A745EA3C5}"/>
    <cellStyle name="Normal 5 3 8" xfId="1331" xr:uid="{00000000-0005-0000-0000-0000A41A0000}"/>
    <cellStyle name="Normal 5 3 8 2" xfId="3561" xr:uid="{00000000-0005-0000-0000-0000A51A0000}"/>
    <cellStyle name="Normal 5 3 8 2 2" xfId="7784" xr:uid="{00000000-0005-0000-0000-0000A61A0000}"/>
    <cellStyle name="Normal 5 3 8 2 2 2" xfId="16226" xr:uid="{CF4136E1-EE8B-4D1E-A5A8-F740F8D88106}"/>
    <cellStyle name="Normal 5 3 8 2 3" xfId="12008" xr:uid="{F07A1A9F-4193-4D2F-8976-9B5C68859123}"/>
    <cellStyle name="Normal 5 3 8 3" xfId="5639" xr:uid="{00000000-0005-0000-0000-0000A71A0000}"/>
    <cellStyle name="Normal 5 3 8 3 2" xfId="14081" xr:uid="{7733E43B-B306-4DFA-B901-0F142FD06C7E}"/>
    <cellStyle name="Normal 5 3 8 4" xfId="9863" xr:uid="{F84FD9CA-2D93-497A-AEE7-9295D45E48A2}"/>
    <cellStyle name="Normal 5 3 9" xfId="1744" xr:uid="{00000000-0005-0000-0000-0000A81A0000}"/>
    <cellStyle name="Normal 5 3 9 2" xfId="3974" xr:uid="{00000000-0005-0000-0000-0000A91A0000}"/>
    <cellStyle name="Normal 5 3 9 2 2" xfId="8197" xr:uid="{00000000-0005-0000-0000-0000AA1A0000}"/>
    <cellStyle name="Normal 5 3 9 2 2 2" xfId="16639" xr:uid="{F7D5EE7A-0775-4D5B-848C-348755B87D95}"/>
    <cellStyle name="Normal 5 3 9 2 3" xfId="12421" xr:uid="{549DFEBC-052D-4F9D-ABAA-85555219366D}"/>
    <cellStyle name="Normal 5 3 9 3" xfId="6052" xr:uid="{00000000-0005-0000-0000-0000AB1A0000}"/>
    <cellStyle name="Normal 5 3 9 3 2" xfId="14494" xr:uid="{EDBEF760-A415-4B3B-BA92-CFB1948988EB}"/>
    <cellStyle name="Normal 5 3 9 4" xfId="10276" xr:uid="{F6B303C4-85D2-451C-B10D-D8F2E08F9DE9}"/>
    <cellStyle name="Normal 5 4" xfId="456" xr:uid="{00000000-0005-0000-0000-0000AC1A0000}"/>
    <cellStyle name="Normal 5 4 10" xfId="4829" xr:uid="{00000000-0005-0000-0000-0000AD1A0000}"/>
    <cellStyle name="Normal 5 4 10 2" xfId="13271" xr:uid="{E4AD5A25-6BCC-403C-93CF-99375C770292}"/>
    <cellStyle name="Normal 5 4 11" xfId="9053" xr:uid="{0941F8C0-A933-474F-B93D-442469239AB1}"/>
    <cellStyle name="Normal 5 4 2" xfId="457" xr:uid="{00000000-0005-0000-0000-0000AE1A0000}"/>
    <cellStyle name="Normal 5 4 2 10" xfId="9054" xr:uid="{392F48D1-7092-4763-B61F-A6459E021CB9}"/>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C133CC03-83F8-4FB7-9C4D-712D0F806A63}"/>
    <cellStyle name="Normal 5 4 2 2 2 2 2 3" xfId="11614" xr:uid="{849EEDA4-1B49-4761-93FD-791AAFA7F8B4}"/>
    <cellStyle name="Normal 5 4 2 2 2 2 3" xfId="5245" xr:uid="{00000000-0005-0000-0000-0000B41A0000}"/>
    <cellStyle name="Normal 5 4 2 2 2 2 3 2" xfId="13687" xr:uid="{93DA018F-99E6-46F0-A8BD-401C433084F4}"/>
    <cellStyle name="Normal 5 4 2 2 2 2 4" xfId="9469" xr:uid="{738E7B2D-2B41-456D-9E35-460710E68975}"/>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81773245-5B3F-47BB-A382-E3709989EBB6}"/>
    <cellStyle name="Normal 5 4 2 2 2 3 2 3" xfId="12027" xr:uid="{23C9A0C7-3E4A-42E6-AFCC-875388F16A60}"/>
    <cellStyle name="Normal 5 4 2 2 2 3 3" xfId="5658" xr:uid="{00000000-0005-0000-0000-0000B81A0000}"/>
    <cellStyle name="Normal 5 4 2 2 2 3 3 2" xfId="14100" xr:uid="{68DE1A5F-09E8-4237-9913-476C0AB6DA82}"/>
    <cellStyle name="Normal 5 4 2 2 2 3 4" xfId="9882" xr:uid="{BEB58020-745A-414D-BB14-0136DB298AB2}"/>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85E70CAA-B5DC-49C5-857F-011D693EAD88}"/>
    <cellStyle name="Normal 5 4 2 2 2 4 2 3" xfId="12440" xr:uid="{1D5171FD-87D9-47B7-B047-1E2488A0062A}"/>
    <cellStyle name="Normal 5 4 2 2 2 4 3" xfId="6071" xr:uid="{00000000-0005-0000-0000-0000BC1A0000}"/>
    <cellStyle name="Normal 5 4 2 2 2 4 3 2" xfId="14513" xr:uid="{A5F6CF4F-0905-4265-B813-F79AA2292ABB}"/>
    <cellStyle name="Normal 5 4 2 2 2 4 4" xfId="10295" xr:uid="{629256BC-4D89-4B8E-AD48-AA37E2BD4948}"/>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AFD683C5-93D8-4730-84E2-78B7E588D437}"/>
    <cellStyle name="Normal 5 4 2 2 2 5 2 3" xfId="12853" xr:uid="{EDE0C0BE-D731-42B0-B67A-8F1D91539B78}"/>
    <cellStyle name="Normal 5 4 2 2 2 5 3" xfId="6484" xr:uid="{00000000-0005-0000-0000-0000C01A0000}"/>
    <cellStyle name="Normal 5 4 2 2 2 5 3 2" xfId="14926" xr:uid="{CB8142D2-6255-4E0E-9E95-AB30E769B3F7}"/>
    <cellStyle name="Normal 5 4 2 2 2 5 4" xfId="10708" xr:uid="{A3710263-1266-407B-9F9C-88C63CF624E7}"/>
    <cellStyle name="Normal 5 4 2 2 2 6" xfId="2613" xr:uid="{00000000-0005-0000-0000-0000C11A0000}"/>
    <cellStyle name="Normal 5 4 2 2 2 6 2" xfId="6897" xr:uid="{00000000-0005-0000-0000-0000C21A0000}"/>
    <cellStyle name="Normal 5 4 2 2 2 6 2 2" xfId="15339" xr:uid="{F5EBE821-655C-48AE-9189-7510E7A23206}"/>
    <cellStyle name="Normal 5 4 2 2 2 6 3" xfId="11121" xr:uid="{EA4FCE78-12BD-45F1-A8C6-53123B241643}"/>
    <cellStyle name="Normal 5 4 2 2 2 7" xfId="4832" xr:uid="{00000000-0005-0000-0000-0000C31A0000}"/>
    <cellStyle name="Normal 5 4 2 2 2 7 2" xfId="13274" xr:uid="{E89B4B77-D83A-427C-B213-4CEEDC33A908}"/>
    <cellStyle name="Normal 5 4 2 2 2 8" xfId="9056" xr:uid="{550450C3-306D-4925-992A-FC539DA21FC0}"/>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9B398E5C-49A3-46A7-A84C-3F00FDD96888}"/>
    <cellStyle name="Normal 5 4 2 2 3 2 3" xfId="11613" xr:uid="{60C765BD-5689-402F-A0A2-21C4C28EC9AD}"/>
    <cellStyle name="Normal 5 4 2 2 3 3" xfId="5244" xr:uid="{00000000-0005-0000-0000-0000C71A0000}"/>
    <cellStyle name="Normal 5 4 2 2 3 3 2" xfId="13686" xr:uid="{800C4771-1714-4068-947A-04A6DA5EDC0B}"/>
    <cellStyle name="Normal 5 4 2 2 3 4" xfId="9468" xr:uid="{4F5439F5-D973-4B80-A328-59E97C5AF81D}"/>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BDFCC72D-D396-402E-AD35-42DD2B9E0B4A}"/>
    <cellStyle name="Normal 5 4 2 2 4 2 3" xfId="12026" xr:uid="{5C480BDA-2C6F-4EE9-83DC-F1A5BF975A27}"/>
    <cellStyle name="Normal 5 4 2 2 4 3" xfId="5657" xr:uid="{00000000-0005-0000-0000-0000CB1A0000}"/>
    <cellStyle name="Normal 5 4 2 2 4 3 2" xfId="14099" xr:uid="{026AC307-CFCD-485D-86D0-0C85499F09C2}"/>
    <cellStyle name="Normal 5 4 2 2 4 4" xfId="9881" xr:uid="{1DB90F0C-BDD0-4F0A-9F9C-ABF4DA593EA2}"/>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78BA5BE1-D4B2-420C-A856-15AEF6DD9B07}"/>
    <cellStyle name="Normal 5 4 2 2 5 2 3" xfId="12439" xr:uid="{B973393D-A4E3-4203-A350-59B7EFE94732}"/>
    <cellStyle name="Normal 5 4 2 2 5 3" xfId="6070" xr:uid="{00000000-0005-0000-0000-0000CF1A0000}"/>
    <cellStyle name="Normal 5 4 2 2 5 3 2" xfId="14512" xr:uid="{9C5A0548-C829-4362-B185-35B079BD208A}"/>
    <cellStyle name="Normal 5 4 2 2 5 4" xfId="10294" xr:uid="{0A21DA32-DB86-4A6C-B793-1A7C9F18F796}"/>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F6E6E781-B6D7-481F-89DB-C2B569D01514}"/>
    <cellStyle name="Normal 5 4 2 2 6 2 3" xfId="12852" xr:uid="{83E35E22-131B-4F64-9974-40EB10AE2377}"/>
    <cellStyle name="Normal 5 4 2 2 6 3" xfId="6483" xr:uid="{00000000-0005-0000-0000-0000D31A0000}"/>
    <cellStyle name="Normal 5 4 2 2 6 3 2" xfId="14925" xr:uid="{4CE2D470-675A-48FB-914C-ED13D4CE4B8D}"/>
    <cellStyle name="Normal 5 4 2 2 6 4" xfId="10707" xr:uid="{C8D19BE5-38BE-40D6-BD7E-E9ED67A6DC5D}"/>
    <cellStyle name="Normal 5 4 2 2 7" xfId="2612" xr:uid="{00000000-0005-0000-0000-0000D41A0000}"/>
    <cellStyle name="Normal 5 4 2 2 7 2" xfId="6896" xr:uid="{00000000-0005-0000-0000-0000D51A0000}"/>
    <cellStyle name="Normal 5 4 2 2 7 2 2" xfId="15338" xr:uid="{4C508581-6613-43A1-A927-8F6FBE24E0A5}"/>
    <cellStyle name="Normal 5 4 2 2 7 3" xfId="11120" xr:uid="{80C1C57A-2DD0-4A8E-AB60-E3DDE42EBAD0}"/>
    <cellStyle name="Normal 5 4 2 2 8" xfId="4831" xr:uid="{00000000-0005-0000-0000-0000D61A0000}"/>
    <cellStyle name="Normal 5 4 2 2 8 2" xfId="13273" xr:uid="{71E4696F-DCA1-443C-9E66-A485633B6FA9}"/>
    <cellStyle name="Normal 5 4 2 2 9" xfId="9055" xr:uid="{F95DCC35-8BB9-4AB5-83F7-69F94800E172}"/>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F34D3359-4A84-4501-8810-E559C513198B}"/>
    <cellStyle name="Normal 5 4 2 3 2 2 3" xfId="11615" xr:uid="{E8158C21-F030-4B88-ABBC-300F5ADDC7DF}"/>
    <cellStyle name="Normal 5 4 2 3 2 3" xfId="5246" xr:uid="{00000000-0005-0000-0000-0000DB1A0000}"/>
    <cellStyle name="Normal 5 4 2 3 2 3 2" xfId="13688" xr:uid="{5AF6F3A6-20BA-49DA-9A51-E1E61D1F062B}"/>
    <cellStyle name="Normal 5 4 2 3 2 4" xfId="9470" xr:uid="{E67CC9E1-C1D1-4C9B-A70A-EC7BC39B063F}"/>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521C059E-AAA4-4DDB-B6E9-5DEA29BD7D14}"/>
    <cellStyle name="Normal 5 4 2 3 3 2 3" xfId="12028" xr:uid="{66F8BC83-E065-4F25-BF45-3D36CAD5F694}"/>
    <cellStyle name="Normal 5 4 2 3 3 3" xfId="5659" xr:uid="{00000000-0005-0000-0000-0000DF1A0000}"/>
    <cellStyle name="Normal 5 4 2 3 3 3 2" xfId="14101" xr:uid="{8D4A39AE-674F-484B-930A-39F2DBEA44E8}"/>
    <cellStyle name="Normal 5 4 2 3 3 4" xfId="9883" xr:uid="{9F189ABF-2234-4459-B32A-0C9978B8B5A7}"/>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050AE132-CFAF-444D-A85D-C7D58CF5F0AD}"/>
    <cellStyle name="Normal 5 4 2 3 4 2 3" xfId="12441" xr:uid="{914E057F-5E14-49D6-A653-2F512FB7C053}"/>
    <cellStyle name="Normal 5 4 2 3 4 3" xfId="6072" xr:uid="{00000000-0005-0000-0000-0000E31A0000}"/>
    <cellStyle name="Normal 5 4 2 3 4 3 2" xfId="14514" xr:uid="{2B063ED2-5A43-4951-8A0C-41EEAA935D49}"/>
    <cellStyle name="Normal 5 4 2 3 4 4" xfId="10296" xr:uid="{01B33316-82F4-45EC-813C-28778BC74561}"/>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6A1446DF-C318-49F1-BA91-8BCA43FC0C49}"/>
    <cellStyle name="Normal 5 4 2 3 5 2 3" xfId="12854" xr:uid="{7D7DC01C-E7BE-431A-9E9B-4E62C6B3A09E}"/>
    <cellStyle name="Normal 5 4 2 3 5 3" xfId="6485" xr:uid="{00000000-0005-0000-0000-0000E71A0000}"/>
    <cellStyle name="Normal 5 4 2 3 5 3 2" xfId="14927" xr:uid="{554060B1-1A2F-43CA-A203-305835D1EB47}"/>
    <cellStyle name="Normal 5 4 2 3 5 4" xfId="10709" xr:uid="{C1A3F884-CDCA-4A20-9B3E-D97A9522E830}"/>
    <cellStyle name="Normal 5 4 2 3 6" xfId="2614" xr:uid="{00000000-0005-0000-0000-0000E81A0000}"/>
    <cellStyle name="Normal 5 4 2 3 6 2" xfId="6898" xr:uid="{00000000-0005-0000-0000-0000E91A0000}"/>
    <cellStyle name="Normal 5 4 2 3 6 2 2" xfId="15340" xr:uid="{BC3FEC99-EDD2-4068-BDC5-B3459995784F}"/>
    <cellStyle name="Normal 5 4 2 3 6 3" xfId="11122" xr:uid="{65513EB2-A086-4584-82D4-B8561DE10586}"/>
    <cellStyle name="Normal 5 4 2 3 7" xfId="4833" xr:uid="{00000000-0005-0000-0000-0000EA1A0000}"/>
    <cellStyle name="Normal 5 4 2 3 7 2" xfId="13275" xr:uid="{8E9FE50F-5BEC-4311-8ECD-CE9D5DD76204}"/>
    <cellStyle name="Normal 5 4 2 3 8" xfId="9057" xr:uid="{89385E81-1CEF-42FF-A3F7-86F63CF1B8E6}"/>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313E8626-3F07-45AA-A657-502D3762C790}"/>
    <cellStyle name="Normal 5 4 2 4 2 3" xfId="11612" xr:uid="{171871AE-5777-4346-8A03-4522C1E29803}"/>
    <cellStyle name="Normal 5 4 2 4 3" xfId="5243" xr:uid="{00000000-0005-0000-0000-0000EE1A0000}"/>
    <cellStyle name="Normal 5 4 2 4 3 2" xfId="13685" xr:uid="{C3CD8068-65E2-4D92-A2CF-FD44048E795D}"/>
    <cellStyle name="Normal 5 4 2 4 4" xfId="9467" xr:uid="{158C4B99-5000-4370-94A3-33046F319824}"/>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D855764B-55C3-4C06-81B1-DBA4A4FFA82B}"/>
    <cellStyle name="Normal 5 4 2 5 2 3" xfId="12025" xr:uid="{D097D5D4-ADD9-493A-83BB-C721F18D4145}"/>
    <cellStyle name="Normal 5 4 2 5 3" xfId="5656" xr:uid="{00000000-0005-0000-0000-0000F21A0000}"/>
    <cellStyle name="Normal 5 4 2 5 3 2" xfId="14098" xr:uid="{74B27125-8A1E-4626-B9DD-6A16D03382A6}"/>
    <cellStyle name="Normal 5 4 2 5 4" xfId="9880" xr:uid="{4285C9DD-D446-4E95-A034-7628D1E32423}"/>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2AAE588E-AE31-4BC7-964D-325AAD363011}"/>
    <cellStyle name="Normal 5 4 2 6 2 3" xfId="12438" xr:uid="{80EFB6BE-FE60-4132-A562-784EC4108204}"/>
    <cellStyle name="Normal 5 4 2 6 3" xfId="6069" xr:uid="{00000000-0005-0000-0000-0000F61A0000}"/>
    <cellStyle name="Normal 5 4 2 6 3 2" xfId="14511" xr:uid="{637C25EC-ECAB-45FD-8721-D32F38C7E243}"/>
    <cellStyle name="Normal 5 4 2 6 4" xfId="10293" xr:uid="{188EA43B-4ACB-4C86-AF94-4765D3F7E9FE}"/>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D8E28632-8274-4C90-AF9F-DA3232244950}"/>
    <cellStyle name="Normal 5 4 2 7 2 3" xfId="12851" xr:uid="{E61DA201-4DEF-4A42-9CDB-D021AAEEC0A2}"/>
    <cellStyle name="Normal 5 4 2 7 3" xfId="6482" xr:uid="{00000000-0005-0000-0000-0000FA1A0000}"/>
    <cellStyle name="Normal 5 4 2 7 3 2" xfId="14924" xr:uid="{44767D7C-35D4-40A6-92AD-E0C3AE390F1B}"/>
    <cellStyle name="Normal 5 4 2 7 4" xfId="10706" xr:uid="{4A225BBC-DD8E-43E9-A1D3-9B0FCE0221B9}"/>
    <cellStyle name="Normal 5 4 2 8" xfId="2611" xr:uid="{00000000-0005-0000-0000-0000FB1A0000}"/>
    <cellStyle name="Normal 5 4 2 8 2" xfId="6895" xr:uid="{00000000-0005-0000-0000-0000FC1A0000}"/>
    <cellStyle name="Normal 5 4 2 8 2 2" xfId="15337" xr:uid="{F67E9DB3-80E4-4774-B6C9-33B4E5A715C9}"/>
    <cellStyle name="Normal 5 4 2 8 3" xfId="11119" xr:uid="{CB215DA2-647F-4C28-AC19-1D9936465FA4}"/>
    <cellStyle name="Normal 5 4 2 9" xfId="4830" xr:uid="{00000000-0005-0000-0000-0000FD1A0000}"/>
    <cellStyle name="Normal 5 4 2 9 2" xfId="13272" xr:uid="{FB88B1F4-B9B9-4F26-B3E9-A5CF17AE6D61}"/>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EAAD72C1-4E4F-44E1-A3B0-BEB765F332F0}"/>
    <cellStyle name="Normal 5 4 3 2 2 2 3" xfId="11617" xr:uid="{84E2B023-39D2-41B2-9C70-80356317C390}"/>
    <cellStyle name="Normal 5 4 3 2 2 3" xfId="5248" xr:uid="{00000000-0005-0000-0000-0000031B0000}"/>
    <cellStyle name="Normal 5 4 3 2 2 3 2" xfId="13690" xr:uid="{5893395B-74C9-4A37-961A-61832D5FE13D}"/>
    <cellStyle name="Normal 5 4 3 2 2 4" xfId="9472" xr:uid="{636D8667-F84E-42F4-82A3-89E2061B1E4E}"/>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6FD4A6E3-9485-4A77-A0F1-4529312C7D95}"/>
    <cellStyle name="Normal 5 4 3 2 3 2 3" xfId="12030" xr:uid="{A2C9766A-1CCE-40DB-A46E-BB142B7042D6}"/>
    <cellStyle name="Normal 5 4 3 2 3 3" xfId="5661" xr:uid="{00000000-0005-0000-0000-0000071B0000}"/>
    <cellStyle name="Normal 5 4 3 2 3 3 2" xfId="14103" xr:uid="{7F5C035B-9332-4710-926F-B793D713C368}"/>
    <cellStyle name="Normal 5 4 3 2 3 4" xfId="9885" xr:uid="{6F7820CC-4173-4F87-8E46-F7406917641C}"/>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D89C34E9-8412-49B4-A854-9F53178DCBE8}"/>
    <cellStyle name="Normal 5 4 3 2 4 2 3" xfId="12443" xr:uid="{51CB12F1-27F5-46C6-8128-90AA130D5AA9}"/>
    <cellStyle name="Normal 5 4 3 2 4 3" xfId="6074" xr:uid="{00000000-0005-0000-0000-00000B1B0000}"/>
    <cellStyle name="Normal 5 4 3 2 4 3 2" xfId="14516" xr:uid="{06686667-6900-4F87-BF5C-FE743CFB9553}"/>
    <cellStyle name="Normal 5 4 3 2 4 4" xfId="10298" xr:uid="{632E460A-C012-4B7C-9D4C-3A03B1B49A8E}"/>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E2BA7EA1-931F-4C90-80CF-01B363CAB7B3}"/>
    <cellStyle name="Normal 5 4 3 2 5 2 3" xfId="12856" xr:uid="{75C4B633-6CBD-423D-A79B-543242ED80F2}"/>
    <cellStyle name="Normal 5 4 3 2 5 3" xfId="6487" xr:uid="{00000000-0005-0000-0000-00000F1B0000}"/>
    <cellStyle name="Normal 5 4 3 2 5 3 2" xfId="14929" xr:uid="{C21BBEC0-50C6-4FC5-801D-C606B5A2BD4F}"/>
    <cellStyle name="Normal 5 4 3 2 5 4" xfId="10711" xr:uid="{9A179BD9-A8AF-4534-A5A6-52888B081D33}"/>
    <cellStyle name="Normal 5 4 3 2 6" xfId="2616" xr:uid="{00000000-0005-0000-0000-0000101B0000}"/>
    <cellStyle name="Normal 5 4 3 2 6 2" xfId="6900" xr:uid="{00000000-0005-0000-0000-0000111B0000}"/>
    <cellStyle name="Normal 5 4 3 2 6 2 2" xfId="15342" xr:uid="{31FA7F1A-2D7A-4782-8DAC-2313A8A9508F}"/>
    <cellStyle name="Normal 5 4 3 2 6 3" xfId="11124" xr:uid="{B1147D87-3FAA-4E96-A842-ACA6433617AC}"/>
    <cellStyle name="Normal 5 4 3 2 7" xfId="4835" xr:uid="{00000000-0005-0000-0000-0000121B0000}"/>
    <cellStyle name="Normal 5 4 3 2 7 2" xfId="13277" xr:uid="{14A3E454-527F-41C3-88E4-D1D1E9962C3C}"/>
    <cellStyle name="Normal 5 4 3 2 8" xfId="9059" xr:uid="{993E2405-CB1A-4607-9208-6E661696747B}"/>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E505CA1F-F6EC-4D58-90F6-0A243FACCB52}"/>
    <cellStyle name="Normal 5 4 3 3 2 3" xfId="11616" xr:uid="{CF053A6A-6472-4648-9901-E7A42B8540B2}"/>
    <cellStyle name="Normal 5 4 3 3 3" xfId="5247" xr:uid="{00000000-0005-0000-0000-0000161B0000}"/>
    <cellStyle name="Normal 5 4 3 3 3 2" xfId="13689" xr:uid="{25DEA439-9F74-4C29-ACC9-C786D88F145F}"/>
    <cellStyle name="Normal 5 4 3 3 4" xfId="9471" xr:uid="{00EC4B78-4EE1-43DA-9702-0267B8F73F0F}"/>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64B055AC-1C20-4DF4-BA12-17BDBC0F9859}"/>
    <cellStyle name="Normal 5 4 3 4 2 3" xfId="12029" xr:uid="{3AADBDD3-9731-43A6-BA0E-2A8055014BBF}"/>
    <cellStyle name="Normal 5 4 3 4 3" xfId="5660" xr:uid="{00000000-0005-0000-0000-00001A1B0000}"/>
    <cellStyle name="Normal 5 4 3 4 3 2" xfId="14102" xr:uid="{7F2CEA50-F959-49D7-85A4-F63BEF9AD9E5}"/>
    <cellStyle name="Normal 5 4 3 4 4" xfId="9884" xr:uid="{E4B1279E-2E8D-4ECC-96C6-48FFA4813710}"/>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381C19C4-EA78-4631-80CC-F2057A019B7D}"/>
    <cellStyle name="Normal 5 4 3 5 2 3" xfId="12442" xr:uid="{754CB18A-3F76-4EC7-84B7-05F0F7CE58DB}"/>
    <cellStyle name="Normal 5 4 3 5 3" xfId="6073" xr:uid="{00000000-0005-0000-0000-00001E1B0000}"/>
    <cellStyle name="Normal 5 4 3 5 3 2" xfId="14515" xr:uid="{744F1548-4900-4FF9-8C56-D1A060A5CE96}"/>
    <cellStyle name="Normal 5 4 3 5 4" xfId="10297" xr:uid="{94780054-28EC-4B3A-A3E5-6EEC01B7992C}"/>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DD753CF2-4591-4978-B3DA-D2C7EE32BF04}"/>
    <cellStyle name="Normal 5 4 3 6 2 3" xfId="12855" xr:uid="{51CE5AD2-54CE-4AE2-A3B2-E8A2E0C2388C}"/>
    <cellStyle name="Normal 5 4 3 6 3" xfId="6486" xr:uid="{00000000-0005-0000-0000-0000221B0000}"/>
    <cellStyle name="Normal 5 4 3 6 3 2" xfId="14928" xr:uid="{F2A9CDD0-6DDC-4D65-B1F8-377FD5081628}"/>
    <cellStyle name="Normal 5 4 3 6 4" xfId="10710" xr:uid="{BC840ABC-3BC7-413F-97AA-8E98D2781C6C}"/>
    <cellStyle name="Normal 5 4 3 7" xfId="2615" xr:uid="{00000000-0005-0000-0000-0000231B0000}"/>
    <cellStyle name="Normal 5 4 3 7 2" xfId="6899" xr:uid="{00000000-0005-0000-0000-0000241B0000}"/>
    <cellStyle name="Normal 5 4 3 7 2 2" xfId="15341" xr:uid="{E6C6E943-E9BF-4948-A058-8E72B0BE0D3D}"/>
    <cellStyle name="Normal 5 4 3 7 3" xfId="11123" xr:uid="{B9ABF088-082A-47DA-8523-D548B4616176}"/>
    <cellStyle name="Normal 5 4 3 8" xfId="4834" xr:uid="{00000000-0005-0000-0000-0000251B0000}"/>
    <cellStyle name="Normal 5 4 3 8 2" xfId="13276" xr:uid="{907C560C-20C6-449A-BFF7-773DE76F9548}"/>
    <cellStyle name="Normal 5 4 3 9" xfId="9058" xr:uid="{04D04640-2956-4541-95C5-964ED0F6CF33}"/>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7F503333-5956-4D1D-BBF2-87907E488C91}"/>
    <cellStyle name="Normal 5 4 4 2 2 3" xfId="11618" xr:uid="{5EB18DFB-FAD4-4F99-A551-7C06D8682530}"/>
    <cellStyle name="Normal 5 4 4 2 3" xfId="5249" xr:uid="{00000000-0005-0000-0000-00002A1B0000}"/>
    <cellStyle name="Normal 5 4 4 2 3 2" xfId="13691" xr:uid="{E8098BD3-CCB3-48A6-A7E5-0F766BE44CD0}"/>
    <cellStyle name="Normal 5 4 4 2 4" xfId="9473" xr:uid="{2BC4BC14-C1A6-4628-80DF-0C24C1B572BF}"/>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F2D65935-1EE2-487A-80FA-943941EE9C97}"/>
    <cellStyle name="Normal 5 4 4 3 2 3" xfId="12031" xr:uid="{2740752E-D8EB-4102-B144-97ABC3A1BF89}"/>
    <cellStyle name="Normal 5 4 4 3 3" xfId="5662" xr:uid="{00000000-0005-0000-0000-00002E1B0000}"/>
    <cellStyle name="Normal 5 4 4 3 3 2" xfId="14104" xr:uid="{EBA4D3F8-048C-423A-9ACD-F25E682188CF}"/>
    <cellStyle name="Normal 5 4 4 3 4" xfId="9886" xr:uid="{B5CD7F5F-009B-4630-A7A4-B10F46B81885}"/>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D0EF0879-0C34-454F-8A3D-671D333DD3FE}"/>
    <cellStyle name="Normal 5 4 4 4 2 3" xfId="12444" xr:uid="{680A097C-F493-4133-AD79-06918DECFA7B}"/>
    <cellStyle name="Normal 5 4 4 4 3" xfId="6075" xr:uid="{00000000-0005-0000-0000-0000321B0000}"/>
    <cellStyle name="Normal 5 4 4 4 3 2" xfId="14517" xr:uid="{42B90B7E-979B-4B26-81A0-250AF81B75F5}"/>
    <cellStyle name="Normal 5 4 4 4 4" xfId="10299" xr:uid="{E21F2A19-3282-43B0-8CD0-F09B7A299965}"/>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37D0732D-E274-458D-AB82-889D3B02F13C}"/>
    <cellStyle name="Normal 5 4 4 5 2 3" xfId="12857" xr:uid="{448193DE-C7D0-443E-912D-9E5ACDB14BDF}"/>
    <cellStyle name="Normal 5 4 4 5 3" xfId="6488" xr:uid="{00000000-0005-0000-0000-0000361B0000}"/>
    <cellStyle name="Normal 5 4 4 5 3 2" xfId="14930" xr:uid="{2841BEA6-22F4-4126-837D-5F46A87E1347}"/>
    <cellStyle name="Normal 5 4 4 5 4" xfId="10712" xr:uid="{D91ECFD1-4742-4CA9-927F-4CDCDEA4EAD7}"/>
    <cellStyle name="Normal 5 4 4 6" xfId="2617" xr:uid="{00000000-0005-0000-0000-0000371B0000}"/>
    <cellStyle name="Normal 5 4 4 6 2" xfId="6901" xr:uid="{00000000-0005-0000-0000-0000381B0000}"/>
    <cellStyle name="Normal 5 4 4 6 2 2" xfId="15343" xr:uid="{2655FDB7-01BE-4701-92B1-F76A07C22926}"/>
    <cellStyle name="Normal 5 4 4 6 3" xfId="11125" xr:uid="{C492105C-3612-41B9-89E7-47C016DE643A}"/>
    <cellStyle name="Normal 5 4 4 7" xfId="4836" xr:uid="{00000000-0005-0000-0000-0000391B0000}"/>
    <cellStyle name="Normal 5 4 4 7 2" xfId="13278" xr:uid="{481878AD-F622-4726-9D02-ECF2814E762B}"/>
    <cellStyle name="Normal 5 4 4 8" xfId="9060" xr:uid="{2D365603-38CC-4855-B21B-A4F951550095}"/>
    <cellStyle name="Normal 5 4 5" xfId="930" xr:uid="{00000000-0005-0000-0000-00003A1B0000}"/>
    <cellStyle name="Normal 5 4 5 2" xfId="3164" xr:uid="{00000000-0005-0000-0000-00003B1B0000}"/>
    <cellStyle name="Normal 5 4 5 2 2" xfId="7387" xr:uid="{00000000-0005-0000-0000-00003C1B0000}"/>
    <cellStyle name="Normal 5 4 5 2 2 2" xfId="15829" xr:uid="{A48B56BE-64BE-4019-B1E4-6E56357F9E55}"/>
    <cellStyle name="Normal 5 4 5 2 3" xfId="11611" xr:uid="{7B4361A3-CA34-41A5-A65A-FC94505044B9}"/>
    <cellStyle name="Normal 5 4 5 3" xfId="5242" xr:uid="{00000000-0005-0000-0000-00003D1B0000}"/>
    <cellStyle name="Normal 5 4 5 3 2" xfId="13684" xr:uid="{DBFD05D4-AF8E-4C45-AC69-E8B278DDC4B0}"/>
    <cellStyle name="Normal 5 4 5 4" xfId="9466" xr:uid="{EDD3EE67-ADEB-44F5-B04E-727DA85B3437}"/>
    <cellStyle name="Normal 5 4 6" xfId="1347" xr:uid="{00000000-0005-0000-0000-00003E1B0000}"/>
    <cellStyle name="Normal 5 4 6 2" xfId="3577" xr:uid="{00000000-0005-0000-0000-00003F1B0000}"/>
    <cellStyle name="Normal 5 4 6 2 2" xfId="7800" xr:uid="{00000000-0005-0000-0000-0000401B0000}"/>
    <cellStyle name="Normal 5 4 6 2 2 2" xfId="16242" xr:uid="{F8583781-C6E2-473C-9EC9-451E92DEA77E}"/>
    <cellStyle name="Normal 5 4 6 2 3" xfId="12024" xr:uid="{16625C1A-1D0A-4EBC-9725-AEB71B485B5F}"/>
    <cellStyle name="Normal 5 4 6 3" xfId="5655" xr:uid="{00000000-0005-0000-0000-0000411B0000}"/>
    <cellStyle name="Normal 5 4 6 3 2" xfId="14097" xr:uid="{5BAEFDE3-4BE9-4DEA-83F5-422D51C8DD8A}"/>
    <cellStyle name="Normal 5 4 6 4" xfId="9879" xr:uid="{FF3029AD-83CC-4B9F-A382-7EC7DC3B26D4}"/>
    <cellStyle name="Normal 5 4 7" xfId="1760" xr:uid="{00000000-0005-0000-0000-0000421B0000}"/>
    <cellStyle name="Normal 5 4 7 2" xfId="3990" xr:uid="{00000000-0005-0000-0000-0000431B0000}"/>
    <cellStyle name="Normal 5 4 7 2 2" xfId="8213" xr:uid="{00000000-0005-0000-0000-0000441B0000}"/>
    <cellStyle name="Normal 5 4 7 2 2 2" xfId="16655" xr:uid="{789EDD70-9158-4B2A-B9F8-D1ABAA8FF87B}"/>
    <cellStyle name="Normal 5 4 7 2 3" xfId="12437" xr:uid="{F7F1116E-4CDC-4A5B-A601-FA3E7A35A0C7}"/>
    <cellStyle name="Normal 5 4 7 3" xfId="6068" xr:uid="{00000000-0005-0000-0000-0000451B0000}"/>
    <cellStyle name="Normal 5 4 7 3 2" xfId="14510" xr:uid="{C59445A1-0FF2-470D-B708-F225EF65F936}"/>
    <cellStyle name="Normal 5 4 7 4" xfId="10292" xr:uid="{A4FAE3D2-BC08-4BE9-A9DB-20BB00657E6B}"/>
    <cellStyle name="Normal 5 4 8" xfId="2174" xr:uid="{00000000-0005-0000-0000-0000461B0000}"/>
    <cellStyle name="Normal 5 4 8 2" xfId="4403" xr:uid="{00000000-0005-0000-0000-0000471B0000}"/>
    <cellStyle name="Normal 5 4 8 2 2" xfId="8626" xr:uid="{00000000-0005-0000-0000-0000481B0000}"/>
    <cellStyle name="Normal 5 4 8 2 2 2" xfId="17068" xr:uid="{A43C35CB-4B6C-411E-A883-6BDB9BAE1F65}"/>
    <cellStyle name="Normal 5 4 8 2 3" xfId="12850" xr:uid="{67CD55F3-2319-4078-89EC-103C53AABB41}"/>
    <cellStyle name="Normal 5 4 8 3" xfId="6481" xr:uid="{00000000-0005-0000-0000-0000491B0000}"/>
    <cellStyle name="Normal 5 4 8 3 2" xfId="14923" xr:uid="{C88F8247-D7EA-4BB5-96C9-2AA5FF2CEBA8}"/>
    <cellStyle name="Normal 5 4 8 4" xfId="10705" xr:uid="{12FCE882-0048-4425-ACC2-F23AD0C5F181}"/>
    <cellStyle name="Normal 5 4 9" xfId="2610" xr:uid="{00000000-0005-0000-0000-00004A1B0000}"/>
    <cellStyle name="Normal 5 4 9 2" xfId="6894" xr:uid="{00000000-0005-0000-0000-00004B1B0000}"/>
    <cellStyle name="Normal 5 4 9 2 2" xfId="15336" xr:uid="{134365C8-833D-495C-A426-96E9EB483105}"/>
    <cellStyle name="Normal 5 4 9 3" xfId="11118" xr:uid="{B44462BB-1DF0-43CF-82FA-E69A678F9EBE}"/>
    <cellStyle name="Normal 5 5" xfId="464" xr:uid="{00000000-0005-0000-0000-00004C1B0000}"/>
    <cellStyle name="Normal 5 5 10" xfId="9061" xr:uid="{A4863F68-5131-4DAA-B46F-453F25157A26}"/>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B1A4A8CD-B515-40A6-BAC4-75A65A2D1EE9}"/>
    <cellStyle name="Normal 5 5 2 2 2 2 3" xfId="11621" xr:uid="{6A6F2236-4884-4A65-88E7-2097A21881CC}"/>
    <cellStyle name="Normal 5 5 2 2 2 3" xfId="5252" xr:uid="{00000000-0005-0000-0000-0000521B0000}"/>
    <cellStyle name="Normal 5 5 2 2 2 3 2" xfId="13694" xr:uid="{BFE29899-ED42-4864-8FEC-919B0C38A865}"/>
    <cellStyle name="Normal 5 5 2 2 2 4" xfId="9476" xr:uid="{16789E78-04DE-47F2-9E85-8804D98FC10A}"/>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4ACC9A72-29DB-4899-8206-35AE9193BE9B}"/>
    <cellStyle name="Normal 5 5 2 2 3 2 3" xfId="12034" xr:uid="{C8DEEBDE-3523-484F-ABE1-94193D31E8DE}"/>
    <cellStyle name="Normal 5 5 2 2 3 3" xfId="5665" xr:uid="{00000000-0005-0000-0000-0000561B0000}"/>
    <cellStyle name="Normal 5 5 2 2 3 3 2" xfId="14107" xr:uid="{EA94D027-1394-4D6F-AB70-1AFD5931D74B}"/>
    <cellStyle name="Normal 5 5 2 2 3 4" xfId="9889" xr:uid="{6EFE8D72-7CC0-4CB7-A21C-18A41A4C7511}"/>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8A646891-2CA9-4493-9ECB-5711C9345B1D}"/>
    <cellStyle name="Normal 5 5 2 2 4 2 3" xfId="12447" xr:uid="{AEFFE2C5-1FD6-4589-9592-C6F701BA5D2C}"/>
    <cellStyle name="Normal 5 5 2 2 4 3" xfId="6078" xr:uid="{00000000-0005-0000-0000-00005A1B0000}"/>
    <cellStyle name="Normal 5 5 2 2 4 3 2" xfId="14520" xr:uid="{80A57C5D-3C58-4A24-8777-3F768FF32E5F}"/>
    <cellStyle name="Normal 5 5 2 2 4 4" xfId="10302" xr:uid="{FAEDF8FA-660B-47EE-A9FB-BDDE2545A25C}"/>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6E9130E9-93A3-4EFA-BACA-09ECA6ABB046}"/>
    <cellStyle name="Normal 5 5 2 2 5 2 3" xfId="12860" xr:uid="{17342EAC-304B-474C-90E8-D526CEBDEF4D}"/>
    <cellStyle name="Normal 5 5 2 2 5 3" xfId="6491" xr:uid="{00000000-0005-0000-0000-00005E1B0000}"/>
    <cellStyle name="Normal 5 5 2 2 5 3 2" xfId="14933" xr:uid="{BFC53673-B601-4861-AB8B-D160BD86476D}"/>
    <cellStyle name="Normal 5 5 2 2 5 4" xfId="10715" xr:uid="{084CD5D4-E3D8-4F71-BFDB-E8B87424024F}"/>
    <cellStyle name="Normal 5 5 2 2 6" xfId="2620" xr:uid="{00000000-0005-0000-0000-00005F1B0000}"/>
    <cellStyle name="Normal 5 5 2 2 6 2" xfId="6904" xr:uid="{00000000-0005-0000-0000-0000601B0000}"/>
    <cellStyle name="Normal 5 5 2 2 6 2 2" xfId="15346" xr:uid="{0C152F6E-12E4-4CD5-A749-C5A406CBDFF3}"/>
    <cellStyle name="Normal 5 5 2 2 6 3" xfId="11128" xr:uid="{43C9D025-F5F4-470C-A097-7CF194CBD7D7}"/>
    <cellStyle name="Normal 5 5 2 2 7" xfId="4839" xr:uid="{00000000-0005-0000-0000-0000611B0000}"/>
    <cellStyle name="Normal 5 5 2 2 7 2" xfId="13281" xr:uid="{07BF88D9-9556-4B5F-B393-3ADDDD246129}"/>
    <cellStyle name="Normal 5 5 2 2 8" xfId="9063" xr:uid="{B0F4C461-EB83-472E-8DE3-9C0716CF5C11}"/>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A8A3F712-5D9A-49E6-91AF-76DA224BE364}"/>
    <cellStyle name="Normal 5 5 2 3 2 3" xfId="11620" xr:uid="{8412B17F-5F9E-4F76-8052-72176E513E5C}"/>
    <cellStyle name="Normal 5 5 2 3 3" xfId="5251" xr:uid="{00000000-0005-0000-0000-0000651B0000}"/>
    <cellStyle name="Normal 5 5 2 3 3 2" xfId="13693" xr:uid="{E3902B2C-AA28-409C-88B7-67B07B460FE3}"/>
    <cellStyle name="Normal 5 5 2 3 4" xfId="9475" xr:uid="{223ECB70-44EF-4E59-8997-DF0DB5FC15B9}"/>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BB10DD71-A63C-47EB-A37F-C311359A30B7}"/>
    <cellStyle name="Normal 5 5 2 4 2 3" xfId="12033" xr:uid="{F21E4164-F833-4E78-97EE-E4FDE06C909E}"/>
    <cellStyle name="Normal 5 5 2 4 3" xfId="5664" xr:uid="{00000000-0005-0000-0000-0000691B0000}"/>
    <cellStyle name="Normal 5 5 2 4 3 2" xfId="14106" xr:uid="{CB154737-F6AD-48E1-ABC7-FE487A221EB0}"/>
    <cellStyle name="Normal 5 5 2 4 4" xfId="9888" xr:uid="{0ACA1A27-150D-4E21-B28D-E5F418BACA7E}"/>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7FB651A4-7DD9-417D-A8A0-94AE7B67FA1C}"/>
    <cellStyle name="Normal 5 5 2 5 2 3" xfId="12446" xr:uid="{938DC776-BC56-418C-9AD7-E176705FD255}"/>
    <cellStyle name="Normal 5 5 2 5 3" xfId="6077" xr:uid="{00000000-0005-0000-0000-00006D1B0000}"/>
    <cellStyle name="Normal 5 5 2 5 3 2" xfId="14519" xr:uid="{846F7439-D4B8-4413-B940-7640649A96D1}"/>
    <cellStyle name="Normal 5 5 2 5 4" xfId="10301" xr:uid="{44093538-6A8B-4DD1-92F2-4835C0DBD6DB}"/>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DD5B1590-1C03-40D9-A75A-670638FDE97F}"/>
    <cellStyle name="Normal 5 5 2 6 2 3" xfId="12859" xr:uid="{06887F04-9824-4BF1-AB03-A1D730958881}"/>
    <cellStyle name="Normal 5 5 2 6 3" xfId="6490" xr:uid="{00000000-0005-0000-0000-0000711B0000}"/>
    <cellStyle name="Normal 5 5 2 6 3 2" xfId="14932" xr:uid="{D9931421-BF96-40F5-B069-AA5857CFB5AC}"/>
    <cellStyle name="Normal 5 5 2 6 4" xfId="10714" xr:uid="{9CA0E1DE-8A4B-4BA1-B025-63DD58EA5D14}"/>
    <cellStyle name="Normal 5 5 2 7" xfId="2619" xr:uid="{00000000-0005-0000-0000-0000721B0000}"/>
    <cellStyle name="Normal 5 5 2 7 2" xfId="6903" xr:uid="{00000000-0005-0000-0000-0000731B0000}"/>
    <cellStyle name="Normal 5 5 2 7 2 2" xfId="15345" xr:uid="{F4E7071A-7B0D-4995-8BCE-F7D2C7843D52}"/>
    <cellStyle name="Normal 5 5 2 7 3" xfId="11127" xr:uid="{6E5511D0-2C30-474C-A7A7-04F48286EA20}"/>
    <cellStyle name="Normal 5 5 2 8" xfId="4838" xr:uid="{00000000-0005-0000-0000-0000741B0000}"/>
    <cellStyle name="Normal 5 5 2 8 2" xfId="13280" xr:uid="{60554F62-E6A6-40AB-9D09-B54C688D7C0A}"/>
    <cellStyle name="Normal 5 5 2 9" xfId="9062" xr:uid="{5308283E-4F76-41B9-8CA7-F910433CA91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A4E0B159-0809-49C4-97B0-1660FF7EFAF1}"/>
    <cellStyle name="Normal 5 5 3 2 2 3" xfId="11622" xr:uid="{9B02FE02-1D4B-45F2-98C9-9C98CE22D8F1}"/>
    <cellStyle name="Normal 5 5 3 2 3" xfId="5253" xr:uid="{00000000-0005-0000-0000-0000791B0000}"/>
    <cellStyle name="Normal 5 5 3 2 3 2" xfId="13695" xr:uid="{67890D56-B3F4-49E9-9463-668FB37C8343}"/>
    <cellStyle name="Normal 5 5 3 2 4" xfId="9477" xr:uid="{F107C28E-3A0C-428F-AB0C-ADBEBE20BC21}"/>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DA14A31A-94EE-4822-B6CC-41F4042C7A70}"/>
    <cellStyle name="Normal 5 5 3 3 2 3" xfId="12035" xr:uid="{497436AF-E11D-4A61-A809-33BAEBB201B7}"/>
    <cellStyle name="Normal 5 5 3 3 3" xfId="5666" xr:uid="{00000000-0005-0000-0000-00007D1B0000}"/>
    <cellStyle name="Normal 5 5 3 3 3 2" xfId="14108" xr:uid="{ECA3C400-E240-40F6-8D15-A071CA7FA1CF}"/>
    <cellStyle name="Normal 5 5 3 3 4" xfId="9890" xr:uid="{2B2C8F68-83FF-4DDE-8435-3AC2F8AAA28C}"/>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4198800C-160A-483C-A746-4B0CEB204F8C}"/>
    <cellStyle name="Normal 5 5 3 4 2 3" xfId="12448" xr:uid="{172A2691-2689-4146-83B2-DFAB14366539}"/>
    <cellStyle name="Normal 5 5 3 4 3" xfId="6079" xr:uid="{00000000-0005-0000-0000-0000811B0000}"/>
    <cellStyle name="Normal 5 5 3 4 3 2" xfId="14521" xr:uid="{9E874484-78DC-4FFB-B273-80DAD876BAAB}"/>
    <cellStyle name="Normal 5 5 3 4 4" xfId="10303" xr:uid="{2FFD38DA-C5A5-4BE4-B1CD-B9DBA45B4398}"/>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91B9B6DA-382E-47E2-9FA9-DE4A214CE17F}"/>
    <cellStyle name="Normal 5 5 3 5 2 3" xfId="12861" xr:uid="{15CB62EE-6875-40FC-BBEF-032E80AD0479}"/>
    <cellStyle name="Normal 5 5 3 5 3" xfId="6492" xr:uid="{00000000-0005-0000-0000-0000851B0000}"/>
    <cellStyle name="Normal 5 5 3 5 3 2" xfId="14934" xr:uid="{3B08665C-5F38-45E3-9775-71D8B6777DB0}"/>
    <cellStyle name="Normal 5 5 3 5 4" xfId="10716" xr:uid="{54822BEF-D797-4CD5-9E7A-CB85E651E941}"/>
    <cellStyle name="Normal 5 5 3 6" xfId="2621" xr:uid="{00000000-0005-0000-0000-0000861B0000}"/>
    <cellStyle name="Normal 5 5 3 6 2" xfId="6905" xr:uid="{00000000-0005-0000-0000-0000871B0000}"/>
    <cellStyle name="Normal 5 5 3 6 2 2" xfId="15347" xr:uid="{F6B35C19-8FF9-4A84-83F6-AC74629CFC1A}"/>
    <cellStyle name="Normal 5 5 3 6 3" xfId="11129" xr:uid="{AC931613-E604-46B0-9DEF-59E5C89220B7}"/>
    <cellStyle name="Normal 5 5 3 7" xfId="4840" xr:uid="{00000000-0005-0000-0000-0000881B0000}"/>
    <cellStyle name="Normal 5 5 3 7 2" xfId="13282" xr:uid="{81FA05D6-22D1-44B6-B133-327117FEDF24}"/>
    <cellStyle name="Normal 5 5 3 8" xfId="9064" xr:uid="{26913DB4-2716-4AD6-A79D-DBCA061A34FD}"/>
    <cellStyle name="Normal 5 5 4" xfId="938" xr:uid="{00000000-0005-0000-0000-0000891B0000}"/>
    <cellStyle name="Normal 5 5 4 2" xfId="3172" xr:uid="{00000000-0005-0000-0000-00008A1B0000}"/>
    <cellStyle name="Normal 5 5 4 2 2" xfId="7395" xr:uid="{00000000-0005-0000-0000-00008B1B0000}"/>
    <cellStyle name="Normal 5 5 4 2 2 2" xfId="15837" xr:uid="{1F79578B-6440-4FB8-93CD-E5B4EB2FC949}"/>
    <cellStyle name="Normal 5 5 4 2 3" xfId="11619" xr:uid="{6287FF49-7C6D-4050-8B5D-477E60E6D4F9}"/>
    <cellStyle name="Normal 5 5 4 3" xfId="5250" xr:uid="{00000000-0005-0000-0000-00008C1B0000}"/>
    <cellStyle name="Normal 5 5 4 3 2" xfId="13692" xr:uid="{A2A48252-7CFF-4292-8822-BFAB6E36A12C}"/>
    <cellStyle name="Normal 5 5 4 4" xfId="9474" xr:uid="{4696EAB8-BC38-494A-814C-A2A866BBA1F5}"/>
    <cellStyle name="Normal 5 5 5" xfId="1355" xr:uid="{00000000-0005-0000-0000-00008D1B0000}"/>
    <cellStyle name="Normal 5 5 5 2" xfId="3585" xr:uid="{00000000-0005-0000-0000-00008E1B0000}"/>
    <cellStyle name="Normal 5 5 5 2 2" xfId="7808" xr:uid="{00000000-0005-0000-0000-00008F1B0000}"/>
    <cellStyle name="Normal 5 5 5 2 2 2" xfId="16250" xr:uid="{F0EAE64B-24D7-4257-8F92-BDE4F1BB80A5}"/>
    <cellStyle name="Normal 5 5 5 2 3" xfId="12032" xr:uid="{15247D51-0DDC-4A32-B3D8-1BDCA2B5F9B5}"/>
    <cellStyle name="Normal 5 5 5 3" xfId="5663" xr:uid="{00000000-0005-0000-0000-0000901B0000}"/>
    <cellStyle name="Normal 5 5 5 3 2" xfId="14105" xr:uid="{152CB44F-002C-43AA-8D7C-960E81507782}"/>
    <cellStyle name="Normal 5 5 5 4" xfId="9887" xr:uid="{9ECE252D-FB49-4B04-B91C-42ACFC22D8AF}"/>
    <cellStyle name="Normal 5 5 6" xfId="1768" xr:uid="{00000000-0005-0000-0000-0000911B0000}"/>
    <cellStyle name="Normal 5 5 6 2" xfId="3998" xr:uid="{00000000-0005-0000-0000-0000921B0000}"/>
    <cellStyle name="Normal 5 5 6 2 2" xfId="8221" xr:uid="{00000000-0005-0000-0000-0000931B0000}"/>
    <cellStyle name="Normal 5 5 6 2 2 2" xfId="16663" xr:uid="{978BDF21-FF70-4E22-B14A-FF341A9B493C}"/>
    <cellStyle name="Normal 5 5 6 2 3" xfId="12445" xr:uid="{E2E7A4A5-398C-4561-B77B-55343A1D970E}"/>
    <cellStyle name="Normal 5 5 6 3" xfId="6076" xr:uid="{00000000-0005-0000-0000-0000941B0000}"/>
    <cellStyle name="Normal 5 5 6 3 2" xfId="14518" xr:uid="{EE82DB7D-421D-4260-8591-BAD0C5BEA8E9}"/>
    <cellStyle name="Normal 5 5 6 4" xfId="10300" xr:uid="{B9293D31-0B0E-4D89-97B9-4B716E2FCC8E}"/>
    <cellStyle name="Normal 5 5 7" xfId="2182" xr:uid="{00000000-0005-0000-0000-0000951B0000}"/>
    <cellStyle name="Normal 5 5 7 2" xfId="4411" xr:uid="{00000000-0005-0000-0000-0000961B0000}"/>
    <cellStyle name="Normal 5 5 7 2 2" xfId="8634" xr:uid="{00000000-0005-0000-0000-0000971B0000}"/>
    <cellStyle name="Normal 5 5 7 2 2 2" xfId="17076" xr:uid="{7D1DB050-04BA-460D-9490-2845FA12727B}"/>
    <cellStyle name="Normal 5 5 7 2 3" xfId="12858" xr:uid="{42F2ADCA-3BA9-49D7-B4EE-CC1862233164}"/>
    <cellStyle name="Normal 5 5 7 3" xfId="6489" xr:uid="{00000000-0005-0000-0000-0000981B0000}"/>
    <cellStyle name="Normal 5 5 7 3 2" xfId="14931" xr:uid="{5C6291FB-ED90-433C-98CC-E25487B5E03A}"/>
    <cellStyle name="Normal 5 5 7 4" xfId="10713" xr:uid="{989C688E-CE22-49BF-B55A-398FC991508B}"/>
    <cellStyle name="Normal 5 5 8" xfId="2618" xr:uid="{00000000-0005-0000-0000-0000991B0000}"/>
    <cellStyle name="Normal 5 5 8 2" xfId="6902" xr:uid="{00000000-0005-0000-0000-00009A1B0000}"/>
    <cellStyle name="Normal 5 5 8 2 2" xfId="15344" xr:uid="{77B76678-D3CB-4808-AFB2-87F16B46277D}"/>
    <cellStyle name="Normal 5 5 8 3" xfId="11126" xr:uid="{72F9E4F1-CD24-4014-9CF1-0781168529C0}"/>
    <cellStyle name="Normal 5 5 9" xfId="4837" xr:uid="{00000000-0005-0000-0000-00009B1B0000}"/>
    <cellStyle name="Normal 5 5 9 2" xfId="13279" xr:uid="{A8707518-B701-439B-87A2-82E0F2DF30CF}"/>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FBE83B10-1141-4D57-B58A-0D98D19447CA}"/>
    <cellStyle name="Normal 5 6 2 2 2 3" xfId="11624" xr:uid="{B7E8BACF-75F2-4954-957E-CC0076A26210}"/>
    <cellStyle name="Normal 5 6 2 2 3" xfId="5255" xr:uid="{00000000-0005-0000-0000-0000A11B0000}"/>
    <cellStyle name="Normal 5 6 2 2 3 2" xfId="13697" xr:uid="{58896885-7647-490C-8C16-4CB7DCCB8C09}"/>
    <cellStyle name="Normal 5 6 2 2 4" xfId="9479" xr:uid="{EE7C7C7D-5D4C-4793-9C17-29C44B7A7333}"/>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015633AE-8E28-45A7-81DE-3A59DDF17081}"/>
    <cellStyle name="Normal 5 6 2 3 2 3" xfId="12037" xr:uid="{CBCA1E14-F096-4D14-B5A9-0E57586E5FC2}"/>
    <cellStyle name="Normal 5 6 2 3 3" xfId="5668" xr:uid="{00000000-0005-0000-0000-0000A51B0000}"/>
    <cellStyle name="Normal 5 6 2 3 3 2" xfId="14110" xr:uid="{E35D7BED-48C5-4862-B68E-5A540A133EE7}"/>
    <cellStyle name="Normal 5 6 2 3 4" xfId="9892" xr:uid="{77AD7243-EE2B-4738-8FD2-4EC7C380E477}"/>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D81345F8-BE03-4853-9503-384A52995006}"/>
    <cellStyle name="Normal 5 6 2 4 2 3" xfId="12450" xr:uid="{57E477A1-4014-44E4-8A2D-6AB868E82D9F}"/>
    <cellStyle name="Normal 5 6 2 4 3" xfId="6081" xr:uid="{00000000-0005-0000-0000-0000A91B0000}"/>
    <cellStyle name="Normal 5 6 2 4 3 2" xfId="14523" xr:uid="{641C4A17-BBD4-446D-81FA-CB319F681C06}"/>
    <cellStyle name="Normal 5 6 2 4 4" xfId="10305" xr:uid="{DCF73F93-4BFF-461A-9B88-282593356717}"/>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9FC6CE92-7DC1-4665-8DA3-B6FDE1CD208C}"/>
    <cellStyle name="Normal 5 6 2 5 2 3" xfId="12863" xr:uid="{21C46725-33EA-46F4-82A5-EE8509B4FABA}"/>
    <cellStyle name="Normal 5 6 2 5 3" xfId="6494" xr:uid="{00000000-0005-0000-0000-0000AD1B0000}"/>
    <cellStyle name="Normal 5 6 2 5 3 2" xfId="14936" xr:uid="{0FCAE91A-D0EF-42F9-AF67-2769D1EF95E8}"/>
    <cellStyle name="Normal 5 6 2 5 4" xfId="10718" xr:uid="{E9F3CBE5-2E77-498C-966F-8A6342645DFD}"/>
    <cellStyle name="Normal 5 6 2 6" xfId="2623" xr:uid="{00000000-0005-0000-0000-0000AE1B0000}"/>
    <cellStyle name="Normal 5 6 2 6 2" xfId="6907" xr:uid="{00000000-0005-0000-0000-0000AF1B0000}"/>
    <cellStyle name="Normal 5 6 2 6 2 2" xfId="15349" xr:uid="{F39E5004-FB15-4903-9B20-8B90A271D827}"/>
    <cellStyle name="Normal 5 6 2 6 3" xfId="11131" xr:uid="{E4BC677D-0151-4035-9CF6-8AB34E23945D}"/>
    <cellStyle name="Normal 5 6 2 7" xfId="4842" xr:uid="{00000000-0005-0000-0000-0000B01B0000}"/>
    <cellStyle name="Normal 5 6 2 7 2" xfId="13284" xr:uid="{31F5CFF5-1ACB-43E1-8DE3-B1195267C882}"/>
    <cellStyle name="Normal 5 6 2 8" xfId="9066" xr:uid="{6E6849FD-730F-4F32-9782-EAB30810A1DA}"/>
    <cellStyle name="Normal 5 6 3" xfId="942" xr:uid="{00000000-0005-0000-0000-0000B11B0000}"/>
    <cellStyle name="Normal 5 6 3 2" xfId="3176" xr:uid="{00000000-0005-0000-0000-0000B21B0000}"/>
    <cellStyle name="Normal 5 6 3 2 2" xfId="7399" xr:uid="{00000000-0005-0000-0000-0000B31B0000}"/>
    <cellStyle name="Normal 5 6 3 2 2 2" xfId="15841" xr:uid="{9B552C04-E6AB-40C5-AC31-6866D215AE3E}"/>
    <cellStyle name="Normal 5 6 3 2 3" xfId="11623" xr:uid="{68B2B269-591D-4EF9-86A5-2A78F7EC8B91}"/>
    <cellStyle name="Normal 5 6 3 3" xfId="5254" xr:uid="{00000000-0005-0000-0000-0000B41B0000}"/>
    <cellStyle name="Normal 5 6 3 3 2" xfId="13696" xr:uid="{16AE0A74-D12F-4F1D-A2E3-2F95F9F41688}"/>
    <cellStyle name="Normal 5 6 3 4" xfId="9478" xr:uid="{8CFE4BAD-9590-4CB3-A853-4EAFFF7D67B4}"/>
    <cellStyle name="Normal 5 6 4" xfId="1359" xr:uid="{00000000-0005-0000-0000-0000B51B0000}"/>
    <cellStyle name="Normal 5 6 4 2" xfId="3589" xr:uid="{00000000-0005-0000-0000-0000B61B0000}"/>
    <cellStyle name="Normal 5 6 4 2 2" xfId="7812" xr:uid="{00000000-0005-0000-0000-0000B71B0000}"/>
    <cellStyle name="Normal 5 6 4 2 2 2" xfId="16254" xr:uid="{862EC8F4-0F4A-4042-A282-1A8CCEA079A1}"/>
    <cellStyle name="Normal 5 6 4 2 3" xfId="12036" xr:uid="{51B54BD8-8DE7-4621-98CC-CA5D3FE23767}"/>
    <cellStyle name="Normal 5 6 4 3" xfId="5667" xr:uid="{00000000-0005-0000-0000-0000B81B0000}"/>
    <cellStyle name="Normal 5 6 4 3 2" xfId="14109" xr:uid="{EBAF5868-B7A9-4B1C-BD94-E5F593D4370D}"/>
    <cellStyle name="Normal 5 6 4 4" xfId="9891" xr:uid="{36725198-BD3D-4F4D-9790-14349EE35014}"/>
    <cellStyle name="Normal 5 6 5" xfId="1772" xr:uid="{00000000-0005-0000-0000-0000B91B0000}"/>
    <cellStyle name="Normal 5 6 5 2" xfId="4002" xr:uid="{00000000-0005-0000-0000-0000BA1B0000}"/>
    <cellStyle name="Normal 5 6 5 2 2" xfId="8225" xr:uid="{00000000-0005-0000-0000-0000BB1B0000}"/>
    <cellStyle name="Normal 5 6 5 2 2 2" xfId="16667" xr:uid="{7F4F553C-50CB-415E-9A93-01C9A1521AA4}"/>
    <cellStyle name="Normal 5 6 5 2 3" xfId="12449" xr:uid="{24B6AAA5-8A2D-40E6-B4CE-CE59CC320F03}"/>
    <cellStyle name="Normal 5 6 5 3" xfId="6080" xr:uid="{00000000-0005-0000-0000-0000BC1B0000}"/>
    <cellStyle name="Normal 5 6 5 3 2" xfId="14522" xr:uid="{61E28C0C-10BB-49A2-A9C3-8900249FC09A}"/>
    <cellStyle name="Normal 5 6 5 4" xfId="10304" xr:uid="{C60F8E8C-AA48-4DD3-BF2D-8B04E10329CF}"/>
    <cellStyle name="Normal 5 6 6" xfId="2186" xr:uid="{00000000-0005-0000-0000-0000BD1B0000}"/>
    <cellStyle name="Normal 5 6 6 2" xfId="4415" xr:uid="{00000000-0005-0000-0000-0000BE1B0000}"/>
    <cellStyle name="Normal 5 6 6 2 2" xfId="8638" xr:uid="{00000000-0005-0000-0000-0000BF1B0000}"/>
    <cellStyle name="Normal 5 6 6 2 2 2" xfId="17080" xr:uid="{BB281DE0-5FE2-44C7-BF26-8C694EFCF218}"/>
    <cellStyle name="Normal 5 6 6 2 3" xfId="12862" xr:uid="{7D41F438-7FAF-4BA8-A8FE-8D05B00EEBF7}"/>
    <cellStyle name="Normal 5 6 6 3" xfId="6493" xr:uid="{00000000-0005-0000-0000-0000C01B0000}"/>
    <cellStyle name="Normal 5 6 6 3 2" xfId="14935" xr:uid="{0622A23B-B9A7-4D35-AD30-484D7815E53D}"/>
    <cellStyle name="Normal 5 6 6 4" xfId="10717" xr:uid="{3D9C4194-6515-40A9-B55C-3A0C2D42A52C}"/>
    <cellStyle name="Normal 5 6 7" xfId="2622" xr:uid="{00000000-0005-0000-0000-0000C11B0000}"/>
    <cellStyle name="Normal 5 6 7 2" xfId="6906" xr:uid="{00000000-0005-0000-0000-0000C21B0000}"/>
    <cellStyle name="Normal 5 6 7 2 2" xfId="15348" xr:uid="{22715A1B-654B-4AAD-BDA1-8D14A8630FA8}"/>
    <cellStyle name="Normal 5 6 7 3" xfId="11130" xr:uid="{F84DF601-B588-4BB0-A2FC-58057CDEE5CF}"/>
    <cellStyle name="Normal 5 6 8" xfId="4841" xr:uid="{00000000-0005-0000-0000-0000C31B0000}"/>
    <cellStyle name="Normal 5 6 8 2" xfId="13283" xr:uid="{37DED4D2-979E-4034-AB66-683254DAA02A}"/>
    <cellStyle name="Normal 5 6 9" xfId="9065" xr:uid="{A2F71A47-4DAF-4D94-B4BD-8A858D31793A}"/>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8FF4B610-81BB-4543-8986-B593CF3F50DC}"/>
    <cellStyle name="Normal 5 7 2 2 3" xfId="11625" xr:uid="{6276EC4C-CA14-4079-805E-C9C5A4256CA1}"/>
    <cellStyle name="Normal 5 7 2 3" xfId="5256" xr:uid="{00000000-0005-0000-0000-0000C81B0000}"/>
    <cellStyle name="Normal 5 7 2 3 2" xfId="13698" xr:uid="{1B8BD10D-8568-493B-A783-A753F927F29D}"/>
    <cellStyle name="Normal 5 7 2 4" xfId="9480" xr:uid="{3930C1EB-1F16-4916-B87B-9EBCFC748B98}"/>
    <cellStyle name="Normal 5 7 3" xfId="1361" xr:uid="{00000000-0005-0000-0000-0000C91B0000}"/>
    <cellStyle name="Normal 5 7 3 2" xfId="3591" xr:uid="{00000000-0005-0000-0000-0000CA1B0000}"/>
    <cellStyle name="Normal 5 7 3 2 2" xfId="7814" xr:uid="{00000000-0005-0000-0000-0000CB1B0000}"/>
    <cellStyle name="Normal 5 7 3 2 2 2" xfId="16256" xr:uid="{BED02027-590C-42E9-88FD-BC93B74AF892}"/>
    <cellStyle name="Normal 5 7 3 2 3" xfId="12038" xr:uid="{6FF03686-ACF0-469C-A8EC-96BC43125E31}"/>
    <cellStyle name="Normal 5 7 3 3" xfId="5669" xr:uid="{00000000-0005-0000-0000-0000CC1B0000}"/>
    <cellStyle name="Normal 5 7 3 3 2" xfId="14111" xr:uid="{6E65230E-722B-4B33-AEDC-DA07E8865D17}"/>
    <cellStyle name="Normal 5 7 3 4" xfId="9893" xr:uid="{811C6D2D-718A-4184-8C7E-E1B0DCF25894}"/>
    <cellStyle name="Normal 5 7 4" xfId="1774" xr:uid="{00000000-0005-0000-0000-0000CD1B0000}"/>
    <cellStyle name="Normal 5 7 4 2" xfId="4004" xr:uid="{00000000-0005-0000-0000-0000CE1B0000}"/>
    <cellStyle name="Normal 5 7 4 2 2" xfId="8227" xr:uid="{00000000-0005-0000-0000-0000CF1B0000}"/>
    <cellStyle name="Normal 5 7 4 2 2 2" xfId="16669" xr:uid="{3CA4A795-70A7-4C10-A953-DB4294E33A87}"/>
    <cellStyle name="Normal 5 7 4 2 3" xfId="12451" xr:uid="{279AB612-E5F5-4BA9-B30F-14F08CA9E73C}"/>
    <cellStyle name="Normal 5 7 4 3" xfId="6082" xr:uid="{00000000-0005-0000-0000-0000D01B0000}"/>
    <cellStyle name="Normal 5 7 4 3 2" xfId="14524" xr:uid="{24A14AC9-013A-42B6-B0A5-0BAE65D5940B}"/>
    <cellStyle name="Normal 5 7 4 4" xfId="10306" xr:uid="{222B1C23-51BA-41C8-ACC7-BBAB9AF347DC}"/>
    <cellStyle name="Normal 5 7 5" xfId="2188" xr:uid="{00000000-0005-0000-0000-0000D11B0000}"/>
    <cellStyle name="Normal 5 7 5 2" xfId="4417" xr:uid="{00000000-0005-0000-0000-0000D21B0000}"/>
    <cellStyle name="Normal 5 7 5 2 2" xfId="8640" xr:uid="{00000000-0005-0000-0000-0000D31B0000}"/>
    <cellStyle name="Normal 5 7 5 2 2 2" xfId="17082" xr:uid="{6E1C2302-4392-473A-BFA6-17D039D5C702}"/>
    <cellStyle name="Normal 5 7 5 2 3" xfId="12864" xr:uid="{05DFF25C-ECE7-45FB-99F1-1776A4B012D0}"/>
    <cellStyle name="Normal 5 7 5 3" xfId="6495" xr:uid="{00000000-0005-0000-0000-0000D41B0000}"/>
    <cellStyle name="Normal 5 7 5 3 2" xfId="14937" xr:uid="{0B885D62-C760-4608-9A57-B1740A851106}"/>
    <cellStyle name="Normal 5 7 5 4" xfId="10719" xr:uid="{EA48B799-D4C4-4DBF-B6F0-E2059B23F5E2}"/>
    <cellStyle name="Normal 5 7 6" xfId="2624" xr:uid="{00000000-0005-0000-0000-0000D51B0000}"/>
    <cellStyle name="Normal 5 7 6 2" xfId="6908" xr:uid="{00000000-0005-0000-0000-0000D61B0000}"/>
    <cellStyle name="Normal 5 7 6 2 2" xfId="15350" xr:uid="{E991A643-ABEB-4659-808D-B8A267E6988B}"/>
    <cellStyle name="Normal 5 7 6 3" xfId="11132" xr:uid="{721D70C2-DBBA-45C8-9760-96375007871C}"/>
    <cellStyle name="Normal 5 7 7" xfId="4843" xr:uid="{00000000-0005-0000-0000-0000D71B0000}"/>
    <cellStyle name="Normal 5 7 7 2" xfId="13285" xr:uid="{38CA77FD-A061-4F15-81E1-3E1266801220}"/>
    <cellStyle name="Normal 5 7 8" xfId="9067" xr:uid="{C62EE6EF-84DC-42A0-8313-E3588DF655ED}"/>
    <cellStyle name="Normal 5 8" xfId="880" xr:uid="{00000000-0005-0000-0000-0000D81B0000}"/>
    <cellStyle name="Normal 5 8 2" xfId="3115" xr:uid="{00000000-0005-0000-0000-0000D91B0000}"/>
    <cellStyle name="Normal 5 8 2 2" xfId="7338" xr:uid="{00000000-0005-0000-0000-0000DA1B0000}"/>
    <cellStyle name="Normal 5 8 2 2 2" xfId="15780" xr:uid="{1C23992D-038B-4937-AEE2-2DC4F84F28CC}"/>
    <cellStyle name="Normal 5 8 2 3" xfId="11562" xr:uid="{3CE7A502-2EEC-4BF7-A88F-020682C7E584}"/>
    <cellStyle name="Normal 5 8 3" xfId="5193" xr:uid="{00000000-0005-0000-0000-0000DB1B0000}"/>
    <cellStyle name="Normal 5 8 3 2" xfId="13635" xr:uid="{64D64930-12CD-4385-8ECE-3D3DE58F79E4}"/>
    <cellStyle name="Normal 5 8 4" xfId="9417" xr:uid="{8282F8B7-EBCC-4F2E-AB07-CBA55B52D708}"/>
    <cellStyle name="Normal 5 9" xfId="1298" xr:uid="{00000000-0005-0000-0000-0000DC1B0000}"/>
    <cellStyle name="Normal 5 9 2" xfId="3528" xr:uid="{00000000-0005-0000-0000-0000DD1B0000}"/>
    <cellStyle name="Normal 5 9 2 2" xfId="7751" xr:uid="{00000000-0005-0000-0000-0000DE1B0000}"/>
    <cellStyle name="Normal 5 9 2 2 2" xfId="16193" xr:uid="{73A9C4A2-A75B-4DA4-83FF-7E01D0597832}"/>
    <cellStyle name="Normal 5 9 2 3" xfId="11975" xr:uid="{9DC2A83C-47A2-44C4-A79F-A5A4A935080F}"/>
    <cellStyle name="Normal 5 9 3" xfId="5606" xr:uid="{00000000-0005-0000-0000-0000DF1B0000}"/>
    <cellStyle name="Normal 5 9 3 2" xfId="14048" xr:uid="{542EC3E7-BC64-4E38-BB6A-9EEA0F625C1E}"/>
    <cellStyle name="Normal 5 9 4" xfId="9830" xr:uid="{4264B1DB-D973-4300-9E6E-BDF86AAD1348}"/>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1CF3F75B-AEF2-4A95-85A0-CBCF223723B0}"/>
    <cellStyle name="Normal 8 10 2 3" xfId="12865" xr:uid="{E20D03B2-362A-4F1B-AD01-7243ED488E6C}"/>
    <cellStyle name="Normal 8 10 3" xfId="6496" xr:uid="{00000000-0005-0000-0000-0000EB1B0000}"/>
    <cellStyle name="Normal 8 10 3 2" xfId="14938" xr:uid="{7234DD3E-09C7-4C14-AFA9-15347DF2302F}"/>
    <cellStyle name="Normal 8 10 4" xfId="10720" xr:uid="{36140674-B034-4C6F-9504-CA2C361F0BA3}"/>
    <cellStyle name="Normal 8 11" xfId="2625" xr:uid="{00000000-0005-0000-0000-0000EC1B0000}"/>
    <cellStyle name="Normal 8 11 2" xfId="6909" xr:uid="{00000000-0005-0000-0000-0000ED1B0000}"/>
    <cellStyle name="Normal 8 11 2 2" xfId="15351" xr:uid="{4DEE1487-ADEF-4B97-B737-B45C4DD638F1}"/>
    <cellStyle name="Normal 8 11 3" xfId="11133" xr:uid="{555FBB23-7825-48E4-8EB8-51B549C57C0B}"/>
    <cellStyle name="Normal 8 12" xfId="4844" xr:uid="{00000000-0005-0000-0000-0000EE1B0000}"/>
    <cellStyle name="Normal 8 12 2" xfId="13286" xr:uid="{85326E3F-20BC-4541-A066-80730C1C3E02}"/>
    <cellStyle name="Normal 8 13" xfId="9068" xr:uid="{DB2D2599-07D1-4D52-AADE-B88596B0868F}"/>
    <cellStyle name="Normal 8 2" xfId="479" xr:uid="{00000000-0005-0000-0000-0000EF1B0000}"/>
    <cellStyle name="Normal 8 2 10" xfId="2626" xr:uid="{00000000-0005-0000-0000-0000F01B0000}"/>
    <cellStyle name="Normal 8 2 10 2" xfId="6910" xr:uid="{00000000-0005-0000-0000-0000F11B0000}"/>
    <cellStyle name="Normal 8 2 10 2 2" xfId="15352" xr:uid="{9EC7A85E-545B-4F5E-B78A-7EDF970185BE}"/>
    <cellStyle name="Normal 8 2 10 3" xfId="11134" xr:uid="{8CB5A56E-93FF-487C-9F51-6839DE1A3F2E}"/>
    <cellStyle name="Normal 8 2 11" xfId="4845" xr:uid="{00000000-0005-0000-0000-0000F21B0000}"/>
    <cellStyle name="Normal 8 2 11 2" xfId="13287" xr:uid="{6FB77592-8CA3-495F-8F26-574F9E1C9C48}"/>
    <cellStyle name="Normal 8 2 12" xfId="9069" xr:uid="{096949DA-DE29-42D8-BE9D-B85A315B550C}"/>
    <cellStyle name="Normal 8 2 2" xfId="480" xr:uid="{00000000-0005-0000-0000-0000F31B0000}"/>
    <cellStyle name="Normal 8 2 2 10" xfId="4846" xr:uid="{00000000-0005-0000-0000-0000F41B0000}"/>
    <cellStyle name="Normal 8 2 2 10 2" xfId="13288" xr:uid="{16B879BE-B3CD-4F11-98D4-965AF6B6B049}"/>
    <cellStyle name="Normal 8 2 2 11" xfId="9070" xr:uid="{86A6BED5-F0E1-420B-B951-9EDA727BB69A}"/>
    <cellStyle name="Normal 8 2 2 2" xfId="481" xr:uid="{00000000-0005-0000-0000-0000F51B0000}"/>
    <cellStyle name="Normal 8 2 2 2 10" xfId="9071" xr:uid="{96F6341B-3EC1-4FFB-981D-FE08C1D3AB09}"/>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A7A980E6-2822-49EA-8B73-238AF81AE670}"/>
    <cellStyle name="Normal 8 2 2 2 2 2 2 2 3" xfId="11631" xr:uid="{D37615B9-64C6-46C4-8688-944C85D5B8C6}"/>
    <cellStyle name="Normal 8 2 2 2 2 2 2 3" xfId="5262" xr:uid="{00000000-0005-0000-0000-0000FB1B0000}"/>
    <cellStyle name="Normal 8 2 2 2 2 2 2 3 2" xfId="13704" xr:uid="{034AFB69-21A6-4E1F-A53B-C4B382A18254}"/>
    <cellStyle name="Normal 8 2 2 2 2 2 2 4" xfId="9486" xr:uid="{D6F6BCCD-F54A-4BE7-B48B-23B94C74A5D4}"/>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2FCB201C-3DAA-449D-BC85-9089FF395FF9}"/>
    <cellStyle name="Normal 8 2 2 2 2 2 3 2 3" xfId="12044" xr:uid="{7FD758D9-9463-44C8-BCC5-3F207959B3D5}"/>
    <cellStyle name="Normal 8 2 2 2 2 2 3 3" xfId="5675" xr:uid="{00000000-0005-0000-0000-0000FF1B0000}"/>
    <cellStyle name="Normal 8 2 2 2 2 2 3 3 2" xfId="14117" xr:uid="{96143622-99FD-4690-94BE-EB32696D169C}"/>
    <cellStyle name="Normal 8 2 2 2 2 2 3 4" xfId="9899" xr:uid="{89040BF5-D4E9-47B9-986A-8191F5BD3EAE}"/>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FD5EC00B-B0CA-4C43-AD9B-4CC693D6B2AB}"/>
    <cellStyle name="Normal 8 2 2 2 2 2 4 2 3" xfId="12457" xr:uid="{E5340D56-14B8-460B-8EBD-EC0E79C8383B}"/>
    <cellStyle name="Normal 8 2 2 2 2 2 4 3" xfId="6088" xr:uid="{00000000-0005-0000-0000-0000031C0000}"/>
    <cellStyle name="Normal 8 2 2 2 2 2 4 3 2" xfId="14530" xr:uid="{D03EDAA3-BB2A-4AA1-9B8A-E0CFC2AD794A}"/>
    <cellStyle name="Normal 8 2 2 2 2 2 4 4" xfId="10312" xr:uid="{1D880734-58AC-4283-A63C-25F51FBF7D6C}"/>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EB9906E8-CCC1-460A-B0ED-FADDFC6A8A46}"/>
    <cellStyle name="Normal 8 2 2 2 2 2 5 2 3" xfId="12870" xr:uid="{3B3438A1-E269-4D87-940A-92198A51D4C1}"/>
    <cellStyle name="Normal 8 2 2 2 2 2 5 3" xfId="6501" xr:uid="{00000000-0005-0000-0000-0000071C0000}"/>
    <cellStyle name="Normal 8 2 2 2 2 2 5 3 2" xfId="14943" xr:uid="{E77191C9-AD58-45B1-AAE1-612722604BDF}"/>
    <cellStyle name="Normal 8 2 2 2 2 2 5 4" xfId="10725" xr:uid="{01C81B31-7092-4B6E-AF9E-E5F477B74D74}"/>
    <cellStyle name="Normal 8 2 2 2 2 2 6" xfId="2630" xr:uid="{00000000-0005-0000-0000-0000081C0000}"/>
    <cellStyle name="Normal 8 2 2 2 2 2 6 2" xfId="6914" xr:uid="{00000000-0005-0000-0000-0000091C0000}"/>
    <cellStyle name="Normal 8 2 2 2 2 2 6 2 2" xfId="15356" xr:uid="{8109AFB7-EF74-407E-9EA4-6482F1022877}"/>
    <cellStyle name="Normal 8 2 2 2 2 2 6 3" xfId="11138" xr:uid="{469796DF-2C14-4C14-A1E6-F117B6570924}"/>
    <cellStyle name="Normal 8 2 2 2 2 2 7" xfId="4849" xr:uid="{00000000-0005-0000-0000-00000A1C0000}"/>
    <cellStyle name="Normal 8 2 2 2 2 2 7 2" xfId="13291" xr:uid="{95D2480C-37CB-4891-97C2-778620ED0DAF}"/>
    <cellStyle name="Normal 8 2 2 2 2 2 8" xfId="9073" xr:uid="{4BF40F21-3BD5-40C1-B944-D0E41DA66D2E}"/>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6DA5269F-F01C-4509-AB83-BB66857D8E66}"/>
    <cellStyle name="Normal 8 2 2 2 2 3 2 3" xfId="11630" xr:uid="{4384910C-B197-4D0F-B8AE-9BDC7760EB8C}"/>
    <cellStyle name="Normal 8 2 2 2 2 3 3" xfId="5261" xr:uid="{00000000-0005-0000-0000-00000E1C0000}"/>
    <cellStyle name="Normal 8 2 2 2 2 3 3 2" xfId="13703" xr:uid="{0E45C53A-80D9-4543-BE9E-210E90A8E1D4}"/>
    <cellStyle name="Normal 8 2 2 2 2 3 4" xfId="9485" xr:uid="{C6E8269B-88F8-4938-9B29-395B41C9E625}"/>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6E25EA5B-1B23-41D8-8C2F-46CFD3ABEC3C}"/>
    <cellStyle name="Normal 8 2 2 2 2 4 2 3" xfId="12043" xr:uid="{3DF07295-F98E-4BC3-8F32-DDE74607F140}"/>
    <cellStyle name="Normal 8 2 2 2 2 4 3" xfId="5674" xr:uid="{00000000-0005-0000-0000-0000121C0000}"/>
    <cellStyle name="Normal 8 2 2 2 2 4 3 2" xfId="14116" xr:uid="{6A4285CA-AF79-4E98-AB41-EE7C990F60AB}"/>
    <cellStyle name="Normal 8 2 2 2 2 4 4" xfId="9898" xr:uid="{ADF402D5-7A67-4A14-B4BD-58A7C759EBF1}"/>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53CFC4B5-12C1-4B65-8C87-695843A1A976}"/>
    <cellStyle name="Normal 8 2 2 2 2 5 2 3" xfId="12456" xr:uid="{09B6CF10-FFE1-43FE-9703-713564955DA1}"/>
    <cellStyle name="Normal 8 2 2 2 2 5 3" xfId="6087" xr:uid="{00000000-0005-0000-0000-0000161C0000}"/>
    <cellStyle name="Normal 8 2 2 2 2 5 3 2" xfId="14529" xr:uid="{3346836C-AF7A-4329-A5D1-FC56F6C78303}"/>
    <cellStyle name="Normal 8 2 2 2 2 5 4" xfId="10311" xr:uid="{857693ED-60B1-4BE2-AB39-701E60340245}"/>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29C0CBD1-F4A9-42A7-934B-D170BC05713D}"/>
    <cellStyle name="Normal 8 2 2 2 2 6 2 3" xfId="12869" xr:uid="{73F2D9CE-2DA7-4999-8821-7E868C29A0EC}"/>
    <cellStyle name="Normal 8 2 2 2 2 6 3" xfId="6500" xr:uid="{00000000-0005-0000-0000-00001A1C0000}"/>
    <cellStyle name="Normal 8 2 2 2 2 6 3 2" xfId="14942" xr:uid="{815C0C95-85E2-425D-A379-D7C7A11CB394}"/>
    <cellStyle name="Normal 8 2 2 2 2 6 4" xfId="10724" xr:uid="{BD423065-082B-4534-A6B1-E154964F9D9F}"/>
    <cellStyle name="Normal 8 2 2 2 2 7" xfId="2629" xr:uid="{00000000-0005-0000-0000-00001B1C0000}"/>
    <cellStyle name="Normal 8 2 2 2 2 7 2" xfId="6913" xr:uid="{00000000-0005-0000-0000-00001C1C0000}"/>
    <cellStyle name="Normal 8 2 2 2 2 7 2 2" xfId="15355" xr:uid="{E72609C1-E090-4829-A53C-B4D750665434}"/>
    <cellStyle name="Normal 8 2 2 2 2 7 3" xfId="11137" xr:uid="{60F00502-3548-4C63-9571-9FA72390525E}"/>
    <cellStyle name="Normal 8 2 2 2 2 8" xfId="4848" xr:uid="{00000000-0005-0000-0000-00001D1C0000}"/>
    <cellStyle name="Normal 8 2 2 2 2 8 2" xfId="13290" xr:uid="{FB101872-F047-4509-97FE-9DF7985602A3}"/>
    <cellStyle name="Normal 8 2 2 2 2 9" xfId="9072" xr:uid="{76893AB4-DD95-4A15-8BAC-56D682AC0AFA}"/>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2F498CFB-54E4-42B4-9B83-8C1DD795DBBF}"/>
    <cellStyle name="Normal 8 2 2 2 3 2 2 3" xfId="11632" xr:uid="{E17C7FFB-BA0B-4C70-912E-16310E9D4859}"/>
    <cellStyle name="Normal 8 2 2 2 3 2 3" xfId="5263" xr:uid="{00000000-0005-0000-0000-0000221C0000}"/>
    <cellStyle name="Normal 8 2 2 2 3 2 3 2" xfId="13705" xr:uid="{4BBDB33A-8879-442C-8821-59859CB40374}"/>
    <cellStyle name="Normal 8 2 2 2 3 2 4" xfId="9487" xr:uid="{4A53263C-45DE-4DC2-B3BB-BEE954FAD9DC}"/>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5A569B0A-8E85-406B-AEA9-BB8FA4BB823A}"/>
    <cellStyle name="Normal 8 2 2 2 3 3 2 3" xfId="12045" xr:uid="{59ED767B-387E-491F-A98A-99C32645ACFB}"/>
    <cellStyle name="Normal 8 2 2 2 3 3 3" xfId="5676" xr:uid="{00000000-0005-0000-0000-0000261C0000}"/>
    <cellStyle name="Normal 8 2 2 2 3 3 3 2" xfId="14118" xr:uid="{440A6F27-B399-4D55-B8BD-7BE0B5FFF5E5}"/>
    <cellStyle name="Normal 8 2 2 2 3 3 4" xfId="9900" xr:uid="{7633EEC1-A795-4535-92FB-A5C3A4A8F68B}"/>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14B9C029-CF84-4952-9875-1FAC54286460}"/>
    <cellStyle name="Normal 8 2 2 2 3 4 2 3" xfId="12458" xr:uid="{AC64752D-7066-4764-AE92-2C637437D65F}"/>
    <cellStyle name="Normal 8 2 2 2 3 4 3" xfId="6089" xr:uid="{00000000-0005-0000-0000-00002A1C0000}"/>
    <cellStyle name="Normal 8 2 2 2 3 4 3 2" xfId="14531" xr:uid="{F34D163A-66E9-49FC-BC0A-AACD5F5143A3}"/>
    <cellStyle name="Normal 8 2 2 2 3 4 4" xfId="10313" xr:uid="{35B39638-03E7-4250-B84E-AB2437A287DD}"/>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BF232270-BB79-4017-9B68-6C8325B0905E}"/>
    <cellStyle name="Normal 8 2 2 2 3 5 2 3" xfId="12871" xr:uid="{05FEC283-6933-436A-80C0-394461367A2D}"/>
    <cellStyle name="Normal 8 2 2 2 3 5 3" xfId="6502" xr:uid="{00000000-0005-0000-0000-00002E1C0000}"/>
    <cellStyle name="Normal 8 2 2 2 3 5 3 2" xfId="14944" xr:uid="{703CCB1B-7A44-4C33-8630-A6E3C90BFAD1}"/>
    <cellStyle name="Normal 8 2 2 2 3 5 4" xfId="10726" xr:uid="{374C7F6A-8A9E-4BAA-A579-DEA2095A4837}"/>
    <cellStyle name="Normal 8 2 2 2 3 6" xfId="2631" xr:uid="{00000000-0005-0000-0000-00002F1C0000}"/>
    <cellStyle name="Normal 8 2 2 2 3 6 2" xfId="6915" xr:uid="{00000000-0005-0000-0000-0000301C0000}"/>
    <cellStyle name="Normal 8 2 2 2 3 6 2 2" xfId="15357" xr:uid="{194C7E22-70C1-4A10-8C65-D6A391A189A5}"/>
    <cellStyle name="Normal 8 2 2 2 3 6 3" xfId="11139" xr:uid="{98A7E8AC-56B2-4F0A-B9C5-47640490F66A}"/>
    <cellStyle name="Normal 8 2 2 2 3 7" xfId="4850" xr:uid="{00000000-0005-0000-0000-0000311C0000}"/>
    <cellStyle name="Normal 8 2 2 2 3 7 2" xfId="13292" xr:uid="{58E2AEB9-D118-45F7-9729-7FC6F57983AD}"/>
    <cellStyle name="Normal 8 2 2 2 3 8" xfId="9074" xr:uid="{A34679CF-9206-4B04-8E1F-C5CF38F2628D}"/>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40092903-A51B-4DE1-99C1-8F0C7DA0AC7E}"/>
    <cellStyle name="Normal 8 2 2 2 4 2 3" xfId="11629" xr:uid="{922B918D-C929-416F-BD11-C2B5C9348097}"/>
    <cellStyle name="Normal 8 2 2 2 4 3" xfId="5260" xr:uid="{00000000-0005-0000-0000-0000351C0000}"/>
    <cellStyle name="Normal 8 2 2 2 4 3 2" xfId="13702" xr:uid="{214B26BD-227D-4FFD-8769-6C0E3C5E0A07}"/>
    <cellStyle name="Normal 8 2 2 2 4 4" xfId="9484" xr:uid="{C2F3F396-F2F9-4E09-A129-47E606DF41D3}"/>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6A97113D-E9F4-49F8-9B57-A104BFF83D51}"/>
    <cellStyle name="Normal 8 2 2 2 5 2 3" xfId="12042" xr:uid="{700E057E-2E60-4E39-8EFC-3036EF763509}"/>
    <cellStyle name="Normal 8 2 2 2 5 3" xfId="5673" xr:uid="{00000000-0005-0000-0000-0000391C0000}"/>
    <cellStyle name="Normal 8 2 2 2 5 3 2" xfId="14115" xr:uid="{BDF2CFB7-532A-4187-B1E3-8FCF6D7B59F2}"/>
    <cellStyle name="Normal 8 2 2 2 5 4" xfId="9897" xr:uid="{4A48AE6A-4D8E-4A52-B209-92E98965743D}"/>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F2EA6D87-8E7C-4EC6-BF12-D9187D9D4203}"/>
    <cellStyle name="Normal 8 2 2 2 6 2 3" xfId="12455" xr:uid="{0A7968CE-05BA-4733-9789-A8D282151CF5}"/>
    <cellStyle name="Normal 8 2 2 2 6 3" xfId="6086" xr:uid="{00000000-0005-0000-0000-00003D1C0000}"/>
    <cellStyle name="Normal 8 2 2 2 6 3 2" xfId="14528" xr:uid="{647F4190-A043-4B58-A3B1-C403D3402E7A}"/>
    <cellStyle name="Normal 8 2 2 2 6 4" xfId="10310" xr:uid="{F51ACF2C-8802-48C5-A61B-71A6F3EE007A}"/>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F4CE8E0D-EF56-48DB-BE21-C5F5A70B9A4A}"/>
    <cellStyle name="Normal 8 2 2 2 7 2 3" xfId="12868" xr:uid="{6CE1C5A4-4BFD-4F4D-95C9-6DB6EF21E209}"/>
    <cellStyle name="Normal 8 2 2 2 7 3" xfId="6499" xr:uid="{00000000-0005-0000-0000-0000411C0000}"/>
    <cellStyle name="Normal 8 2 2 2 7 3 2" xfId="14941" xr:uid="{795FD985-6F4E-4E7B-B2D1-A9BDE97B1EB8}"/>
    <cellStyle name="Normal 8 2 2 2 7 4" xfId="10723" xr:uid="{852DA167-A937-4DBE-BA99-732B38E658DF}"/>
    <cellStyle name="Normal 8 2 2 2 8" xfId="2628" xr:uid="{00000000-0005-0000-0000-0000421C0000}"/>
    <cellStyle name="Normal 8 2 2 2 8 2" xfId="6912" xr:uid="{00000000-0005-0000-0000-0000431C0000}"/>
    <cellStyle name="Normal 8 2 2 2 8 2 2" xfId="15354" xr:uid="{456EB57B-4AF2-49CD-AB0D-1F34ED8086C1}"/>
    <cellStyle name="Normal 8 2 2 2 8 3" xfId="11136" xr:uid="{69FC7E71-0EE3-4B21-AD60-151BCCEE55D5}"/>
    <cellStyle name="Normal 8 2 2 2 9" xfId="4847" xr:uid="{00000000-0005-0000-0000-0000441C0000}"/>
    <cellStyle name="Normal 8 2 2 2 9 2" xfId="13289" xr:uid="{4EE6D9E6-328A-4944-9ADF-151FBA26F01A}"/>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6E4B7B08-5DD9-4B03-A2B1-1C9FECA3862B}"/>
    <cellStyle name="Normal 8 2 2 3 2 2 2 3" xfId="11634" xr:uid="{643CD293-08FE-4B94-B75B-7B0E39159C78}"/>
    <cellStyle name="Normal 8 2 2 3 2 2 3" xfId="5265" xr:uid="{00000000-0005-0000-0000-00004A1C0000}"/>
    <cellStyle name="Normal 8 2 2 3 2 2 3 2" xfId="13707" xr:uid="{95A230B4-A761-41A5-A6CA-F53B7A762F9B}"/>
    <cellStyle name="Normal 8 2 2 3 2 2 4" xfId="9489" xr:uid="{017BDEB4-5D0C-4BDC-95B6-D4058BED99C7}"/>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01877761-78EB-42A8-8D76-7B0D03B82AC1}"/>
    <cellStyle name="Normal 8 2 2 3 2 3 2 3" xfId="12047" xr:uid="{0D66BF54-5FF7-41B8-B7BC-E06E079C4D4A}"/>
    <cellStyle name="Normal 8 2 2 3 2 3 3" xfId="5678" xr:uid="{00000000-0005-0000-0000-00004E1C0000}"/>
    <cellStyle name="Normal 8 2 2 3 2 3 3 2" xfId="14120" xr:uid="{DE07E0D2-6800-4D75-AC96-E0A9BFEE95D3}"/>
    <cellStyle name="Normal 8 2 2 3 2 3 4" xfId="9902" xr:uid="{44CC8BBD-76CF-414C-919B-CE86DF5FDA66}"/>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1A283F1F-B6E0-4F80-8352-304137871AC3}"/>
    <cellStyle name="Normal 8 2 2 3 2 4 2 3" xfId="12460" xr:uid="{ED89E328-A5A4-4776-AFAF-094FAE873EBE}"/>
    <cellStyle name="Normal 8 2 2 3 2 4 3" xfId="6091" xr:uid="{00000000-0005-0000-0000-0000521C0000}"/>
    <cellStyle name="Normal 8 2 2 3 2 4 3 2" xfId="14533" xr:uid="{53DF7F9B-4221-45B3-8707-EA9042C7B092}"/>
    <cellStyle name="Normal 8 2 2 3 2 4 4" xfId="10315" xr:uid="{6E3B408E-98AA-44D2-AE33-EFBD54ED43B2}"/>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E7093D5D-51C2-4B95-87B6-7DD029D30FEB}"/>
    <cellStyle name="Normal 8 2 2 3 2 5 2 3" xfId="12873" xr:uid="{4F65B5CD-9A02-40FF-B2FD-BF2682A851F2}"/>
    <cellStyle name="Normal 8 2 2 3 2 5 3" xfId="6504" xr:uid="{00000000-0005-0000-0000-0000561C0000}"/>
    <cellStyle name="Normal 8 2 2 3 2 5 3 2" xfId="14946" xr:uid="{B2665D1B-575F-4218-A9A8-0FBD459B956A}"/>
    <cellStyle name="Normal 8 2 2 3 2 5 4" xfId="10728" xr:uid="{05B5C01A-8FDD-456E-AD48-9847DFF53637}"/>
    <cellStyle name="Normal 8 2 2 3 2 6" xfId="2633" xr:uid="{00000000-0005-0000-0000-0000571C0000}"/>
    <cellStyle name="Normal 8 2 2 3 2 6 2" xfId="6917" xr:uid="{00000000-0005-0000-0000-0000581C0000}"/>
    <cellStyle name="Normal 8 2 2 3 2 6 2 2" xfId="15359" xr:uid="{45519964-A510-4A6D-9253-4B5E56AE593B}"/>
    <cellStyle name="Normal 8 2 2 3 2 6 3" xfId="11141" xr:uid="{48E97B1D-1C8F-4CF2-BC92-F369555B4D9E}"/>
    <cellStyle name="Normal 8 2 2 3 2 7" xfId="4852" xr:uid="{00000000-0005-0000-0000-0000591C0000}"/>
    <cellStyle name="Normal 8 2 2 3 2 7 2" xfId="13294" xr:uid="{ED12BF0E-2EEA-4F09-ADD6-ED346682A813}"/>
    <cellStyle name="Normal 8 2 2 3 2 8" xfId="9076" xr:uid="{1770B32C-512D-4D22-8DAA-E4653288CF62}"/>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D4677992-6C20-4B70-A4C7-83BB011E8E02}"/>
    <cellStyle name="Normal 8 2 2 3 3 2 3" xfId="11633" xr:uid="{1E6811BA-0A8E-4DE2-9C8C-06ACE48B53D1}"/>
    <cellStyle name="Normal 8 2 2 3 3 3" xfId="5264" xr:uid="{00000000-0005-0000-0000-00005D1C0000}"/>
    <cellStyle name="Normal 8 2 2 3 3 3 2" xfId="13706" xr:uid="{1A0C914F-65CA-432D-893D-FCD97BAA36D7}"/>
    <cellStyle name="Normal 8 2 2 3 3 4" xfId="9488" xr:uid="{A1C8E436-25D3-4A51-B8E5-7196B5BFB9F9}"/>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788535B3-FA03-4A08-8507-3BDA3379300A}"/>
    <cellStyle name="Normal 8 2 2 3 4 2 3" xfId="12046" xr:uid="{43997A71-CF49-4B13-A33E-E351621E493E}"/>
    <cellStyle name="Normal 8 2 2 3 4 3" xfId="5677" xr:uid="{00000000-0005-0000-0000-0000611C0000}"/>
    <cellStyle name="Normal 8 2 2 3 4 3 2" xfId="14119" xr:uid="{F3AC1A7D-C57C-481D-BE9D-D223DAE2DC97}"/>
    <cellStyle name="Normal 8 2 2 3 4 4" xfId="9901" xr:uid="{4B9B5382-026B-4BE1-B96C-072184497600}"/>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27B0365F-C8A8-4780-A2AA-5E42A6ADF46E}"/>
    <cellStyle name="Normal 8 2 2 3 5 2 3" xfId="12459" xr:uid="{1B850AA1-9FA5-4084-A866-F7FD3D8ABAA6}"/>
    <cellStyle name="Normal 8 2 2 3 5 3" xfId="6090" xr:uid="{00000000-0005-0000-0000-0000651C0000}"/>
    <cellStyle name="Normal 8 2 2 3 5 3 2" xfId="14532" xr:uid="{69E142DD-57F8-4617-A613-8F3E1C71511D}"/>
    <cellStyle name="Normal 8 2 2 3 5 4" xfId="10314" xr:uid="{7B1BCB28-C04D-4544-92B0-92A3CB7E5DF9}"/>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6B1DD192-289A-48CE-BE0B-F80763401663}"/>
    <cellStyle name="Normal 8 2 2 3 6 2 3" xfId="12872" xr:uid="{7FA57B60-9E81-4154-B976-6B8E799271B6}"/>
    <cellStyle name="Normal 8 2 2 3 6 3" xfId="6503" xr:uid="{00000000-0005-0000-0000-0000691C0000}"/>
    <cellStyle name="Normal 8 2 2 3 6 3 2" xfId="14945" xr:uid="{A024691D-C296-4C05-8D12-170053358D1F}"/>
    <cellStyle name="Normal 8 2 2 3 6 4" xfId="10727" xr:uid="{FA2D00AA-4EFD-4D39-8D9C-DA2ACCB33ED3}"/>
    <cellStyle name="Normal 8 2 2 3 7" xfId="2632" xr:uid="{00000000-0005-0000-0000-00006A1C0000}"/>
    <cellStyle name="Normal 8 2 2 3 7 2" xfId="6916" xr:uid="{00000000-0005-0000-0000-00006B1C0000}"/>
    <cellStyle name="Normal 8 2 2 3 7 2 2" xfId="15358" xr:uid="{7D674E34-FEC5-4107-8C65-CE6C05397684}"/>
    <cellStyle name="Normal 8 2 2 3 7 3" xfId="11140" xr:uid="{32B06036-E7E3-4C5C-B75C-FE2267B42002}"/>
    <cellStyle name="Normal 8 2 2 3 8" xfId="4851" xr:uid="{00000000-0005-0000-0000-00006C1C0000}"/>
    <cellStyle name="Normal 8 2 2 3 8 2" xfId="13293" xr:uid="{5A3D31DA-2F16-45C3-B6B8-DB2A417BA7AA}"/>
    <cellStyle name="Normal 8 2 2 3 9" xfId="9075" xr:uid="{94370DC4-48EC-4A3A-8FA9-E825AE7CBF2F}"/>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CF5D0884-7A46-4CC2-AF10-D0DD4BC1FF23}"/>
    <cellStyle name="Normal 8 2 2 4 2 2 3" xfId="11635" xr:uid="{A1B87FF2-96EA-4C59-8225-5C4ACD0FC8DD}"/>
    <cellStyle name="Normal 8 2 2 4 2 3" xfId="5266" xr:uid="{00000000-0005-0000-0000-0000711C0000}"/>
    <cellStyle name="Normal 8 2 2 4 2 3 2" xfId="13708" xr:uid="{64EB3E9A-376A-4BAC-BAF3-BED3D6CCFF7B}"/>
    <cellStyle name="Normal 8 2 2 4 2 4" xfId="9490" xr:uid="{19C958DE-D3A2-4649-AAD5-FA85FDBD32E9}"/>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57196C92-7845-4BC6-9935-9BAB0A87E737}"/>
    <cellStyle name="Normal 8 2 2 4 3 2 3" xfId="12048" xr:uid="{68C72ED1-1411-4CF7-95EC-F388A852E011}"/>
    <cellStyle name="Normal 8 2 2 4 3 3" xfId="5679" xr:uid="{00000000-0005-0000-0000-0000751C0000}"/>
    <cellStyle name="Normal 8 2 2 4 3 3 2" xfId="14121" xr:uid="{8BFDD41D-79AA-46B5-B629-5F8C7223E470}"/>
    <cellStyle name="Normal 8 2 2 4 3 4" xfId="9903" xr:uid="{7D75521D-E844-4ABC-BE85-2028373E0CC7}"/>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62B1CC18-3F2B-4D7F-A2B2-1622AD60CE77}"/>
    <cellStyle name="Normal 8 2 2 4 4 2 3" xfId="12461" xr:uid="{062126B7-E8D3-4B30-B29C-E7AD94BC4EB9}"/>
    <cellStyle name="Normal 8 2 2 4 4 3" xfId="6092" xr:uid="{00000000-0005-0000-0000-0000791C0000}"/>
    <cellStyle name="Normal 8 2 2 4 4 3 2" xfId="14534" xr:uid="{ABCF5AA8-CF7E-4B5C-B3EE-47E746A92BD9}"/>
    <cellStyle name="Normal 8 2 2 4 4 4" xfId="10316" xr:uid="{94C485B3-D2CE-4779-820B-C0E6234ABDD8}"/>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E9749252-9A6B-41BF-8E44-BC8562EF0564}"/>
    <cellStyle name="Normal 8 2 2 4 5 2 3" xfId="12874" xr:uid="{897477C1-2CD5-4BFF-8B05-D662EB6A5E7C}"/>
    <cellStyle name="Normal 8 2 2 4 5 3" xfId="6505" xr:uid="{00000000-0005-0000-0000-00007D1C0000}"/>
    <cellStyle name="Normal 8 2 2 4 5 3 2" xfId="14947" xr:uid="{3E5FEE51-12C9-4B00-A458-BD8B2B6938BB}"/>
    <cellStyle name="Normal 8 2 2 4 5 4" xfId="10729" xr:uid="{2B6A2A9D-F1DE-4626-A227-75276E4EB73C}"/>
    <cellStyle name="Normal 8 2 2 4 6" xfId="2634" xr:uid="{00000000-0005-0000-0000-00007E1C0000}"/>
    <cellStyle name="Normal 8 2 2 4 6 2" xfId="6918" xr:uid="{00000000-0005-0000-0000-00007F1C0000}"/>
    <cellStyle name="Normal 8 2 2 4 6 2 2" xfId="15360" xr:uid="{3B3B7E22-FAC6-4B73-AECB-F4A1F13DE128}"/>
    <cellStyle name="Normal 8 2 2 4 6 3" xfId="11142" xr:uid="{A496CD3D-C7D9-4000-88AD-308E4767D1DD}"/>
    <cellStyle name="Normal 8 2 2 4 7" xfId="4853" xr:uid="{00000000-0005-0000-0000-0000801C0000}"/>
    <cellStyle name="Normal 8 2 2 4 7 2" xfId="13295" xr:uid="{FC429969-C08D-462B-96C3-1210082EDED3}"/>
    <cellStyle name="Normal 8 2 2 4 8" xfId="9077" xr:uid="{1D825EBB-43EE-457A-ACE4-4F101270F823}"/>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4426C7F5-DA64-4D75-ABFF-01549723BFEE}"/>
    <cellStyle name="Normal 8 2 2 5 2 3" xfId="11628" xr:uid="{6551519D-AE1A-403D-887D-DB3F0BA9D2A1}"/>
    <cellStyle name="Normal 8 2 2 5 3" xfId="5259" xr:uid="{00000000-0005-0000-0000-0000841C0000}"/>
    <cellStyle name="Normal 8 2 2 5 3 2" xfId="13701" xr:uid="{10A7D47A-3706-4D38-996F-BCD0DA9D31C7}"/>
    <cellStyle name="Normal 8 2 2 5 4" xfId="9483" xr:uid="{3A699387-75B5-4FAC-B0A6-5EED070091FD}"/>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29DAAB4B-7E28-4AD5-9A3D-A9EAEF65E42B}"/>
    <cellStyle name="Normal 8 2 2 6 2 3" xfId="12041" xr:uid="{37816096-E1F7-45B8-BC0E-14E6BCBA2CF4}"/>
    <cellStyle name="Normal 8 2 2 6 3" xfId="5672" xr:uid="{00000000-0005-0000-0000-0000881C0000}"/>
    <cellStyle name="Normal 8 2 2 6 3 2" xfId="14114" xr:uid="{B9D23FD9-9AF0-445D-AAF7-1471406924A1}"/>
    <cellStyle name="Normal 8 2 2 6 4" xfId="9896" xr:uid="{8B2334A7-3650-468A-A595-56C5598C71E1}"/>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B814BF48-5921-438F-A13B-DA38948025E7}"/>
    <cellStyle name="Normal 8 2 2 7 2 3" xfId="12454" xr:uid="{F4C15D1C-BA4B-4519-827E-FEE25E2D3536}"/>
    <cellStyle name="Normal 8 2 2 7 3" xfId="6085" xr:uid="{00000000-0005-0000-0000-00008C1C0000}"/>
    <cellStyle name="Normal 8 2 2 7 3 2" xfId="14527" xr:uid="{126E7CC6-C78F-43E0-9DAC-01BE9B6FF0C3}"/>
    <cellStyle name="Normal 8 2 2 7 4" xfId="10309" xr:uid="{3D116350-1E22-4163-9E14-5A230700D714}"/>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0BBE3ECF-7AB0-41E9-8960-40FFDF155A3F}"/>
    <cellStyle name="Normal 8 2 2 8 2 3" xfId="12867" xr:uid="{1B98DB59-3CBE-45EE-B168-F3B7F0F3148A}"/>
    <cellStyle name="Normal 8 2 2 8 3" xfId="6498" xr:uid="{00000000-0005-0000-0000-0000901C0000}"/>
    <cellStyle name="Normal 8 2 2 8 3 2" xfId="14940" xr:uid="{036C1D46-E6E4-4554-A47B-8369AC7811D0}"/>
    <cellStyle name="Normal 8 2 2 8 4" xfId="10722" xr:uid="{A16A7C4A-99D5-4720-A2CE-EDBE40CEBC1A}"/>
    <cellStyle name="Normal 8 2 2 9" xfId="2627" xr:uid="{00000000-0005-0000-0000-0000911C0000}"/>
    <cellStyle name="Normal 8 2 2 9 2" xfId="6911" xr:uid="{00000000-0005-0000-0000-0000921C0000}"/>
    <cellStyle name="Normal 8 2 2 9 2 2" xfId="15353" xr:uid="{328A7EDB-17A6-49B1-BA90-B0660A91CF31}"/>
    <cellStyle name="Normal 8 2 2 9 3" xfId="11135" xr:uid="{1437914C-8A32-43BA-843D-8F130B6AE48C}"/>
    <cellStyle name="Normal 8 2 3" xfId="488" xr:uid="{00000000-0005-0000-0000-0000931C0000}"/>
    <cellStyle name="Normal 8 2 3 10" xfId="9078" xr:uid="{1C29976D-D0D5-45EC-92A2-14FD8C845BDF}"/>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D6A1F131-87A5-454D-8DA2-6E19119F6D35}"/>
    <cellStyle name="Normal 8 2 3 2 2 2 2 3" xfId="11638" xr:uid="{E42C805B-70F3-4DDD-8FB8-7B2CFF15DF24}"/>
    <cellStyle name="Normal 8 2 3 2 2 2 3" xfId="5269" xr:uid="{00000000-0005-0000-0000-0000991C0000}"/>
    <cellStyle name="Normal 8 2 3 2 2 2 3 2" xfId="13711" xr:uid="{90D9A89E-DB93-4E03-A492-E2A64716AF9D}"/>
    <cellStyle name="Normal 8 2 3 2 2 2 4" xfId="9493" xr:uid="{F4A43AF1-10BB-4CAD-B7F6-BF71381D821C}"/>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51D36E79-9BB9-4403-A5DE-A15488D174AF}"/>
    <cellStyle name="Normal 8 2 3 2 2 3 2 3" xfId="12051" xr:uid="{41C3F6A7-45B2-4C6D-9C16-E8A66E50BCB5}"/>
    <cellStyle name="Normal 8 2 3 2 2 3 3" xfId="5682" xr:uid="{00000000-0005-0000-0000-00009D1C0000}"/>
    <cellStyle name="Normal 8 2 3 2 2 3 3 2" xfId="14124" xr:uid="{93D27B84-5584-46E9-A959-667E812C7AC6}"/>
    <cellStyle name="Normal 8 2 3 2 2 3 4" xfId="9906" xr:uid="{6F1B8154-B738-4CD4-A27B-96DF6CB91601}"/>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521F6DC9-51B7-4186-8A20-961AF02BC5E8}"/>
    <cellStyle name="Normal 8 2 3 2 2 4 2 3" xfId="12464" xr:uid="{0FC7C666-EF4B-4F71-B6E8-66A9F93F81FA}"/>
    <cellStyle name="Normal 8 2 3 2 2 4 3" xfId="6095" xr:uid="{00000000-0005-0000-0000-0000A11C0000}"/>
    <cellStyle name="Normal 8 2 3 2 2 4 3 2" xfId="14537" xr:uid="{07B365BC-46CA-4CCC-B57E-26D3DBCC1B07}"/>
    <cellStyle name="Normal 8 2 3 2 2 4 4" xfId="10319" xr:uid="{E6030411-AAA2-4022-AE74-7403A7900753}"/>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D0078B9C-9E37-42D3-AD7A-F9C7EAC9D122}"/>
    <cellStyle name="Normal 8 2 3 2 2 5 2 3" xfId="12877" xr:uid="{2B34BCEE-823A-49C3-A952-E2F6CDE51EFF}"/>
    <cellStyle name="Normal 8 2 3 2 2 5 3" xfId="6508" xr:uid="{00000000-0005-0000-0000-0000A51C0000}"/>
    <cellStyle name="Normal 8 2 3 2 2 5 3 2" xfId="14950" xr:uid="{881DB9A6-9DB6-4659-B2F8-6304665985AA}"/>
    <cellStyle name="Normal 8 2 3 2 2 5 4" xfId="10732" xr:uid="{B3F53E10-F3E5-49C6-9226-D04928E7856E}"/>
    <cellStyle name="Normal 8 2 3 2 2 6" xfId="2637" xr:uid="{00000000-0005-0000-0000-0000A61C0000}"/>
    <cellStyle name="Normal 8 2 3 2 2 6 2" xfId="6921" xr:uid="{00000000-0005-0000-0000-0000A71C0000}"/>
    <cellStyle name="Normal 8 2 3 2 2 6 2 2" xfId="15363" xr:uid="{62F0ABC2-6052-44C5-AD81-7F97E1D93AA8}"/>
    <cellStyle name="Normal 8 2 3 2 2 6 3" xfId="11145" xr:uid="{DA93F9D8-0B81-4074-B34D-C5FEDF638378}"/>
    <cellStyle name="Normal 8 2 3 2 2 7" xfId="4856" xr:uid="{00000000-0005-0000-0000-0000A81C0000}"/>
    <cellStyle name="Normal 8 2 3 2 2 7 2" xfId="13298" xr:uid="{3EA66DF7-F888-48DD-BBAB-B4BBC809D9A8}"/>
    <cellStyle name="Normal 8 2 3 2 2 8" xfId="9080" xr:uid="{6A1EABC3-D4FD-465B-9E00-BCFA11486860}"/>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3D3A4241-85E1-46A1-9A64-2F6E797C774F}"/>
    <cellStyle name="Normal 8 2 3 2 3 2 3" xfId="11637" xr:uid="{391E26CC-0F49-4EB1-B607-FE95AB80DD73}"/>
    <cellStyle name="Normal 8 2 3 2 3 3" xfId="5268" xr:uid="{00000000-0005-0000-0000-0000AC1C0000}"/>
    <cellStyle name="Normal 8 2 3 2 3 3 2" xfId="13710" xr:uid="{84010D61-6593-4504-884C-10C0B6E34591}"/>
    <cellStyle name="Normal 8 2 3 2 3 4" xfId="9492" xr:uid="{1D100D29-3DAF-42F8-A1CF-9599E272FEB4}"/>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A25A41FF-5735-491F-AD5C-123427B3C8C3}"/>
    <cellStyle name="Normal 8 2 3 2 4 2 3" xfId="12050" xr:uid="{0FB1606A-8ADE-4030-A0A4-20A807715E49}"/>
    <cellStyle name="Normal 8 2 3 2 4 3" xfId="5681" xr:uid="{00000000-0005-0000-0000-0000B01C0000}"/>
    <cellStyle name="Normal 8 2 3 2 4 3 2" xfId="14123" xr:uid="{C2A56DF8-35C0-47C9-B2AE-C1D73CC87CAA}"/>
    <cellStyle name="Normal 8 2 3 2 4 4" xfId="9905" xr:uid="{00CA4F7C-C7D2-43CB-84AE-3B95ABE147F2}"/>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05D50232-34A9-4F48-BB73-9E1599ED4BDE}"/>
    <cellStyle name="Normal 8 2 3 2 5 2 3" xfId="12463" xr:uid="{318B6D05-CFDC-4340-977B-17454F36191D}"/>
    <cellStyle name="Normal 8 2 3 2 5 3" xfId="6094" xr:uid="{00000000-0005-0000-0000-0000B41C0000}"/>
    <cellStyle name="Normal 8 2 3 2 5 3 2" xfId="14536" xr:uid="{2DC3E9EF-8915-4256-8626-4B83BE6F6E62}"/>
    <cellStyle name="Normal 8 2 3 2 5 4" xfId="10318" xr:uid="{ADA1C45D-5392-4F2F-AF34-829295718A58}"/>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5709D2E2-75BE-411F-8605-092CE908849C}"/>
    <cellStyle name="Normal 8 2 3 2 6 2 3" xfId="12876" xr:uid="{6D08FB96-8932-4D0B-9932-9089309FEC91}"/>
    <cellStyle name="Normal 8 2 3 2 6 3" xfId="6507" xr:uid="{00000000-0005-0000-0000-0000B81C0000}"/>
    <cellStyle name="Normal 8 2 3 2 6 3 2" xfId="14949" xr:uid="{3F4CEAFE-014A-4A2E-ADDA-3560C53C4FA6}"/>
    <cellStyle name="Normal 8 2 3 2 6 4" xfId="10731" xr:uid="{0DF1C700-755A-43B1-A047-D06AEF9BF1EF}"/>
    <cellStyle name="Normal 8 2 3 2 7" xfId="2636" xr:uid="{00000000-0005-0000-0000-0000B91C0000}"/>
    <cellStyle name="Normal 8 2 3 2 7 2" xfId="6920" xr:uid="{00000000-0005-0000-0000-0000BA1C0000}"/>
    <cellStyle name="Normal 8 2 3 2 7 2 2" xfId="15362" xr:uid="{7D1893B7-9794-4BC3-AE79-893422ED8656}"/>
    <cellStyle name="Normal 8 2 3 2 7 3" xfId="11144" xr:uid="{359E95D2-B1E8-4031-B920-89F1EB044731}"/>
    <cellStyle name="Normal 8 2 3 2 8" xfId="4855" xr:uid="{00000000-0005-0000-0000-0000BB1C0000}"/>
    <cellStyle name="Normal 8 2 3 2 8 2" xfId="13297" xr:uid="{E04DEA71-658F-4CF2-A1D4-4462DEF54448}"/>
    <cellStyle name="Normal 8 2 3 2 9" xfId="9079" xr:uid="{9952F801-5A93-4306-B668-75010D80C44E}"/>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BA5F40A8-2A06-4737-B1D8-B405D7B789EE}"/>
    <cellStyle name="Normal 8 2 3 3 2 2 3" xfId="11639" xr:uid="{EF8923D0-100B-4645-9A55-D2534BBE5EDF}"/>
    <cellStyle name="Normal 8 2 3 3 2 3" xfId="5270" xr:uid="{00000000-0005-0000-0000-0000C01C0000}"/>
    <cellStyle name="Normal 8 2 3 3 2 3 2" xfId="13712" xr:uid="{FD557564-8D68-4B8C-81A0-A5D06406B145}"/>
    <cellStyle name="Normal 8 2 3 3 2 4" xfId="9494" xr:uid="{4DF3EBCF-65D2-412D-8236-E7CD643EE299}"/>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D78F4375-9FEC-467A-9ADF-6CAAAEE590A4}"/>
    <cellStyle name="Normal 8 2 3 3 3 2 3" xfId="12052" xr:uid="{BD372CE9-756B-47B8-A45A-D895788D402F}"/>
    <cellStyle name="Normal 8 2 3 3 3 3" xfId="5683" xr:uid="{00000000-0005-0000-0000-0000C41C0000}"/>
    <cellStyle name="Normal 8 2 3 3 3 3 2" xfId="14125" xr:uid="{BB98C379-2C39-4FC3-B1EB-2D62D903F4A0}"/>
    <cellStyle name="Normal 8 2 3 3 3 4" xfId="9907" xr:uid="{5F236DB7-D07E-46A2-89F2-948BEE91C674}"/>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3006B181-1E86-455E-A7D8-DD3F1ADE1349}"/>
    <cellStyle name="Normal 8 2 3 3 4 2 3" xfId="12465" xr:uid="{534CC978-874C-4438-AC80-7E8E3AE71B6D}"/>
    <cellStyle name="Normal 8 2 3 3 4 3" xfId="6096" xr:uid="{00000000-0005-0000-0000-0000C81C0000}"/>
    <cellStyle name="Normal 8 2 3 3 4 3 2" xfId="14538" xr:uid="{A2408D21-9765-4FB4-9E8D-9D8CC19753D7}"/>
    <cellStyle name="Normal 8 2 3 3 4 4" xfId="10320" xr:uid="{2937C302-E151-4D1B-B1ED-416578B86B95}"/>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86DA072C-DACA-424C-A0F6-1F3436690974}"/>
    <cellStyle name="Normal 8 2 3 3 5 2 3" xfId="12878" xr:uid="{7636FC87-8701-4733-8288-E4C341F698A9}"/>
    <cellStyle name="Normal 8 2 3 3 5 3" xfId="6509" xr:uid="{00000000-0005-0000-0000-0000CC1C0000}"/>
    <cellStyle name="Normal 8 2 3 3 5 3 2" xfId="14951" xr:uid="{44A5E450-BE82-4ECE-BBBA-E11C95853EC4}"/>
    <cellStyle name="Normal 8 2 3 3 5 4" xfId="10733" xr:uid="{B393340F-4D77-437D-9ADA-C8E0D2B40185}"/>
    <cellStyle name="Normal 8 2 3 3 6" xfId="2638" xr:uid="{00000000-0005-0000-0000-0000CD1C0000}"/>
    <cellStyle name="Normal 8 2 3 3 6 2" xfId="6922" xr:uid="{00000000-0005-0000-0000-0000CE1C0000}"/>
    <cellStyle name="Normal 8 2 3 3 6 2 2" xfId="15364" xr:uid="{71C0B8D0-9F93-4E2E-83AA-5972B70338BF}"/>
    <cellStyle name="Normal 8 2 3 3 6 3" xfId="11146" xr:uid="{391B4321-3D25-4CC9-BE19-B0711C5907C6}"/>
    <cellStyle name="Normal 8 2 3 3 7" xfId="4857" xr:uid="{00000000-0005-0000-0000-0000CF1C0000}"/>
    <cellStyle name="Normal 8 2 3 3 7 2" xfId="13299" xr:uid="{34C243B0-15DE-4F58-A0C4-A6284EE037B1}"/>
    <cellStyle name="Normal 8 2 3 3 8" xfId="9081" xr:uid="{CDE3417B-99E9-4545-8E3C-437C905B0DEC}"/>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83284501-5363-48F2-B086-DA441BBBDB82}"/>
    <cellStyle name="Normal 8 2 3 4 2 3" xfId="11636" xr:uid="{0369978A-8850-4046-8765-C858FAF091CD}"/>
    <cellStyle name="Normal 8 2 3 4 3" xfId="5267" xr:uid="{00000000-0005-0000-0000-0000D31C0000}"/>
    <cellStyle name="Normal 8 2 3 4 3 2" xfId="13709" xr:uid="{50ABF259-9143-4548-BF1B-360F3CBE1533}"/>
    <cellStyle name="Normal 8 2 3 4 4" xfId="9491" xr:uid="{23F80E22-6B20-4093-988A-E13A393E5CC2}"/>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4BAB49E5-E450-4A64-8ADF-E279A2D29DD4}"/>
    <cellStyle name="Normal 8 2 3 5 2 3" xfId="12049" xr:uid="{43809D25-901B-4F26-84BC-120E7B211E92}"/>
    <cellStyle name="Normal 8 2 3 5 3" xfId="5680" xr:uid="{00000000-0005-0000-0000-0000D71C0000}"/>
    <cellStyle name="Normal 8 2 3 5 3 2" xfId="14122" xr:uid="{702E01FA-2048-4492-AAE4-ED9E181EC619}"/>
    <cellStyle name="Normal 8 2 3 5 4" xfId="9904" xr:uid="{02335413-4A2B-47BA-8B77-A28C78EBCC1F}"/>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C8484F23-5482-4CFD-9BAA-7435581D20B0}"/>
    <cellStyle name="Normal 8 2 3 6 2 3" xfId="12462" xr:uid="{B9BEF48A-A89B-4A10-9A7D-51BBDC8ADCDC}"/>
    <cellStyle name="Normal 8 2 3 6 3" xfId="6093" xr:uid="{00000000-0005-0000-0000-0000DB1C0000}"/>
    <cellStyle name="Normal 8 2 3 6 3 2" xfId="14535" xr:uid="{71AC0B06-9EBF-47C1-B5A5-1FFEDAAF7E3C}"/>
    <cellStyle name="Normal 8 2 3 6 4" xfId="10317" xr:uid="{9FF2052C-E06C-4D40-99E3-4A580403F9ED}"/>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E084B56F-A6E5-4EA7-A089-58C8D6971C93}"/>
    <cellStyle name="Normal 8 2 3 7 2 3" xfId="12875" xr:uid="{E9C48FAB-6D3B-4702-BC06-518BC7884A4B}"/>
    <cellStyle name="Normal 8 2 3 7 3" xfId="6506" xr:uid="{00000000-0005-0000-0000-0000DF1C0000}"/>
    <cellStyle name="Normal 8 2 3 7 3 2" xfId="14948" xr:uid="{D93771E5-A924-40DA-A268-85673F0D13CD}"/>
    <cellStyle name="Normal 8 2 3 7 4" xfId="10730" xr:uid="{EEBE86A8-0631-42E1-BA96-18C41343097D}"/>
    <cellStyle name="Normal 8 2 3 8" xfId="2635" xr:uid="{00000000-0005-0000-0000-0000E01C0000}"/>
    <cellStyle name="Normal 8 2 3 8 2" xfId="6919" xr:uid="{00000000-0005-0000-0000-0000E11C0000}"/>
    <cellStyle name="Normal 8 2 3 8 2 2" xfId="15361" xr:uid="{E026B184-1DD3-48CA-A515-16A5C148FE11}"/>
    <cellStyle name="Normal 8 2 3 8 3" xfId="11143" xr:uid="{FFA08A30-2872-452A-82A2-6089DBCAB14A}"/>
    <cellStyle name="Normal 8 2 3 9" xfId="4854" xr:uid="{00000000-0005-0000-0000-0000E21C0000}"/>
    <cellStyle name="Normal 8 2 3 9 2" xfId="13296" xr:uid="{8DC67E33-8AF1-4574-83A9-114A4227BC95}"/>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9A786BDD-4E25-4AAB-B4F2-D8F0ACF139E4}"/>
    <cellStyle name="Normal 8 2 4 2 2 2 3" xfId="11641" xr:uid="{54B69152-950F-46DF-B700-3E656BFDC544}"/>
    <cellStyle name="Normal 8 2 4 2 2 3" xfId="5272" xr:uid="{00000000-0005-0000-0000-0000E81C0000}"/>
    <cellStyle name="Normal 8 2 4 2 2 3 2" xfId="13714" xr:uid="{06E04BA1-52AB-4584-AE4B-1F798CFC39BC}"/>
    <cellStyle name="Normal 8 2 4 2 2 4" xfId="9496" xr:uid="{7A8FB0AE-4A07-4FB2-A421-44A08055ACFE}"/>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4428B0D1-3770-435C-9F27-EB2333EC1554}"/>
    <cellStyle name="Normal 8 2 4 2 3 2 3" xfId="12054" xr:uid="{37694F22-732E-4145-A697-01D1D41EBA41}"/>
    <cellStyle name="Normal 8 2 4 2 3 3" xfId="5685" xr:uid="{00000000-0005-0000-0000-0000EC1C0000}"/>
    <cellStyle name="Normal 8 2 4 2 3 3 2" xfId="14127" xr:uid="{01FD1C7C-1B1B-4F2D-8AB4-2C00F35EFC3A}"/>
    <cellStyle name="Normal 8 2 4 2 3 4" xfId="9909" xr:uid="{3E00BDD9-3278-4C74-953D-F915C12C9F37}"/>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3C84C45B-AE2B-4FF9-ACE2-7558E85D72E6}"/>
    <cellStyle name="Normal 8 2 4 2 4 2 3" xfId="12467" xr:uid="{83CD038E-94A2-4809-AC62-7CABCD7A22EB}"/>
    <cellStyle name="Normal 8 2 4 2 4 3" xfId="6098" xr:uid="{00000000-0005-0000-0000-0000F01C0000}"/>
    <cellStyle name="Normal 8 2 4 2 4 3 2" xfId="14540" xr:uid="{1C97DC01-FAAE-4631-BA3A-2F4C0040C3D2}"/>
    <cellStyle name="Normal 8 2 4 2 4 4" xfId="10322" xr:uid="{1433AD12-4888-44AC-9C53-5678B0209432}"/>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C818175B-917C-4B59-91FF-F860854E0CE6}"/>
    <cellStyle name="Normal 8 2 4 2 5 2 3" xfId="12880" xr:uid="{CDDA88FE-FD7A-422A-81A7-73738A5B8D08}"/>
    <cellStyle name="Normal 8 2 4 2 5 3" xfId="6511" xr:uid="{00000000-0005-0000-0000-0000F41C0000}"/>
    <cellStyle name="Normal 8 2 4 2 5 3 2" xfId="14953" xr:uid="{2A6D8684-5B87-485B-ADB3-D865F0A12703}"/>
    <cellStyle name="Normal 8 2 4 2 5 4" xfId="10735" xr:uid="{E461DDD7-23A2-4DE9-9C2C-3A734BE5DD9C}"/>
    <cellStyle name="Normal 8 2 4 2 6" xfId="2640" xr:uid="{00000000-0005-0000-0000-0000F51C0000}"/>
    <cellStyle name="Normal 8 2 4 2 6 2" xfId="6924" xr:uid="{00000000-0005-0000-0000-0000F61C0000}"/>
    <cellStyle name="Normal 8 2 4 2 6 2 2" xfId="15366" xr:uid="{D4DA80DC-A8ED-4280-B4FF-07B2C320AD04}"/>
    <cellStyle name="Normal 8 2 4 2 6 3" xfId="11148" xr:uid="{BCE0ACEA-989F-4711-84BE-75FA87D25B59}"/>
    <cellStyle name="Normal 8 2 4 2 7" xfId="4859" xr:uid="{00000000-0005-0000-0000-0000F71C0000}"/>
    <cellStyle name="Normal 8 2 4 2 7 2" xfId="13301" xr:uid="{0AEE6160-9C03-43D6-BA9E-9001FD721145}"/>
    <cellStyle name="Normal 8 2 4 2 8" xfId="9083" xr:uid="{DCAA20E5-4C80-40D2-A6F2-64B60EB8BCF1}"/>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08ABAC53-E31C-403F-A5B5-4C3A3A920435}"/>
    <cellStyle name="Normal 8 2 4 3 2 3" xfId="11640" xr:uid="{604D5F46-5F58-4109-B06C-52AF0684B2A7}"/>
    <cellStyle name="Normal 8 2 4 3 3" xfId="5271" xr:uid="{00000000-0005-0000-0000-0000FB1C0000}"/>
    <cellStyle name="Normal 8 2 4 3 3 2" xfId="13713" xr:uid="{86F43A7F-AB49-49F4-A131-6A828EED5CCC}"/>
    <cellStyle name="Normal 8 2 4 3 4" xfId="9495" xr:uid="{B8AE060D-5109-430F-87B4-E6D637C3A051}"/>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06FC123C-FFF1-45C3-AA36-706FA75A5DA8}"/>
    <cellStyle name="Normal 8 2 4 4 2 3" xfId="12053" xr:uid="{6BE524CE-FC89-4567-B8FA-7858C289874E}"/>
    <cellStyle name="Normal 8 2 4 4 3" xfId="5684" xr:uid="{00000000-0005-0000-0000-0000FF1C0000}"/>
    <cellStyle name="Normal 8 2 4 4 3 2" xfId="14126" xr:uid="{CD377610-4066-4873-ACC5-EC727AD4289E}"/>
    <cellStyle name="Normal 8 2 4 4 4" xfId="9908" xr:uid="{BD34CF5C-E591-49AC-B6F3-196B341B63A2}"/>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BF07F285-2B74-43BF-8B33-14354F2B10E1}"/>
    <cellStyle name="Normal 8 2 4 5 2 3" xfId="12466" xr:uid="{80358510-C2E4-4A26-B69E-D8533FF35830}"/>
    <cellStyle name="Normal 8 2 4 5 3" xfId="6097" xr:uid="{00000000-0005-0000-0000-0000031D0000}"/>
    <cellStyle name="Normal 8 2 4 5 3 2" xfId="14539" xr:uid="{83258243-4928-4636-AC6E-9CDD49A5937B}"/>
    <cellStyle name="Normal 8 2 4 5 4" xfId="10321" xr:uid="{5056A742-456B-48C2-9ADF-C1AB276A5E3E}"/>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762095D2-956E-4BEC-88D3-E5371A288C1E}"/>
    <cellStyle name="Normal 8 2 4 6 2 3" xfId="12879" xr:uid="{43164CCE-A32A-4B75-B26D-F2249E6B85DD}"/>
    <cellStyle name="Normal 8 2 4 6 3" xfId="6510" xr:uid="{00000000-0005-0000-0000-0000071D0000}"/>
    <cellStyle name="Normal 8 2 4 6 3 2" xfId="14952" xr:uid="{49A5FDB7-58ED-4D7E-A30D-4400C4A479E9}"/>
    <cellStyle name="Normal 8 2 4 6 4" xfId="10734" xr:uid="{A56592AC-214B-4B6C-827F-4D560EB04A73}"/>
    <cellStyle name="Normal 8 2 4 7" xfId="2639" xr:uid="{00000000-0005-0000-0000-0000081D0000}"/>
    <cellStyle name="Normal 8 2 4 7 2" xfId="6923" xr:uid="{00000000-0005-0000-0000-0000091D0000}"/>
    <cellStyle name="Normal 8 2 4 7 2 2" xfId="15365" xr:uid="{708DAFC9-CFFD-417F-8A83-22041840D442}"/>
    <cellStyle name="Normal 8 2 4 7 3" xfId="11147" xr:uid="{99B70D69-6EA4-4A95-852B-0613A9263469}"/>
    <cellStyle name="Normal 8 2 4 8" xfId="4858" xr:uid="{00000000-0005-0000-0000-00000A1D0000}"/>
    <cellStyle name="Normal 8 2 4 8 2" xfId="13300" xr:uid="{619C21C6-6219-4A8F-B312-6B08DED4AE09}"/>
    <cellStyle name="Normal 8 2 4 9" xfId="9082" xr:uid="{27576C94-17F6-4145-870B-2A693AA37812}"/>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2DAF16E0-0EDB-4C2E-ABFB-7A8F5EC12F08}"/>
    <cellStyle name="Normal 8 2 5 2 2 3" xfId="11642" xr:uid="{D7D47280-C2D8-4B3F-A84E-5BB2619CEAC8}"/>
    <cellStyle name="Normal 8 2 5 2 3" xfId="5273" xr:uid="{00000000-0005-0000-0000-00000F1D0000}"/>
    <cellStyle name="Normal 8 2 5 2 3 2" xfId="13715" xr:uid="{DB043F04-8C30-4DCB-AD38-B571EB032599}"/>
    <cellStyle name="Normal 8 2 5 2 4" xfId="9497" xr:uid="{B9F209CD-1BF8-48AB-8091-C3CD769CC75C}"/>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FEDF7607-A75C-42EC-95C8-90F0A8319722}"/>
    <cellStyle name="Normal 8 2 5 3 2 3" xfId="12055" xr:uid="{55AC1499-F446-4056-9D51-97E7A4EC03F2}"/>
    <cellStyle name="Normal 8 2 5 3 3" xfId="5686" xr:uid="{00000000-0005-0000-0000-0000131D0000}"/>
    <cellStyle name="Normal 8 2 5 3 3 2" xfId="14128" xr:uid="{9D65944C-C128-47E6-8A97-B252F3F8B9DF}"/>
    <cellStyle name="Normal 8 2 5 3 4" xfId="9910" xr:uid="{0F3675AF-3769-4300-8EBD-0605B02032B3}"/>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63A66413-1B7D-4635-AC63-CD2D67152E67}"/>
    <cellStyle name="Normal 8 2 5 4 2 3" xfId="12468" xr:uid="{FE1362E7-0DAA-4BF8-A692-D4D3CE86D03C}"/>
    <cellStyle name="Normal 8 2 5 4 3" xfId="6099" xr:uid="{00000000-0005-0000-0000-0000171D0000}"/>
    <cellStyle name="Normal 8 2 5 4 3 2" xfId="14541" xr:uid="{ACD80055-FBB7-4FED-AEDC-8FA419DFB118}"/>
    <cellStyle name="Normal 8 2 5 4 4" xfId="10323" xr:uid="{51FDB2B9-94C2-4D14-8FAC-ED26B85D7DE6}"/>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5891F9C3-7595-4FA7-AE92-F2A67AA0F5EF}"/>
    <cellStyle name="Normal 8 2 5 5 2 3" xfId="12881" xr:uid="{F306D85B-DDF8-4388-B556-E57A0F6A6401}"/>
    <cellStyle name="Normal 8 2 5 5 3" xfId="6512" xr:uid="{00000000-0005-0000-0000-00001B1D0000}"/>
    <cellStyle name="Normal 8 2 5 5 3 2" xfId="14954" xr:uid="{16C9B8F2-C9A2-42B6-A5BD-7499E9051262}"/>
    <cellStyle name="Normal 8 2 5 5 4" xfId="10736" xr:uid="{6DF9F163-9ABB-49E1-8D76-A64EE6326F74}"/>
    <cellStyle name="Normal 8 2 5 6" xfId="2641" xr:uid="{00000000-0005-0000-0000-00001C1D0000}"/>
    <cellStyle name="Normal 8 2 5 6 2" xfId="6925" xr:uid="{00000000-0005-0000-0000-00001D1D0000}"/>
    <cellStyle name="Normal 8 2 5 6 2 2" xfId="15367" xr:uid="{F4C844B7-D6F3-4A14-B54B-1EC6347C7642}"/>
    <cellStyle name="Normal 8 2 5 6 3" xfId="11149" xr:uid="{0E7E2025-7C93-48C6-99F1-2D7AC57A9225}"/>
    <cellStyle name="Normal 8 2 5 7" xfId="4860" xr:uid="{00000000-0005-0000-0000-00001E1D0000}"/>
    <cellStyle name="Normal 8 2 5 7 2" xfId="13302" xr:uid="{17385FB0-516D-4A1A-94F9-6C5E81B16431}"/>
    <cellStyle name="Normal 8 2 5 8" xfId="9084" xr:uid="{E2211087-C7DB-4653-AB96-250EBC93FB9D}"/>
    <cellStyle name="Normal 8 2 6" xfId="946" xr:uid="{00000000-0005-0000-0000-00001F1D0000}"/>
    <cellStyle name="Normal 8 2 6 2" xfId="3180" xr:uid="{00000000-0005-0000-0000-0000201D0000}"/>
    <cellStyle name="Normal 8 2 6 2 2" xfId="7403" xr:uid="{00000000-0005-0000-0000-0000211D0000}"/>
    <cellStyle name="Normal 8 2 6 2 2 2" xfId="15845" xr:uid="{4ACDAEE7-26B8-4F29-A57F-61A2D7C2A825}"/>
    <cellStyle name="Normal 8 2 6 2 3" xfId="11627" xr:uid="{84F0C610-9AE5-46E7-AE2F-EBED4F142EBD}"/>
    <cellStyle name="Normal 8 2 6 3" xfId="5258" xr:uid="{00000000-0005-0000-0000-0000221D0000}"/>
    <cellStyle name="Normal 8 2 6 3 2" xfId="13700" xr:uid="{6C156125-844C-4A2A-8A4D-CC3CCC210999}"/>
    <cellStyle name="Normal 8 2 6 4" xfId="9482" xr:uid="{BE5C3E35-F7D0-4804-B0AB-0C021B064D9F}"/>
    <cellStyle name="Normal 8 2 7" xfId="1363" xr:uid="{00000000-0005-0000-0000-0000231D0000}"/>
    <cellStyle name="Normal 8 2 7 2" xfId="3593" xr:uid="{00000000-0005-0000-0000-0000241D0000}"/>
    <cellStyle name="Normal 8 2 7 2 2" xfId="7816" xr:uid="{00000000-0005-0000-0000-0000251D0000}"/>
    <cellStyle name="Normal 8 2 7 2 2 2" xfId="16258" xr:uid="{43864BFF-DFE1-42BF-815F-574A7FB87A6B}"/>
    <cellStyle name="Normal 8 2 7 2 3" xfId="12040" xr:uid="{1E90CDB5-5FD9-439E-9B28-5B2CF6FE8E70}"/>
    <cellStyle name="Normal 8 2 7 3" xfId="5671" xr:uid="{00000000-0005-0000-0000-0000261D0000}"/>
    <cellStyle name="Normal 8 2 7 3 2" xfId="14113" xr:uid="{2B2C2E20-45F3-4147-B807-7D53FBBE42C9}"/>
    <cellStyle name="Normal 8 2 7 4" xfId="9895" xr:uid="{090B47E7-9317-4872-96DE-60B3EEFE4FAE}"/>
    <cellStyle name="Normal 8 2 8" xfId="1776" xr:uid="{00000000-0005-0000-0000-0000271D0000}"/>
    <cellStyle name="Normal 8 2 8 2" xfId="4006" xr:uid="{00000000-0005-0000-0000-0000281D0000}"/>
    <cellStyle name="Normal 8 2 8 2 2" xfId="8229" xr:uid="{00000000-0005-0000-0000-0000291D0000}"/>
    <cellStyle name="Normal 8 2 8 2 2 2" xfId="16671" xr:uid="{BA31326B-F811-4B2C-A62D-F392FCF42F10}"/>
    <cellStyle name="Normal 8 2 8 2 3" xfId="12453" xr:uid="{4AAC7FD3-A952-4898-A7FC-92EC3710BC10}"/>
    <cellStyle name="Normal 8 2 8 3" xfId="6084" xr:uid="{00000000-0005-0000-0000-00002A1D0000}"/>
    <cellStyle name="Normal 8 2 8 3 2" xfId="14526" xr:uid="{A9C47240-8AE6-44F1-8DA2-B4E9DF91213C}"/>
    <cellStyle name="Normal 8 2 8 4" xfId="10308" xr:uid="{7A9BD753-0376-4FFC-A56F-ABD9AA7C119C}"/>
    <cellStyle name="Normal 8 2 9" xfId="2190" xr:uid="{00000000-0005-0000-0000-00002B1D0000}"/>
    <cellStyle name="Normal 8 2 9 2" xfId="4419" xr:uid="{00000000-0005-0000-0000-00002C1D0000}"/>
    <cellStyle name="Normal 8 2 9 2 2" xfId="8642" xr:uid="{00000000-0005-0000-0000-00002D1D0000}"/>
    <cellStyle name="Normal 8 2 9 2 2 2" xfId="17084" xr:uid="{207AB4FE-E6DD-4E17-8948-DAA6C173AD4A}"/>
    <cellStyle name="Normal 8 2 9 2 3" xfId="12866" xr:uid="{30101CEA-8462-49EB-9205-F46C05B9DB39}"/>
    <cellStyle name="Normal 8 2 9 3" xfId="6497" xr:uid="{00000000-0005-0000-0000-00002E1D0000}"/>
    <cellStyle name="Normal 8 2 9 3 2" xfId="14939" xr:uid="{1123E96E-4B5D-4FA4-9466-0BB94E66472D}"/>
    <cellStyle name="Normal 8 2 9 4" xfId="10721" xr:uid="{A31D1E7B-0D99-4835-9172-55FC423DEE63}"/>
    <cellStyle name="Normal 8 3" xfId="495" xr:uid="{00000000-0005-0000-0000-00002F1D0000}"/>
    <cellStyle name="Normal 8 3 10" xfId="4861" xr:uid="{00000000-0005-0000-0000-0000301D0000}"/>
    <cellStyle name="Normal 8 3 10 2" xfId="13303" xr:uid="{4C20097A-7003-41D9-8983-6C511D01B8DA}"/>
    <cellStyle name="Normal 8 3 11" xfId="9085" xr:uid="{B21B57D9-BAC6-46BC-B3B4-3D729810EB93}"/>
    <cellStyle name="Normal 8 3 2" xfId="496" xr:uid="{00000000-0005-0000-0000-0000311D0000}"/>
    <cellStyle name="Normal 8 3 2 10" xfId="9086" xr:uid="{7E0F22F2-1512-4C45-BB96-1C5C7DD45591}"/>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B52A23A3-5D0A-48B9-9BAD-2FB700F68DC0}"/>
    <cellStyle name="Normal 8 3 2 2 2 2 2 3" xfId="11646" xr:uid="{02152F2C-14CC-4C88-8066-DCE7E5BF9B4A}"/>
    <cellStyle name="Normal 8 3 2 2 2 2 3" xfId="5277" xr:uid="{00000000-0005-0000-0000-0000371D0000}"/>
    <cellStyle name="Normal 8 3 2 2 2 2 3 2" xfId="13719" xr:uid="{39728B27-B755-4AAF-AC20-FA30B62D90DB}"/>
    <cellStyle name="Normal 8 3 2 2 2 2 4" xfId="9501" xr:uid="{9CC2F8A4-7D0D-46C8-A08D-C1F5EFB4596B}"/>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E47D9A7A-7413-4AE3-A6A9-9E10E02E8A08}"/>
    <cellStyle name="Normal 8 3 2 2 2 3 2 3" xfId="12059" xr:uid="{F8B584DB-19B9-47A7-B1BB-2D8F50D4EF34}"/>
    <cellStyle name="Normal 8 3 2 2 2 3 3" xfId="5690" xr:uid="{00000000-0005-0000-0000-00003B1D0000}"/>
    <cellStyle name="Normal 8 3 2 2 2 3 3 2" xfId="14132" xr:uid="{324CB2E4-04FC-40B8-9F1A-81D3F2F2059C}"/>
    <cellStyle name="Normal 8 3 2 2 2 3 4" xfId="9914" xr:uid="{1A4F2648-0283-4510-A59B-7C5306110001}"/>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0D93282F-BB92-4A5A-A7DC-7C1D69900254}"/>
    <cellStyle name="Normal 8 3 2 2 2 4 2 3" xfId="12472" xr:uid="{8E033D4E-5D9B-48F5-B730-66D5B9CE4F38}"/>
    <cellStyle name="Normal 8 3 2 2 2 4 3" xfId="6103" xr:uid="{00000000-0005-0000-0000-00003F1D0000}"/>
    <cellStyle name="Normal 8 3 2 2 2 4 3 2" xfId="14545" xr:uid="{4A723A01-21F7-4FC8-8503-147A997D398B}"/>
    <cellStyle name="Normal 8 3 2 2 2 4 4" xfId="10327" xr:uid="{116C8A09-2EFC-4848-8873-155B484FF67B}"/>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A001F3F2-7962-4977-90E6-1554E15D35E1}"/>
    <cellStyle name="Normal 8 3 2 2 2 5 2 3" xfId="12885" xr:uid="{31A6B0F0-F88E-4252-8185-63B2418AD577}"/>
    <cellStyle name="Normal 8 3 2 2 2 5 3" xfId="6516" xr:uid="{00000000-0005-0000-0000-0000431D0000}"/>
    <cellStyle name="Normal 8 3 2 2 2 5 3 2" xfId="14958" xr:uid="{CD7C1E5C-BC22-487E-9A38-3DA2BA0C11C8}"/>
    <cellStyle name="Normal 8 3 2 2 2 5 4" xfId="10740" xr:uid="{47541B0E-CEBD-4E64-B511-19B9C898E649}"/>
    <cellStyle name="Normal 8 3 2 2 2 6" xfId="2645" xr:uid="{00000000-0005-0000-0000-0000441D0000}"/>
    <cellStyle name="Normal 8 3 2 2 2 6 2" xfId="6929" xr:uid="{00000000-0005-0000-0000-0000451D0000}"/>
    <cellStyle name="Normal 8 3 2 2 2 6 2 2" xfId="15371" xr:uid="{C5A27BFC-546E-400B-8990-67BE8B3E3DC0}"/>
    <cellStyle name="Normal 8 3 2 2 2 6 3" xfId="11153" xr:uid="{A9A010E2-1964-4385-8ADF-8E7A3BDFDB58}"/>
    <cellStyle name="Normal 8 3 2 2 2 7" xfId="4864" xr:uid="{00000000-0005-0000-0000-0000461D0000}"/>
    <cellStyle name="Normal 8 3 2 2 2 7 2" xfId="13306" xr:uid="{BC3D3421-1637-43D8-ACD9-EB97AE9FCF90}"/>
    <cellStyle name="Normal 8 3 2 2 2 8" xfId="9088" xr:uid="{381AD685-DC6D-4167-9A1C-C427B64B1664}"/>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4F254B43-1E08-4BEA-8872-C1E8879E0492}"/>
    <cellStyle name="Normal 8 3 2 2 3 2 3" xfId="11645" xr:uid="{9B7DD6C0-8AF8-467B-B728-F9AA9D131CA4}"/>
    <cellStyle name="Normal 8 3 2 2 3 3" xfId="5276" xr:uid="{00000000-0005-0000-0000-00004A1D0000}"/>
    <cellStyle name="Normal 8 3 2 2 3 3 2" xfId="13718" xr:uid="{58D3A37E-F200-4422-8CE1-57A501C68024}"/>
    <cellStyle name="Normal 8 3 2 2 3 4" xfId="9500" xr:uid="{066F81DA-397F-4001-A2F0-8F056FE009AC}"/>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3D56A34C-4E10-4B54-9A9B-F7C8299DA707}"/>
    <cellStyle name="Normal 8 3 2 2 4 2 3" xfId="12058" xr:uid="{22B719BB-6721-4FA9-8A28-E4157E3B0646}"/>
    <cellStyle name="Normal 8 3 2 2 4 3" xfId="5689" xr:uid="{00000000-0005-0000-0000-00004E1D0000}"/>
    <cellStyle name="Normal 8 3 2 2 4 3 2" xfId="14131" xr:uid="{39E045CC-7ABE-44C0-A383-353E1E772E0D}"/>
    <cellStyle name="Normal 8 3 2 2 4 4" xfId="9913" xr:uid="{7AB8FBD9-8EB4-4D6F-94EE-CC9EE712B1F8}"/>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065D0134-7B99-4031-BA35-9202F78BE85D}"/>
    <cellStyle name="Normal 8 3 2 2 5 2 3" xfId="12471" xr:uid="{EBBBCAEB-B383-4024-8BB3-196C9B06DB31}"/>
    <cellStyle name="Normal 8 3 2 2 5 3" xfId="6102" xr:uid="{00000000-0005-0000-0000-0000521D0000}"/>
    <cellStyle name="Normal 8 3 2 2 5 3 2" xfId="14544" xr:uid="{B2989E6C-E66E-416C-AB09-5785FDCB9CBE}"/>
    <cellStyle name="Normal 8 3 2 2 5 4" xfId="10326" xr:uid="{285E9B60-ED5E-4B37-B69B-E2CA7EFAB076}"/>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D31BA343-FC1E-464C-8726-F83662C35F71}"/>
    <cellStyle name="Normal 8 3 2 2 6 2 3" xfId="12884" xr:uid="{935FBD26-3E9E-4D27-968B-615641C35D12}"/>
    <cellStyle name="Normal 8 3 2 2 6 3" xfId="6515" xr:uid="{00000000-0005-0000-0000-0000561D0000}"/>
    <cellStyle name="Normal 8 3 2 2 6 3 2" xfId="14957" xr:uid="{3633AFA0-0393-4D36-A5F8-EEB057A959C5}"/>
    <cellStyle name="Normal 8 3 2 2 6 4" xfId="10739" xr:uid="{5D5EE4AD-269B-4D97-B718-EE647774AB6A}"/>
    <cellStyle name="Normal 8 3 2 2 7" xfId="2644" xr:uid="{00000000-0005-0000-0000-0000571D0000}"/>
    <cellStyle name="Normal 8 3 2 2 7 2" xfId="6928" xr:uid="{00000000-0005-0000-0000-0000581D0000}"/>
    <cellStyle name="Normal 8 3 2 2 7 2 2" xfId="15370" xr:uid="{EDD29B1B-3F81-456F-ADA6-8956B149568B}"/>
    <cellStyle name="Normal 8 3 2 2 7 3" xfId="11152" xr:uid="{E78ECCCF-DF61-46D8-8E93-3826E49070A1}"/>
    <cellStyle name="Normal 8 3 2 2 8" xfId="4863" xr:uid="{00000000-0005-0000-0000-0000591D0000}"/>
    <cellStyle name="Normal 8 3 2 2 8 2" xfId="13305" xr:uid="{A863C5D9-FA1D-471C-8A99-DC91A5C7A0C3}"/>
    <cellStyle name="Normal 8 3 2 2 9" xfId="9087" xr:uid="{0619AAF2-DCEF-4028-895E-0E0B34D330D9}"/>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D8E132E2-42D8-44E6-AA51-93539BAB523F}"/>
    <cellStyle name="Normal 8 3 2 3 2 2 3" xfId="11647" xr:uid="{7BA40EC9-C730-4B6F-96F0-44C8E7D59F6A}"/>
    <cellStyle name="Normal 8 3 2 3 2 3" xfId="5278" xr:uid="{00000000-0005-0000-0000-00005E1D0000}"/>
    <cellStyle name="Normal 8 3 2 3 2 3 2" xfId="13720" xr:uid="{84C2E748-493C-4EF9-939C-150EF46FEFEB}"/>
    <cellStyle name="Normal 8 3 2 3 2 4" xfId="9502" xr:uid="{DA05C427-DB86-4AE7-8FCE-FEFE82E4F8AF}"/>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2FE44C0B-ED8D-47D9-BE93-649595E7C400}"/>
    <cellStyle name="Normal 8 3 2 3 3 2 3" xfId="12060" xr:uid="{5D691A1B-B80E-4966-999F-2B4195611BDF}"/>
    <cellStyle name="Normal 8 3 2 3 3 3" xfId="5691" xr:uid="{00000000-0005-0000-0000-0000621D0000}"/>
    <cellStyle name="Normal 8 3 2 3 3 3 2" xfId="14133" xr:uid="{BC6BE663-D011-4873-9618-00D04226E773}"/>
    <cellStyle name="Normal 8 3 2 3 3 4" xfId="9915" xr:uid="{FCEA0F71-C3A4-4FEE-BD21-827213028F3B}"/>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9C25D2FB-7941-48BD-A3F3-6E62A7D59914}"/>
    <cellStyle name="Normal 8 3 2 3 4 2 3" xfId="12473" xr:uid="{36740CF4-7F54-461E-8037-DC67C01CFD69}"/>
    <cellStyle name="Normal 8 3 2 3 4 3" xfId="6104" xr:uid="{00000000-0005-0000-0000-0000661D0000}"/>
    <cellStyle name="Normal 8 3 2 3 4 3 2" xfId="14546" xr:uid="{DF6647A1-8BC8-4B48-8A7D-37EAFF8886AF}"/>
    <cellStyle name="Normal 8 3 2 3 4 4" xfId="10328" xr:uid="{F55B9FAD-7C26-4B4F-90BF-016514AECE27}"/>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244E0B7F-2B0C-4AD1-BF0B-4ABADF597EEF}"/>
    <cellStyle name="Normal 8 3 2 3 5 2 3" xfId="12886" xr:uid="{818DB021-4467-4774-B787-F6C25BBC8DEE}"/>
    <cellStyle name="Normal 8 3 2 3 5 3" xfId="6517" xr:uid="{00000000-0005-0000-0000-00006A1D0000}"/>
    <cellStyle name="Normal 8 3 2 3 5 3 2" xfId="14959" xr:uid="{647A1B98-E08E-4523-B27F-507BE41FE604}"/>
    <cellStyle name="Normal 8 3 2 3 5 4" xfId="10741" xr:uid="{4812D935-6406-4EAA-A214-6018B519AC50}"/>
    <cellStyle name="Normal 8 3 2 3 6" xfId="2646" xr:uid="{00000000-0005-0000-0000-00006B1D0000}"/>
    <cellStyle name="Normal 8 3 2 3 6 2" xfId="6930" xr:uid="{00000000-0005-0000-0000-00006C1D0000}"/>
    <cellStyle name="Normal 8 3 2 3 6 2 2" xfId="15372" xr:uid="{2EA9EA3A-0534-4110-B791-C570F8E8FBFA}"/>
    <cellStyle name="Normal 8 3 2 3 6 3" xfId="11154" xr:uid="{B40D6C75-6D61-4572-AEA4-6A5366924ABB}"/>
    <cellStyle name="Normal 8 3 2 3 7" xfId="4865" xr:uid="{00000000-0005-0000-0000-00006D1D0000}"/>
    <cellStyle name="Normal 8 3 2 3 7 2" xfId="13307" xr:uid="{97E2F473-2B09-45AC-ADC8-A808071C9F3B}"/>
    <cellStyle name="Normal 8 3 2 3 8" xfId="9089" xr:uid="{2A1E7137-F6A1-4F39-89DC-CF2719CA2482}"/>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F191A9B2-08B5-4B22-AB7D-F78D879BFDDF}"/>
    <cellStyle name="Normal 8 3 2 4 2 3" xfId="11644" xr:uid="{37F9BAEB-770D-4CFC-8F61-B93B57429B45}"/>
    <cellStyle name="Normal 8 3 2 4 3" xfId="5275" xr:uid="{00000000-0005-0000-0000-0000711D0000}"/>
    <cellStyle name="Normal 8 3 2 4 3 2" xfId="13717" xr:uid="{A7CBC149-D564-4E40-AA3F-DABCABDA8784}"/>
    <cellStyle name="Normal 8 3 2 4 4" xfId="9499" xr:uid="{5CA093CB-4B27-4713-862C-24C04E698EE2}"/>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FBAF01F3-F745-4076-8387-DF59CF619C4C}"/>
    <cellStyle name="Normal 8 3 2 5 2 3" xfId="12057" xr:uid="{5D1076F3-2E4F-466A-8C33-D91401707855}"/>
    <cellStyle name="Normal 8 3 2 5 3" xfId="5688" xr:uid="{00000000-0005-0000-0000-0000751D0000}"/>
    <cellStyle name="Normal 8 3 2 5 3 2" xfId="14130" xr:uid="{9E83D536-36A7-4150-8BB7-A99CD0C608E4}"/>
    <cellStyle name="Normal 8 3 2 5 4" xfId="9912" xr:uid="{2EEAB760-1E95-42FA-A851-D2CE991B3B6E}"/>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144D1DBB-72A0-4AB2-8D3C-D64FF09A4320}"/>
    <cellStyle name="Normal 8 3 2 6 2 3" xfId="12470" xr:uid="{94CFD7E1-FCBB-4381-9252-D860A23FF2A9}"/>
    <cellStyle name="Normal 8 3 2 6 3" xfId="6101" xr:uid="{00000000-0005-0000-0000-0000791D0000}"/>
    <cellStyle name="Normal 8 3 2 6 3 2" xfId="14543" xr:uid="{D5231E46-DEBB-4D87-B092-EEEA5BE83E3A}"/>
    <cellStyle name="Normal 8 3 2 6 4" xfId="10325" xr:uid="{F6F76658-0384-4D12-8BD5-AA7AEFCEAA47}"/>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C8384C4E-3D86-42EA-928E-13DE7F0FA7B7}"/>
    <cellStyle name="Normal 8 3 2 7 2 3" xfId="12883" xr:uid="{95962D99-ECE4-44A3-B566-841DADC0BB30}"/>
    <cellStyle name="Normal 8 3 2 7 3" xfId="6514" xr:uid="{00000000-0005-0000-0000-00007D1D0000}"/>
    <cellStyle name="Normal 8 3 2 7 3 2" xfId="14956" xr:uid="{E5BF5042-6DF0-4070-84C8-C828C58823B4}"/>
    <cellStyle name="Normal 8 3 2 7 4" xfId="10738" xr:uid="{7521F974-E9E9-4A28-8B2F-1FE85D06215D}"/>
    <cellStyle name="Normal 8 3 2 8" xfId="2643" xr:uid="{00000000-0005-0000-0000-00007E1D0000}"/>
    <cellStyle name="Normal 8 3 2 8 2" xfId="6927" xr:uid="{00000000-0005-0000-0000-00007F1D0000}"/>
    <cellStyle name="Normal 8 3 2 8 2 2" xfId="15369" xr:uid="{28C74093-5299-4096-957D-58C9FA2CB2C3}"/>
    <cellStyle name="Normal 8 3 2 8 3" xfId="11151" xr:uid="{F5097D04-7C8E-463C-9956-818C561417BD}"/>
    <cellStyle name="Normal 8 3 2 9" xfId="4862" xr:uid="{00000000-0005-0000-0000-0000801D0000}"/>
    <cellStyle name="Normal 8 3 2 9 2" xfId="13304" xr:uid="{AE943545-7D66-4974-8238-B94283E8B3B7}"/>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664B6EE0-8EBF-4814-BFFE-B8F2E94BE050}"/>
    <cellStyle name="Normal 8 3 3 2 2 2 3" xfId="11649" xr:uid="{50FF3EF3-29C1-49F4-89FC-A7DF04C8BF31}"/>
    <cellStyle name="Normal 8 3 3 2 2 3" xfId="5280" xr:uid="{00000000-0005-0000-0000-0000861D0000}"/>
    <cellStyle name="Normal 8 3 3 2 2 3 2" xfId="13722" xr:uid="{EA5A4A9C-BCD9-4772-98C2-CD520CFE2D46}"/>
    <cellStyle name="Normal 8 3 3 2 2 4" xfId="9504" xr:uid="{40FA6148-4EE9-4DD2-B5B9-429BFB2BCF5B}"/>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BF9C522D-6209-41F3-BCC0-A5CE78817B84}"/>
    <cellStyle name="Normal 8 3 3 2 3 2 3" xfId="12062" xr:uid="{DAD932D7-1A6C-417D-A2FC-1541249FB7C1}"/>
    <cellStyle name="Normal 8 3 3 2 3 3" xfId="5693" xr:uid="{00000000-0005-0000-0000-00008A1D0000}"/>
    <cellStyle name="Normal 8 3 3 2 3 3 2" xfId="14135" xr:uid="{E227B6AE-F23C-4C14-93D4-1639000BEB3E}"/>
    <cellStyle name="Normal 8 3 3 2 3 4" xfId="9917" xr:uid="{894A5FF0-6848-4AB6-BA3D-92891535716C}"/>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4003EB5B-6BE9-4362-937F-8281810C866E}"/>
    <cellStyle name="Normal 8 3 3 2 4 2 3" xfId="12475" xr:uid="{0952449E-8AC0-4937-BDC7-DFB5883E5130}"/>
    <cellStyle name="Normal 8 3 3 2 4 3" xfId="6106" xr:uid="{00000000-0005-0000-0000-00008E1D0000}"/>
    <cellStyle name="Normal 8 3 3 2 4 3 2" xfId="14548" xr:uid="{5DBC6BD5-714A-408B-B747-4A49A4F77065}"/>
    <cellStyle name="Normal 8 3 3 2 4 4" xfId="10330" xr:uid="{7BBDDC3B-3BB9-41FC-BD8A-148ECA98CCCE}"/>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F4F4C4FF-821F-482F-8410-61162ECD9DD7}"/>
    <cellStyle name="Normal 8 3 3 2 5 2 3" xfId="12888" xr:uid="{4541595F-F103-4EB9-BC7A-D469883866ED}"/>
    <cellStyle name="Normal 8 3 3 2 5 3" xfId="6519" xr:uid="{00000000-0005-0000-0000-0000921D0000}"/>
    <cellStyle name="Normal 8 3 3 2 5 3 2" xfId="14961" xr:uid="{B8AABB0A-1E87-43C2-AA6B-33F62874B6A4}"/>
    <cellStyle name="Normal 8 3 3 2 5 4" xfId="10743" xr:uid="{32A396A9-6BAD-47C4-B1E1-C35831DFCF98}"/>
    <cellStyle name="Normal 8 3 3 2 6" xfId="2648" xr:uid="{00000000-0005-0000-0000-0000931D0000}"/>
    <cellStyle name="Normal 8 3 3 2 6 2" xfId="6932" xr:uid="{00000000-0005-0000-0000-0000941D0000}"/>
    <cellStyle name="Normal 8 3 3 2 6 2 2" xfId="15374" xr:uid="{1F957E89-D436-45F8-B85F-A091E83B6E12}"/>
    <cellStyle name="Normal 8 3 3 2 6 3" xfId="11156" xr:uid="{3A6A8C1A-9240-43CB-A923-CCAD93A12EB0}"/>
    <cellStyle name="Normal 8 3 3 2 7" xfId="4867" xr:uid="{00000000-0005-0000-0000-0000951D0000}"/>
    <cellStyle name="Normal 8 3 3 2 7 2" xfId="13309" xr:uid="{C387AA07-F68F-4725-AB2B-6A222EC76AEC}"/>
    <cellStyle name="Normal 8 3 3 2 8" xfId="9091" xr:uid="{BF36D1E5-ABA8-4E08-91E9-0DD24FB8F6F7}"/>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DCE3ECD8-2C85-4E50-BD23-ECD324359102}"/>
    <cellStyle name="Normal 8 3 3 3 2 3" xfId="11648" xr:uid="{2A66AC79-8D45-48C8-889C-D003EB0E3DAE}"/>
    <cellStyle name="Normal 8 3 3 3 3" xfId="5279" xr:uid="{00000000-0005-0000-0000-0000991D0000}"/>
    <cellStyle name="Normal 8 3 3 3 3 2" xfId="13721" xr:uid="{1636C809-33FB-4205-8116-0BA2F3B525A3}"/>
    <cellStyle name="Normal 8 3 3 3 4" xfId="9503" xr:uid="{812EF950-7B61-404F-A554-BFC37032FC5E}"/>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5892FD2B-930D-477E-9F33-6FEE3DAF8BF0}"/>
    <cellStyle name="Normal 8 3 3 4 2 3" xfId="12061" xr:uid="{58EAF8C2-66F5-415C-85FE-C8F5FB7D900E}"/>
    <cellStyle name="Normal 8 3 3 4 3" xfId="5692" xr:uid="{00000000-0005-0000-0000-00009D1D0000}"/>
    <cellStyle name="Normal 8 3 3 4 3 2" xfId="14134" xr:uid="{97A152DE-795C-4952-BD73-6C9459680509}"/>
    <cellStyle name="Normal 8 3 3 4 4" xfId="9916" xr:uid="{FCE80509-00D9-4095-BF9B-67538696C519}"/>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BD692A6D-5E0C-4FFA-BE8C-9C4CD670CC84}"/>
    <cellStyle name="Normal 8 3 3 5 2 3" xfId="12474" xr:uid="{4B9276B9-03F6-4822-B867-0BF9635643FC}"/>
    <cellStyle name="Normal 8 3 3 5 3" xfId="6105" xr:uid="{00000000-0005-0000-0000-0000A11D0000}"/>
    <cellStyle name="Normal 8 3 3 5 3 2" xfId="14547" xr:uid="{E3ADBEB7-9812-45A4-8E32-E8496D65C7E3}"/>
    <cellStyle name="Normal 8 3 3 5 4" xfId="10329" xr:uid="{57707E72-6D49-4869-9EC2-137C0173EBDE}"/>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FAD6AFB2-E4AE-4C7F-AC09-550C53D1FD3A}"/>
    <cellStyle name="Normal 8 3 3 6 2 3" xfId="12887" xr:uid="{2D943E43-B409-4931-B45F-723BF2A06E3E}"/>
    <cellStyle name="Normal 8 3 3 6 3" xfId="6518" xr:uid="{00000000-0005-0000-0000-0000A51D0000}"/>
    <cellStyle name="Normal 8 3 3 6 3 2" xfId="14960" xr:uid="{F0189F1C-E8F4-4F6D-AD27-B936A064B92D}"/>
    <cellStyle name="Normal 8 3 3 6 4" xfId="10742" xr:uid="{50A047D4-614B-4645-9EF8-B5116699340F}"/>
    <cellStyle name="Normal 8 3 3 7" xfId="2647" xr:uid="{00000000-0005-0000-0000-0000A61D0000}"/>
    <cellStyle name="Normal 8 3 3 7 2" xfId="6931" xr:uid="{00000000-0005-0000-0000-0000A71D0000}"/>
    <cellStyle name="Normal 8 3 3 7 2 2" xfId="15373" xr:uid="{A0E456D0-3C18-43CB-B38D-A5F236392E1C}"/>
    <cellStyle name="Normal 8 3 3 7 3" xfId="11155" xr:uid="{2C373BD8-EEE4-4E24-B2D7-50EADFD5C01B}"/>
    <cellStyle name="Normal 8 3 3 8" xfId="4866" xr:uid="{00000000-0005-0000-0000-0000A81D0000}"/>
    <cellStyle name="Normal 8 3 3 8 2" xfId="13308" xr:uid="{90E3DFD3-9682-4EEC-BA6F-911253F336A0}"/>
    <cellStyle name="Normal 8 3 3 9" xfId="9090" xr:uid="{A18A50CE-0411-4363-86F9-F3F27946428E}"/>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E04C48E7-F436-4124-B5FA-92244BE2517A}"/>
    <cellStyle name="Normal 8 3 4 2 2 3" xfId="11650" xr:uid="{923D16F6-B704-44AC-8FD7-E84A35F973AF}"/>
    <cellStyle name="Normal 8 3 4 2 3" xfId="5281" xr:uid="{00000000-0005-0000-0000-0000AD1D0000}"/>
    <cellStyle name="Normal 8 3 4 2 3 2" xfId="13723" xr:uid="{CF88187F-510E-4200-8148-AA0D9E09C63B}"/>
    <cellStyle name="Normal 8 3 4 2 4" xfId="9505" xr:uid="{DDD0570D-C915-4539-8FAB-91265AC95496}"/>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0EB671E6-21F0-42EB-A876-65D21F3237CF}"/>
    <cellStyle name="Normal 8 3 4 3 2 3" xfId="12063" xr:uid="{45CD9B34-6048-4AD2-BED4-F42305F4830A}"/>
    <cellStyle name="Normal 8 3 4 3 3" xfId="5694" xr:uid="{00000000-0005-0000-0000-0000B11D0000}"/>
    <cellStyle name="Normal 8 3 4 3 3 2" xfId="14136" xr:uid="{F1FF32EC-D682-4D1F-B98C-3EB1810CD744}"/>
    <cellStyle name="Normal 8 3 4 3 4" xfId="9918" xr:uid="{911AABDB-F801-41AB-A629-A4C40C711E6D}"/>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45E511EA-7418-46E8-97F2-83FCC2D44A82}"/>
    <cellStyle name="Normal 8 3 4 4 2 3" xfId="12476" xr:uid="{D2B0F7E5-EBCF-4204-8335-4FF377564869}"/>
    <cellStyle name="Normal 8 3 4 4 3" xfId="6107" xr:uid="{00000000-0005-0000-0000-0000B51D0000}"/>
    <cellStyle name="Normal 8 3 4 4 3 2" xfId="14549" xr:uid="{2F41BB22-0020-4A3E-828A-3BDA4D5F9240}"/>
    <cellStyle name="Normal 8 3 4 4 4" xfId="10331" xr:uid="{4F10B88E-D2E4-4ED3-8F67-10B73BB617CE}"/>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B74957CE-3790-42ED-AC0E-3B48FBF97778}"/>
    <cellStyle name="Normal 8 3 4 5 2 3" xfId="12889" xr:uid="{8FF0E074-B59E-4DD3-A4B0-61D048B78F40}"/>
    <cellStyle name="Normal 8 3 4 5 3" xfId="6520" xr:uid="{00000000-0005-0000-0000-0000B91D0000}"/>
    <cellStyle name="Normal 8 3 4 5 3 2" xfId="14962" xr:uid="{9EF06DF4-FAD7-443F-B2E8-BB8ECCD01955}"/>
    <cellStyle name="Normal 8 3 4 5 4" xfId="10744" xr:uid="{4788EC43-F62E-4B8E-A7E8-2627A228A0E2}"/>
    <cellStyle name="Normal 8 3 4 6" xfId="2649" xr:uid="{00000000-0005-0000-0000-0000BA1D0000}"/>
    <cellStyle name="Normal 8 3 4 6 2" xfId="6933" xr:uid="{00000000-0005-0000-0000-0000BB1D0000}"/>
    <cellStyle name="Normal 8 3 4 6 2 2" xfId="15375" xr:uid="{36BD6815-1E57-4BB1-8502-96E335AD8DD7}"/>
    <cellStyle name="Normal 8 3 4 6 3" xfId="11157" xr:uid="{7E5456E0-77E4-4307-8EE1-DE16891814CF}"/>
    <cellStyle name="Normal 8 3 4 7" xfId="4868" xr:uid="{00000000-0005-0000-0000-0000BC1D0000}"/>
    <cellStyle name="Normal 8 3 4 7 2" xfId="13310" xr:uid="{EA129FBD-35EA-4422-8B51-50BE139612D4}"/>
    <cellStyle name="Normal 8 3 4 8" xfId="9092" xr:uid="{DCB4DC6A-8DBD-4475-9D6C-E22BA986B399}"/>
    <cellStyle name="Normal 8 3 5" xfId="962" xr:uid="{00000000-0005-0000-0000-0000BD1D0000}"/>
    <cellStyle name="Normal 8 3 5 2" xfId="3196" xr:uid="{00000000-0005-0000-0000-0000BE1D0000}"/>
    <cellStyle name="Normal 8 3 5 2 2" xfId="7419" xr:uid="{00000000-0005-0000-0000-0000BF1D0000}"/>
    <cellStyle name="Normal 8 3 5 2 2 2" xfId="15861" xr:uid="{A1807972-5D70-4A20-8E17-C5694B3B6C94}"/>
    <cellStyle name="Normal 8 3 5 2 3" xfId="11643" xr:uid="{CC8EA238-EF49-490A-BDE7-AB004B082E60}"/>
    <cellStyle name="Normal 8 3 5 3" xfId="5274" xr:uid="{00000000-0005-0000-0000-0000C01D0000}"/>
    <cellStyle name="Normal 8 3 5 3 2" xfId="13716" xr:uid="{F7BAC4BA-5B44-47C8-8C5B-90AC826AC241}"/>
    <cellStyle name="Normal 8 3 5 4" xfId="9498" xr:uid="{282CB6E8-BDAD-45CE-A08F-8C3C6C0DC5AC}"/>
    <cellStyle name="Normal 8 3 6" xfId="1379" xr:uid="{00000000-0005-0000-0000-0000C11D0000}"/>
    <cellStyle name="Normal 8 3 6 2" xfId="3609" xr:uid="{00000000-0005-0000-0000-0000C21D0000}"/>
    <cellStyle name="Normal 8 3 6 2 2" xfId="7832" xr:uid="{00000000-0005-0000-0000-0000C31D0000}"/>
    <cellStyle name="Normal 8 3 6 2 2 2" xfId="16274" xr:uid="{159244B7-9CD2-4C39-A032-63483D2386FA}"/>
    <cellStyle name="Normal 8 3 6 2 3" xfId="12056" xr:uid="{4573252F-4B2F-4FAC-8187-44B69E851C26}"/>
    <cellStyle name="Normal 8 3 6 3" xfId="5687" xr:uid="{00000000-0005-0000-0000-0000C41D0000}"/>
    <cellStyle name="Normal 8 3 6 3 2" xfId="14129" xr:uid="{9CF901B4-AC43-4E0B-AC8F-6DC2DD752062}"/>
    <cellStyle name="Normal 8 3 6 4" xfId="9911" xr:uid="{A2B8DEDF-F59C-415B-AF83-F930C693848F}"/>
    <cellStyle name="Normal 8 3 7" xfId="1792" xr:uid="{00000000-0005-0000-0000-0000C51D0000}"/>
    <cellStyle name="Normal 8 3 7 2" xfId="4022" xr:uid="{00000000-0005-0000-0000-0000C61D0000}"/>
    <cellStyle name="Normal 8 3 7 2 2" xfId="8245" xr:uid="{00000000-0005-0000-0000-0000C71D0000}"/>
    <cellStyle name="Normal 8 3 7 2 2 2" xfId="16687" xr:uid="{B68D6F00-6A6B-4658-8B62-AF4C60EA0F9B}"/>
    <cellStyle name="Normal 8 3 7 2 3" xfId="12469" xr:uid="{3FC4EAF5-F6F2-4BF4-BC52-4A62306E4A57}"/>
    <cellStyle name="Normal 8 3 7 3" xfId="6100" xr:uid="{00000000-0005-0000-0000-0000C81D0000}"/>
    <cellStyle name="Normal 8 3 7 3 2" xfId="14542" xr:uid="{A8D1679B-41A4-4162-B56A-F0E1FBF55BCF}"/>
    <cellStyle name="Normal 8 3 7 4" xfId="10324" xr:uid="{7EA1FE6C-D0B7-4A51-BF93-1493930723D1}"/>
    <cellStyle name="Normal 8 3 8" xfId="2206" xr:uid="{00000000-0005-0000-0000-0000C91D0000}"/>
    <cellStyle name="Normal 8 3 8 2" xfId="4435" xr:uid="{00000000-0005-0000-0000-0000CA1D0000}"/>
    <cellStyle name="Normal 8 3 8 2 2" xfId="8658" xr:uid="{00000000-0005-0000-0000-0000CB1D0000}"/>
    <cellStyle name="Normal 8 3 8 2 2 2" xfId="17100" xr:uid="{A38D81A8-77F1-449E-BA6A-DF52751DE940}"/>
    <cellStyle name="Normal 8 3 8 2 3" xfId="12882" xr:uid="{7E30DE7A-0DE3-4988-9968-25864D7BB181}"/>
    <cellStyle name="Normal 8 3 8 3" xfId="6513" xr:uid="{00000000-0005-0000-0000-0000CC1D0000}"/>
    <cellStyle name="Normal 8 3 8 3 2" xfId="14955" xr:uid="{BB239C84-EF27-4E82-A598-3D4CA6A94A53}"/>
    <cellStyle name="Normal 8 3 8 4" xfId="10737" xr:uid="{727D9F90-1118-4F5C-8198-DFA04674A257}"/>
    <cellStyle name="Normal 8 3 9" xfId="2642" xr:uid="{00000000-0005-0000-0000-0000CD1D0000}"/>
    <cellStyle name="Normal 8 3 9 2" xfId="6926" xr:uid="{00000000-0005-0000-0000-0000CE1D0000}"/>
    <cellStyle name="Normal 8 3 9 2 2" xfId="15368" xr:uid="{FD96B3DC-B79B-4C21-815A-7DB94032BA3C}"/>
    <cellStyle name="Normal 8 3 9 3" xfId="11150" xr:uid="{5E6F9EC4-0CFA-4175-9B73-30533F796DDD}"/>
    <cellStyle name="Normal 8 4" xfId="503" xr:uid="{00000000-0005-0000-0000-0000CF1D0000}"/>
    <cellStyle name="Normal 8 4 10" xfId="9093" xr:uid="{ACF5CB0E-1E78-475F-8377-509BF4AD08DE}"/>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E1CFD6F2-2BF3-4A50-8698-589382AC0A22}"/>
    <cellStyle name="Normal 8 4 2 2 2 2 3" xfId="11653" xr:uid="{34B3FB47-CB2C-48D4-8716-EADB6C3606E3}"/>
    <cellStyle name="Normal 8 4 2 2 2 3" xfId="5284" xr:uid="{00000000-0005-0000-0000-0000D51D0000}"/>
    <cellStyle name="Normal 8 4 2 2 2 3 2" xfId="13726" xr:uid="{1A008E50-48AC-46EE-B191-A3C2C46C5AEE}"/>
    <cellStyle name="Normal 8 4 2 2 2 4" xfId="9508" xr:uid="{2CA4C180-B455-4687-A223-B99BAAFCD340}"/>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F1EF2FEF-AE0D-4F92-B963-F72950D2999F}"/>
    <cellStyle name="Normal 8 4 2 2 3 2 3" xfId="12066" xr:uid="{FEB0F2FF-0E52-4AA9-A514-64B4ED083221}"/>
    <cellStyle name="Normal 8 4 2 2 3 3" xfId="5697" xr:uid="{00000000-0005-0000-0000-0000D91D0000}"/>
    <cellStyle name="Normal 8 4 2 2 3 3 2" xfId="14139" xr:uid="{8C1198CD-2875-4D14-A20A-0C8911E1AAC6}"/>
    <cellStyle name="Normal 8 4 2 2 3 4" xfId="9921" xr:uid="{7269700D-DAAC-4CDF-BD35-43EE7B56F0FB}"/>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24296A55-2C80-49CE-9D82-CA8106C87AC2}"/>
    <cellStyle name="Normal 8 4 2 2 4 2 3" xfId="12479" xr:uid="{E733C670-B96C-4B63-8F1F-0BD5662B9269}"/>
    <cellStyle name="Normal 8 4 2 2 4 3" xfId="6110" xr:uid="{00000000-0005-0000-0000-0000DD1D0000}"/>
    <cellStyle name="Normal 8 4 2 2 4 3 2" xfId="14552" xr:uid="{0A7C8329-ACA3-4964-BF95-B2FA4F68B44C}"/>
    <cellStyle name="Normal 8 4 2 2 4 4" xfId="10334" xr:uid="{27B3FFD3-CAE0-42A1-A784-BB3C68DEA01B}"/>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0DEF2131-F5F2-4405-AE67-2E771F75D12A}"/>
    <cellStyle name="Normal 8 4 2 2 5 2 3" xfId="12892" xr:uid="{5CAE2F0B-8D11-46EC-8FCC-C79787D26BA2}"/>
    <cellStyle name="Normal 8 4 2 2 5 3" xfId="6523" xr:uid="{00000000-0005-0000-0000-0000E11D0000}"/>
    <cellStyle name="Normal 8 4 2 2 5 3 2" xfId="14965" xr:uid="{888DD493-E038-4963-9637-AFEC28CF86D9}"/>
    <cellStyle name="Normal 8 4 2 2 5 4" xfId="10747" xr:uid="{C0E70201-F0B2-4D51-9161-91EA02F3F223}"/>
    <cellStyle name="Normal 8 4 2 2 6" xfId="2652" xr:uid="{00000000-0005-0000-0000-0000E21D0000}"/>
    <cellStyle name="Normal 8 4 2 2 6 2" xfId="6936" xr:uid="{00000000-0005-0000-0000-0000E31D0000}"/>
    <cellStyle name="Normal 8 4 2 2 6 2 2" xfId="15378" xr:uid="{8137F14F-6603-4786-A374-33DE20187EFA}"/>
    <cellStyle name="Normal 8 4 2 2 6 3" xfId="11160" xr:uid="{18D4AAF6-8CBE-41C1-8AB2-338F57DFE373}"/>
    <cellStyle name="Normal 8 4 2 2 7" xfId="4871" xr:uid="{00000000-0005-0000-0000-0000E41D0000}"/>
    <cellStyle name="Normal 8 4 2 2 7 2" xfId="13313" xr:uid="{D70B3975-D6B3-43D2-8E5D-7A3E039E5EF4}"/>
    <cellStyle name="Normal 8 4 2 2 8" xfId="9095" xr:uid="{EAB4B7AC-43F0-425D-929D-FFD2A6600F16}"/>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9BEC4A93-2B79-4894-923E-07339A5FDF3B}"/>
    <cellStyle name="Normal 8 4 2 3 2 3" xfId="11652" xr:uid="{5654F847-B13C-446D-BDDF-31A8A3B920B7}"/>
    <cellStyle name="Normal 8 4 2 3 3" xfId="5283" xr:uid="{00000000-0005-0000-0000-0000E81D0000}"/>
    <cellStyle name="Normal 8 4 2 3 3 2" xfId="13725" xr:uid="{881AC938-1684-4CE3-A785-BB91E3A32F2C}"/>
    <cellStyle name="Normal 8 4 2 3 4" xfId="9507" xr:uid="{3E95E350-308A-45F8-A46C-A72822ACC1C2}"/>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FE4FBFD7-BE98-4367-84E4-F5DCC4BDCD57}"/>
    <cellStyle name="Normal 8 4 2 4 2 3" xfId="12065" xr:uid="{29DABCB0-9C5A-483C-87F5-2CF0A6EF82B6}"/>
    <cellStyle name="Normal 8 4 2 4 3" xfId="5696" xr:uid="{00000000-0005-0000-0000-0000EC1D0000}"/>
    <cellStyle name="Normal 8 4 2 4 3 2" xfId="14138" xr:uid="{1D9FA456-81D6-4184-B34C-191C87A5FB90}"/>
    <cellStyle name="Normal 8 4 2 4 4" xfId="9920" xr:uid="{3E7571CF-5A9E-400D-ABB2-782606567F03}"/>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FFF3A408-2F9F-4087-AB07-C203005189A3}"/>
    <cellStyle name="Normal 8 4 2 5 2 3" xfId="12478" xr:uid="{D391328D-D28F-489A-8A80-0B0094CB07A6}"/>
    <cellStyle name="Normal 8 4 2 5 3" xfId="6109" xr:uid="{00000000-0005-0000-0000-0000F01D0000}"/>
    <cellStyle name="Normal 8 4 2 5 3 2" xfId="14551" xr:uid="{FE8BB045-F9CE-4092-9A7E-9A94D8D6AC8A}"/>
    <cellStyle name="Normal 8 4 2 5 4" xfId="10333" xr:uid="{C0AA9C40-6812-4553-865E-D759B068C093}"/>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B6AAB2DE-AE70-4A6C-9D72-8FF8120C12BE}"/>
    <cellStyle name="Normal 8 4 2 6 2 3" xfId="12891" xr:uid="{768976FF-A87A-4EAD-90A8-CF25009D9349}"/>
    <cellStyle name="Normal 8 4 2 6 3" xfId="6522" xr:uid="{00000000-0005-0000-0000-0000F41D0000}"/>
    <cellStyle name="Normal 8 4 2 6 3 2" xfId="14964" xr:uid="{9C2D42CE-3BFE-4BC3-93AD-016DF64A664F}"/>
    <cellStyle name="Normal 8 4 2 6 4" xfId="10746" xr:uid="{18B080ED-FF1C-45BF-B332-E2B6A99C00C3}"/>
    <cellStyle name="Normal 8 4 2 7" xfId="2651" xr:uid="{00000000-0005-0000-0000-0000F51D0000}"/>
    <cellStyle name="Normal 8 4 2 7 2" xfId="6935" xr:uid="{00000000-0005-0000-0000-0000F61D0000}"/>
    <cellStyle name="Normal 8 4 2 7 2 2" xfId="15377" xr:uid="{3B9D3B86-1B45-4C8C-94C5-A4162F07729F}"/>
    <cellStyle name="Normal 8 4 2 7 3" xfId="11159" xr:uid="{6EBD37D3-F3EA-4D08-A5BB-7C4AB62326FA}"/>
    <cellStyle name="Normal 8 4 2 8" xfId="4870" xr:uid="{00000000-0005-0000-0000-0000F71D0000}"/>
    <cellStyle name="Normal 8 4 2 8 2" xfId="13312" xr:uid="{2D679A1B-CDE9-4D54-AACC-2DFFE2C8D2FE}"/>
    <cellStyle name="Normal 8 4 2 9" xfId="9094" xr:uid="{4B7BF709-43AE-4F77-AD00-1111A0F35726}"/>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FECAA8C5-0BF9-459A-A4B2-F560935D0829}"/>
    <cellStyle name="Normal 8 4 3 2 2 3" xfId="11654" xr:uid="{CB643C72-EE01-4E09-B420-67B571365E83}"/>
    <cellStyle name="Normal 8 4 3 2 3" xfId="5285" xr:uid="{00000000-0005-0000-0000-0000FC1D0000}"/>
    <cellStyle name="Normal 8 4 3 2 3 2" xfId="13727" xr:uid="{E4025EF4-E625-4077-A71E-F44AF8666C47}"/>
    <cellStyle name="Normal 8 4 3 2 4" xfId="9509" xr:uid="{89E8732B-C6C2-443E-992F-BC99F1AE35D4}"/>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43CF4585-5B01-4B53-A854-201876EAD552}"/>
    <cellStyle name="Normal 8 4 3 3 2 3" xfId="12067" xr:uid="{87CABD9D-D9CA-46B4-A1DA-E25475D1F2C0}"/>
    <cellStyle name="Normal 8 4 3 3 3" xfId="5698" xr:uid="{00000000-0005-0000-0000-0000001E0000}"/>
    <cellStyle name="Normal 8 4 3 3 3 2" xfId="14140" xr:uid="{3832014F-F4E4-46F6-9F45-EB8843EF4376}"/>
    <cellStyle name="Normal 8 4 3 3 4" xfId="9922" xr:uid="{7DD77B88-3F5D-45AF-883B-0B9C6F12EF6C}"/>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3FFDC871-C8E9-4E0B-B113-1A3CBEF48D0A}"/>
    <cellStyle name="Normal 8 4 3 4 2 3" xfId="12480" xr:uid="{E11745FC-58BC-4CF8-B286-322872B74F16}"/>
    <cellStyle name="Normal 8 4 3 4 3" xfId="6111" xr:uid="{00000000-0005-0000-0000-0000041E0000}"/>
    <cellStyle name="Normal 8 4 3 4 3 2" xfId="14553" xr:uid="{931BD861-DD53-47F4-A83A-BE601AFF34D6}"/>
    <cellStyle name="Normal 8 4 3 4 4" xfId="10335" xr:uid="{93F2777A-525B-486D-99D4-E3082E84D1AE}"/>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5AF95E84-9548-4343-AADE-00A61E6C6B4E}"/>
    <cellStyle name="Normal 8 4 3 5 2 3" xfId="12893" xr:uid="{30EC07C3-2655-4BEB-883B-4AA1942101B4}"/>
    <cellStyle name="Normal 8 4 3 5 3" xfId="6524" xr:uid="{00000000-0005-0000-0000-0000081E0000}"/>
    <cellStyle name="Normal 8 4 3 5 3 2" xfId="14966" xr:uid="{C887695D-940C-4DE9-9853-85F594CD8A58}"/>
    <cellStyle name="Normal 8 4 3 5 4" xfId="10748" xr:uid="{F428769F-276C-46D7-B2BC-08AB1D2A51DB}"/>
    <cellStyle name="Normal 8 4 3 6" xfId="2653" xr:uid="{00000000-0005-0000-0000-0000091E0000}"/>
    <cellStyle name="Normal 8 4 3 6 2" xfId="6937" xr:uid="{00000000-0005-0000-0000-00000A1E0000}"/>
    <cellStyle name="Normal 8 4 3 6 2 2" xfId="15379" xr:uid="{250ED57F-B13E-4BA9-BABE-D2DADD00DC06}"/>
    <cellStyle name="Normal 8 4 3 6 3" xfId="11161" xr:uid="{18A2D235-4884-4CFB-8A16-9DE89E440FF0}"/>
    <cellStyle name="Normal 8 4 3 7" xfId="4872" xr:uid="{00000000-0005-0000-0000-00000B1E0000}"/>
    <cellStyle name="Normal 8 4 3 7 2" xfId="13314" xr:uid="{6FEA3862-9449-4271-BD46-B2EE97981E80}"/>
    <cellStyle name="Normal 8 4 3 8" xfId="9096" xr:uid="{50F5DC8A-18BC-4231-A2BD-79BC9189A1AC}"/>
    <cellStyle name="Normal 8 4 4" xfId="970" xr:uid="{00000000-0005-0000-0000-00000C1E0000}"/>
    <cellStyle name="Normal 8 4 4 2" xfId="3204" xr:uid="{00000000-0005-0000-0000-00000D1E0000}"/>
    <cellStyle name="Normal 8 4 4 2 2" xfId="7427" xr:uid="{00000000-0005-0000-0000-00000E1E0000}"/>
    <cellStyle name="Normal 8 4 4 2 2 2" xfId="15869" xr:uid="{6CE8F58F-DFBA-49DB-B476-A964491B2B96}"/>
    <cellStyle name="Normal 8 4 4 2 3" xfId="11651" xr:uid="{29478E71-DEDD-4D82-80E1-3E6D9730BE57}"/>
    <cellStyle name="Normal 8 4 4 3" xfId="5282" xr:uid="{00000000-0005-0000-0000-00000F1E0000}"/>
    <cellStyle name="Normal 8 4 4 3 2" xfId="13724" xr:uid="{E90EC5EA-5465-457F-BBFA-C19B179E4F96}"/>
    <cellStyle name="Normal 8 4 4 4" xfId="9506" xr:uid="{EA8BEDD3-499B-4B96-BA10-6E244C0977C0}"/>
    <cellStyle name="Normal 8 4 5" xfId="1387" xr:uid="{00000000-0005-0000-0000-0000101E0000}"/>
    <cellStyle name="Normal 8 4 5 2" xfId="3617" xr:uid="{00000000-0005-0000-0000-0000111E0000}"/>
    <cellStyle name="Normal 8 4 5 2 2" xfId="7840" xr:uid="{00000000-0005-0000-0000-0000121E0000}"/>
    <cellStyle name="Normal 8 4 5 2 2 2" xfId="16282" xr:uid="{BA60E7EE-6BAD-4D5D-93A9-CDA51FB61420}"/>
    <cellStyle name="Normal 8 4 5 2 3" xfId="12064" xr:uid="{C2B659D7-33CF-46AD-9522-381171D14950}"/>
    <cellStyle name="Normal 8 4 5 3" xfId="5695" xr:uid="{00000000-0005-0000-0000-0000131E0000}"/>
    <cellStyle name="Normal 8 4 5 3 2" xfId="14137" xr:uid="{761C604C-76AE-4E26-B32D-48D95E825B9F}"/>
    <cellStyle name="Normal 8 4 5 4" xfId="9919" xr:uid="{81B3CA2C-7884-479A-B6E0-47B5E9EEFE39}"/>
    <cellStyle name="Normal 8 4 6" xfId="1800" xr:uid="{00000000-0005-0000-0000-0000141E0000}"/>
    <cellStyle name="Normal 8 4 6 2" xfId="4030" xr:uid="{00000000-0005-0000-0000-0000151E0000}"/>
    <cellStyle name="Normal 8 4 6 2 2" xfId="8253" xr:uid="{00000000-0005-0000-0000-0000161E0000}"/>
    <cellStyle name="Normal 8 4 6 2 2 2" xfId="16695" xr:uid="{D4B02C83-7646-48BA-BEEA-6C0EDC39CFD0}"/>
    <cellStyle name="Normal 8 4 6 2 3" xfId="12477" xr:uid="{58F6EAE7-894D-411B-B7CA-BC2325877790}"/>
    <cellStyle name="Normal 8 4 6 3" xfId="6108" xr:uid="{00000000-0005-0000-0000-0000171E0000}"/>
    <cellStyle name="Normal 8 4 6 3 2" xfId="14550" xr:uid="{86F9723B-3E6E-44CD-9312-52B6B4511018}"/>
    <cellStyle name="Normal 8 4 6 4" xfId="10332" xr:uid="{CC6904F5-3A6B-4AEB-BA7C-F71C2C6C094B}"/>
    <cellStyle name="Normal 8 4 7" xfId="2214" xr:uid="{00000000-0005-0000-0000-0000181E0000}"/>
    <cellStyle name="Normal 8 4 7 2" xfId="4443" xr:uid="{00000000-0005-0000-0000-0000191E0000}"/>
    <cellStyle name="Normal 8 4 7 2 2" xfId="8666" xr:uid="{00000000-0005-0000-0000-00001A1E0000}"/>
    <cellStyle name="Normal 8 4 7 2 2 2" xfId="17108" xr:uid="{84EE1E7A-1E9D-403C-A927-6EA20FF55DAE}"/>
    <cellStyle name="Normal 8 4 7 2 3" xfId="12890" xr:uid="{888FB6F8-05E4-4946-8FAE-F060CDF26E05}"/>
    <cellStyle name="Normal 8 4 7 3" xfId="6521" xr:uid="{00000000-0005-0000-0000-00001B1E0000}"/>
    <cellStyle name="Normal 8 4 7 3 2" xfId="14963" xr:uid="{58263A7A-4842-46F3-9C2C-4A69CDA5C146}"/>
    <cellStyle name="Normal 8 4 7 4" xfId="10745" xr:uid="{1B2D670C-1A9C-4299-AD5B-2551BF79B145}"/>
    <cellStyle name="Normal 8 4 8" xfId="2650" xr:uid="{00000000-0005-0000-0000-00001C1E0000}"/>
    <cellStyle name="Normal 8 4 8 2" xfId="6934" xr:uid="{00000000-0005-0000-0000-00001D1E0000}"/>
    <cellStyle name="Normal 8 4 8 2 2" xfId="15376" xr:uid="{0EE3B2EC-52B1-4CF3-850A-C46AD15532FE}"/>
    <cellStyle name="Normal 8 4 8 3" xfId="11158" xr:uid="{1A23B6DE-54FE-4A15-A8EE-7BF432AD3116}"/>
    <cellStyle name="Normal 8 4 9" xfId="4869" xr:uid="{00000000-0005-0000-0000-00001E1E0000}"/>
    <cellStyle name="Normal 8 4 9 2" xfId="13311" xr:uid="{899DA70B-328F-4791-8139-8CEFB337ABCE}"/>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ED139C99-0744-44F2-A5CB-D1DFD9E3FABA}"/>
    <cellStyle name="Normal 8 5 2 2 2 3" xfId="11656" xr:uid="{845AEBE6-B918-4EBA-B739-3489592B6F1D}"/>
    <cellStyle name="Normal 8 5 2 2 3" xfId="5287" xr:uid="{00000000-0005-0000-0000-0000241E0000}"/>
    <cellStyle name="Normal 8 5 2 2 3 2" xfId="13729" xr:uid="{91926633-748B-493A-B307-B63C5E0281F2}"/>
    <cellStyle name="Normal 8 5 2 2 4" xfId="9511" xr:uid="{B96FF8EA-7D00-4D1A-A030-42E04D394915}"/>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490DEEB5-1D0C-4C93-97D2-DD66BEE7CBCA}"/>
    <cellStyle name="Normal 8 5 2 3 2 3" xfId="12069" xr:uid="{C8021B96-E10F-4C43-8801-9AD71C258BCB}"/>
    <cellStyle name="Normal 8 5 2 3 3" xfId="5700" xr:uid="{00000000-0005-0000-0000-0000281E0000}"/>
    <cellStyle name="Normal 8 5 2 3 3 2" xfId="14142" xr:uid="{3EBCB06A-9775-4D63-A07E-517F682EFCFC}"/>
    <cellStyle name="Normal 8 5 2 3 4" xfId="9924" xr:uid="{B37EC350-70A8-4F6E-97F6-87BFE9145256}"/>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4F6AB73D-14EE-4D95-8E5F-66D936FAFD43}"/>
    <cellStyle name="Normal 8 5 2 4 2 3" xfId="12482" xr:uid="{6B24D702-44BF-48A4-8B16-C8E0457EC42D}"/>
    <cellStyle name="Normal 8 5 2 4 3" xfId="6113" xr:uid="{00000000-0005-0000-0000-00002C1E0000}"/>
    <cellStyle name="Normal 8 5 2 4 3 2" xfId="14555" xr:uid="{EF5A0634-EF06-4D4A-856E-FCA2809BF48F}"/>
    <cellStyle name="Normal 8 5 2 4 4" xfId="10337" xr:uid="{47256F77-54DB-44BA-875D-A54FD92FBFF5}"/>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80F5B12A-E183-4C84-A836-03D1FBBD873A}"/>
    <cellStyle name="Normal 8 5 2 5 2 3" xfId="12895" xr:uid="{31EC1669-5AA9-4E3D-9AF2-203CB9A0656F}"/>
    <cellStyle name="Normal 8 5 2 5 3" xfId="6526" xr:uid="{00000000-0005-0000-0000-0000301E0000}"/>
    <cellStyle name="Normal 8 5 2 5 3 2" xfId="14968" xr:uid="{7E183301-0E42-421F-8B0E-37E1B60913ED}"/>
    <cellStyle name="Normal 8 5 2 5 4" xfId="10750" xr:uid="{F30F86CB-D7F7-48BA-9BD8-8F431B5BA89F}"/>
    <cellStyle name="Normal 8 5 2 6" xfId="2655" xr:uid="{00000000-0005-0000-0000-0000311E0000}"/>
    <cellStyle name="Normal 8 5 2 6 2" xfId="6939" xr:uid="{00000000-0005-0000-0000-0000321E0000}"/>
    <cellStyle name="Normal 8 5 2 6 2 2" xfId="15381" xr:uid="{6D342259-1647-4B9C-B6A1-07EF52E36A4F}"/>
    <cellStyle name="Normal 8 5 2 6 3" xfId="11163" xr:uid="{C1F2B326-03B6-4D8E-A8FB-A578B414CC0D}"/>
    <cellStyle name="Normal 8 5 2 7" xfId="4874" xr:uid="{00000000-0005-0000-0000-0000331E0000}"/>
    <cellStyle name="Normal 8 5 2 7 2" xfId="13316" xr:uid="{E1032F20-1475-4492-9B76-0481258A3D05}"/>
    <cellStyle name="Normal 8 5 2 8" xfId="9098" xr:uid="{8DAE2779-4B46-4DE7-BA45-79142561A95A}"/>
    <cellStyle name="Normal 8 5 3" xfId="974" xr:uid="{00000000-0005-0000-0000-0000341E0000}"/>
    <cellStyle name="Normal 8 5 3 2" xfId="3208" xr:uid="{00000000-0005-0000-0000-0000351E0000}"/>
    <cellStyle name="Normal 8 5 3 2 2" xfId="7431" xr:uid="{00000000-0005-0000-0000-0000361E0000}"/>
    <cellStyle name="Normal 8 5 3 2 2 2" xfId="15873" xr:uid="{D9230D0F-EBF1-4FF3-97D5-9F4BB1239B0E}"/>
    <cellStyle name="Normal 8 5 3 2 3" xfId="11655" xr:uid="{0F7FEBB8-0E5D-4D2A-9957-6816AD805576}"/>
    <cellStyle name="Normal 8 5 3 3" xfId="5286" xr:uid="{00000000-0005-0000-0000-0000371E0000}"/>
    <cellStyle name="Normal 8 5 3 3 2" xfId="13728" xr:uid="{0F3DCCE8-D7E4-472D-A053-6AC8B2B7BD8E}"/>
    <cellStyle name="Normal 8 5 3 4" xfId="9510" xr:uid="{6D2E9BC5-AE01-424C-8A8A-A3FF15666102}"/>
    <cellStyle name="Normal 8 5 4" xfId="1391" xr:uid="{00000000-0005-0000-0000-0000381E0000}"/>
    <cellStyle name="Normal 8 5 4 2" xfId="3621" xr:uid="{00000000-0005-0000-0000-0000391E0000}"/>
    <cellStyle name="Normal 8 5 4 2 2" xfId="7844" xr:uid="{00000000-0005-0000-0000-00003A1E0000}"/>
    <cellStyle name="Normal 8 5 4 2 2 2" xfId="16286" xr:uid="{59EEFAF0-8E5A-462E-8548-E06591BB3A16}"/>
    <cellStyle name="Normal 8 5 4 2 3" xfId="12068" xr:uid="{E1E33632-9172-4CB8-B58A-59F7CC1270F7}"/>
    <cellStyle name="Normal 8 5 4 3" xfId="5699" xr:uid="{00000000-0005-0000-0000-00003B1E0000}"/>
    <cellStyle name="Normal 8 5 4 3 2" xfId="14141" xr:uid="{41E03C0D-2258-4B4D-87CD-4D8E0D22711D}"/>
    <cellStyle name="Normal 8 5 4 4" xfId="9923" xr:uid="{EB5AEF9A-EEBF-45EC-A361-3A9EC18B05A6}"/>
    <cellStyle name="Normal 8 5 5" xfId="1804" xr:uid="{00000000-0005-0000-0000-00003C1E0000}"/>
    <cellStyle name="Normal 8 5 5 2" xfId="4034" xr:uid="{00000000-0005-0000-0000-00003D1E0000}"/>
    <cellStyle name="Normal 8 5 5 2 2" xfId="8257" xr:uid="{00000000-0005-0000-0000-00003E1E0000}"/>
    <cellStyle name="Normal 8 5 5 2 2 2" xfId="16699" xr:uid="{F7668DD0-E8F9-420A-9198-BC7123355F0B}"/>
    <cellStyle name="Normal 8 5 5 2 3" xfId="12481" xr:uid="{9F3D512F-154C-485F-ADD7-29CDB38BA18E}"/>
    <cellStyle name="Normal 8 5 5 3" xfId="6112" xr:uid="{00000000-0005-0000-0000-00003F1E0000}"/>
    <cellStyle name="Normal 8 5 5 3 2" xfId="14554" xr:uid="{45912872-E4F9-4C00-BA62-C9C4D9C1CA7D}"/>
    <cellStyle name="Normal 8 5 5 4" xfId="10336" xr:uid="{F037B1B1-3F6C-4D37-ABD3-E65AAC37BA1E}"/>
    <cellStyle name="Normal 8 5 6" xfId="2218" xr:uid="{00000000-0005-0000-0000-0000401E0000}"/>
    <cellStyle name="Normal 8 5 6 2" xfId="4447" xr:uid="{00000000-0005-0000-0000-0000411E0000}"/>
    <cellStyle name="Normal 8 5 6 2 2" xfId="8670" xr:uid="{00000000-0005-0000-0000-0000421E0000}"/>
    <cellStyle name="Normal 8 5 6 2 2 2" xfId="17112" xr:uid="{CBDE7D30-5CA4-4D50-A6B5-3248EDFC005D}"/>
    <cellStyle name="Normal 8 5 6 2 3" xfId="12894" xr:uid="{41610B77-4D5F-4E2B-9764-30D046AC6250}"/>
    <cellStyle name="Normal 8 5 6 3" xfId="6525" xr:uid="{00000000-0005-0000-0000-0000431E0000}"/>
    <cellStyle name="Normal 8 5 6 3 2" xfId="14967" xr:uid="{17D9A88B-7B4F-45AE-820F-A7610FFAAC3F}"/>
    <cellStyle name="Normal 8 5 6 4" xfId="10749" xr:uid="{6CE15C48-0951-4AD4-941B-F228915F95D9}"/>
    <cellStyle name="Normal 8 5 7" xfId="2654" xr:uid="{00000000-0005-0000-0000-0000441E0000}"/>
    <cellStyle name="Normal 8 5 7 2" xfId="6938" xr:uid="{00000000-0005-0000-0000-0000451E0000}"/>
    <cellStyle name="Normal 8 5 7 2 2" xfId="15380" xr:uid="{B25522B1-C7DB-480B-ABA2-88409C38E856}"/>
    <cellStyle name="Normal 8 5 7 3" xfId="11162" xr:uid="{19A58FD1-526C-4564-9BFE-5CB8901E5BF8}"/>
    <cellStyle name="Normal 8 5 8" xfId="4873" xr:uid="{00000000-0005-0000-0000-0000461E0000}"/>
    <cellStyle name="Normal 8 5 8 2" xfId="13315" xr:uid="{3A02C3FC-6128-4BA8-B7AA-CE38825B5762}"/>
    <cellStyle name="Normal 8 5 9" xfId="9097" xr:uid="{E8C923B4-1F2D-4A0B-A52D-133B0A499411}"/>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DDC91894-AF9D-4B85-929E-3C66333FD0DF}"/>
    <cellStyle name="Normal 8 6 2 2 3" xfId="11657" xr:uid="{91B9F6FA-A66A-42A0-BD37-C027C048A75F}"/>
    <cellStyle name="Normal 8 6 2 3" xfId="5288" xr:uid="{00000000-0005-0000-0000-00004B1E0000}"/>
    <cellStyle name="Normal 8 6 2 3 2" xfId="13730" xr:uid="{8CBE2C06-13FA-4127-ACEA-F4B21856EE42}"/>
    <cellStyle name="Normal 8 6 2 4" xfId="9512" xr:uid="{28A1A4B8-EBEB-4F9A-9DB5-4F2CCFDC6A31}"/>
    <cellStyle name="Normal 8 6 3" xfId="1393" xr:uid="{00000000-0005-0000-0000-00004C1E0000}"/>
    <cellStyle name="Normal 8 6 3 2" xfId="3623" xr:uid="{00000000-0005-0000-0000-00004D1E0000}"/>
    <cellStyle name="Normal 8 6 3 2 2" xfId="7846" xr:uid="{00000000-0005-0000-0000-00004E1E0000}"/>
    <cellStyle name="Normal 8 6 3 2 2 2" xfId="16288" xr:uid="{1B6D1CB5-3126-4CA6-A0FB-5C826A1C663B}"/>
    <cellStyle name="Normal 8 6 3 2 3" xfId="12070" xr:uid="{8C0AD70A-0DD3-44A0-8590-16E30E06551B}"/>
    <cellStyle name="Normal 8 6 3 3" xfId="5701" xr:uid="{00000000-0005-0000-0000-00004F1E0000}"/>
    <cellStyle name="Normal 8 6 3 3 2" xfId="14143" xr:uid="{8F6BB9D5-C301-4BBF-9DC6-9FA0D1A258A5}"/>
    <cellStyle name="Normal 8 6 3 4" xfId="9925" xr:uid="{334CF9C8-CB28-4AC0-A323-DAB78C7B2C81}"/>
    <cellStyle name="Normal 8 6 4" xfId="1806" xr:uid="{00000000-0005-0000-0000-0000501E0000}"/>
    <cellStyle name="Normal 8 6 4 2" xfId="4036" xr:uid="{00000000-0005-0000-0000-0000511E0000}"/>
    <cellStyle name="Normal 8 6 4 2 2" xfId="8259" xr:uid="{00000000-0005-0000-0000-0000521E0000}"/>
    <cellStyle name="Normal 8 6 4 2 2 2" xfId="16701" xr:uid="{8D6BF796-D4B3-4FBB-BC0E-3945B3B8D98D}"/>
    <cellStyle name="Normal 8 6 4 2 3" xfId="12483" xr:uid="{23B7FCE6-358C-4E39-96EB-17F99CE8BF5F}"/>
    <cellStyle name="Normal 8 6 4 3" xfId="6114" xr:uid="{00000000-0005-0000-0000-0000531E0000}"/>
    <cellStyle name="Normal 8 6 4 3 2" xfId="14556" xr:uid="{CB3D5E3C-9953-4717-8081-4E532650EDE1}"/>
    <cellStyle name="Normal 8 6 4 4" xfId="10338" xr:uid="{5C25540A-ECB4-4575-BEF9-648F434B78AF}"/>
    <cellStyle name="Normal 8 6 5" xfId="2220" xr:uid="{00000000-0005-0000-0000-0000541E0000}"/>
    <cellStyle name="Normal 8 6 5 2" xfId="4449" xr:uid="{00000000-0005-0000-0000-0000551E0000}"/>
    <cellStyle name="Normal 8 6 5 2 2" xfId="8672" xr:uid="{00000000-0005-0000-0000-0000561E0000}"/>
    <cellStyle name="Normal 8 6 5 2 2 2" xfId="17114" xr:uid="{7C8929D1-87CF-42BF-8A22-1BDC2D27B9AE}"/>
    <cellStyle name="Normal 8 6 5 2 3" xfId="12896" xr:uid="{6D7F9FF2-FE48-4FB4-B8F4-1623D60BFBFC}"/>
    <cellStyle name="Normal 8 6 5 3" xfId="6527" xr:uid="{00000000-0005-0000-0000-0000571E0000}"/>
    <cellStyle name="Normal 8 6 5 3 2" xfId="14969" xr:uid="{BBCD3513-34B9-4FCA-B335-0698A8A75F87}"/>
    <cellStyle name="Normal 8 6 5 4" xfId="10751" xr:uid="{CFE851BF-D1E2-4790-9521-4D36370F75A2}"/>
    <cellStyle name="Normal 8 6 6" xfId="2656" xr:uid="{00000000-0005-0000-0000-0000581E0000}"/>
    <cellStyle name="Normal 8 6 6 2" xfId="6940" xr:uid="{00000000-0005-0000-0000-0000591E0000}"/>
    <cellStyle name="Normal 8 6 6 2 2" xfId="15382" xr:uid="{19559E8D-31A8-44CB-8DF5-6CE5859E264B}"/>
    <cellStyle name="Normal 8 6 6 3" xfId="11164" xr:uid="{E701754D-10FA-4D84-AF70-5FEA58B608CD}"/>
    <cellStyle name="Normal 8 6 7" xfId="4875" xr:uid="{00000000-0005-0000-0000-00005A1E0000}"/>
    <cellStyle name="Normal 8 6 7 2" xfId="13317" xr:uid="{E740D6C3-742B-44EF-B1A6-4973B869EC9F}"/>
    <cellStyle name="Normal 8 6 8" xfId="9099" xr:uid="{CF291F01-3DFE-4E09-B164-1D63CF34B1BB}"/>
    <cellStyle name="Normal 8 7" xfId="945" xr:uid="{00000000-0005-0000-0000-00005B1E0000}"/>
    <cellStyle name="Normal 8 7 2" xfId="3179" xr:uid="{00000000-0005-0000-0000-00005C1E0000}"/>
    <cellStyle name="Normal 8 7 2 2" xfId="7402" xr:uid="{00000000-0005-0000-0000-00005D1E0000}"/>
    <cellStyle name="Normal 8 7 2 2 2" xfId="15844" xr:uid="{00650AEA-D76A-4CE6-A06C-537D261A5609}"/>
    <cellStyle name="Normal 8 7 2 3" xfId="11626" xr:uid="{F783BE53-52C3-4C6A-9E40-8DCD58DC5C29}"/>
    <cellStyle name="Normal 8 7 3" xfId="5257" xr:uid="{00000000-0005-0000-0000-00005E1E0000}"/>
    <cellStyle name="Normal 8 7 3 2" xfId="13699" xr:uid="{C255D15A-84D2-4182-9DD5-60B73A39DE77}"/>
    <cellStyle name="Normal 8 7 4" xfId="9481" xr:uid="{7C5BAA9D-58BB-4C77-990F-C72F5B37C304}"/>
    <cellStyle name="Normal 8 8" xfId="1362" xr:uid="{00000000-0005-0000-0000-00005F1E0000}"/>
    <cellStyle name="Normal 8 8 2" xfId="3592" xr:uid="{00000000-0005-0000-0000-0000601E0000}"/>
    <cellStyle name="Normal 8 8 2 2" xfId="7815" xr:uid="{00000000-0005-0000-0000-0000611E0000}"/>
    <cellStyle name="Normal 8 8 2 2 2" xfId="16257" xr:uid="{00F326A7-EF60-4000-8B5C-78C7F70F873D}"/>
    <cellStyle name="Normal 8 8 2 3" xfId="12039" xr:uid="{2E7BD22D-A667-4E4A-9561-7D74DC7D4DF7}"/>
    <cellStyle name="Normal 8 8 3" xfId="5670" xr:uid="{00000000-0005-0000-0000-0000621E0000}"/>
    <cellStyle name="Normal 8 8 3 2" xfId="14112" xr:uid="{9E562773-C548-4FCF-823C-3766B4D2F9B8}"/>
    <cellStyle name="Normal 8 8 4" xfId="9894" xr:uid="{821F719A-AF1A-493E-88D5-9135BC21BFCE}"/>
    <cellStyle name="Normal 8 9" xfId="1775" xr:uid="{00000000-0005-0000-0000-0000631E0000}"/>
    <cellStyle name="Normal 8 9 2" xfId="4005" xr:uid="{00000000-0005-0000-0000-0000641E0000}"/>
    <cellStyle name="Normal 8 9 2 2" xfId="8228" xr:uid="{00000000-0005-0000-0000-0000651E0000}"/>
    <cellStyle name="Normal 8 9 2 2 2" xfId="16670" xr:uid="{AD9277CF-C617-40AC-B8B1-CBC985F8FA43}"/>
    <cellStyle name="Normal 8 9 2 3" xfId="12452" xr:uid="{DBF33ADC-068F-4E3D-AB36-84E228515228}"/>
    <cellStyle name="Normal 8 9 3" xfId="6083" xr:uid="{00000000-0005-0000-0000-0000661E0000}"/>
    <cellStyle name="Normal 8 9 3 2" xfId="14525" xr:uid="{EB3CC34C-9BF7-4709-AACA-C29A1A3E78A4}"/>
    <cellStyle name="Normal 8 9 4" xfId="10307" xr:uid="{2F52CC55-59C3-4DAF-B14D-0CA84DE43405}"/>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67E43E1F-62AE-4BD4-840E-EBBABC2FE86C}"/>
    <cellStyle name="Normal 9 2 10 3" xfId="11165" xr:uid="{852402E7-9A4E-492F-8374-BEF796CCF0A0}"/>
    <cellStyle name="Normal 9 2 11" xfId="4876" xr:uid="{00000000-0005-0000-0000-00006B1E0000}"/>
    <cellStyle name="Normal 9 2 11 2" xfId="13318" xr:uid="{29837EE7-06BC-4EBE-9B2A-85EF5F5930E5}"/>
    <cellStyle name="Normal 9 2 12" xfId="9100" xr:uid="{346830BA-9F36-4EBD-9726-F9D8FABD58BE}"/>
    <cellStyle name="Normal 9 2 2" xfId="512" xr:uid="{00000000-0005-0000-0000-00006C1E0000}"/>
    <cellStyle name="Normal 9 2 2 10" xfId="4877" xr:uid="{00000000-0005-0000-0000-00006D1E0000}"/>
    <cellStyle name="Normal 9 2 2 10 2" xfId="13319" xr:uid="{3EF445B0-6555-4A99-B213-19C04C00543A}"/>
    <cellStyle name="Normal 9 2 2 11" xfId="9101" xr:uid="{A36607FB-CE24-420F-BC02-B970A0EB0F96}"/>
    <cellStyle name="Normal 9 2 2 2" xfId="513" xr:uid="{00000000-0005-0000-0000-00006E1E0000}"/>
    <cellStyle name="Normal 9 2 2 2 10" xfId="9102" xr:uid="{4E05D995-F8C7-4E3C-A0FA-0FBBEBBBDBD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85755568-F8A9-4A22-A12B-D7B7AD998F8D}"/>
    <cellStyle name="Normal 9 2 2 2 2 2 2 2 3" xfId="11662" xr:uid="{C3AA1EA0-9F3B-4F0A-935F-4BC989DA803F}"/>
    <cellStyle name="Normal 9 2 2 2 2 2 2 3" xfId="5293" xr:uid="{00000000-0005-0000-0000-0000741E0000}"/>
    <cellStyle name="Normal 9 2 2 2 2 2 2 3 2" xfId="13735" xr:uid="{9A31D7A7-DE5F-43A2-B159-DA341F00F3AB}"/>
    <cellStyle name="Normal 9 2 2 2 2 2 2 4" xfId="9517" xr:uid="{C90D61F7-014B-42C7-840A-FAD9B3116E98}"/>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5E2EFAA4-580C-4054-BDF7-E7DFDEDCC330}"/>
    <cellStyle name="Normal 9 2 2 2 2 2 3 2 3" xfId="12075" xr:uid="{6228483B-7869-46D0-A437-08035B20E9B8}"/>
    <cellStyle name="Normal 9 2 2 2 2 2 3 3" xfId="5706" xr:uid="{00000000-0005-0000-0000-0000781E0000}"/>
    <cellStyle name="Normal 9 2 2 2 2 2 3 3 2" xfId="14148" xr:uid="{5422D453-88A8-4422-9A3A-A254EB72B79F}"/>
    <cellStyle name="Normal 9 2 2 2 2 2 3 4" xfId="9930" xr:uid="{7AF57A8C-B36A-4CD6-AF08-EE0B9414EBCE}"/>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844B2EBE-31FA-4C2E-860C-4CB32AA17789}"/>
    <cellStyle name="Normal 9 2 2 2 2 2 4 2 3" xfId="12488" xr:uid="{0BFDBC40-4261-488A-9CD7-0E9EEAB9C1EC}"/>
    <cellStyle name="Normal 9 2 2 2 2 2 4 3" xfId="6119" xr:uid="{00000000-0005-0000-0000-00007C1E0000}"/>
    <cellStyle name="Normal 9 2 2 2 2 2 4 3 2" xfId="14561" xr:uid="{76E27A78-75C1-4D10-9A21-4322427F3E47}"/>
    <cellStyle name="Normal 9 2 2 2 2 2 4 4" xfId="10343" xr:uid="{2F034620-8BDF-45A5-A71A-1D327794AC51}"/>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845C1B78-1160-4289-9652-2568B8D33FCE}"/>
    <cellStyle name="Normal 9 2 2 2 2 2 5 2 3" xfId="12901" xr:uid="{1D0A17CC-AC37-497D-B55F-9CBB0631C022}"/>
    <cellStyle name="Normal 9 2 2 2 2 2 5 3" xfId="6532" xr:uid="{00000000-0005-0000-0000-0000801E0000}"/>
    <cellStyle name="Normal 9 2 2 2 2 2 5 3 2" xfId="14974" xr:uid="{FB44121A-4923-4409-B62B-0B6203663E84}"/>
    <cellStyle name="Normal 9 2 2 2 2 2 5 4" xfId="10756" xr:uid="{CA6C00CF-0326-4991-9344-5D9AA13675CC}"/>
    <cellStyle name="Normal 9 2 2 2 2 2 6" xfId="2661" xr:uid="{00000000-0005-0000-0000-0000811E0000}"/>
    <cellStyle name="Normal 9 2 2 2 2 2 6 2" xfId="6945" xr:uid="{00000000-0005-0000-0000-0000821E0000}"/>
    <cellStyle name="Normal 9 2 2 2 2 2 6 2 2" xfId="15387" xr:uid="{2DB607C7-47F1-413D-8D68-386217DCAB1B}"/>
    <cellStyle name="Normal 9 2 2 2 2 2 6 3" xfId="11169" xr:uid="{9D7CBF01-2F9D-487D-ABA5-8265AD0CFE61}"/>
    <cellStyle name="Normal 9 2 2 2 2 2 7" xfId="4880" xr:uid="{00000000-0005-0000-0000-0000831E0000}"/>
    <cellStyle name="Normal 9 2 2 2 2 2 7 2" xfId="13322" xr:uid="{8823F32F-7CA6-48D4-B0A4-07735B563B41}"/>
    <cellStyle name="Normal 9 2 2 2 2 2 8" xfId="9104" xr:uid="{4DD5139B-63AF-4E23-86BD-0A810CF9FB26}"/>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7F1A10E5-155A-43AD-B8DD-270E2BD81DC8}"/>
    <cellStyle name="Normal 9 2 2 2 2 3 2 3" xfId="11661" xr:uid="{9B1BF2F7-273A-44B3-AC86-102FA58636AB}"/>
    <cellStyle name="Normal 9 2 2 2 2 3 3" xfId="5292" xr:uid="{00000000-0005-0000-0000-0000871E0000}"/>
    <cellStyle name="Normal 9 2 2 2 2 3 3 2" xfId="13734" xr:uid="{5311E5AB-FB8F-42B9-ABB8-357D5F48A20E}"/>
    <cellStyle name="Normal 9 2 2 2 2 3 4" xfId="9516" xr:uid="{4169F1EB-415B-4AD2-9E21-858F1B8AF5BC}"/>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61AA9863-29D7-45D2-AD1A-9705B1F7A966}"/>
    <cellStyle name="Normal 9 2 2 2 2 4 2 3" xfId="12074" xr:uid="{5BC8F772-79B4-47B1-A631-0F4D103CF8C3}"/>
    <cellStyle name="Normal 9 2 2 2 2 4 3" xfId="5705" xr:uid="{00000000-0005-0000-0000-00008B1E0000}"/>
    <cellStyle name="Normal 9 2 2 2 2 4 3 2" xfId="14147" xr:uid="{2EF9576A-3B49-431C-9D37-7F81C1CFB86F}"/>
    <cellStyle name="Normal 9 2 2 2 2 4 4" xfId="9929" xr:uid="{9E19C3D2-4D1C-4CC9-A637-7EA1B40FBD55}"/>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1BF755EE-9D8B-4454-8AD4-773953879CEC}"/>
    <cellStyle name="Normal 9 2 2 2 2 5 2 3" xfId="12487" xr:uid="{5C23CDF4-C2F6-463F-BBF6-4F52C5707274}"/>
    <cellStyle name="Normal 9 2 2 2 2 5 3" xfId="6118" xr:uid="{00000000-0005-0000-0000-00008F1E0000}"/>
    <cellStyle name="Normal 9 2 2 2 2 5 3 2" xfId="14560" xr:uid="{2CE76A03-AD1B-4E61-9E2F-3FC6FD3F9577}"/>
    <cellStyle name="Normal 9 2 2 2 2 5 4" xfId="10342" xr:uid="{1D958C4D-4CC0-41EE-807D-B1BFB9D0FD79}"/>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400286CA-B417-4D01-B8D4-9F683B041716}"/>
    <cellStyle name="Normal 9 2 2 2 2 6 2 3" xfId="12900" xr:uid="{600EC9AA-4514-4C43-970E-96EC46D7E5A7}"/>
    <cellStyle name="Normal 9 2 2 2 2 6 3" xfId="6531" xr:uid="{00000000-0005-0000-0000-0000931E0000}"/>
    <cellStyle name="Normal 9 2 2 2 2 6 3 2" xfId="14973" xr:uid="{4F188F56-E97C-47F0-8139-98ACB6A25071}"/>
    <cellStyle name="Normal 9 2 2 2 2 6 4" xfId="10755" xr:uid="{4DF6952D-9635-4790-8256-6AAE3E0AF345}"/>
    <cellStyle name="Normal 9 2 2 2 2 7" xfId="2660" xr:uid="{00000000-0005-0000-0000-0000941E0000}"/>
    <cellStyle name="Normal 9 2 2 2 2 7 2" xfId="6944" xr:uid="{00000000-0005-0000-0000-0000951E0000}"/>
    <cellStyle name="Normal 9 2 2 2 2 7 2 2" xfId="15386" xr:uid="{4049D27E-6C0C-40A8-9584-0164FAEDBD07}"/>
    <cellStyle name="Normal 9 2 2 2 2 7 3" xfId="11168" xr:uid="{51A533AC-1611-4743-9254-54B0A260325B}"/>
    <cellStyle name="Normal 9 2 2 2 2 8" xfId="4879" xr:uid="{00000000-0005-0000-0000-0000961E0000}"/>
    <cellStyle name="Normal 9 2 2 2 2 8 2" xfId="13321" xr:uid="{6A7E9D27-DEA5-4BA2-8CFD-700544CCB5E8}"/>
    <cellStyle name="Normal 9 2 2 2 2 9" xfId="9103" xr:uid="{C5D00BF9-8620-4DE6-B870-3D639AD4568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E37F84F2-D2A2-4059-A446-B200F856CDFD}"/>
    <cellStyle name="Normal 9 2 2 2 3 2 2 3" xfId="11663" xr:uid="{4905C42B-48CE-4B69-9487-5C08868D648A}"/>
    <cellStyle name="Normal 9 2 2 2 3 2 3" xfId="5294" xr:uid="{00000000-0005-0000-0000-00009B1E0000}"/>
    <cellStyle name="Normal 9 2 2 2 3 2 3 2" xfId="13736" xr:uid="{859A80D6-3AC8-4948-BCDD-309306628221}"/>
    <cellStyle name="Normal 9 2 2 2 3 2 4" xfId="9518" xr:uid="{4E615A5D-2126-4E39-BF44-871CF7E3106D}"/>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D192A3B3-1DEC-4392-B15D-94180410D9F4}"/>
    <cellStyle name="Normal 9 2 2 2 3 3 2 3" xfId="12076" xr:uid="{2203D62A-ED2F-4FFE-9F1C-BDDC1665DCF2}"/>
    <cellStyle name="Normal 9 2 2 2 3 3 3" xfId="5707" xr:uid="{00000000-0005-0000-0000-00009F1E0000}"/>
    <cellStyle name="Normal 9 2 2 2 3 3 3 2" xfId="14149" xr:uid="{971F9D3B-8ABB-4A41-AB67-6808569A0636}"/>
    <cellStyle name="Normal 9 2 2 2 3 3 4" xfId="9931" xr:uid="{B3FADDEE-5C45-433F-BFD3-E328E0700F07}"/>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56FD1E54-2D0C-4695-9507-B0F333A41DF3}"/>
    <cellStyle name="Normal 9 2 2 2 3 4 2 3" xfId="12489" xr:uid="{9CC437AD-923A-44B5-9898-0C16001C719F}"/>
    <cellStyle name="Normal 9 2 2 2 3 4 3" xfId="6120" xr:uid="{00000000-0005-0000-0000-0000A31E0000}"/>
    <cellStyle name="Normal 9 2 2 2 3 4 3 2" xfId="14562" xr:uid="{121873B1-FD89-4DCB-B74E-7C1F32A28467}"/>
    <cellStyle name="Normal 9 2 2 2 3 4 4" xfId="10344" xr:uid="{E89CB1DE-1B6A-480A-9C6A-5F50E45080A2}"/>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91E5C836-5E27-4E69-BE13-67B61D067225}"/>
    <cellStyle name="Normal 9 2 2 2 3 5 2 3" xfId="12902" xr:uid="{C1A69078-CC5E-4E50-8D24-0EBC5F97273F}"/>
    <cellStyle name="Normal 9 2 2 2 3 5 3" xfId="6533" xr:uid="{00000000-0005-0000-0000-0000A71E0000}"/>
    <cellStyle name="Normal 9 2 2 2 3 5 3 2" xfId="14975" xr:uid="{7E8686FE-C155-40B9-B061-962279B69A47}"/>
    <cellStyle name="Normal 9 2 2 2 3 5 4" xfId="10757" xr:uid="{029EAA81-5F26-4F55-AD4A-AE369D517FE9}"/>
    <cellStyle name="Normal 9 2 2 2 3 6" xfId="2662" xr:uid="{00000000-0005-0000-0000-0000A81E0000}"/>
    <cellStyle name="Normal 9 2 2 2 3 6 2" xfId="6946" xr:uid="{00000000-0005-0000-0000-0000A91E0000}"/>
    <cellStyle name="Normal 9 2 2 2 3 6 2 2" xfId="15388" xr:uid="{F32B6DC9-9A4C-45AA-92E7-A5DF2272C37C}"/>
    <cellStyle name="Normal 9 2 2 2 3 6 3" xfId="11170" xr:uid="{27E0CAC6-7F97-4928-B63C-F8753E735DD6}"/>
    <cellStyle name="Normal 9 2 2 2 3 7" xfId="4881" xr:uid="{00000000-0005-0000-0000-0000AA1E0000}"/>
    <cellStyle name="Normal 9 2 2 2 3 7 2" xfId="13323" xr:uid="{FD064772-F552-4A7F-B2B1-32CCB92C850C}"/>
    <cellStyle name="Normal 9 2 2 2 3 8" xfId="9105" xr:uid="{D21DE441-8E65-4909-B921-87729D72D432}"/>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8CA33431-ECCA-4B83-9C2F-1258D44FF451}"/>
    <cellStyle name="Normal 9 2 2 2 4 2 3" xfId="11660" xr:uid="{92E93CEF-8CB2-4661-AE20-07A605EF6458}"/>
    <cellStyle name="Normal 9 2 2 2 4 3" xfId="5291" xr:uid="{00000000-0005-0000-0000-0000AE1E0000}"/>
    <cellStyle name="Normal 9 2 2 2 4 3 2" xfId="13733" xr:uid="{9351A2DC-13DB-4AF7-A919-7AD496D38A89}"/>
    <cellStyle name="Normal 9 2 2 2 4 4" xfId="9515" xr:uid="{16FD435C-459F-4006-9D4B-09C1CA49549C}"/>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B265593C-D72D-440B-B34B-BBF339D0F2AF}"/>
    <cellStyle name="Normal 9 2 2 2 5 2 3" xfId="12073" xr:uid="{26F523C9-3B10-4A58-BB2C-FDB98B3772EB}"/>
    <cellStyle name="Normal 9 2 2 2 5 3" xfId="5704" xr:uid="{00000000-0005-0000-0000-0000B21E0000}"/>
    <cellStyle name="Normal 9 2 2 2 5 3 2" xfId="14146" xr:uid="{1F3A9B82-A60A-4C02-B2A3-D0964B55BB3D}"/>
    <cellStyle name="Normal 9 2 2 2 5 4" xfId="9928" xr:uid="{AC879EBC-552D-4887-83FE-4E766E3BD384}"/>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E96278DD-C99B-4182-A3E6-A10287278827}"/>
    <cellStyle name="Normal 9 2 2 2 6 2 3" xfId="12486" xr:uid="{5B792C94-BF93-42BD-99C3-05101843C86B}"/>
    <cellStyle name="Normal 9 2 2 2 6 3" xfId="6117" xr:uid="{00000000-0005-0000-0000-0000B61E0000}"/>
    <cellStyle name="Normal 9 2 2 2 6 3 2" xfId="14559" xr:uid="{11CDEE83-E29D-4289-8FB9-12B2EF549F53}"/>
    <cellStyle name="Normal 9 2 2 2 6 4" xfId="10341" xr:uid="{53B96E05-6B62-4BE9-B071-2DB9BD99A4A9}"/>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C70E3448-7796-4CEB-85A9-A73CA65553E3}"/>
    <cellStyle name="Normal 9 2 2 2 7 2 3" xfId="12899" xr:uid="{0CFE7180-9116-4A62-8A94-0868D43B454B}"/>
    <cellStyle name="Normal 9 2 2 2 7 3" xfId="6530" xr:uid="{00000000-0005-0000-0000-0000BA1E0000}"/>
    <cellStyle name="Normal 9 2 2 2 7 3 2" xfId="14972" xr:uid="{586113F4-81E8-48E5-8842-93C0E169D296}"/>
    <cellStyle name="Normal 9 2 2 2 7 4" xfId="10754" xr:uid="{8B3C74FB-4373-4F44-8805-38F275834C88}"/>
    <cellStyle name="Normal 9 2 2 2 8" xfId="2659" xr:uid="{00000000-0005-0000-0000-0000BB1E0000}"/>
    <cellStyle name="Normal 9 2 2 2 8 2" xfId="6943" xr:uid="{00000000-0005-0000-0000-0000BC1E0000}"/>
    <cellStyle name="Normal 9 2 2 2 8 2 2" xfId="15385" xr:uid="{8EFFBB26-3013-47A8-9D0C-2CE1A782AB1C}"/>
    <cellStyle name="Normal 9 2 2 2 8 3" xfId="11167" xr:uid="{39E028B9-4804-4602-9021-CB07B54235DB}"/>
    <cellStyle name="Normal 9 2 2 2 9" xfId="4878" xr:uid="{00000000-0005-0000-0000-0000BD1E0000}"/>
    <cellStyle name="Normal 9 2 2 2 9 2" xfId="13320" xr:uid="{C0984066-B800-4A3B-80C2-594F11835B84}"/>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ABBBC25B-1012-4DFB-A569-519D6C76C235}"/>
    <cellStyle name="Normal 9 2 2 3 2 2 2 3" xfId="11665" xr:uid="{C3DC0BAA-62A5-41A9-94D6-727989A64590}"/>
    <cellStyle name="Normal 9 2 2 3 2 2 3" xfId="5296" xr:uid="{00000000-0005-0000-0000-0000C31E0000}"/>
    <cellStyle name="Normal 9 2 2 3 2 2 3 2" xfId="13738" xr:uid="{8BDAE615-82FD-4942-9025-1A7F3C7B2D35}"/>
    <cellStyle name="Normal 9 2 2 3 2 2 4" xfId="9520" xr:uid="{4F41B7CB-B53A-495F-A5AF-0C642B790A89}"/>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5819837F-49D3-4C67-89A3-A8F722496E79}"/>
    <cellStyle name="Normal 9 2 2 3 2 3 2 3" xfId="12078" xr:uid="{42F48297-C034-4B74-BBF4-285B2F15DDAF}"/>
    <cellStyle name="Normal 9 2 2 3 2 3 3" xfId="5709" xr:uid="{00000000-0005-0000-0000-0000C71E0000}"/>
    <cellStyle name="Normal 9 2 2 3 2 3 3 2" xfId="14151" xr:uid="{87F524FE-4F34-46F7-BD2E-7232B65AC1C1}"/>
    <cellStyle name="Normal 9 2 2 3 2 3 4" xfId="9933" xr:uid="{037498DD-B3DD-4637-8464-344CAACAE224}"/>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79F29301-AD37-4A73-9163-1F52A1BDC5A2}"/>
    <cellStyle name="Normal 9 2 2 3 2 4 2 3" xfId="12491" xr:uid="{2AEA1C49-4608-4301-8CC9-BFC57940209F}"/>
    <cellStyle name="Normal 9 2 2 3 2 4 3" xfId="6122" xr:uid="{00000000-0005-0000-0000-0000CB1E0000}"/>
    <cellStyle name="Normal 9 2 2 3 2 4 3 2" xfId="14564" xr:uid="{C5F5AE0E-9929-4069-B9DB-C0F1FEEC55EF}"/>
    <cellStyle name="Normal 9 2 2 3 2 4 4" xfId="10346" xr:uid="{A1A67BAF-3437-48A4-B180-168DE1D21663}"/>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96CD423F-7605-4FD1-82EE-B0081DB185DE}"/>
    <cellStyle name="Normal 9 2 2 3 2 5 2 3" xfId="12904" xr:uid="{9FE591B3-643F-4306-A023-B9ACA826D160}"/>
    <cellStyle name="Normal 9 2 2 3 2 5 3" xfId="6535" xr:uid="{00000000-0005-0000-0000-0000CF1E0000}"/>
    <cellStyle name="Normal 9 2 2 3 2 5 3 2" xfId="14977" xr:uid="{2B6B7ADE-62AE-4FD5-9762-FF5A7E6463F8}"/>
    <cellStyle name="Normal 9 2 2 3 2 5 4" xfId="10759" xr:uid="{EA65D6D3-55BA-4048-B444-F29531BD44ED}"/>
    <cellStyle name="Normal 9 2 2 3 2 6" xfId="2664" xr:uid="{00000000-0005-0000-0000-0000D01E0000}"/>
    <cellStyle name="Normal 9 2 2 3 2 6 2" xfId="6948" xr:uid="{00000000-0005-0000-0000-0000D11E0000}"/>
    <cellStyle name="Normal 9 2 2 3 2 6 2 2" xfId="15390" xr:uid="{9115CB96-CC9F-41D7-AFE2-9AA97544B412}"/>
    <cellStyle name="Normal 9 2 2 3 2 6 3" xfId="11172" xr:uid="{73406B07-693A-405D-931A-DB880947DF68}"/>
    <cellStyle name="Normal 9 2 2 3 2 7" xfId="4883" xr:uid="{00000000-0005-0000-0000-0000D21E0000}"/>
    <cellStyle name="Normal 9 2 2 3 2 7 2" xfId="13325" xr:uid="{30D8CD5A-5A6D-4421-B7EE-C5AC5700F57F}"/>
    <cellStyle name="Normal 9 2 2 3 2 8" xfId="9107" xr:uid="{C959F815-FA6C-4E25-95C2-948953D07F4A}"/>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668B7669-E9AB-4929-9AA9-A3DE4D6447A9}"/>
    <cellStyle name="Normal 9 2 2 3 3 2 3" xfId="11664" xr:uid="{D622A96E-E0FD-46E3-8FDB-7C06C625325E}"/>
    <cellStyle name="Normal 9 2 2 3 3 3" xfId="5295" xr:uid="{00000000-0005-0000-0000-0000D61E0000}"/>
    <cellStyle name="Normal 9 2 2 3 3 3 2" xfId="13737" xr:uid="{9393A083-B318-43DF-A404-F97254C1D519}"/>
    <cellStyle name="Normal 9 2 2 3 3 4" xfId="9519" xr:uid="{75368198-0765-4F09-B2FE-E6501A1E8A23}"/>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B683E232-EF39-4CAF-AEFF-B676BEA59EB1}"/>
    <cellStyle name="Normal 9 2 2 3 4 2 3" xfId="12077" xr:uid="{AA6CE2AE-976C-4C01-97FF-A0344FC420FB}"/>
    <cellStyle name="Normal 9 2 2 3 4 3" xfId="5708" xr:uid="{00000000-0005-0000-0000-0000DA1E0000}"/>
    <cellStyle name="Normal 9 2 2 3 4 3 2" xfId="14150" xr:uid="{273CDF14-A873-4445-AF37-95BE050669D5}"/>
    <cellStyle name="Normal 9 2 2 3 4 4" xfId="9932" xr:uid="{9EBDC91F-CFD3-486C-874A-87CFD41D7AF1}"/>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39C79BB7-A1A3-4500-BCE9-18371FD9D54E}"/>
    <cellStyle name="Normal 9 2 2 3 5 2 3" xfId="12490" xr:uid="{5B6DB979-A0DC-4188-9D88-3E9013DC3568}"/>
    <cellStyle name="Normal 9 2 2 3 5 3" xfId="6121" xr:uid="{00000000-0005-0000-0000-0000DE1E0000}"/>
    <cellStyle name="Normal 9 2 2 3 5 3 2" xfId="14563" xr:uid="{D03BC8BE-C69E-4AEC-82F4-4C4FB0B0D6BC}"/>
    <cellStyle name="Normal 9 2 2 3 5 4" xfId="10345" xr:uid="{1428BF26-0669-4A7F-A681-34EF4870B215}"/>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47BF83F9-0619-4D25-93FE-0DE62E296A74}"/>
    <cellStyle name="Normal 9 2 2 3 6 2 3" xfId="12903" xr:uid="{0ECB6310-60A7-4681-A590-271993695909}"/>
    <cellStyle name="Normal 9 2 2 3 6 3" xfId="6534" xr:uid="{00000000-0005-0000-0000-0000E21E0000}"/>
    <cellStyle name="Normal 9 2 2 3 6 3 2" xfId="14976" xr:uid="{9C91C532-A8FC-4B63-8913-2CDB6C15E952}"/>
    <cellStyle name="Normal 9 2 2 3 6 4" xfId="10758" xr:uid="{290A429B-5269-4019-94A9-B206E91B8AE8}"/>
    <cellStyle name="Normal 9 2 2 3 7" xfId="2663" xr:uid="{00000000-0005-0000-0000-0000E31E0000}"/>
    <cellStyle name="Normal 9 2 2 3 7 2" xfId="6947" xr:uid="{00000000-0005-0000-0000-0000E41E0000}"/>
    <cellStyle name="Normal 9 2 2 3 7 2 2" xfId="15389" xr:uid="{99338DCA-C58C-4956-823D-424B2E3D9835}"/>
    <cellStyle name="Normal 9 2 2 3 7 3" xfId="11171" xr:uid="{92776530-F7FB-4F88-949C-225E19B05F2E}"/>
    <cellStyle name="Normal 9 2 2 3 8" xfId="4882" xr:uid="{00000000-0005-0000-0000-0000E51E0000}"/>
    <cellStyle name="Normal 9 2 2 3 8 2" xfId="13324" xr:uid="{6B795791-00EF-4001-89B2-4AB7F265B5F8}"/>
    <cellStyle name="Normal 9 2 2 3 9" xfId="9106" xr:uid="{9115C7CC-26CC-4784-8CC8-19F189E39701}"/>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D3D5E0F6-7DD1-444B-AC85-3B09B0A7EC06}"/>
    <cellStyle name="Normal 9 2 2 4 2 2 3" xfId="11666" xr:uid="{66904C07-98DD-400D-848A-F6FC8160C92C}"/>
    <cellStyle name="Normal 9 2 2 4 2 3" xfId="5297" xr:uid="{00000000-0005-0000-0000-0000EA1E0000}"/>
    <cellStyle name="Normal 9 2 2 4 2 3 2" xfId="13739" xr:uid="{B3F02574-523C-4D5B-A09A-453457A835EC}"/>
    <cellStyle name="Normal 9 2 2 4 2 4" xfId="9521" xr:uid="{D12E7546-D0CF-4432-9A80-72C9CD7669E1}"/>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3E9E858D-8B4A-453A-BC32-99C7E612A697}"/>
    <cellStyle name="Normal 9 2 2 4 3 2 3" xfId="12079" xr:uid="{C9A5C1F9-D8F8-4A25-89A4-E18489499A1D}"/>
    <cellStyle name="Normal 9 2 2 4 3 3" xfId="5710" xr:uid="{00000000-0005-0000-0000-0000EE1E0000}"/>
    <cellStyle name="Normal 9 2 2 4 3 3 2" xfId="14152" xr:uid="{ED91821F-84DD-4305-B6DE-5E0F9BFA0516}"/>
    <cellStyle name="Normal 9 2 2 4 3 4" xfId="9934" xr:uid="{F3F0F8E6-B838-420B-977B-8CAF87C101D8}"/>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11F910A3-E9BB-4414-948D-AD04FE9368CB}"/>
    <cellStyle name="Normal 9 2 2 4 4 2 3" xfId="12492" xr:uid="{70EB1D85-0CFA-4CDF-926D-2863DB443983}"/>
    <cellStyle name="Normal 9 2 2 4 4 3" xfId="6123" xr:uid="{00000000-0005-0000-0000-0000F21E0000}"/>
    <cellStyle name="Normal 9 2 2 4 4 3 2" xfId="14565" xr:uid="{6491017E-17F6-4893-9C0D-72CA829CAA54}"/>
    <cellStyle name="Normal 9 2 2 4 4 4" xfId="10347" xr:uid="{D1339AED-2381-499E-A951-67BEF8F7A51E}"/>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C54D60C0-03F4-40C6-867C-462C13527E1E}"/>
    <cellStyle name="Normal 9 2 2 4 5 2 3" xfId="12905" xr:uid="{3EF9FBAD-3102-4678-BAC0-E01F12E53D35}"/>
    <cellStyle name="Normal 9 2 2 4 5 3" xfId="6536" xr:uid="{00000000-0005-0000-0000-0000F61E0000}"/>
    <cellStyle name="Normal 9 2 2 4 5 3 2" xfId="14978" xr:uid="{5BE6769C-B059-4AB5-B57A-AB877CA79A93}"/>
    <cellStyle name="Normal 9 2 2 4 5 4" xfId="10760" xr:uid="{5FF5E5E9-40A1-4480-842E-B153AFA70BE4}"/>
    <cellStyle name="Normal 9 2 2 4 6" xfId="2665" xr:uid="{00000000-0005-0000-0000-0000F71E0000}"/>
    <cellStyle name="Normal 9 2 2 4 6 2" xfId="6949" xr:uid="{00000000-0005-0000-0000-0000F81E0000}"/>
    <cellStyle name="Normal 9 2 2 4 6 2 2" xfId="15391" xr:uid="{0BB6A05F-5534-497E-A8D7-F1A3D18BEC73}"/>
    <cellStyle name="Normal 9 2 2 4 6 3" xfId="11173" xr:uid="{3089FD87-7DE3-43D5-858F-F8B1BCF3D575}"/>
    <cellStyle name="Normal 9 2 2 4 7" xfId="4884" xr:uid="{00000000-0005-0000-0000-0000F91E0000}"/>
    <cellStyle name="Normal 9 2 2 4 7 2" xfId="13326" xr:uid="{0B9C14B0-20A8-41C3-A45E-C5E55243E442}"/>
    <cellStyle name="Normal 9 2 2 4 8" xfId="9108" xr:uid="{99D11D35-8225-4A19-A1ED-3AAC12038370}"/>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278AE0DC-0072-4712-90EC-ED7A02E748C1}"/>
    <cellStyle name="Normal 9 2 2 5 2 3" xfId="11659" xr:uid="{11DB4996-E6D2-4857-805E-F62337D3E37B}"/>
    <cellStyle name="Normal 9 2 2 5 3" xfId="5290" xr:uid="{00000000-0005-0000-0000-0000FD1E0000}"/>
    <cellStyle name="Normal 9 2 2 5 3 2" xfId="13732" xr:uid="{44701C0B-9A5D-444A-AEF7-B240ED340D1C}"/>
    <cellStyle name="Normal 9 2 2 5 4" xfId="9514" xr:uid="{694D4A13-EF79-40E2-85B6-B31A13663532}"/>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8D01188F-6E2F-4C77-B28D-96C6069A5AC1}"/>
    <cellStyle name="Normal 9 2 2 6 2 3" xfId="12072" xr:uid="{BEF08F15-1677-478E-992C-9D131BB44F8F}"/>
    <cellStyle name="Normal 9 2 2 6 3" xfId="5703" xr:uid="{00000000-0005-0000-0000-0000011F0000}"/>
    <cellStyle name="Normal 9 2 2 6 3 2" xfId="14145" xr:uid="{C821CC51-3F7F-4A84-B845-3C8AE4591BAB}"/>
    <cellStyle name="Normal 9 2 2 6 4" xfId="9927" xr:uid="{555A690D-CE39-4255-9701-DD8692DDA7C4}"/>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62CDCE96-2D91-49FE-AA8C-5F0C573A23D4}"/>
    <cellStyle name="Normal 9 2 2 7 2 3" xfId="12485" xr:uid="{448FCCBC-6419-4EE1-8B2E-9FF116CAA871}"/>
    <cellStyle name="Normal 9 2 2 7 3" xfId="6116" xr:uid="{00000000-0005-0000-0000-0000051F0000}"/>
    <cellStyle name="Normal 9 2 2 7 3 2" xfId="14558" xr:uid="{C22B06B7-9DD5-4E31-927A-037B82484372}"/>
    <cellStyle name="Normal 9 2 2 7 4" xfId="10340" xr:uid="{9546F7BA-1E91-4A92-BBF0-C823AF9DCF5C}"/>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FC4A16E0-67A9-414A-8E0E-CA5E71938FB7}"/>
    <cellStyle name="Normal 9 2 2 8 2 3" xfId="12898" xr:uid="{A817220F-3761-4751-B5EB-28212E250A2F}"/>
    <cellStyle name="Normal 9 2 2 8 3" xfId="6529" xr:uid="{00000000-0005-0000-0000-0000091F0000}"/>
    <cellStyle name="Normal 9 2 2 8 3 2" xfId="14971" xr:uid="{747A6EAA-41F1-428C-B8E3-1BFD8280FB0C}"/>
    <cellStyle name="Normal 9 2 2 8 4" xfId="10753" xr:uid="{EF21BB2A-6060-4438-83D8-F088B22AD36B}"/>
    <cellStyle name="Normal 9 2 2 9" xfId="2658" xr:uid="{00000000-0005-0000-0000-00000A1F0000}"/>
    <cellStyle name="Normal 9 2 2 9 2" xfId="6942" xr:uid="{00000000-0005-0000-0000-00000B1F0000}"/>
    <cellStyle name="Normal 9 2 2 9 2 2" xfId="15384" xr:uid="{D71BD248-AB35-4D7C-8C1A-25EF107E3E67}"/>
    <cellStyle name="Normal 9 2 2 9 3" xfId="11166" xr:uid="{853FA5EC-1F7F-4835-A2AE-B35F637125F9}"/>
    <cellStyle name="Normal 9 2 3" xfId="520" xr:uid="{00000000-0005-0000-0000-00000C1F0000}"/>
    <cellStyle name="Normal 9 2 3 10" xfId="9109" xr:uid="{1DB33E68-B1E5-490E-BC18-58E93BB09C6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AC0EF21D-8E5E-4AE5-83AE-A5553587F087}"/>
    <cellStyle name="Normal 9 2 3 2 2 2 2 3" xfId="11669" xr:uid="{0DEAC1DE-2CFF-4370-B23F-2574B2FB3419}"/>
    <cellStyle name="Normal 9 2 3 2 2 2 3" xfId="5300" xr:uid="{00000000-0005-0000-0000-0000121F0000}"/>
    <cellStyle name="Normal 9 2 3 2 2 2 3 2" xfId="13742" xr:uid="{41021C62-2C01-4C6D-996C-55E6D7463E2B}"/>
    <cellStyle name="Normal 9 2 3 2 2 2 4" xfId="9524" xr:uid="{72893696-A959-40F9-8ED3-6772E4F0BAC6}"/>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F4FD56B9-7BE6-464C-9B7E-D251FE12ABFE}"/>
    <cellStyle name="Normal 9 2 3 2 2 3 2 3" xfId="12082" xr:uid="{4E1D9AEE-2289-412F-ACCD-402EA6B8B6C0}"/>
    <cellStyle name="Normal 9 2 3 2 2 3 3" xfId="5713" xr:uid="{00000000-0005-0000-0000-0000161F0000}"/>
    <cellStyle name="Normal 9 2 3 2 2 3 3 2" xfId="14155" xr:uid="{9FEE3C4F-5B10-4BB6-8D6F-DEC5CB307F14}"/>
    <cellStyle name="Normal 9 2 3 2 2 3 4" xfId="9937" xr:uid="{152CCA64-7D01-40A2-B9EA-B907452B481C}"/>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B6F52959-D800-414B-8EFF-EEFFF316E8FF}"/>
    <cellStyle name="Normal 9 2 3 2 2 4 2 3" xfId="12495" xr:uid="{5F2E8B40-F9C6-4C78-8771-6AB576A39F1D}"/>
    <cellStyle name="Normal 9 2 3 2 2 4 3" xfId="6126" xr:uid="{00000000-0005-0000-0000-00001A1F0000}"/>
    <cellStyle name="Normal 9 2 3 2 2 4 3 2" xfId="14568" xr:uid="{5785C283-0253-43E4-B641-2B4D92F5F173}"/>
    <cellStyle name="Normal 9 2 3 2 2 4 4" xfId="10350" xr:uid="{B6B1FA89-66D5-4413-857C-05D0A5BEC6FA}"/>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EF9945D2-1BEE-43B6-864B-D0711CB46AAA}"/>
    <cellStyle name="Normal 9 2 3 2 2 5 2 3" xfId="12908" xr:uid="{E80F721A-7DA9-44BE-A975-A28702AB2C1E}"/>
    <cellStyle name="Normal 9 2 3 2 2 5 3" xfId="6539" xr:uid="{00000000-0005-0000-0000-00001E1F0000}"/>
    <cellStyle name="Normal 9 2 3 2 2 5 3 2" xfId="14981" xr:uid="{9D681031-B066-48F3-9FBD-A093E1FCD3E4}"/>
    <cellStyle name="Normal 9 2 3 2 2 5 4" xfId="10763" xr:uid="{E0039BDF-34C4-489C-A981-903BC1A529C3}"/>
    <cellStyle name="Normal 9 2 3 2 2 6" xfId="2668" xr:uid="{00000000-0005-0000-0000-00001F1F0000}"/>
    <cellStyle name="Normal 9 2 3 2 2 6 2" xfId="6952" xr:uid="{00000000-0005-0000-0000-0000201F0000}"/>
    <cellStyle name="Normal 9 2 3 2 2 6 2 2" xfId="15394" xr:uid="{37587832-DB07-425F-A160-CD7595AA2BF5}"/>
    <cellStyle name="Normal 9 2 3 2 2 6 3" xfId="11176" xr:uid="{CBDFAD6C-4C9D-40F2-8455-3B73BE1422D8}"/>
    <cellStyle name="Normal 9 2 3 2 2 7" xfId="4887" xr:uid="{00000000-0005-0000-0000-0000211F0000}"/>
    <cellStyle name="Normal 9 2 3 2 2 7 2" xfId="13329" xr:uid="{3CDEDFEE-9609-4FAF-A583-AF0029F3CC5B}"/>
    <cellStyle name="Normal 9 2 3 2 2 8" xfId="9111" xr:uid="{84AC9FCB-1F82-4B9F-B26F-9D5C49BD3262}"/>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4C8E0330-E9DE-4458-B081-5CC50FEFF596}"/>
    <cellStyle name="Normal 9 2 3 2 3 2 3" xfId="11668" xr:uid="{58F77ED4-5A0C-457A-8A20-2F2981461DF7}"/>
    <cellStyle name="Normal 9 2 3 2 3 3" xfId="5299" xr:uid="{00000000-0005-0000-0000-0000251F0000}"/>
    <cellStyle name="Normal 9 2 3 2 3 3 2" xfId="13741" xr:uid="{087727E8-93D1-41A4-A6B2-EE1AF2F93658}"/>
    <cellStyle name="Normal 9 2 3 2 3 4" xfId="9523" xr:uid="{CB425AB3-682E-4676-9BD1-59F153BDB099}"/>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5337AEE3-CE58-461C-95B1-406B66EF64E6}"/>
    <cellStyle name="Normal 9 2 3 2 4 2 3" xfId="12081" xr:uid="{043C1420-9267-4E51-BE54-191076BB3E6D}"/>
    <cellStyle name="Normal 9 2 3 2 4 3" xfId="5712" xr:uid="{00000000-0005-0000-0000-0000291F0000}"/>
    <cellStyle name="Normal 9 2 3 2 4 3 2" xfId="14154" xr:uid="{89E21243-E258-4258-BD63-532F599C650B}"/>
    <cellStyle name="Normal 9 2 3 2 4 4" xfId="9936" xr:uid="{350D6038-FE71-4010-B23F-5E4F82445E85}"/>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BAC6B4C5-C50A-4B57-9D69-73787CF13E62}"/>
    <cellStyle name="Normal 9 2 3 2 5 2 3" xfId="12494" xr:uid="{E8DF53AE-87AE-4895-907E-040B103236FA}"/>
    <cellStyle name="Normal 9 2 3 2 5 3" xfId="6125" xr:uid="{00000000-0005-0000-0000-00002D1F0000}"/>
    <cellStyle name="Normal 9 2 3 2 5 3 2" xfId="14567" xr:uid="{B7641276-2DB7-4257-9E30-FA96BAA6DE41}"/>
    <cellStyle name="Normal 9 2 3 2 5 4" xfId="10349" xr:uid="{F983A586-F945-4139-AD37-6CFF8704E5D9}"/>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0B386BD8-2719-44B1-A4B1-9C1F072A38E7}"/>
    <cellStyle name="Normal 9 2 3 2 6 2 3" xfId="12907" xr:uid="{F72EC8F0-1776-4255-BD71-CAF3D6219162}"/>
    <cellStyle name="Normal 9 2 3 2 6 3" xfId="6538" xr:uid="{00000000-0005-0000-0000-0000311F0000}"/>
    <cellStyle name="Normal 9 2 3 2 6 3 2" xfId="14980" xr:uid="{0783328F-8527-4869-8F4F-F4895C6413B5}"/>
    <cellStyle name="Normal 9 2 3 2 6 4" xfId="10762" xr:uid="{CB5E3E47-8377-4344-B5D1-170721898361}"/>
    <cellStyle name="Normal 9 2 3 2 7" xfId="2667" xr:uid="{00000000-0005-0000-0000-0000321F0000}"/>
    <cellStyle name="Normal 9 2 3 2 7 2" xfId="6951" xr:uid="{00000000-0005-0000-0000-0000331F0000}"/>
    <cellStyle name="Normal 9 2 3 2 7 2 2" xfId="15393" xr:uid="{4AECA57B-CFDD-45C9-9212-2C1C4C413D52}"/>
    <cellStyle name="Normal 9 2 3 2 7 3" xfId="11175" xr:uid="{B0D75B99-3228-4ACA-BE55-38262EC96A6F}"/>
    <cellStyle name="Normal 9 2 3 2 8" xfId="4886" xr:uid="{00000000-0005-0000-0000-0000341F0000}"/>
    <cellStyle name="Normal 9 2 3 2 8 2" xfId="13328" xr:uid="{51B5EB37-6A18-4B74-9A75-4CBA8C188BC4}"/>
    <cellStyle name="Normal 9 2 3 2 9" xfId="9110" xr:uid="{C4BCD35A-047E-45D5-8B4F-7942CAACA09D}"/>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9D3D6CC0-3347-4940-A5DF-A2B546F57D2E}"/>
    <cellStyle name="Normal 9 2 3 3 2 2 3" xfId="11670" xr:uid="{7D482AB0-A484-43A7-B35C-3B7DDC70614E}"/>
    <cellStyle name="Normal 9 2 3 3 2 3" xfId="5301" xr:uid="{00000000-0005-0000-0000-0000391F0000}"/>
    <cellStyle name="Normal 9 2 3 3 2 3 2" xfId="13743" xr:uid="{1CEA9B22-ED80-44CE-A179-DE4F537DE934}"/>
    <cellStyle name="Normal 9 2 3 3 2 4" xfId="9525" xr:uid="{489740D4-1A65-49DC-88BD-1685FB9B6C7E}"/>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52486F9A-5E24-4ABD-8561-9DEAFAAB9A5F}"/>
    <cellStyle name="Normal 9 2 3 3 3 2 3" xfId="12083" xr:uid="{81B57901-17E4-4B6A-AE5E-DE2F54B32EEC}"/>
    <cellStyle name="Normal 9 2 3 3 3 3" xfId="5714" xr:uid="{00000000-0005-0000-0000-00003D1F0000}"/>
    <cellStyle name="Normal 9 2 3 3 3 3 2" xfId="14156" xr:uid="{EACDA291-2FF5-4F2B-BE01-B40ED78FBAF1}"/>
    <cellStyle name="Normal 9 2 3 3 3 4" xfId="9938" xr:uid="{5B8E4B00-C0AC-4C05-80D3-C0C73B9F0363}"/>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4EBABAF2-38B0-488E-9D7F-CAF1230D826F}"/>
    <cellStyle name="Normal 9 2 3 3 4 2 3" xfId="12496" xr:uid="{862DA246-46EA-4BE6-A834-F31FDCE1212B}"/>
    <cellStyle name="Normal 9 2 3 3 4 3" xfId="6127" xr:uid="{00000000-0005-0000-0000-0000411F0000}"/>
    <cellStyle name="Normal 9 2 3 3 4 3 2" xfId="14569" xr:uid="{619FA739-2100-40F5-89DB-89383CA14C61}"/>
    <cellStyle name="Normal 9 2 3 3 4 4" xfId="10351" xr:uid="{159F10A7-EBC4-4DFE-9A24-B858DCEA1470}"/>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F7BED4E4-3C64-4936-815C-487E484BF529}"/>
    <cellStyle name="Normal 9 2 3 3 5 2 3" xfId="12909" xr:uid="{138E86BC-03FD-4FB4-969B-FEFBC98E5DD4}"/>
    <cellStyle name="Normal 9 2 3 3 5 3" xfId="6540" xr:uid="{00000000-0005-0000-0000-0000451F0000}"/>
    <cellStyle name="Normal 9 2 3 3 5 3 2" xfId="14982" xr:uid="{D83EBE9C-5704-4F69-8FFA-CE13962F4590}"/>
    <cellStyle name="Normal 9 2 3 3 5 4" xfId="10764" xr:uid="{93300C13-F09C-431D-B55B-7DE934E90986}"/>
    <cellStyle name="Normal 9 2 3 3 6" xfId="2669" xr:uid="{00000000-0005-0000-0000-0000461F0000}"/>
    <cellStyle name="Normal 9 2 3 3 6 2" xfId="6953" xr:uid="{00000000-0005-0000-0000-0000471F0000}"/>
    <cellStyle name="Normal 9 2 3 3 6 2 2" xfId="15395" xr:uid="{24D171A8-6457-4447-8F16-E351066E210C}"/>
    <cellStyle name="Normal 9 2 3 3 6 3" xfId="11177" xr:uid="{3632DF26-A466-4FC1-9799-21D19A83A5E0}"/>
    <cellStyle name="Normal 9 2 3 3 7" xfId="4888" xr:uid="{00000000-0005-0000-0000-0000481F0000}"/>
    <cellStyle name="Normal 9 2 3 3 7 2" xfId="13330" xr:uid="{A5FBA16D-DA5A-486A-A30D-200AC4F9AA4B}"/>
    <cellStyle name="Normal 9 2 3 3 8" xfId="9112" xr:uid="{F8E8D376-DB78-4143-9E3E-738EF3B97B95}"/>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31722ED2-6811-436E-B91C-9CC3F99C3BE6}"/>
    <cellStyle name="Normal 9 2 3 4 2 3" xfId="11667" xr:uid="{E722E25A-3E65-4961-A823-27274EFACB3B}"/>
    <cellStyle name="Normal 9 2 3 4 3" xfId="5298" xr:uid="{00000000-0005-0000-0000-00004C1F0000}"/>
    <cellStyle name="Normal 9 2 3 4 3 2" xfId="13740" xr:uid="{E8FD1CD9-2CAA-4285-97AC-959E1518EB68}"/>
    <cellStyle name="Normal 9 2 3 4 4" xfId="9522" xr:uid="{DD42C272-E62D-4876-8770-EA3F524F0138}"/>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79749784-2221-4CF6-B2B6-0964714D0811}"/>
    <cellStyle name="Normal 9 2 3 5 2 3" xfId="12080" xr:uid="{D34E1CCA-186A-489B-BC2F-E3D9E8695EAA}"/>
    <cellStyle name="Normal 9 2 3 5 3" xfId="5711" xr:uid="{00000000-0005-0000-0000-0000501F0000}"/>
    <cellStyle name="Normal 9 2 3 5 3 2" xfId="14153" xr:uid="{16440287-FB90-4CFD-91ED-FBCA289ACC89}"/>
    <cellStyle name="Normal 9 2 3 5 4" xfId="9935" xr:uid="{5120845C-372E-409A-921E-61D8DD70DBC1}"/>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38648483-89E9-48C6-A944-9CFA86736D04}"/>
    <cellStyle name="Normal 9 2 3 6 2 3" xfId="12493" xr:uid="{D04779DB-2D65-431C-87C7-AA6995B52B1A}"/>
    <cellStyle name="Normal 9 2 3 6 3" xfId="6124" xr:uid="{00000000-0005-0000-0000-0000541F0000}"/>
    <cellStyle name="Normal 9 2 3 6 3 2" xfId="14566" xr:uid="{65745FFE-C841-481C-B850-4A6E1F54525A}"/>
    <cellStyle name="Normal 9 2 3 6 4" xfId="10348" xr:uid="{8DBA8236-FA87-4B96-8D77-E93AFB719B7F}"/>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001F51D8-474A-4988-9F76-3747FAA236ED}"/>
    <cellStyle name="Normal 9 2 3 7 2 3" xfId="12906" xr:uid="{53CF9793-44C6-4DF9-AC9F-7A861E7B3440}"/>
    <cellStyle name="Normal 9 2 3 7 3" xfId="6537" xr:uid="{00000000-0005-0000-0000-0000581F0000}"/>
    <cellStyle name="Normal 9 2 3 7 3 2" xfId="14979" xr:uid="{01085FCD-CB1D-47A2-B68D-EB72FFB0949C}"/>
    <cellStyle name="Normal 9 2 3 7 4" xfId="10761" xr:uid="{60FD88C9-A942-405E-9832-31F2C8716579}"/>
    <cellStyle name="Normal 9 2 3 8" xfId="2666" xr:uid="{00000000-0005-0000-0000-0000591F0000}"/>
    <cellStyle name="Normal 9 2 3 8 2" xfId="6950" xr:uid="{00000000-0005-0000-0000-00005A1F0000}"/>
    <cellStyle name="Normal 9 2 3 8 2 2" xfId="15392" xr:uid="{04DC1303-3265-42C0-A865-4B029A51AC1D}"/>
    <cellStyle name="Normal 9 2 3 8 3" xfId="11174" xr:uid="{BFD09881-C118-491A-806D-7D54DF8E886E}"/>
    <cellStyle name="Normal 9 2 3 9" xfId="4885" xr:uid="{00000000-0005-0000-0000-00005B1F0000}"/>
    <cellStyle name="Normal 9 2 3 9 2" xfId="13327" xr:uid="{08894088-4104-488B-B8D1-7AED1653C51C}"/>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43A44B98-FF14-41AC-BA2A-5804E50F31FC}"/>
    <cellStyle name="Normal 9 2 4 2 2 2 3" xfId="11672" xr:uid="{C26D965D-DB4F-4018-865E-1355B7687422}"/>
    <cellStyle name="Normal 9 2 4 2 2 3" xfId="5303" xr:uid="{00000000-0005-0000-0000-0000611F0000}"/>
    <cellStyle name="Normal 9 2 4 2 2 3 2" xfId="13745" xr:uid="{27F84C53-BE14-42FE-BA55-1CFFD20A64A1}"/>
    <cellStyle name="Normal 9 2 4 2 2 4" xfId="9527" xr:uid="{65F05532-A51E-4309-9173-070B77A7A861}"/>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AAA43127-785B-4F9A-A87B-23220E846CCC}"/>
    <cellStyle name="Normal 9 2 4 2 3 2 3" xfId="12085" xr:uid="{AE8295B8-C098-4CA4-A1FA-492DCDF2D404}"/>
    <cellStyle name="Normal 9 2 4 2 3 3" xfId="5716" xr:uid="{00000000-0005-0000-0000-0000651F0000}"/>
    <cellStyle name="Normal 9 2 4 2 3 3 2" xfId="14158" xr:uid="{9ED43791-075C-437B-999A-14DBF8C23A64}"/>
    <cellStyle name="Normal 9 2 4 2 3 4" xfId="9940" xr:uid="{9E470AB7-0DFF-416F-BF0C-363390614B4E}"/>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532FC87D-2DB3-4D48-AE73-590A110ABB81}"/>
    <cellStyle name="Normal 9 2 4 2 4 2 3" xfId="12498" xr:uid="{A43E3700-AB86-4B16-98F4-7AB01C3D0C43}"/>
    <cellStyle name="Normal 9 2 4 2 4 3" xfId="6129" xr:uid="{00000000-0005-0000-0000-0000691F0000}"/>
    <cellStyle name="Normal 9 2 4 2 4 3 2" xfId="14571" xr:uid="{F7A8DC96-47A6-4EFB-99DF-18F871A0C7A0}"/>
    <cellStyle name="Normal 9 2 4 2 4 4" xfId="10353" xr:uid="{B5C9E57C-96DB-4458-941D-5447006040F4}"/>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52CB5893-0614-445B-825A-A783E25D531F}"/>
    <cellStyle name="Normal 9 2 4 2 5 2 3" xfId="12911" xr:uid="{CB8303E3-56D0-4617-A611-E723C280D2A0}"/>
    <cellStyle name="Normal 9 2 4 2 5 3" xfId="6542" xr:uid="{00000000-0005-0000-0000-00006D1F0000}"/>
    <cellStyle name="Normal 9 2 4 2 5 3 2" xfId="14984" xr:uid="{DCC8BDB2-3DAA-467B-866C-092A7FEA42E3}"/>
    <cellStyle name="Normal 9 2 4 2 5 4" xfId="10766" xr:uid="{F3808899-F56E-4E5B-BFFB-379DC6385658}"/>
    <cellStyle name="Normal 9 2 4 2 6" xfId="2671" xr:uid="{00000000-0005-0000-0000-00006E1F0000}"/>
    <cellStyle name="Normal 9 2 4 2 6 2" xfId="6955" xr:uid="{00000000-0005-0000-0000-00006F1F0000}"/>
    <cellStyle name="Normal 9 2 4 2 6 2 2" xfId="15397" xr:uid="{DD4BA299-8C92-4D52-8DBF-2B35D4879286}"/>
    <cellStyle name="Normal 9 2 4 2 6 3" xfId="11179" xr:uid="{86B280AF-B91E-460C-BB4B-E62E6F651156}"/>
    <cellStyle name="Normal 9 2 4 2 7" xfId="4890" xr:uid="{00000000-0005-0000-0000-0000701F0000}"/>
    <cellStyle name="Normal 9 2 4 2 7 2" xfId="13332" xr:uid="{52FFC633-0BA4-46A1-BDE0-93FA6786C34A}"/>
    <cellStyle name="Normal 9 2 4 2 8" xfId="9114" xr:uid="{F16BE5F8-238F-42FB-AC64-A8521889E423}"/>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7DBA4856-16CA-4FBB-A6C9-64F9F71410C7}"/>
    <cellStyle name="Normal 9 2 4 3 2 3" xfId="11671" xr:uid="{403FDFCE-3D77-44C5-A108-7B93EC002DF4}"/>
    <cellStyle name="Normal 9 2 4 3 3" xfId="5302" xr:uid="{00000000-0005-0000-0000-0000741F0000}"/>
    <cellStyle name="Normal 9 2 4 3 3 2" xfId="13744" xr:uid="{DF03D00F-1063-43AE-9AE1-CFAE0F4F77B0}"/>
    <cellStyle name="Normal 9 2 4 3 4" xfId="9526" xr:uid="{5EC25A7F-9716-4BF8-BF36-C83566F2D4F2}"/>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E5EC042C-F9E5-4F83-BE1F-50036C3D8C46}"/>
    <cellStyle name="Normal 9 2 4 4 2 3" xfId="12084" xr:uid="{E5FC8901-B028-4A85-9411-CB72CF2FA140}"/>
    <cellStyle name="Normal 9 2 4 4 3" xfId="5715" xr:uid="{00000000-0005-0000-0000-0000781F0000}"/>
    <cellStyle name="Normal 9 2 4 4 3 2" xfId="14157" xr:uid="{2DA41B7C-7ECD-46D7-BACF-CFDDA93C1F9B}"/>
    <cellStyle name="Normal 9 2 4 4 4" xfId="9939" xr:uid="{B9669670-CC42-41C6-81A3-A7EC90382F9A}"/>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74F08A2A-0DF3-4FCD-BA45-B19EBC4F1441}"/>
    <cellStyle name="Normal 9 2 4 5 2 3" xfId="12497" xr:uid="{27904034-B949-4552-B400-FDE86E6614D2}"/>
    <cellStyle name="Normal 9 2 4 5 3" xfId="6128" xr:uid="{00000000-0005-0000-0000-00007C1F0000}"/>
    <cellStyle name="Normal 9 2 4 5 3 2" xfId="14570" xr:uid="{0CFD0103-72BA-4CF8-95F8-691C22D4743B}"/>
    <cellStyle name="Normal 9 2 4 5 4" xfId="10352" xr:uid="{D5647311-F3C0-46CA-99D6-822AAFE2DE45}"/>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86859019-57BB-48BB-983F-DE4639C66CF4}"/>
    <cellStyle name="Normal 9 2 4 6 2 3" xfId="12910" xr:uid="{CB54F506-9DBE-455B-975B-1EC757ADDBB6}"/>
    <cellStyle name="Normal 9 2 4 6 3" xfId="6541" xr:uid="{00000000-0005-0000-0000-0000801F0000}"/>
    <cellStyle name="Normal 9 2 4 6 3 2" xfId="14983" xr:uid="{D5E6E3DF-AF02-46A8-AE61-ADAA7A3809B2}"/>
    <cellStyle name="Normal 9 2 4 6 4" xfId="10765" xr:uid="{7E2ED15F-1AA1-4A2D-8B62-ACD9CB0AEB81}"/>
    <cellStyle name="Normal 9 2 4 7" xfId="2670" xr:uid="{00000000-0005-0000-0000-0000811F0000}"/>
    <cellStyle name="Normal 9 2 4 7 2" xfId="6954" xr:uid="{00000000-0005-0000-0000-0000821F0000}"/>
    <cellStyle name="Normal 9 2 4 7 2 2" xfId="15396" xr:uid="{0EC5B66B-E3A1-4990-8929-3E8BB11A3021}"/>
    <cellStyle name="Normal 9 2 4 7 3" xfId="11178" xr:uid="{907CCC6C-76AB-4FB4-8190-BC4BCB87370D}"/>
    <cellStyle name="Normal 9 2 4 8" xfId="4889" xr:uid="{00000000-0005-0000-0000-0000831F0000}"/>
    <cellStyle name="Normal 9 2 4 8 2" xfId="13331" xr:uid="{62FAC632-65DA-454A-AE63-C4FD35BE63D9}"/>
    <cellStyle name="Normal 9 2 4 9" xfId="9113" xr:uid="{57E8FCAC-5D3B-4F29-B44A-42E234DF0696}"/>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16FB6053-7379-46FA-A8E8-858D73AD1578}"/>
    <cellStyle name="Normal 9 2 5 2 2 3" xfId="11673" xr:uid="{03EE8C47-1ABB-4B4D-A11C-E99EBBD066F5}"/>
    <cellStyle name="Normal 9 2 5 2 3" xfId="5304" xr:uid="{00000000-0005-0000-0000-0000881F0000}"/>
    <cellStyle name="Normal 9 2 5 2 3 2" xfId="13746" xr:uid="{035A1F7C-E1E8-400A-B643-ECAB17284E72}"/>
    <cellStyle name="Normal 9 2 5 2 4" xfId="9528" xr:uid="{C1A63C12-4CA3-4F17-BDB8-E38559B3755B}"/>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67DDBF14-9A5E-458D-BA2E-FF784057757C}"/>
    <cellStyle name="Normal 9 2 5 3 2 3" xfId="12086" xr:uid="{DA69D0FD-0497-4F2F-A13B-17B148C2386B}"/>
    <cellStyle name="Normal 9 2 5 3 3" xfId="5717" xr:uid="{00000000-0005-0000-0000-00008C1F0000}"/>
    <cellStyle name="Normal 9 2 5 3 3 2" xfId="14159" xr:uid="{E5BEB903-054A-4E21-A1B1-FEE7B74E17D1}"/>
    <cellStyle name="Normal 9 2 5 3 4" xfId="9941" xr:uid="{388DAC3B-2E57-4EBC-B0E8-23E34471877C}"/>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4D732FF8-9DE6-4350-B90A-3763C86CCB73}"/>
    <cellStyle name="Normal 9 2 5 4 2 3" xfId="12499" xr:uid="{156900A1-E035-4C9C-AD78-F32CF5AAA6B1}"/>
    <cellStyle name="Normal 9 2 5 4 3" xfId="6130" xr:uid="{00000000-0005-0000-0000-0000901F0000}"/>
    <cellStyle name="Normal 9 2 5 4 3 2" xfId="14572" xr:uid="{8F814DFB-EF85-4E93-B539-DB9A4664E3C1}"/>
    <cellStyle name="Normal 9 2 5 4 4" xfId="10354" xr:uid="{2AE11E79-32EC-4976-BAA0-921E37AB1ADE}"/>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9E600E94-639A-4A6E-9C06-0D0A68BBC767}"/>
    <cellStyle name="Normal 9 2 5 5 2 3" xfId="12912" xr:uid="{EFD802EE-E968-4713-A03B-CA302613387E}"/>
    <cellStyle name="Normal 9 2 5 5 3" xfId="6543" xr:uid="{00000000-0005-0000-0000-0000941F0000}"/>
    <cellStyle name="Normal 9 2 5 5 3 2" xfId="14985" xr:uid="{3C76613C-3351-4520-A02C-F0310FD813D3}"/>
    <cellStyle name="Normal 9 2 5 5 4" xfId="10767" xr:uid="{E40EE3BE-155B-4599-9D0B-B6C7AE9C49E7}"/>
    <cellStyle name="Normal 9 2 5 6" xfId="2672" xr:uid="{00000000-0005-0000-0000-0000951F0000}"/>
    <cellStyle name="Normal 9 2 5 6 2" xfId="6956" xr:uid="{00000000-0005-0000-0000-0000961F0000}"/>
    <cellStyle name="Normal 9 2 5 6 2 2" xfId="15398" xr:uid="{553482EC-3355-41FD-BC2C-3021143537E2}"/>
    <cellStyle name="Normal 9 2 5 6 3" xfId="11180" xr:uid="{C8C3B7C8-4019-46F2-AAF9-8074F7CC2D37}"/>
    <cellStyle name="Normal 9 2 5 7" xfId="4891" xr:uid="{00000000-0005-0000-0000-0000971F0000}"/>
    <cellStyle name="Normal 9 2 5 7 2" xfId="13333" xr:uid="{51D94AA6-7511-4D41-8D83-E33D2E0F0F61}"/>
    <cellStyle name="Normal 9 2 5 8" xfId="9115" xr:uid="{EDD3411F-4E65-4ED1-805D-1E8B14B0E114}"/>
    <cellStyle name="Normal 9 2 6" xfId="978" xr:uid="{00000000-0005-0000-0000-0000981F0000}"/>
    <cellStyle name="Normal 9 2 6 2" xfId="3211" xr:uid="{00000000-0005-0000-0000-0000991F0000}"/>
    <cellStyle name="Normal 9 2 6 2 2" xfId="7434" xr:uid="{00000000-0005-0000-0000-00009A1F0000}"/>
    <cellStyle name="Normal 9 2 6 2 2 2" xfId="15876" xr:uid="{A9393E8E-9B32-439B-B882-8B06E4ECAE5D}"/>
    <cellStyle name="Normal 9 2 6 2 3" xfId="11658" xr:uid="{21CA43F7-9109-4299-A43E-09110498D99E}"/>
    <cellStyle name="Normal 9 2 6 3" xfId="5289" xr:uid="{00000000-0005-0000-0000-00009B1F0000}"/>
    <cellStyle name="Normal 9 2 6 3 2" xfId="13731" xr:uid="{97821809-EF58-44E5-BEBF-F3977294E73C}"/>
    <cellStyle name="Normal 9 2 6 4" xfId="9513" xr:uid="{7412093B-8AB0-47C4-A1CF-16EB3573F421}"/>
    <cellStyle name="Normal 9 2 7" xfId="1394" xr:uid="{00000000-0005-0000-0000-00009C1F0000}"/>
    <cellStyle name="Normal 9 2 7 2" xfId="3624" xr:uid="{00000000-0005-0000-0000-00009D1F0000}"/>
    <cellStyle name="Normal 9 2 7 2 2" xfId="7847" xr:uid="{00000000-0005-0000-0000-00009E1F0000}"/>
    <cellStyle name="Normal 9 2 7 2 2 2" xfId="16289" xr:uid="{86A57765-EE68-4581-9B54-69A66835441D}"/>
    <cellStyle name="Normal 9 2 7 2 3" xfId="12071" xr:uid="{1A065F59-935C-41BD-BDF5-27FD2174C580}"/>
    <cellStyle name="Normal 9 2 7 3" xfId="5702" xr:uid="{00000000-0005-0000-0000-00009F1F0000}"/>
    <cellStyle name="Normal 9 2 7 3 2" xfId="14144" xr:uid="{E4DEB831-84F5-4CF8-AE76-104FE69F0956}"/>
    <cellStyle name="Normal 9 2 7 4" xfId="9926" xr:uid="{F33C991A-8DBA-4733-A26D-C4CBEA42C265}"/>
    <cellStyle name="Normal 9 2 8" xfId="1807" xr:uid="{00000000-0005-0000-0000-0000A01F0000}"/>
    <cellStyle name="Normal 9 2 8 2" xfId="4037" xr:uid="{00000000-0005-0000-0000-0000A11F0000}"/>
    <cellStyle name="Normal 9 2 8 2 2" xfId="8260" xr:uid="{00000000-0005-0000-0000-0000A21F0000}"/>
    <cellStyle name="Normal 9 2 8 2 2 2" xfId="16702" xr:uid="{D1D3BA2A-0863-4CB0-9C00-880EF33644FF}"/>
    <cellStyle name="Normal 9 2 8 2 3" xfId="12484" xr:uid="{C4472E58-A60A-412E-AC8A-8C5B484E2B27}"/>
    <cellStyle name="Normal 9 2 8 3" xfId="6115" xr:uid="{00000000-0005-0000-0000-0000A31F0000}"/>
    <cellStyle name="Normal 9 2 8 3 2" xfId="14557" xr:uid="{49F08719-3002-433D-8C28-3EEEBB717854}"/>
    <cellStyle name="Normal 9 2 8 4" xfId="10339" xr:uid="{7820CD11-4D5E-47C3-9BD9-57FA6AE0B054}"/>
    <cellStyle name="Normal 9 2 9" xfId="2221" xr:uid="{00000000-0005-0000-0000-0000A41F0000}"/>
    <cellStyle name="Normal 9 2 9 2" xfId="4450" xr:uid="{00000000-0005-0000-0000-0000A51F0000}"/>
    <cellStyle name="Normal 9 2 9 2 2" xfId="8673" xr:uid="{00000000-0005-0000-0000-0000A61F0000}"/>
    <cellStyle name="Normal 9 2 9 2 2 2" xfId="17115" xr:uid="{2FB860D3-3CF2-410B-AB8F-2CFA50378F7D}"/>
    <cellStyle name="Normal 9 2 9 2 3" xfId="12897" xr:uid="{58422646-7AAC-48B0-B5F7-C6607679F93F}"/>
    <cellStyle name="Normal 9 2 9 3" xfId="6528" xr:uid="{00000000-0005-0000-0000-0000A71F0000}"/>
    <cellStyle name="Normal 9 2 9 3 2" xfId="14970" xr:uid="{CAF17EE3-3CDC-44D8-9FD7-3483BEE955BE}"/>
    <cellStyle name="Normal 9 2 9 4" xfId="10752" xr:uid="{D66F90CC-89B3-4CEE-97C2-4ADF773D9D02}"/>
    <cellStyle name="Normal 9 3" xfId="527" xr:uid="{00000000-0005-0000-0000-0000A81F0000}"/>
    <cellStyle name="Normal 9 3 10" xfId="4892" xr:uid="{00000000-0005-0000-0000-0000A91F0000}"/>
    <cellStyle name="Normal 9 3 10 2" xfId="13334" xr:uid="{85760CB1-B796-4157-B7DA-0CED30061203}"/>
    <cellStyle name="Normal 9 3 11" xfId="9116" xr:uid="{38701395-514D-43E1-8043-A3FCF06F7BBC}"/>
    <cellStyle name="Normal 9 3 2" xfId="528" xr:uid="{00000000-0005-0000-0000-0000AA1F0000}"/>
    <cellStyle name="Normal 9 3 2 10" xfId="9117" xr:uid="{26565918-F109-44E0-B838-8545DACAF9CC}"/>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4ABA0FE1-5D4C-44C1-8C92-A03965622A52}"/>
    <cellStyle name="Normal 9 3 2 2 2 2 2 3" xfId="11677" xr:uid="{1FC70632-C807-4DB4-9EDB-77B69C987EC2}"/>
    <cellStyle name="Normal 9 3 2 2 2 2 3" xfId="5308" xr:uid="{00000000-0005-0000-0000-0000B01F0000}"/>
    <cellStyle name="Normal 9 3 2 2 2 2 3 2" xfId="13750" xr:uid="{9F2BC22E-05DE-4050-88C6-3E1DA3780169}"/>
    <cellStyle name="Normal 9 3 2 2 2 2 4" xfId="9532" xr:uid="{9821558C-5533-4B1F-99DF-5F61F9267CCE}"/>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D46CF2DC-7E2E-4137-9FF2-5D6EF606B6E2}"/>
    <cellStyle name="Normal 9 3 2 2 2 3 2 3" xfId="12090" xr:uid="{D16C8F72-BA91-4B02-B852-430C84D651B6}"/>
    <cellStyle name="Normal 9 3 2 2 2 3 3" xfId="5721" xr:uid="{00000000-0005-0000-0000-0000B41F0000}"/>
    <cellStyle name="Normal 9 3 2 2 2 3 3 2" xfId="14163" xr:uid="{3FEEECB3-7D3E-48F9-AB97-3ED1BF2CCF77}"/>
    <cellStyle name="Normal 9 3 2 2 2 3 4" xfId="9945" xr:uid="{CF8CB10B-88C5-443C-A47B-60AE5CC618CE}"/>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BDB6A9C7-1C5A-48DB-A446-40101B367097}"/>
    <cellStyle name="Normal 9 3 2 2 2 4 2 3" xfId="12503" xr:uid="{462B55A2-222B-4D4D-8A24-6C5225BAE208}"/>
    <cellStyle name="Normal 9 3 2 2 2 4 3" xfId="6134" xr:uid="{00000000-0005-0000-0000-0000B81F0000}"/>
    <cellStyle name="Normal 9 3 2 2 2 4 3 2" xfId="14576" xr:uid="{A8439A44-023D-4624-AEF4-C0B31F29F53C}"/>
    <cellStyle name="Normal 9 3 2 2 2 4 4" xfId="10358" xr:uid="{968B7661-A93B-4438-BCC3-966B858B14A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FC76C5FD-8480-4944-9F95-313636848529}"/>
    <cellStyle name="Normal 9 3 2 2 2 5 2 3" xfId="12916" xr:uid="{1A88DDCA-1264-4D08-AC3E-3DEFF9AD8A0F}"/>
    <cellStyle name="Normal 9 3 2 2 2 5 3" xfId="6547" xr:uid="{00000000-0005-0000-0000-0000BC1F0000}"/>
    <cellStyle name="Normal 9 3 2 2 2 5 3 2" xfId="14989" xr:uid="{930E69D7-9828-4B66-A4C8-2322D5D0A64F}"/>
    <cellStyle name="Normal 9 3 2 2 2 5 4" xfId="10771" xr:uid="{6794F1AA-344F-4DAC-8774-F4E52BDA8495}"/>
    <cellStyle name="Normal 9 3 2 2 2 6" xfId="2676" xr:uid="{00000000-0005-0000-0000-0000BD1F0000}"/>
    <cellStyle name="Normal 9 3 2 2 2 6 2" xfId="6960" xr:uid="{00000000-0005-0000-0000-0000BE1F0000}"/>
    <cellStyle name="Normal 9 3 2 2 2 6 2 2" xfId="15402" xr:uid="{EFB9FCF8-F863-4E26-AC77-040513EC3A7E}"/>
    <cellStyle name="Normal 9 3 2 2 2 6 3" xfId="11184" xr:uid="{484D452E-3A6B-4034-BBB3-25780BF689CC}"/>
    <cellStyle name="Normal 9 3 2 2 2 7" xfId="4895" xr:uid="{00000000-0005-0000-0000-0000BF1F0000}"/>
    <cellStyle name="Normal 9 3 2 2 2 7 2" xfId="13337" xr:uid="{CF85C963-F550-4BC1-BB46-02EA9F174343}"/>
    <cellStyle name="Normal 9 3 2 2 2 8" xfId="9119" xr:uid="{394CCD0E-527C-494D-9535-2B3A9DCCC573}"/>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670DBACC-80AA-4E9B-B623-3CEEB3EA146B}"/>
    <cellStyle name="Normal 9 3 2 2 3 2 3" xfId="11676" xr:uid="{4A998044-B787-41EB-B833-53288B5A6C28}"/>
    <cellStyle name="Normal 9 3 2 2 3 3" xfId="5307" xr:uid="{00000000-0005-0000-0000-0000C31F0000}"/>
    <cellStyle name="Normal 9 3 2 2 3 3 2" xfId="13749" xr:uid="{7B6BDF63-D16B-4425-972D-07C03F670D38}"/>
    <cellStyle name="Normal 9 3 2 2 3 4" xfId="9531" xr:uid="{B07CDAC5-37D2-41D3-9FD6-7396E9471982}"/>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42A99F8D-5BF5-4F83-AD70-8BDB8F9039CB}"/>
    <cellStyle name="Normal 9 3 2 2 4 2 3" xfId="12089" xr:uid="{BF8A8A9E-06A7-432E-A2A8-52D047BF4685}"/>
    <cellStyle name="Normal 9 3 2 2 4 3" xfId="5720" xr:uid="{00000000-0005-0000-0000-0000C71F0000}"/>
    <cellStyle name="Normal 9 3 2 2 4 3 2" xfId="14162" xr:uid="{CD3578A8-81F2-4067-99D6-74F3906D6E71}"/>
    <cellStyle name="Normal 9 3 2 2 4 4" xfId="9944" xr:uid="{C1A72682-EA26-4634-A31F-6AADCAA28B65}"/>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69A81AFA-853F-4946-A082-C3691DFB3AA3}"/>
    <cellStyle name="Normal 9 3 2 2 5 2 3" xfId="12502" xr:uid="{F8C094D3-6592-43AB-82B3-5B7A98F44CC0}"/>
    <cellStyle name="Normal 9 3 2 2 5 3" xfId="6133" xr:uid="{00000000-0005-0000-0000-0000CB1F0000}"/>
    <cellStyle name="Normal 9 3 2 2 5 3 2" xfId="14575" xr:uid="{3C2CCEB6-21B1-40C2-8DFF-1AB2511BAF9E}"/>
    <cellStyle name="Normal 9 3 2 2 5 4" xfId="10357" xr:uid="{D7326FFE-8511-4853-81E5-63F24BBD9AED}"/>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4659A5A1-26CE-40E3-8F2A-7DB5141AE844}"/>
    <cellStyle name="Normal 9 3 2 2 6 2 3" xfId="12915" xr:uid="{03651F2F-821E-43AB-9C2E-0DED68794603}"/>
    <cellStyle name="Normal 9 3 2 2 6 3" xfId="6546" xr:uid="{00000000-0005-0000-0000-0000CF1F0000}"/>
    <cellStyle name="Normal 9 3 2 2 6 3 2" xfId="14988" xr:uid="{D8512966-86B1-439F-93F4-D14C5E6A133F}"/>
    <cellStyle name="Normal 9 3 2 2 6 4" xfId="10770" xr:uid="{52875DBB-8E68-4591-8311-1BA076CC3D0F}"/>
    <cellStyle name="Normal 9 3 2 2 7" xfId="2675" xr:uid="{00000000-0005-0000-0000-0000D01F0000}"/>
    <cellStyle name="Normal 9 3 2 2 7 2" xfId="6959" xr:uid="{00000000-0005-0000-0000-0000D11F0000}"/>
    <cellStyle name="Normal 9 3 2 2 7 2 2" xfId="15401" xr:uid="{98810764-F4B0-4966-8409-63988CD77EC4}"/>
    <cellStyle name="Normal 9 3 2 2 7 3" xfId="11183" xr:uid="{D41709CC-96A9-4DBD-BCEF-344B0BEFF8E2}"/>
    <cellStyle name="Normal 9 3 2 2 8" xfId="4894" xr:uid="{00000000-0005-0000-0000-0000D21F0000}"/>
    <cellStyle name="Normal 9 3 2 2 8 2" xfId="13336" xr:uid="{4DC3B95C-6DCC-4E56-8C8A-DD2C451FE8DA}"/>
    <cellStyle name="Normal 9 3 2 2 9" xfId="9118" xr:uid="{73DBC13B-FD37-4484-832B-D6B8B46A20C2}"/>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817B13A3-6EAB-44C0-AE3D-C4D77118B7E1}"/>
    <cellStyle name="Normal 9 3 2 3 2 2 3" xfId="11678" xr:uid="{247BFFD7-A20D-4894-AD95-A7205C02335B}"/>
    <cellStyle name="Normal 9 3 2 3 2 3" xfId="5309" xr:uid="{00000000-0005-0000-0000-0000D71F0000}"/>
    <cellStyle name="Normal 9 3 2 3 2 3 2" xfId="13751" xr:uid="{71AFB4DE-E355-4CCC-AE90-7AB24C98D6A9}"/>
    <cellStyle name="Normal 9 3 2 3 2 4" xfId="9533" xr:uid="{6F7411D8-5783-4DB8-9BAC-ABD3A6764646}"/>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CF99E472-99E4-4E70-92D4-CD522F209505}"/>
    <cellStyle name="Normal 9 3 2 3 3 2 3" xfId="12091" xr:uid="{D2A9FE7A-8E5E-457C-8DE1-2BC3810C2022}"/>
    <cellStyle name="Normal 9 3 2 3 3 3" xfId="5722" xr:uid="{00000000-0005-0000-0000-0000DB1F0000}"/>
    <cellStyle name="Normal 9 3 2 3 3 3 2" xfId="14164" xr:uid="{8D95BC1A-7901-4B53-BD5B-C465A265AC9A}"/>
    <cellStyle name="Normal 9 3 2 3 3 4" xfId="9946" xr:uid="{7D7D25A8-A381-4956-A53B-DB4D89473C13}"/>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67C541EC-D1E1-4BDA-87DF-F44802F8CC2E}"/>
    <cellStyle name="Normal 9 3 2 3 4 2 3" xfId="12504" xr:uid="{E1517F5B-EF75-4638-AE01-E8AC731976F7}"/>
    <cellStyle name="Normal 9 3 2 3 4 3" xfId="6135" xr:uid="{00000000-0005-0000-0000-0000DF1F0000}"/>
    <cellStyle name="Normal 9 3 2 3 4 3 2" xfId="14577" xr:uid="{43F8AFA3-FA50-453B-B6BA-2FD7D0C106CD}"/>
    <cellStyle name="Normal 9 3 2 3 4 4" xfId="10359" xr:uid="{81BC2A36-8663-462F-BF8D-5842E0BC4249}"/>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6F00B6C3-1EB3-478C-BE32-A1C565E85364}"/>
    <cellStyle name="Normal 9 3 2 3 5 2 3" xfId="12917" xr:uid="{B3C67BA0-7AB4-4BB6-8391-BFD66C5F90F5}"/>
    <cellStyle name="Normal 9 3 2 3 5 3" xfId="6548" xr:uid="{00000000-0005-0000-0000-0000E31F0000}"/>
    <cellStyle name="Normal 9 3 2 3 5 3 2" xfId="14990" xr:uid="{468E7213-DA4B-4012-905B-43148471897F}"/>
    <cellStyle name="Normal 9 3 2 3 5 4" xfId="10772" xr:uid="{84FF621B-9F69-4063-A9E3-3B8E6F76FFBC}"/>
    <cellStyle name="Normal 9 3 2 3 6" xfId="2677" xr:uid="{00000000-0005-0000-0000-0000E41F0000}"/>
    <cellStyle name="Normal 9 3 2 3 6 2" xfId="6961" xr:uid="{00000000-0005-0000-0000-0000E51F0000}"/>
    <cellStyle name="Normal 9 3 2 3 6 2 2" xfId="15403" xr:uid="{529F515A-A01A-408B-8A60-7AE42363D869}"/>
    <cellStyle name="Normal 9 3 2 3 6 3" xfId="11185" xr:uid="{5BC43775-E99B-4B7C-8452-80D03649B56E}"/>
    <cellStyle name="Normal 9 3 2 3 7" xfId="4896" xr:uid="{00000000-0005-0000-0000-0000E61F0000}"/>
    <cellStyle name="Normal 9 3 2 3 7 2" xfId="13338" xr:uid="{1358D70C-6058-400F-AD44-84C184CD9816}"/>
    <cellStyle name="Normal 9 3 2 3 8" xfId="9120" xr:uid="{F7D069AC-E878-4BC6-99AD-E873CA79A6F2}"/>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BE962152-7F24-46FE-8164-0D6188951992}"/>
    <cellStyle name="Normal 9 3 2 4 2 3" xfId="11675" xr:uid="{7741BBC7-CC58-4CF4-8772-1C22B5226CC8}"/>
    <cellStyle name="Normal 9 3 2 4 3" xfId="5306" xr:uid="{00000000-0005-0000-0000-0000EA1F0000}"/>
    <cellStyle name="Normal 9 3 2 4 3 2" xfId="13748" xr:uid="{B78D485D-26AF-4EB0-A6C9-6A893587EF3B}"/>
    <cellStyle name="Normal 9 3 2 4 4" xfId="9530" xr:uid="{FC4B0220-2213-4A64-B334-F43BE42FA0F4}"/>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6D37661B-3475-4929-98C3-0FF94F38083E}"/>
    <cellStyle name="Normal 9 3 2 5 2 3" xfId="12088" xr:uid="{18C14C2F-7E59-4260-A9B5-D785D0C9B788}"/>
    <cellStyle name="Normal 9 3 2 5 3" xfId="5719" xr:uid="{00000000-0005-0000-0000-0000EE1F0000}"/>
    <cellStyle name="Normal 9 3 2 5 3 2" xfId="14161" xr:uid="{3595F142-D80E-4F3F-9CE3-8C5AAD21CC6A}"/>
    <cellStyle name="Normal 9 3 2 5 4" xfId="9943" xr:uid="{B1EEF7CF-8B80-4E48-9C8A-8BC2D738073B}"/>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427DCA47-8E0E-42D0-A7B7-DBA57061E402}"/>
    <cellStyle name="Normal 9 3 2 6 2 3" xfId="12501" xr:uid="{4E327661-B40A-430C-A7C3-76D965CF5B86}"/>
    <cellStyle name="Normal 9 3 2 6 3" xfId="6132" xr:uid="{00000000-0005-0000-0000-0000F21F0000}"/>
    <cellStyle name="Normal 9 3 2 6 3 2" xfId="14574" xr:uid="{7EDAF3FE-6086-4464-8A95-1172DCEDC428}"/>
    <cellStyle name="Normal 9 3 2 6 4" xfId="10356" xr:uid="{D51D730E-D675-45CC-A173-3159861A468D}"/>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527B1A67-7BB9-4104-A2AB-FCC5EED8F236}"/>
    <cellStyle name="Normal 9 3 2 7 2 3" xfId="12914" xr:uid="{4C243AEE-966D-429F-B749-DF30F3C3AEF7}"/>
    <cellStyle name="Normal 9 3 2 7 3" xfId="6545" xr:uid="{00000000-0005-0000-0000-0000F61F0000}"/>
    <cellStyle name="Normal 9 3 2 7 3 2" xfId="14987" xr:uid="{E1716EFA-A8A7-4B07-8403-A2A729DD1D09}"/>
    <cellStyle name="Normal 9 3 2 7 4" xfId="10769" xr:uid="{499BAA8A-FF41-446D-B9BF-0BCACEA674B1}"/>
    <cellStyle name="Normal 9 3 2 8" xfId="2674" xr:uid="{00000000-0005-0000-0000-0000F71F0000}"/>
    <cellStyle name="Normal 9 3 2 8 2" xfId="6958" xr:uid="{00000000-0005-0000-0000-0000F81F0000}"/>
    <cellStyle name="Normal 9 3 2 8 2 2" xfId="15400" xr:uid="{FDA2E594-8C31-43BB-A5CB-C700D9ABDA6C}"/>
    <cellStyle name="Normal 9 3 2 8 3" xfId="11182" xr:uid="{5481EFCC-0D1F-4EF9-84AC-C7626EC80260}"/>
    <cellStyle name="Normal 9 3 2 9" xfId="4893" xr:uid="{00000000-0005-0000-0000-0000F91F0000}"/>
    <cellStyle name="Normal 9 3 2 9 2" xfId="13335" xr:uid="{AE2324DE-83A7-489A-8292-CEA2FAFE60B2}"/>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DAF12C9F-3E2C-4060-BABF-B4CD2EBF02B9}"/>
    <cellStyle name="Normal 9 3 3 2 2 2 3" xfId="11680" xr:uid="{B1753E5B-FD28-4C89-8251-A1E732B962C8}"/>
    <cellStyle name="Normal 9 3 3 2 2 3" xfId="5311" xr:uid="{00000000-0005-0000-0000-0000FF1F0000}"/>
    <cellStyle name="Normal 9 3 3 2 2 3 2" xfId="13753" xr:uid="{46C73B71-E059-4B89-B2DE-1C3A776EB561}"/>
    <cellStyle name="Normal 9 3 3 2 2 4" xfId="9535" xr:uid="{96A66184-7FAA-47A9-8FBF-D694008BB872}"/>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9F8087A6-3344-4185-AF54-491A726D9F5A}"/>
    <cellStyle name="Normal 9 3 3 2 3 2 3" xfId="12093" xr:uid="{23737561-0C76-48F4-AE98-9397E0D410CC}"/>
    <cellStyle name="Normal 9 3 3 2 3 3" xfId="5724" xr:uid="{00000000-0005-0000-0000-000003200000}"/>
    <cellStyle name="Normal 9 3 3 2 3 3 2" xfId="14166" xr:uid="{818936C3-2CD1-41C8-846E-92C9023530ED}"/>
    <cellStyle name="Normal 9 3 3 2 3 4" xfId="9948" xr:uid="{5B2495E3-BADA-4834-A4AF-A5E29E55D2F8}"/>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0E8C5A57-623A-4CC8-9CFB-84B6A27A58BC}"/>
    <cellStyle name="Normal 9 3 3 2 4 2 3" xfId="12506" xr:uid="{DAE43D68-8691-4838-9C17-259566C1411B}"/>
    <cellStyle name="Normal 9 3 3 2 4 3" xfId="6137" xr:uid="{00000000-0005-0000-0000-000007200000}"/>
    <cellStyle name="Normal 9 3 3 2 4 3 2" xfId="14579" xr:uid="{B1A6546C-7AE0-445B-A19B-40F027259C0F}"/>
    <cellStyle name="Normal 9 3 3 2 4 4" xfId="10361" xr:uid="{B3AC8DA4-2D15-4EE2-80E3-494B7C285CE5}"/>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8BECA2D0-F91A-417C-85F2-A4EC4A4B247F}"/>
    <cellStyle name="Normal 9 3 3 2 5 2 3" xfId="12919" xr:uid="{4ED69917-5E9B-468D-A941-A696476B530B}"/>
    <cellStyle name="Normal 9 3 3 2 5 3" xfId="6550" xr:uid="{00000000-0005-0000-0000-00000B200000}"/>
    <cellStyle name="Normal 9 3 3 2 5 3 2" xfId="14992" xr:uid="{CF2F72DE-53D4-410A-8231-2D75F821FEE8}"/>
    <cellStyle name="Normal 9 3 3 2 5 4" xfId="10774" xr:uid="{42BECDF4-A20E-474B-A6FF-24C29B2073FE}"/>
    <cellStyle name="Normal 9 3 3 2 6" xfId="2679" xr:uid="{00000000-0005-0000-0000-00000C200000}"/>
    <cellStyle name="Normal 9 3 3 2 6 2" xfId="6963" xr:uid="{00000000-0005-0000-0000-00000D200000}"/>
    <cellStyle name="Normal 9 3 3 2 6 2 2" xfId="15405" xr:uid="{00B8FA88-8FDB-4504-B8D3-983C85024D8E}"/>
    <cellStyle name="Normal 9 3 3 2 6 3" xfId="11187" xr:uid="{10EDA848-D6B6-4314-BB6B-872E6B49DB97}"/>
    <cellStyle name="Normal 9 3 3 2 7" xfId="4898" xr:uid="{00000000-0005-0000-0000-00000E200000}"/>
    <cellStyle name="Normal 9 3 3 2 7 2" xfId="13340" xr:uid="{56A307A8-4C80-4B3F-B47F-E4C92BAF864B}"/>
    <cellStyle name="Normal 9 3 3 2 8" xfId="9122" xr:uid="{423F5879-07E3-40EF-9734-85F99CF8BA2A}"/>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8F78B1BB-23BA-48A2-B207-495535565543}"/>
    <cellStyle name="Normal 9 3 3 3 2 3" xfId="11679" xr:uid="{DCD366B2-0E98-4366-B001-D96191A9270B}"/>
    <cellStyle name="Normal 9 3 3 3 3" xfId="5310" xr:uid="{00000000-0005-0000-0000-000012200000}"/>
    <cellStyle name="Normal 9 3 3 3 3 2" xfId="13752" xr:uid="{DF5E40DE-CFA4-494A-B932-AF5BCA4C2771}"/>
    <cellStyle name="Normal 9 3 3 3 4" xfId="9534" xr:uid="{A0BC7360-198D-4DCC-8B55-BFAC0DBE9EE4}"/>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6E3D88E8-0A9B-4A72-813F-60B1F05D8218}"/>
    <cellStyle name="Normal 9 3 3 4 2 3" xfId="12092" xr:uid="{B3FE629F-2CAD-49F9-8708-619FB6F307D0}"/>
    <cellStyle name="Normal 9 3 3 4 3" xfId="5723" xr:uid="{00000000-0005-0000-0000-000016200000}"/>
    <cellStyle name="Normal 9 3 3 4 3 2" xfId="14165" xr:uid="{C74591FF-7A61-4186-B972-BF47E78E22B9}"/>
    <cellStyle name="Normal 9 3 3 4 4" xfId="9947" xr:uid="{345A1324-2C12-4744-AED5-F8C93DEDCF73}"/>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932F4AA5-2CE1-416F-A2E4-42F8B99B5F60}"/>
    <cellStyle name="Normal 9 3 3 5 2 3" xfId="12505" xr:uid="{17618394-AE31-4CB6-B5CF-4EE98E1E28EC}"/>
    <cellStyle name="Normal 9 3 3 5 3" xfId="6136" xr:uid="{00000000-0005-0000-0000-00001A200000}"/>
    <cellStyle name="Normal 9 3 3 5 3 2" xfId="14578" xr:uid="{3A5541F1-8DEC-4BBF-9770-397769543537}"/>
    <cellStyle name="Normal 9 3 3 5 4" xfId="10360" xr:uid="{D927D3FB-D408-4CF6-B121-13C306F74C59}"/>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9D118365-D77A-4926-8314-F51C91641BE8}"/>
    <cellStyle name="Normal 9 3 3 6 2 3" xfId="12918" xr:uid="{094F7182-4E38-48D5-B967-36CA1FF54638}"/>
    <cellStyle name="Normal 9 3 3 6 3" xfId="6549" xr:uid="{00000000-0005-0000-0000-00001E200000}"/>
    <cellStyle name="Normal 9 3 3 6 3 2" xfId="14991" xr:uid="{4BA14F9A-B8A5-415A-9E1C-6221A2ED7DBE}"/>
    <cellStyle name="Normal 9 3 3 6 4" xfId="10773" xr:uid="{7DE537EC-08F6-4D5A-836E-F4F38CF78A7C}"/>
    <cellStyle name="Normal 9 3 3 7" xfId="2678" xr:uid="{00000000-0005-0000-0000-00001F200000}"/>
    <cellStyle name="Normal 9 3 3 7 2" xfId="6962" xr:uid="{00000000-0005-0000-0000-000020200000}"/>
    <cellStyle name="Normal 9 3 3 7 2 2" xfId="15404" xr:uid="{587AD0C1-C0F2-45EE-ACEF-AEF53EE41F09}"/>
    <cellStyle name="Normal 9 3 3 7 3" xfId="11186" xr:uid="{00C62D13-EC7E-431F-9CE5-7C72CFB9BFE6}"/>
    <cellStyle name="Normal 9 3 3 8" xfId="4897" xr:uid="{00000000-0005-0000-0000-000021200000}"/>
    <cellStyle name="Normal 9 3 3 8 2" xfId="13339" xr:uid="{A1CA3C4D-72D6-4280-B1D2-966C16E12783}"/>
    <cellStyle name="Normal 9 3 3 9" xfId="9121" xr:uid="{CFCAD929-14F4-45C2-BBF8-82C33FF1D6D3}"/>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28CD648B-5772-4579-B6CD-510275735762}"/>
    <cellStyle name="Normal 9 3 4 2 2 3" xfId="11681" xr:uid="{AD96190B-6428-40EC-98E8-54C2915EE1A8}"/>
    <cellStyle name="Normal 9 3 4 2 3" xfId="5312" xr:uid="{00000000-0005-0000-0000-000026200000}"/>
    <cellStyle name="Normal 9 3 4 2 3 2" xfId="13754" xr:uid="{13594E65-F673-42F4-B760-92D6AD3EF3D9}"/>
    <cellStyle name="Normal 9 3 4 2 4" xfId="9536" xr:uid="{5FD4B92B-AE80-4BA9-8078-E5F0BAB8B6DA}"/>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028A56B2-5930-4FEF-B07F-151DD5472999}"/>
    <cellStyle name="Normal 9 3 4 3 2 3" xfId="12094" xr:uid="{29E1B1C3-E92B-40B0-9815-C13CF49913EB}"/>
    <cellStyle name="Normal 9 3 4 3 3" xfId="5725" xr:uid="{00000000-0005-0000-0000-00002A200000}"/>
    <cellStyle name="Normal 9 3 4 3 3 2" xfId="14167" xr:uid="{95517204-DF4D-42C6-BFFD-1C4DCD2E330B}"/>
    <cellStyle name="Normal 9 3 4 3 4" xfId="9949" xr:uid="{03D95E87-3845-4A02-B893-7BB4F66DEBBB}"/>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D6BA39FD-31CF-4D0B-99E2-2095131BBC26}"/>
    <cellStyle name="Normal 9 3 4 4 2 3" xfId="12507" xr:uid="{4F5A6ABA-73DF-4289-875A-CCD8119E5621}"/>
    <cellStyle name="Normal 9 3 4 4 3" xfId="6138" xr:uid="{00000000-0005-0000-0000-00002E200000}"/>
    <cellStyle name="Normal 9 3 4 4 3 2" xfId="14580" xr:uid="{CB22017F-D996-4999-ACD6-542AD0953D2A}"/>
    <cellStyle name="Normal 9 3 4 4 4" xfId="10362" xr:uid="{8897FC92-FBF0-47FE-BF5A-01D496874478}"/>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4B5850C4-0205-4CDB-B483-45C0ED74C74A}"/>
    <cellStyle name="Normal 9 3 4 5 2 3" xfId="12920" xr:uid="{1D6F630F-5439-4448-8DF5-E01D8DFB67CC}"/>
    <cellStyle name="Normal 9 3 4 5 3" xfId="6551" xr:uid="{00000000-0005-0000-0000-000032200000}"/>
    <cellStyle name="Normal 9 3 4 5 3 2" xfId="14993" xr:uid="{9DE6FE2A-2ED3-4B07-9EC2-900FD3DB25D9}"/>
    <cellStyle name="Normal 9 3 4 5 4" xfId="10775" xr:uid="{43E4A1E0-011D-477B-A71F-40655746182D}"/>
    <cellStyle name="Normal 9 3 4 6" xfId="2680" xr:uid="{00000000-0005-0000-0000-000033200000}"/>
    <cellStyle name="Normal 9 3 4 6 2" xfId="6964" xr:uid="{00000000-0005-0000-0000-000034200000}"/>
    <cellStyle name="Normal 9 3 4 6 2 2" xfId="15406" xr:uid="{31FD07D0-9F4F-47AD-A746-5CB7F6A9CF78}"/>
    <cellStyle name="Normal 9 3 4 6 3" xfId="11188" xr:uid="{57FD17FD-BAF1-4911-AF18-CE874B42EF7B}"/>
    <cellStyle name="Normal 9 3 4 7" xfId="4899" xr:uid="{00000000-0005-0000-0000-000035200000}"/>
    <cellStyle name="Normal 9 3 4 7 2" xfId="13341" xr:uid="{C0218865-C626-4D3A-8531-EEBB8CAAE12C}"/>
    <cellStyle name="Normal 9 3 4 8" xfId="9123" xr:uid="{84FAFCDA-B147-4FDA-BDD5-A886E1219E92}"/>
    <cellStyle name="Normal 9 3 5" xfId="994" xr:uid="{00000000-0005-0000-0000-000036200000}"/>
    <cellStyle name="Normal 9 3 5 2" xfId="3227" xr:uid="{00000000-0005-0000-0000-000037200000}"/>
    <cellStyle name="Normal 9 3 5 2 2" xfId="7450" xr:uid="{00000000-0005-0000-0000-000038200000}"/>
    <cellStyle name="Normal 9 3 5 2 2 2" xfId="15892" xr:uid="{32BC0C7C-357B-42C8-A2F0-F9EC98F9A9BC}"/>
    <cellStyle name="Normal 9 3 5 2 3" xfId="11674" xr:uid="{B716B4AA-FC86-4A0C-97C4-7AA698A803F2}"/>
    <cellStyle name="Normal 9 3 5 3" xfId="5305" xr:uid="{00000000-0005-0000-0000-000039200000}"/>
    <cellStyle name="Normal 9 3 5 3 2" xfId="13747" xr:uid="{C741D34C-9908-4467-ADDA-24FD5C55C568}"/>
    <cellStyle name="Normal 9 3 5 4" xfId="9529" xr:uid="{E23C47B6-02AA-4550-9236-481FD7F591D7}"/>
    <cellStyle name="Normal 9 3 6" xfId="1410" xr:uid="{00000000-0005-0000-0000-00003A200000}"/>
    <cellStyle name="Normal 9 3 6 2" xfId="3640" xr:uid="{00000000-0005-0000-0000-00003B200000}"/>
    <cellStyle name="Normal 9 3 6 2 2" xfId="7863" xr:uid="{00000000-0005-0000-0000-00003C200000}"/>
    <cellStyle name="Normal 9 3 6 2 2 2" xfId="16305" xr:uid="{72B11859-1800-4564-9AB9-C1E55BD5C159}"/>
    <cellStyle name="Normal 9 3 6 2 3" xfId="12087" xr:uid="{CB35B84B-89B8-4C2D-AAC4-E6DC47E188FA}"/>
    <cellStyle name="Normal 9 3 6 3" xfId="5718" xr:uid="{00000000-0005-0000-0000-00003D200000}"/>
    <cellStyle name="Normal 9 3 6 3 2" xfId="14160" xr:uid="{AB6779D2-D4D2-4142-8F60-67249753201E}"/>
    <cellStyle name="Normal 9 3 6 4" xfId="9942" xr:uid="{7F7007DE-10CD-41BF-8B70-273C8809BC3E}"/>
    <cellStyle name="Normal 9 3 7" xfId="1823" xr:uid="{00000000-0005-0000-0000-00003E200000}"/>
    <cellStyle name="Normal 9 3 7 2" xfId="4053" xr:uid="{00000000-0005-0000-0000-00003F200000}"/>
    <cellStyle name="Normal 9 3 7 2 2" xfId="8276" xr:uid="{00000000-0005-0000-0000-000040200000}"/>
    <cellStyle name="Normal 9 3 7 2 2 2" xfId="16718" xr:uid="{4D1C3A7E-F044-4A86-9A71-2496F75DB9A3}"/>
    <cellStyle name="Normal 9 3 7 2 3" xfId="12500" xr:uid="{6B8376E1-C4C1-43B0-88E8-A581E3DC9AC6}"/>
    <cellStyle name="Normal 9 3 7 3" xfId="6131" xr:uid="{00000000-0005-0000-0000-000041200000}"/>
    <cellStyle name="Normal 9 3 7 3 2" xfId="14573" xr:uid="{2DCB7087-870A-45B1-A308-35F468AD4931}"/>
    <cellStyle name="Normal 9 3 7 4" xfId="10355" xr:uid="{E617AA36-E48B-4E5F-BDF3-6009D18F6342}"/>
    <cellStyle name="Normal 9 3 8" xfId="2237" xr:uid="{00000000-0005-0000-0000-000042200000}"/>
    <cellStyle name="Normal 9 3 8 2" xfId="4466" xr:uid="{00000000-0005-0000-0000-000043200000}"/>
    <cellStyle name="Normal 9 3 8 2 2" xfId="8689" xr:uid="{00000000-0005-0000-0000-000044200000}"/>
    <cellStyle name="Normal 9 3 8 2 2 2" xfId="17131" xr:uid="{AF229E0A-EC01-45AA-8016-BAD449F6792B}"/>
    <cellStyle name="Normal 9 3 8 2 3" xfId="12913" xr:uid="{6C42BF5A-F4C4-4EB3-AABA-FF9DC7D5A33B}"/>
    <cellStyle name="Normal 9 3 8 3" xfId="6544" xr:uid="{00000000-0005-0000-0000-000045200000}"/>
    <cellStyle name="Normal 9 3 8 3 2" xfId="14986" xr:uid="{C0EE0E06-6102-4F31-83D4-C2793B06E805}"/>
    <cellStyle name="Normal 9 3 8 4" xfId="10768" xr:uid="{6638D8FC-7358-4671-967B-61BC788E1F61}"/>
    <cellStyle name="Normal 9 3 9" xfId="2673" xr:uid="{00000000-0005-0000-0000-000046200000}"/>
    <cellStyle name="Normal 9 3 9 2" xfId="6957" xr:uid="{00000000-0005-0000-0000-000047200000}"/>
    <cellStyle name="Normal 9 3 9 2 2" xfId="15399" xr:uid="{C4B3F27B-662A-467A-B16D-9C475966FC44}"/>
    <cellStyle name="Normal 9 3 9 3" xfId="11181" xr:uid="{52832C01-49E8-4282-B79B-0847B87F2B6C}"/>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0D1E9E7A-32AA-41DB-93B1-9C0C25F0799A}"/>
    <cellStyle name="Normal 9 5 2 2 2 3" xfId="11683" xr:uid="{1FF2F99A-047F-4F12-B85A-57FC8A8240F5}"/>
    <cellStyle name="Normal 9 5 2 2 3" xfId="5314" xr:uid="{00000000-0005-0000-0000-00004F200000}"/>
    <cellStyle name="Normal 9 5 2 2 3 2" xfId="13756" xr:uid="{8BAEC6BF-8833-48D5-9CE3-9DE7C7F377D8}"/>
    <cellStyle name="Normal 9 5 2 2 4" xfId="9538" xr:uid="{9B00661D-CEEE-4D78-8A1C-F420C34CD3E5}"/>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4448161B-E7F1-451E-9812-B6CE310C1DD3}"/>
    <cellStyle name="Normal 9 5 2 3 2 3" xfId="12096" xr:uid="{52154CB6-7732-413D-948D-C3A014A3B2B8}"/>
    <cellStyle name="Normal 9 5 2 3 3" xfId="5727" xr:uid="{00000000-0005-0000-0000-000053200000}"/>
    <cellStyle name="Normal 9 5 2 3 3 2" xfId="14169" xr:uid="{6C5D3386-9807-444B-B901-A30C2637A8A8}"/>
    <cellStyle name="Normal 9 5 2 3 4" xfId="9951" xr:uid="{335967B9-E130-407F-BF33-C9C4F7C20820}"/>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32AB254B-1F1C-4959-80B0-7F1B15C199B8}"/>
    <cellStyle name="Normal 9 5 2 4 2 3" xfId="12509" xr:uid="{47FE07AC-5365-49CF-BEBF-1675E4416E12}"/>
    <cellStyle name="Normal 9 5 2 4 3" xfId="6140" xr:uid="{00000000-0005-0000-0000-000057200000}"/>
    <cellStyle name="Normal 9 5 2 4 3 2" xfId="14582" xr:uid="{9A53F1F8-D979-4538-8EB8-E3F8B515C48D}"/>
    <cellStyle name="Normal 9 5 2 4 4" xfId="10364" xr:uid="{433AAA56-DFD8-4E63-9477-E6C87D395091}"/>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C9F866C3-4D9F-4E6F-8413-BD4367C6A69E}"/>
    <cellStyle name="Normal 9 5 2 5 2 3" xfId="12922" xr:uid="{62D01FC5-606B-4279-9B3E-96448F6B74CE}"/>
    <cellStyle name="Normal 9 5 2 5 3" xfId="6553" xr:uid="{00000000-0005-0000-0000-00005B200000}"/>
    <cellStyle name="Normal 9 5 2 5 3 2" xfId="14995" xr:uid="{3D2B98DF-95A0-425A-825C-5F38804FD1C1}"/>
    <cellStyle name="Normal 9 5 2 5 4" xfId="10777" xr:uid="{42E824F0-C815-48B9-984A-B8281501B138}"/>
    <cellStyle name="Normal 9 5 2 6" xfId="2682" xr:uid="{00000000-0005-0000-0000-00005C200000}"/>
    <cellStyle name="Normal 9 5 2 6 2" xfId="6966" xr:uid="{00000000-0005-0000-0000-00005D200000}"/>
    <cellStyle name="Normal 9 5 2 6 2 2" xfId="15408" xr:uid="{CCED1D16-C9A7-4E75-9A3B-E65BFE2AFBBD}"/>
    <cellStyle name="Normal 9 5 2 6 3" xfId="11190" xr:uid="{D14C2AAB-6CFC-44CE-BCB9-B33E920580E9}"/>
    <cellStyle name="Normal 9 5 2 7" xfId="4901" xr:uid="{00000000-0005-0000-0000-00005E200000}"/>
    <cellStyle name="Normal 9 5 2 7 2" xfId="13343" xr:uid="{D79BE3BC-D6D9-4D77-9731-AB39FEB37910}"/>
    <cellStyle name="Normal 9 5 2 8" xfId="9125" xr:uid="{CA22BF18-6F5D-464A-AC96-64DBB02A19E4}"/>
    <cellStyle name="Normal 9 5 3" xfId="1003" xr:uid="{00000000-0005-0000-0000-00005F200000}"/>
    <cellStyle name="Normal 9 5 3 2" xfId="3235" xr:uid="{00000000-0005-0000-0000-000060200000}"/>
    <cellStyle name="Normal 9 5 3 2 2" xfId="7458" xr:uid="{00000000-0005-0000-0000-000061200000}"/>
    <cellStyle name="Normal 9 5 3 2 2 2" xfId="15900" xr:uid="{DBB022DE-00C6-4A87-A276-EE73155A4D93}"/>
    <cellStyle name="Normal 9 5 3 2 3" xfId="11682" xr:uid="{C40CAC2C-B9CC-4DD2-BEF1-811EAC201F5A}"/>
    <cellStyle name="Normal 9 5 3 3" xfId="5313" xr:uid="{00000000-0005-0000-0000-000062200000}"/>
    <cellStyle name="Normal 9 5 3 3 2" xfId="13755" xr:uid="{F721B405-0D33-4CF1-BE8E-9A85E7BAE223}"/>
    <cellStyle name="Normal 9 5 3 4" xfId="9537" xr:uid="{2B9F09D9-296D-4DD6-9CB1-27730E91DE49}"/>
    <cellStyle name="Normal 9 5 4" xfId="1418" xr:uid="{00000000-0005-0000-0000-000063200000}"/>
    <cellStyle name="Normal 9 5 4 2" xfId="3648" xr:uid="{00000000-0005-0000-0000-000064200000}"/>
    <cellStyle name="Normal 9 5 4 2 2" xfId="7871" xr:uid="{00000000-0005-0000-0000-000065200000}"/>
    <cellStyle name="Normal 9 5 4 2 2 2" xfId="16313" xr:uid="{75579A49-CFC3-475C-9844-4BF079F5DF78}"/>
    <cellStyle name="Normal 9 5 4 2 3" xfId="12095" xr:uid="{CB31BDDA-D8C0-4A9A-8C72-CA5E785E6023}"/>
    <cellStyle name="Normal 9 5 4 3" xfId="5726" xr:uid="{00000000-0005-0000-0000-000066200000}"/>
    <cellStyle name="Normal 9 5 4 3 2" xfId="14168" xr:uid="{BCB5A0D0-F7C0-4C2A-8B9E-3DFD76F13165}"/>
    <cellStyle name="Normal 9 5 4 4" xfId="9950" xr:uid="{6E2868F6-DD8B-429F-AF46-AE7441FF70FD}"/>
    <cellStyle name="Normal 9 5 5" xfId="1831" xr:uid="{00000000-0005-0000-0000-000067200000}"/>
    <cellStyle name="Normal 9 5 5 2" xfId="4061" xr:uid="{00000000-0005-0000-0000-000068200000}"/>
    <cellStyle name="Normal 9 5 5 2 2" xfId="8284" xr:uid="{00000000-0005-0000-0000-000069200000}"/>
    <cellStyle name="Normal 9 5 5 2 2 2" xfId="16726" xr:uid="{A6BF667F-9850-4329-BF4A-58C4D783403A}"/>
    <cellStyle name="Normal 9 5 5 2 3" xfId="12508" xr:uid="{E3A193A9-D7B3-4A52-BF7A-DCB78BF38441}"/>
    <cellStyle name="Normal 9 5 5 3" xfId="6139" xr:uid="{00000000-0005-0000-0000-00006A200000}"/>
    <cellStyle name="Normal 9 5 5 3 2" xfId="14581" xr:uid="{DDB566E3-1D5C-4C69-AEE2-C2D32EE9770B}"/>
    <cellStyle name="Normal 9 5 5 4" xfId="10363" xr:uid="{0F1E031E-2ED4-46D2-B2AE-E60EDBF519CE}"/>
    <cellStyle name="Normal 9 5 6" xfId="2245" xr:uid="{00000000-0005-0000-0000-00006B200000}"/>
    <cellStyle name="Normal 9 5 6 2" xfId="4474" xr:uid="{00000000-0005-0000-0000-00006C200000}"/>
    <cellStyle name="Normal 9 5 6 2 2" xfId="8697" xr:uid="{00000000-0005-0000-0000-00006D200000}"/>
    <cellStyle name="Normal 9 5 6 2 2 2" xfId="17139" xr:uid="{FCC8AADD-7A7F-4479-A21C-44828EB5D658}"/>
    <cellStyle name="Normal 9 5 6 2 3" xfId="12921" xr:uid="{56802D9F-A8F5-47AC-B567-6C49AAB7BC3C}"/>
    <cellStyle name="Normal 9 5 6 3" xfId="6552" xr:uid="{00000000-0005-0000-0000-00006E200000}"/>
    <cellStyle name="Normal 9 5 6 3 2" xfId="14994" xr:uid="{5E9C51D2-D380-4891-86B1-CE2695AA01AB}"/>
    <cellStyle name="Normal 9 5 6 4" xfId="10776" xr:uid="{4A4F7613-6554-45A4-B93E-19A079BCB5E5}"/>
    <cellStyle name="Normal 9 5 7" xfId="2681" xr:uid="{00000000-0005-0000-0000-00006F200000}"/>
    <cellStyle name="Normal 9 5 7 2" xfId="6965" xr:uid="{00000000-0005-0000-0000-000070200000}"/>
    <cellStyle name="Normal 9 5 7 2 2" xfId="15407" xr:uid="{1DCFACF4-DE5D-4F91-AD5C-18F761EF3D11}"/>
    <cellStyle name="Normal 9 5 7 3" xfId="11189" xr:uid="{392EDE74-D3D8-479B-9BBE-9510D971FCC2}"/>
    <cellStyle name="Normal 9 5 8" xfId="4900" xr:uid="{00000000-0005-0000-0000-000071200000}"/>
    <cellStyle name="Normal 9 5 8 2" xfId="13342" xr:uid="{F2490035-B434-499F-9EF8-919DD65C7B14}"/>
    <cellStyle name="Normal 9 5 9" xfId="9124" xr:uid="{C44607AE-CFA8-491E-8CB1-A23B14D4F4C7}"/>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FE0CC9E4-BC58-44B6-9179-B49DE1BBD4B5}"/>
    <cellStyle name="Normal 9 6 2 2 3" xfId="11684" xr:uid="{A511D9C2-7D94-478B-A9A1-0D01C5B40520}"/>
    <cellStyle name="Normal 9 6 2 3" xfId="5315" xr:uid="{00000000-0005-0000-0000-000076200000}"/>
    <cellStyle name="Normal 9 6 2 3 2" xfId="13757" xr:uid="{FCD8AE95-D7DE-44E5-8DE7-BBDB25A242D6}"/>
    <cellStyle name="Normal 9 6 2 4" xfId="9539" xr:uid="{0ABD5DC4-910A-4919-ACCC-BDF475280E11}"/>
    <cellStyle name="Normal 9 6 3" xfId="1420" xr:uid="{00000000-0005-0000-0000-000077200000}"/>
    <cellStyle name="Normal 9 6 3 2" xfId="3650" xr:uid="{00000000-0005-0000-0000-000078200000}"/>
    <cellStyle name="Normal 9 6 3 2 2" xfId="7873" xr:uid="{00000000-0005-0000-0000-000079200000}"/>
    <cellStyle name="Normal 9 6 3 2 2 2" xfId="16315" xr:uid="{C908F890-6EC0-4869-B9B1-9FC186B41891}"/>
    <cellStyle name="Normal 9 6 3 2 3" xfId="12097" xr:uid="{F5630259-CD5F-4941-BF61-5DFAF151BFC1}"/>
    <cellStyle name="Normal 9 6 3 3" xfId="5728" xr:uid="{00000000-0005-0000-0000-00007A200000}"/>
    <cellStyle name="Normal 9 6 3 3 2" xfId="14170" xr:uid="{94CA0302-1F88-4E03-8FA3-9479F962A5BE}"/>
    <cellStyle name="Normal 9 6 3 4" xfId="9952" xr:uid="{912A0F4B-B6FA-4EEA-B2D0-BE9A39658940}"/>
    <cellStyle name="Normal 9 6 4" xfId="1833" xr:uid="{00000000-0005-0000-0000-00007B200000}"/>
    <cellStyle name="Normal 9 6 4 2" xfId="4063" xr:uid="{00000000-0005-0000-0000-00007C200000}"/>
    <cellStyle name="Normal 9 6 4 2 2" xfId="8286" xr:uid="{00000000-0005-0000-0000-00007D200000}"/>
    <cellStyle name="Normal 9 6 4 2 2 2" xfId="16728" xr:uid="{C366EE75-AEA3-4A58-A3E3-82BA0067B8B3}"/>
    <cellStyle name="Normal 9 6 4 2 3" xfId="12510" xr:uid="{6128DB8B-399B-4219-8C35-A3B144772BDA}"/>
    <cellStyle name="Normal 9 6 4 3" xfId="6141" xr:uid="{00000000-0005-0000-0000-00007E200000}"/>
    <cellStyle name="Normal 9 6 4 3 2" xfId="14583" xr:uid="{5B2B9463-86CD-469C-BA0F-55E99DD439D8}"/>
    <cellStyle name="Normal 9 6 4 4" xfId="10365" xr:uid="{3D1D0206-A6FA-43C9-9A56-265301983B4A}"/>
    <cellStyle name="Normal 9 6 5" xfId="2247" xr:uid="{00000000-0005-0000-0000-00007F200000}"/>
    <cellStyle name="Normal 9 6 5 2" xfId="4476" xr:uid="{00000000-0005-0000-0000-000080200000}"/>
    <cellStyle name="Normal 9 6 5 2 2" xfId="8699" xr:uid="{00000000-0005-0000-0000-000081200000}"/>
    <cellStyle name="Normal 9 6 5 2 2 2" xfId="17141" xr:uid="{4F905A5D-6C84-49C7-966C-A98CB8621736}"/>
    <cellStyle name="Normal 9 6 5 2 3" xfId="12923" xr:uid="{3305D7BA-CBBB-4F48-B295-C49577D8DDAB}"/>
    <cellStyle name="Normal 9 6 5 3" xfId="6554" xr:uid="{00000000-0005-0000-0000-000082200000}"/>
    <cellStyle name="Normal 9 6 5 3 2" xfId="14996" xr:uid="{65B6965E-2175-445C-B42B-0C219E3B28FA}"/>
    <cellStyle name="Normal 9 6 5 4" xfId="10778" xr:uid="{F877BCAD-8B7F-4BCF-951A-8A978B4DA4F0}"/>
    <cellStyle name="Normal 9 6 6" xfId="2683" xr:uid="{00000000-0005-0000-0000-000083200000}"/>
    <cellStyle name="Normal 9 6 6 2" xfId="6967" xr:uid="{00000000-0005-0000-0000-000084200000}"/>
    <cellStyle name="Normal 9 6 6 2 2" xfId="15409" xr:uid="{B06C09ED-3ABE-4AE0-BB1C-705B5886C229}"/>
    <cellStyle name="Normal 9 6 6 3" xfId="11191" xr:uid="{56440B48-8AD8-4504-BC7E-05FFCC0D76BA}"/>
    <cellStyle name="Normal 9 6 7" xfId="4902" xr:uid="{00000000-0005-0000-0000-000085200000}"/>
    <cellStyle name="Normal 9 6 7 2" xfId="13344" xr:uid="{E198BDB9-4073-4A36-B4E9-4F7E3E19D448}"/>
    <cellStyle name="Normal 9 6 8" xfId="9126" xr:uid="{47089354-1F39-411E-9605-028DBD883F3F}"/>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A347B16D-5303-4496-90BD-135CC7DBD9CC}"/>
    <cellStyle name="Note 2 2 10 3" xfId="11272" xr:uid="{82539046-F65D-4FEB-AE7B-575AE4213E57}"/>
    <cellStyle name="Note 2 2 11" xfId="4903" xr:uid="{00000000-0005-0000-0000-000094200000}"/>
    <cellStyle name="Note 2 2 11 2" xfId="13345" xr:uid="{273EF134-6479-40D8-B3C7-48133C1DA3BA}"/>
    <cellStyle name="Note 2 2 12" xfId="9127" xr:uid="{1750BBF6-1D74-4186-ACCF-725E8104225D}"/>
    <cellStyle name="Note 2 2 2" xfId="546" xr:uid="{00000000-0005-0000-0000-000095200000}"/>
    <cellStyle name="Note 2 2 2 10" xfId="4904" xr:uid="{00000000-0005-0000-0000-000096200000}"/>
    <cellStyle name="Note 2 2 2 10 2" xfId="13346" xr:uid="{E91273C3-52DF-4190-86D3-3810E0CAAD64}"/>
    <cellStyle name="Note 2 2 2 11" xfId="9128" xr:uid="{51F2E7B0-674F-49A0-9DBB-7D9D935F07B0}"/>
    <cellStyle name="Note 2 2 2 2" xfId="547" xr:uid="{00000000-0005-0000-0000-000097200000}"/>
    <cellStyle name="Note 2 2 2 2 10" xfId="9129" xr:uid="{B57BF52C-9D54-49C9-82F4-DA7E33351EE5}"/>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6F490120-89D3-46D9-890F-6675F06B1167}"/>
    <cellStyle name="Note 2 2 2 2 2 2 3" xfId="11687" xr:uid="{8A37C80B-1986-4AF4-8E5F-665CC647CE2F}"/>
    <cellStyle name="Note 2 2 2 2 2 3" xfId="5318" xr:uid="{00000000-0005-0000-0000-00009B200000}"/>
    <cellStyle name="Note 2 2 2 2 2 3 2" xfId="13760" xr:uid="{9948D9B2-916A-47E3-A9C7-4CD182135640}"/>
    <cellStyle name="Note 2 2 2 2 2 4" xfId="9542" xr:uid="{022FD41E-50C6-4139-9954-35D2FE6B28BA}"/>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49AAF0CE-178E-461A-A605-DD4B41008A7B}"/>
    <cellStyle name="Note 2 2 2 2 3 2 3" xfId="12100" xr:uid="{DC50C326-9DBA-412E-9D00-3FCC7D10D6A9}"/>
    <cellStyle name="Note 2 2 2 2 3 3" xfId="5731" xr:uid="{00000000-0005-0000-0000-00009F200000}"/>
    <cellStyle name="Note 2 2 2 2 3 3 2" xfId="14173" xr:uid="{729E30A5-DF03-4CE5-8A17-71E78E1DAA35}"/>
    <cellStyle name="Note 2 2 2 2 3 4" xfId="9955" xr:uid="{6D88FB84-C7EE-4E96-A829-1D8314A9C7A4}"/>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9E8DB136-4BC8-49D1-98CC-3E9C687A2A09}"/>
    <cellStyle name="Note 2 2 2 2 4 2 3" xfId="12513" xr:uid="{12D1DD1A-141C-41CA-B349-36304C974247}"/>
    <cellStyle name="Note 2 2 2 2 4 3" xfId="6144" xr:uid="{00000000-0005-0000-0000-0000A3200000}"/>
    <cellStyle name="Note 2 2 2 2 4 3 2" xfId="14586" xr:uid="{CAADA0B7-84FF-4397-AAA1-A6BBDB57BE59}"/>
    <cellStyle name="Note 2 2 2 2 4 4" xfId="10368" xr:uid="{B416ECA9-04AF-4F05-BC55-05855184EAF5}"/>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CC6ED58B-ED3D-4A3D-81D5-C76C5E879DF5}"/>
    <cellStyle name="Note 2 2 2 2 5 2 3" xfId="12926" xr:uid="{6AB2DAAF-98BC-4D9B-9D4F-20A274775AC2}"/>
    <cellStyle name="Note 2 2 2 2 5 3" xfId="6557" xr:uid="{00000000-0005-0000-0000-0000A7200000}"/>
    <cellStyle name="Note 2 2 2 2 5 3 2" xfId="14999" xr:uid="{2D20409B-77B4-4C69-BC1A-3B0F4805DE2F}"/>
    <cellStyle name="Note 2 2 2 2 5 4" xfId="10781" xr:uid="{9CA72C7B-9655-48BC-A837-D1C2872D3AB4}"/>
    <cellStyle name="Note 2 2 2 2 6" xfId="2686" xr:uid="{00000000-0005-0000-0000-0000A8200000}"/>
    <cellStyle name="Note 2 2 2 2 6 2" xfId="6970" xr:uid="{00000000-0005-0000-0000-0000A9200000}"/>
    <cellStyle name="Note 2 2 2 2 6 2 2" xfId="15412" xr:uid="{8574B69D-FADC-45AB-AAD7-CAFFB73D461C}"/>
    <cellStyle name="Note 2 2 2 2 6 3" xfId="11194" xr:uid="{330BF8E7-B103-4735-A9C2-564C2B72FD27}"/>
    <cellStyle name="Note 2 2 2 2 7" xfId="2745" xr:uid="{00000000-0005-0000-0000-0000AA200000}"/>
    <cellStyle name="Note 2 2 2 2 8" xfId="2826" xr:uid="{00000000-0005-0000-0000-0000AB200000}"/>
    <cellStyle name="Note 2 2 2 2 8 2" xfId="7050" xr:uid="{00000000-0005-0000-0000-0000AC200000}"/>
    <cellStyle name="Note 2 2 2 2 8 2 2" xfId="15492" xr:uid="{FD0C55E0-FE34-4012-A1AA-F9B078B1E083}"/>
    <cellStyle name="Note 2 2 2 2 8 3" xfId="11274" xr:uid="{6E0E3DE9-0D9A-4892-81C3-23B2825E584C}"/>
    <cellStyle name="Note 2 2 2 2 9" xfId="4905" xr:uid="{00000000-0005-0000-0000-0000AD200000}"/>
    <cellStyle name="Note 2 2 2 2 9 2" xfId="13347" xr:uid="{A3FCB1CA-7407-4303-8C1E-FB24F9AF351E}"/>
    <cellStyle name="Note 2 2 2 3" xfId="1007" xr:uid="{00000000-0005-0000-0000-0000AE200000}"/>
    <cellStyle name="Note 2 2 2 3 2" xfId="3239" xr:uid="{00000000-0005-0000-0000-0000AF200000}"/>
    <cellStyle name="Note 2 2 2 3 2 2" xfId="7462" xr:uid="{00000000-0005-0000-0000-0000B0200000}"/>
    <cellStyle name="Note 2 2 2 3 2 2 2" xfId="15904" xr:uid="{1D10311C-43A5-4398-ADAB-A28B7B3E7DC6}"/>
    <cellStyle name="Note 2 2 2 3 2 3" xfId="11686" xr:uid="{5388B76F-DC7C-40C3-AFFE-8B9AD5058ED1}"/>
    <cellStyle name="Note 2 2 2 3 3" xfId="5317" xr:uid="{00000000-0005-0000-0000-0000B1200000}"/>
    <cellStyle name="Note 2 2 2 3 3 2" xfId="13759" xr:uid="{F6250228-24ED-47ED-939F-66FC4D61596C}"/>
    <cellStyle name="Note 2 2 2 3 4" xfId="9541" xr:uid="{92417479-E9FF-4E8A-BD83-C063F50E8011}"/>
    <cellStyle name="Note 2 2 2 4" xfId="1422" xr:uid="{00000000-0005-0000-0000-0000B2200000}"/>
    <cellStyle name="Note 2 2 2 4 2" xfId="3652" xr:uid="{00000000-0005-0000-0000-0000B3200000}"/>
    <cellStyle name="Note 2 2 2 4 2 2" xfId="7875" xr:uid="{00000000-0005-0000-0000-0000B4200000}"/>
    <cellStyle name="Note 2 2 2 4 2 2 2" xfId="16317" xr:uid="{4F20973B-204A-4E04-856A-BC1A7A82F432}"/>
    <cellStyle name="Note 2 2 2 4 2 3" xfId="12099" xr:uid="{D4781015-1FD7-4DC8-A1C4-08A25C8B5ECD}"/>
    <cellStyle name="Note 2 2 2 4 3" xfId="5730" xr:uid="{00000000-0005-0000-0000-0000B5200000}"/>
    <cellStyle name="Note 2 2 2 4 3 2" xfId="14172" xr:uid="{3DEFEC77-3A00-494E-B960-3310ED74EFAA}"/>
    <cellStyle name="Note 2 2 2 4 4" xfId="9954" xr:uid="{6730D760-4127-43A1-9D01-D28A50D4C3FA}"/>
    <cellStyle name="Note 2 2 2 5" xfId="1836" xr:uid="{00000000-0005-0000-0000-0000B6200000}"/>
    <cellStyle name="Note 2 2 2 5 2" xfId="4065" xr:uid="{00000000-0005-0000-0000-0000B7200000}"/>
    <cellStyle name="Note 2 2 2 5 2 2" xfId="8288" xr:uid="{00000000-0005-0000-0000-0000B8200000}"/>
    <cellStyle name="Note 2 2 2 5 2 2 2" xfId="16730" xr:uid="{7712DF62-6CC7-40AE-B15C-3AD152FC87C5}"/>
    <cellStyle name="Note 2 2 2 5 2 3" xfId="12512" xr:uid="{F8AF5DCB-9EE9-4EF4-B76A-EC1B288F6C58}"/>
    <cellStyle name="Note 2 2 2 5 3" xfId="6143" xr:uid="{00000000-0005-0000-0000-0000B9200000}"/>
    <cellStyle name="Note 2 2 2 5 3 2" xfId="14585" xr:uid="{62E51ECE-3CEC-4956-9290-B08D6B0FEEEF}"/>
    <cellStyle name="Note 2 2 2 5 4" xfId="10367" xr:uid="{A2D6B88C-30C5-49E4-B3C5-BF7E7360C795}"/>
    <cellStyle name="Note 2 2 2 6" xfId="2249" xr:uid="{00000000-0005-0000-0000-0000BA200000}"/>
    <cellStyle name="Note 2 2 2 6 2" xfId="4478" xr:uid="{00000000-0005-0000-0000-0000BB200000}"/>
    <cellStyle name="Note 2 2 2 6 2 2" xfId="8701" xr:uid="{00000000-0005-0000-0000-0000BC200000}"/>
    <cellStyle name="Note 2 2 2 6 2 2 2" xfId="17143" xr:uid="{1B77BE6F-8586-4E17-B309-35FBEB9C879D}"/>
    <cellStyle name="Note 2 2 2 6 2 3" xfId="12925" xr:uid="{283C6CC9-5FD2-49CF-8F29-1E117C9C069A}"/>
    <cellStyle name="Note 2 2 2 6 3" xfId="6556" xr:uid="{00000000-0005-0000-0000-0000BD200000}"/>
    <cellStyle name="Note 2 2 2 6 3 2" xfId="14998" xr:uid="{216FFCC0-6071-4C96-AA0C-38F95BE6A783}"/>
    <cellStyle name="Note 2 2 2 6 4" xfId="10780" xr:uid="{8D62AAFA-9250-4EBD-89B9-2749EC95673C}"/>
    <cellStyle name="Note 2 2 2 7" xfId="2685" xr:uid="{00000000-0005-0000-0000-0000BE200000}"/>
    <cellStyle name="Note 2 2 2 7 2" xfId="6969" xr:uid="{00000000-0005-0000-0000-0000BF200000}"/>
    <cellStyle name="Note 2 2 2 7 2 2" xfId="15411" xr:uid="{933BAB59-F4C6-4506-B779-99448535DAA4}"/>
    <cellStyle name="Note 2 2 2 7 3" xfId="11193" xr:uid="{B00F1E84-930B-46CF-B100-62B8E334EC3E}"/>
    <cellStyle name="Note 2 2 2 8" xfId="2744" xr:uid="{00000000-0005-0000-0000-0000C0200000}"/>
    <cellStyle name="Note 2 2 2 9" xfId="2825" xr:uid="{00000000-0005-0000-0000-0000C1200000}"/>
    <cellStyle name="Note 2 2 2 9 2" xfId="7049" xr:uid="{00000000-0005-0000-0000-0000C2200000}"/>
    <cellStyle name="Note 2 2 2 9 2 2" xfId="15491" xr:uid="{16641102-FBD9-4C26-903D-FD2AB948D319}"/>
    <cellStyle name="Note 2 2 2 9 3" xfId="11273" xr:uid="{2D44DBE5-BEF6-4DBF-AEF8-C06A149A66C5}"/>
    <cellStyle name="Note 2 2 3" xfId="548" xr:uid="{00000000-0005-0000-0000-0000C3200000}"/>
    <cellStyle name="Note 2 2 3 10" xfId="9130" xr:uid="{95CE139C-6450-4031-875A-3019E6FCC88A}"/>
    <cellStyle name="Note 2 2 3 2" xfId="1009" xr:uid="{00000000-0005-0000-0000-0000C4200000}"/>
    <cellStyle name="Note 2 2 3 2 2" xfId="3241" xr:uid="{00000000-0005-0000-0000-0000C5200000}"/>
    <cellStyle name="Note 2 2 3 2 2 2" xfId="7464" xr:uid="{00000000-0005-0000-0000-0000C6200000}"/>
    <cellStyle name="Note 2 2 3 2 2 2 2" xfId="15906" xr:uid="{3AD1241F-D68D-41A5-8DC6-C587D261D7AD}"/>
    <cellStyle name="Note 2 2 3 2 2 3" xfId="11688" xr:uid="{3E941607-0D93-47F7-8B50-6327008DBD79}"/>
    <cellStyle name="Note 2 2 3 2 3" xfId="5319" xr:uid="{00000000-0005-0000-0000-0000C7200000}"/>
    <cellStyle name="Note 2 2 3 2 3 2" xfId="13761" xr:uid="{3CFD1F4B-01B0-4844-94CE-999616FE4377}"/>
    <cellStyle name="Note 2 2 3 2 4" xfId="9543" xr:uid="{B17BBD94-BBE5-4AF0-8DF2-1A1D1FEC709A}"/>
    <cellStyle name="Note 2 2 3 3" xfId="1424" xr:uid="{00000000-0005-0000-0000-0000C8200000}"/>
    <cellStyle name="Note 2 2 3 3 2" xfId="3654" xr:uid="{00000000-0005-0000-0000-0000C9200000}"/>
    <cellStyle name="Note 2 2 3 3 2 2" xfId="7877" xr:uid="{00000000-0005-0000-0000-0000CA200000}"/>
    <cellStyle name="Note 2 2 3 3 2 2 2" xfId="16319" xr:uid="{E5A685EA-AEBE-4743-8668-1A2922AE72B2}"/>
    <cellStyle name="Note 2 2 3 3 2 3" xfId="12101" xr:uid="{1C75724B-07CE-47AC-A3A9-E6F71EC7BB1C}"/>
    <cellStyle name="Note 2 2 3 3 3" xfId="5732" xr:uid="{00000000-0005-0000-0000-0000CB200000}"/>
    <cellStyle name="Note 2 2 3 3 3 2" xfId="14174" xr:uid="{EB8FDB13-354E-4043-B262-7A7DBEF391F7}"/>
    <cellStyle name="Note 2 2 3 3 4" xfId="9956" xr:uid="{8623C56D-2845-4FD8-B462-2824532FE040}"/>
    <cellStyle name="Note 2 2 3 4" xfId="1838" xr:uid="{00000000-0005-0000-0000-0000CC200000}"/>
    <cellStyle name="Note 2 2 3 4 2" xfId="4067" xr:uid="{00000000-0005-0000-0000-0000CD200000}"/>
    <cellStyle name="Note 2 2 3 4 2 2" xfId="8290" xr:uid="{00000000-0005-0000-0000-0000CE200000}"/>
    <cellStyle name="Note 2 2 3 4 2 2 2" xfId="16732" xr:uid="{49678924-931A-45D0-A7B6-7E4D0DFE743C}"/>
    <cellStyle name="Note 2 2 3 4 2 3" xfId="12514" xr:uid="{87D198AB-25E0-479C-AAEE-E74542491963}"/>
    <cellStyle name="Note 2 2 3 4 3" xfId="6145" xr:uid="{00000000-0005-0000-0000-0000CF200000}"/>
    <cellStyle name="Note 2 2 3 4 3 2" xfId="14587" xr:uid="{DD2C8C74-CDD3-4EAF-B223-0DD93EB44FEE}"/>
    <cellStyle name="Note 2 2 3 4 4" xfId="10369" xr:uid="{FC6BB168-6FDA-48E0-87E1-9741E6EC2C66}"/>
    <cellStyle name="Note 2 2 3 5" xfId="2251" xr:uid="{00000000-0005-0000-0000-0000D0200000}"/>
    <cellStyle name="Note 2 2 3 5 2" xfId="4480" xr:uid="{00000000-0005-0000-0000-0000D1200000}"/>
    <cellStyle name="Note 2 2 3 5 2 2" xfId="8703" xr:uid="{00000000-0005-0000-0000-0000D2200000}"/>
    <cellStyle name="Note 2 2 3 5 2 2 2" xfId="17145" xr:uid="{CF3CAAC6-3B7A-43F3-B291-88648AC0C829}"/>
    <cellStyle name="Note 2 2 3 5 2 3" xfId="12927" xr:uid="{D4546AF5-237A-42A8-B3B8-8EE47520213F}"/>
    <cellStyle name="Note 2 2 3 5 3" xfId="6558" xr:uid="{00000000-0005-0000-0000-0000D3200000}"/>
    <cellStyle name="Note 2 2 3 5 3 2" xfId="15000" xr:uid="{3DB2170B-226F-47DA-AAE0-87EBD0C18492}"/>
    <cellStyle name="Note 2 2 3 5 4" xfId="10782" xr:uid="{3D1B78F5-81AD-49E0-87E9-CF449B9DA3DB}"/>
    <cellStyle name="Note 2 2 3 6" xfId="2687" xr:uid="{00000000-0005-0000-0000-0000D4200000}"/>
    <cellStyle name="Note 2 2 3 6 2" xfId="6971" xr:uid="{00000000-0005-0000-0000-0000D5200000}"/>
    <cellStyle name="Note 2 2 3 6 2 2" xfId="15413" xr:uid="{7322929C-8B07-4A06-8F5E-91F7A83598E6}"/>
    <cellStyle name="Note 2 2 3 6 3" xfId="11195" xr:uid="{BD0A0D7A-8D35-48D7-BCFD-66E3F91D57F5}"/>
    <cellStyle name="Note 2 2 3 7" xfId="2746" xr:uid="{00000000-0005-0000-0000-0000D6200000}"/>
    <cellStyle name="Note 2 2 3 8" xfId="2827" xr:uid="{00000000-0005-0000-0000-0000D7200000}"/>
    <cellStyle name="Note 2 2 3 8 2" xfId="7051" xr:uid="{00000000-0005-0000-0000-0000D8200000}"/>
    <cellStyle name="Note 2 2 3 8 2 2" xfId="15493" xr:uid="{B0B3230A-9F8C-483C-9A6E-139A5BA217CE}"/>
    <cellStyle name="Note 2 2 3 8 3" xfId="11275" xr:uid="{625C67B1-B26E-412F-B338-0702FD212612}"/>
    <cellStyle name="Note 2 2 3 9" xfId="4906" xr:uid="{00000000-0005-0000-0000-0000D9200000}"/>
    <cellStyle name="Note 2 2 3 9 2" xfId="13348" xr:uid="{AEC5E51E-4AE4-4021-A518-56F474668B9A}"/>
    <cellStyle name="Note 2 2 4" xfId="1006" xr:uid="{00000000-0005-0000-0000-0000DA200000}"/>
    <cellStyle name="Note 2 2 4 2" xfId="3238" xr:uid="{00000000-0005-0000-0000-0000DB200000}"/>
    <cellStyle name="Note 2 2 4 2 2" xfId="7461" xr:uid="{00000000-0005-0000-0000-0000DC200000}"/>
    <cellStyle name="Note 2 2 4 2 2 2" xfId="15903" xr:uid="{CACB47C7-B528-48B4-B213-71D48B5A6DA8}"/>
    <cellStyle name="Note 2 2 4 2 3" xfId="11685" xr:uid="{C59FA081-C920-4BC0-AACA-EE2F964E8C0F}"/>
    <cellStyle name="Note 2 2 4 3" xfId="5316" xr:uid="{00000000-0005-0000-0000-0000DD200000}"/>
    <cellStyle name="Note 2 2 4 3 2" xfId="13758" xr:uid="{010DEDBA-B4CE-487A-B472-E7DCE364B326}"/>
    <cellStyle name="Note 2 2 4 4" xfId="9540" xr:uid="{EFBA0F62-139B-4089-BABF-E6BFA3172B18}"/>
    <cellStyle name="Note 2 2 5" xfId="1421" xr:uid="{00000000-0005-0000-0000-0000DE200000}"/>
    <cellStyle name="Note 2 2 5 2" xfId="3651" xr:uid="{00000000-0005-0000-0000-0000DF200000}"/>
    <cellStyle name="Note 2 2 5 2 2" xfId="7874" xr:uid="{00000000-0005-0000-0000-0000E0200000}"/>
    <cellStyle name="Note 2 2 5 2 2 2" xfId="16316" xr:uid="{5F273ABD-BF51-4AC0-B880-29038E8EACC9}"/>
    <cellStyle name="Note 2 2 5 2 3" xfId="12098" xr:uid="{4C136405-7468-422D-BA40-EB8374FBEC5B}"/>
    <cellStyle name="Note 2 2 5 3" xfId="5729" xr:uid="{00000000-0005-0000-0000-0000E1200000}"/>
    <cellStyle name="Note 2 2 5 3 2" xfId="14171" xr:uid="{D4A2644A-7EAB-48CD-8F5D-2FF65242D0F8}"/>
    <cellStyle name="Note 2 2 5 4" xfId="9953" xr:uid="{34D81771-2691-4956-96B5-D5BEA3D6F790}"/>
    <cellStyle name="Note 2 2 6" xfId="1835" xr:uid="{00000000-0005-0000-0000-0000E2200000}"/>
    <cellStyle name="Note 2 2 6 2" xfId="4064" xr:uid="{00000000-0005-0000-0000-0000E3200000}"/>
    <cellStyle name="Note 2 2 6 2 2" xfId="8287" xr:uid="{00000000-0005-0000-0000-0000E4200000}"/>
    <cellStyle name="Note 2 2 6 2 2 2" xfId="16729" xr:uid="{91AA3088-E3B3-4B23-96B5-E44F09D1E0E5}"/>
    <cellStyle name="Note 2 2 6 2 3" xfId="12511" xr:uid="{9389FEF9-062C-4EFB-87B5-AEBB6E6FCECE}"/>
    <cellStyle name="Note 2 2 6 3" xfId="6142" xr:uid="{00000000-0005-0000-0000-0000E5200000}"/>
    <cellStyle name="Note 2 2 6 3 2" xfId="14584" xr:uid="{A444EBEC-74C3-4BB0-8BEB-0359BFF2B160}"/>
    <cellStyle name="Note 2 2 6 4" xfId="10366" xr:uid="{B4F45121-52A2-4747-8E56-23151FFAC690}"/>
    <cellStyle name="Note 2 2 7" xfId="2248" xr:uid="{00000000-0005-0000-0000-0000E6200000}"/>
    <cellStyle name="Note 2 2 7 2" xfId="4477" xr:uid="{00000000-0005-0000-0000-0000E7200000}"/>
    <cellStyle name="Note 2 2 7 2 2" xfId="8700" xr:uid="{00000000-0005-0000-0000-0000E8200000}"/>
    <cellStyle name="Note 2 2 7 2 2 2" xfId="17142" xr:uid="{88A9A3A2-42F1-4D3D-A67A-1176AB41AB01}"/>
    <cellStyle name="Note 2 2 7 2 3" xfId="12924" xr:uid="{88552CC0-90D8-422A-9B9B-C652D30149E6}"/>
    <cellStyle name="Note 2 2 7 3" xfId="6555" xr:uid="{00000000-0005-0000-0000-0000E9200000}"/>
    <cellStyle name="Note 2 2 7 3 2" xfId="14997" xr:uid="{F6DC3A21-DA91-45D6-BEDD-108D964F9142}"/>
    <cellStyle name="Note 2 2 7 4" xfId="10779" xr:uid="{D759E9B0-79E9-4593-A25C-5DB4B7D86209}"/>
    <cellStyle name="Note 2 2 8" xfId="2684" xr:uid="{00000000-0005-0000-0000-0000EA200000}"/>
    <cellStyle name="Note 2 2 8 2" xfId="6968" xr:uid="{00000000-0005-0000-0000-0000EB200000}"/>
    <cellStyle name="Note 2 2 8 2 2" xfId="15410" xr:uid="{FB1EA639-0B81-4A3A-8291-BFEE1360673F}"/>
    <cellStyle name="Note 2 2 8 3" xfId="11192" xr:uid="{093D2E81-DA61-4F88-8FD6-9FE0DF2DF7D0}"/>
    <cellStyle name="Note 2 2 9" xfId="2743" xr:uid="{00000000-0005-0000-0000-0000EC200000}"/>
    <cellStyle name="Note 2 3" xfId="549" xr:uid="{00000000-0005-0000-0000-0000ED200000}"/>
    <cellStyle name="Note 2 3 10" xfId="4907" xr:uid="{00000000-0005-0000-0000-0000EE200000}"/>
    <cellStyle name="Note 2 3 10 2" xfId="13349" xr:uid="{00801AD5-C071-489E-BA62-58D0377DFA2A}"/>
    <cellStyle name="Note 2 3 11" xfId="9131" xr:uid="{D484F088-2A87-48FB-9D5B-2F1D5014A257}"/>
    <cellStyle name="Note 2 3 2" xfId="550" xr:uid="{00000000-0005-0000-0000-0000EF200000}"/>
    <cellStyle name="Note 2 3 2 10" xfId="9132" xr:uid="{52E98FAE-6CD8-4F3B-B691-8A526D8EB396}"/>
    <cellStyle name="Note 2 3 2 2" xfId="1011" xr:uid="{00000000-0005-0000-0000-0000F0200000}"/>
    <cellStyle name="Note 2 3 2 2 2" xfId="3243" xr:uid="{00000000-0005-0000-0000-0000F1200000}"/>
    <cellStyle name="Note 2 3 2 2 2 2" xfId="7466" xr:uid="{00000000-0005-0000-0000-0000F2200000}"/>
    <cellStyle name="Note 2 3 2 2 2 2 2" xfId="15908" xr:uid="{8B5D165E-5144-4DB7-817F-C695D795ABDD}"/>
    <cellStyle name="Note 2 3 2 2 2 3" xfId="11690" xr:uid="{F3BD7DB7-096A-46C8-8C9A-5C690BE599DE}"/>
    <cellStyle name="Note 2 3 2 2 3" xfId="5321" xr:uid="{00000000-0005-0000-0000-0000F3200000}"/>
    <cellStyle name="Note 2 3 2 2 3 2" xfId="13763" xr:uid="{57F04F7A-B953-47EC-818C-55C4EC823130}"/>
    <cellStyle name="Note 2 3 2 2 4" xfId="9545" xr:uid="{FEAF5B12-EE98-4BD2-93D4-C43A80638219}"/>
    <cellStyle name="Note 2 3 2 3" xfId="1426" xr:uid="{00000000-0005-0000-0000-0000F4200000}"/>
    <cellStyle name="Note 2 3 2 3 2" xfId="3656" xr:uid="{00000000-0005-0000-0000-0000F5200000}"/>
    <cellStyle name="Note 2 3 2 3 2 2" xfId="7879" xr:uid="{00000000-0005-0000-0000-0000F6200000}"/>
    <cellStyle name="Note 2 3 2 3 2 2 2" xfId="16321" xr:uid="{45EAF62A-55AF-4C4F-8831-DEE23DE7155A}"/>
    <cellStyle name="Note 2 3 2 3 2 3" xfId="12103" xr:uid="{573E2705-746F-4DC5-93D8-0C7D4791DA81}"/>
    <cellStyle name="Note 2 3 2 3 3" xfId="5734" xr:uid="{00000000-0005-0000-0000-0000F7200000}"/>
    <cellStyle name="Note 2 3 2 3 3 2" xfId="14176" xr:uid="{20E253FF-334F-41EC-AE47-B753823BBEB6}"/>
    <cellStyle name="Note 2 3 2 3 4" xfId="9958" xr:uid="{971FC952-465A-4CDA-86D3-B97B7448264A}"/>
    <cellStyle name="Note 2 3 2 4" xfId="1840" xr:uid="{00000000-0005-0000-0000-0000F8200000}"/>
    <cellStyle name="Note 2 3 2 4 2" xfId="4069" xr:uid="{00000000-0005-0000-0000-0000F9200000}"/>
    <cellStyle name="Note 2 3 2 4 2 2" xfId="8292" xr:uid="{00000000-0005-0000-0000-0000FA200000}"/>
    <cellStyle name="Note 2 3 2 4 2 2 2" xfId="16734" xr:uid="{628561D5-AB5C-47B8-8569-BB23A1169219}"/>
    <cellStyle name="Note 2 3 2 4 2 3" xfId="12516" xr:uid="{15F018F9-E5B0-41B3-991D-21A89EB05F33}"/>
    <cellStyle name="Note 2 3 2 4 3" xfId="6147" xr:uid="{00000000-0005-0000-0000-0000FB200000}"/>
    <cellStyle name="Note 2 3 2 4 3 2" xfId="14589" xr:uid="{995B5E1B-A941-456F-8ED4-B758617E17C9}"/>
    <cellStyle name="Note 2 3 2 4 4" xfId="10371" xr:uid="{E87D320F-37DA-4689-A8F7-77DA816F34FB}"/>
    <cellStyle name="Note 2 3 2 5" xfId="2253" xr:uid="{00000000-0005-0000-0000-0000FC200000}"/>
    <cellStyle name="Note 2 3 2 5 2" xfId="4482" xr:uid="{00000000-0005-0000-0000-0000FD200000}"/>
    <cellStyle name="Note 2 3 2 5 2 2" xfId="8705" xr:uid="{00000000-0005-0000-0000-0000FE200000}"/>
    <cellStyle name="Note 2 3 2 5 2 2 2" xfId="17147" xr:uid="{ED5B66B7-0A38-49E8-9100-56B2AF36AEA1}"/>
    <cellStyle name="Note 2 3 2 5 2 3" xfId="12929" xr:uid="{C3E044DC-D424-41A9-A67B-F2497D63667F}"/>
    <cellStyle name="Note 2 3 2 5 3" xfId="6560" xr:uid="{00000000-0005-0000-0000-0000FF200000}"/>
    <cellStyle name="Note 2 3 2 5 3 2" xfId="15002" xr:uid="{B5C70D84-9A3A-4E9F-B88C-B083CCFF9808}"/>
    <cellStyle name="Note 2 3 2 5 4" xfId="10784" xr:uid="{CC53808E-1811-4E9B-AD16-AF2E1E9C6C78}"/>
    <cellStyle name="Note 2 3 2 6" xfId="2689" xr:uid="{00000000-0005-0000-0000-000000210000}"/>
    <cellStyle name="Note 2 3 2 6 2" xfId="6973" xr:uid="{00000000-0005-0000-0000-000001210000}"/>
    <cellStyle name="Note 2 3 2 6 2 2" xfId="15415" xr:uid="{86D4FE34-398D-4A61-8E02-F15DDBC8256F}"/>
    <cellStyle name="Note 2 3 2 6 3" xfId="11197" xr:uid="{B7AFE88F-EBE4-436B-8BE4-F2DB198B6465}"/>
    <cellStyle name="Note 2 3 2 7" xfId="2748" xr:uid="{00000000-0005-0000-0000-000002210000}"/>
    <cellStyle name="Note 2 3 2 8" xfId="2829" xr:uid="{00000000-0005-0000-0000-000003210000}"/>
    <cellStyle name="Note 2 3 2 8 2" xfId="7053" xr:uid="{00000000-0005-0000-0000-000004210000}"/>
    <cellStyle name="Note 2 3 2 8 2 2" xfId="15495" xr:uid="{D3F0B662-087B-4E0E-B14D-E5245E4FA88F}"/>
    <cellStyle name="Note 2 3 2 8 3" xfId="11277" xr:uid="{8DBB1FD9-4F2F-4D59-A5D5-2AB17043D904}"/>
    <cellStyle name="Note 2 3 2 9" xfId="4908" xr:uid="{00000000-0005-0000-0000-000005210000}"/>
    <cellStyle name="Note 2 3 2 9 2" xfId="13350" xr:uid="{2A7722EB-7022-46C8-86BF-4B3FA338ABD7}"/>
    <cellStyle name="Note 2 3 3" xfId="1010" xr:uid="{00000000-0005-0000-0000-000006210000}"/>
    <cellStyle name="Note 2 3 3 2" xfId="3242" xr:uid="{00000000-0005-0000-0000-000007210000}"/>
    <cellStyle name="Note 2 3 3 2 2" xfId="7465" xr:uid="{00000000-0005-0000-0000-000008210000}"/>
    <cellStyle name="Note 2 3 3 2 2 2" xfId="15907" xr:uid="{B2CC6349-BC08-4114-94B3-2F21A689519E}"/>
    <cellStyle name="Note 2 3 3 2 3" xfId="11689" xr:uid="{24188C8E-2FE0-47B1-ACFE-92FC20E6936E}"/>
    <cellStyle name="Note 2 3 3 3" xfId="5320" xr:uid="{00000000-0005-0000-0000-000009210000}"/>
    <cellStyle name="Note 2 3 3 3 2" xfId="13762" xr:uid="{4AF1317E-A00B-4B21-A8B5-A85921F8F6EF}"/>
    <cellStyle name="Note 2 3 3 4" xfId="9544" xr:uid="{4715F1E2-ED59-405F-A870-12612AB24466}"/>
    <cellStyle name="Note 2 3 4" xfId="1425" xr:uid="{00000000-0005-0000-0000-00000A210000}"/>
    <cellStyle name="Note 2 3 4 2" xfId="3655" xr:uid="{00000000-0005-0000-0000-00000B210000}"/>
    <cellStyle name="Note 2 3 4 2 2" xfId="7878" xr:uid="{00000000-0005-0000-0000-00000C210000}"/>
    <cellStyle name="Note 2 3 4 2 2 2" xfId="16320" xr:uid="{2F16DBCC-56CE-443C-BA18-766DDF223742}"/>
    <cellStyle name="Note 2 3 4 2 3" xfId="12102" xr:uid="{AC265635-C75B-4D19-8314-D8D249587DD4}"/>
    <cellStyle name="Note 2 3 4 3" xfId="5733" xr:uid="{00000000-0005-0000-0000-00000D210000}"/>
    <cellStyle name="Note 2 3 4 3 2" xfId="14175" xr:uid="{4B21AAA9-0A72-4F26-AFE2-D88CB14D537B}"/>
    <cellStyle name="Note 2 3 4 4" xfId="9957" xr:uid="{00441650-48D7-434B-85CA-DA171BCAFED2}"/>
    <cellStyle name="Note 2 3 5" xfId="1839" xr:uid="{00000000-0005-0000-0000-00000E210000}"/>
    <cellStyle name="Note 2 3 5 2" xfId="4068" xr:uid="{00000000-0005-0000-0000-00000F210000}"/>
    <cellStyle name="Note 2 3 5 2 2" xfId="8291" xr:uid="{00000000-0005-0000-0000-000010210000}"/>
    <cellStyle name="Note 2 3 5 2 2 2" xfId="16733" xr:uid="{3DD0EA9C-B4FC-40F0-85DE-B559AF5CB8C1}"/>
    <cellStyle name="Note 2 3 5 2 3" xfId="12515" xr:uid="{C2AD90DA-7C20-4A4F-9050-096E971754B7}"/>
    <cellStyle name="Note 2 3 5 3" xfId="6146" xr:uid="{00000000-0005-0000-0000-000011210000}"/>
    <cellStyle name="Note 2 3 5 3 2" xfId="14588" xr:uid="{539C0882-3617-4064-8FE7-A7E2CA064F14}"/>
    <cellStyle name="Note 2 3 5 4" xfId="10370" xr:uid="{DDA40563-4C86-4BEE-8743-7B5E7A825000}"/>
    <cellStyle name="Note 2 3 6" xfId="2252" xr:uid="{00000000-0005-0000-0000-000012210000}"/>
    <cellStyle name="Note 2 3 6 2" xfId="4481" xr:uid="{00000000-0005-0000-0000-000013210000}"/>
    <cellStyle name="Note 2 3 6 2 2" xfId="8704" xr:uid="{00000000-0005-0000-0000-000014210000}"/>
    <cellStyle name="Note 2 3 6 2 2 2" xfId="17146" xr:uid="{32370C61-7BE5-46E2-A63C-DE25E6B48AB0}"/>
    <cellStyle name="Note 2 3 6 2 3" xfId="12928" xr:uid="{65415D1B-A3ED-4D8A-AD69-F6AD1E6A7F9D}"/>
    <cellStyle name="Note 2 3 6 3" xfId="6559" xr:uid="{00000000-0005-0000-0000-000015210000}"/>
    <cellStyle name="Note 2 3 6 3 2" xfId="15001" xr:uid="{DAC38B5A-3385-4BE5-9CCD-9B31C6C00C89}"/>
    <cellStyle name="Note 2 3 6 4" xfId="10783" xr:uid="{E232F576-2EB2-4FFB-8F12-7EF5866738C8}"/>
    <cellStyle name="Note 2 3 7" xfId="2688" xr:uid="{00000000-0005-0000-0000-000016210000}"/>
    <cellStyle name="Note 2 3 7 2" xfId="6972" xr:uid="{00000000-0005-0000-0000-000017210000}"/>
    <cellStyle name="Note 2 3 7 2 2" xfId="15414" xr:uid="{01F8C518-E6C9-413B-843B-54D10AC8A461}"/>
    <cellStyle name="Note 2 3 7 3" xfId="11196" xr:uid="{6DE16691-81E5-4484-9502-53132CACD65A}"/>
    <cellStyle name="Note 2 3 8" xfId="2747" xr:uid="{00000000-0005-0000-0000-000018210000}"/>
    <cellStyle name="Note 2 3 9" xfId="2828" xr:uid="{00000000-0005-0000-0000-000019210000}"/>
    <cellStyle name="Note 2 3 9 2" xfId="7052" xr:uid="{00000000-0005-0000-0000-00001A210000}"/>
    <cellStyle name="Note 2 3 9 2 2" xfId="15494" xr:uid="{61CCD580-B5DF-470F-A06A-D7CACB09CEA5}"/>
    <cellStyle name="Note 2 3 9 3" xfId="11276" xr:uid="{985530EB-60F4-42E1-9C9E-F5BD65729A33}"/>
    <cellStyle name="Note 2 4" xfId="551" xr:uid="{00000000-0005-0000-0000-00001B210000}"/>
    <cellStyle name="Note 2 4 10" xfId="9133" xr:uid="{1DFC4C1B-5391-4708-8437-1AB4C85EA7CF}"/>
    <cellStyle name="Note 2 4 2" xfId="1012" xr:uid="{00000000-0005-0000-0000-00001C210000}"/>
    <cellStyle name="Note 2 4 2 2" xfId="3244" xr:uid="{00000000-0005-0000-0000-00001D210000}"/>
    <cellStyle name="Note 2 4 2 2 2" xfId="7467" xr:uid="{00000000-0005-0000-0000-00001E210000}"/>
    <cellStyle name="Note 2 4 2 2 2 2" xfId="15909" xr:uid="{B0568176-A103-4914-ABCF-6EDDD655AD4D}"/>
    <cellStyle name="Note 2 4 2 2 3" xfId="11691" xr:uid="{85315030-F3AE-40A7-96A6-A7C40795C8F9}"/>
    <cellStyle name="Note 2 4 2 3" xfId="5322" xr:uid="{00000000-0005-0000-0000-00001F210000}"/>
    <cellStyle name="Note 2 4 2 3 2" xfId="13764" xr:uid="{A2366A6C-44AE-4DE4-8310-CC41D3C349B5}"/>
    <cellStyle name="Note 2 4 2 4" xfId="9546" xr:uid="{83A5FF8E-8664-4A24-A3BA-67B0ED8CA4C5}"/>
    <cellStyle name="Note 2 4 3" xfId="1427" xr:uid="{00000000-0005-0000-0000-000020210000}"/>
    <cellStyle name="Note 2 4 3 2" xfId="3657" xr:uid="{00000000-0005-0000-0000-000021210000}"/>
    <cellStyle name="Note 2 4 3 2 2" xfId="7880" xr:uid="{00000000-0005-0000-0000-000022210000}"/>
    <cellStyle name="Note 2 4 3 2 2 2" xfId="16322" xr:uid="{4A6144DA-1385-4AE1-AF1F-D3F030115DE0}"/>
    <cellStyle name="Note 2 4 3 2 3" xfId="12104" xr:uid="{FD9BD9A4-2173-45C1-86F8-F30A2ED92547}"/>
    <cellStyle name="Note 2 4 3 3" xfId="5735" xr:uid="{00000000-0005-0000-0000-000023210000}"/>
    <cellStyle name="Note 2 4 3 3 2" xfId="14177" xr:uid="{3CD00FF0-F277-4E74-ADCE-BC4539F8D4EC}"/>
    <cellStyle name="Note 2 4 3 4" xfId="9959" xr:uid="{8C35E224-857E-415F-B56F-59925F00A9AD}"/>
    <cellStyle name="Note 2 4 4" xfId="1841" xr:uid="{00000000-0005-0000-0000-000024210000}"/>
    <cellStyle name="Note 2 4 4 2" xfId="4070" xr:uid="{00000000-0005-0000-0000-000025210000}"/>
    <cellStyle name="Note 2 4 4 2 2" xfId="8293" xr:uid="{00000000-0005-0000-0000-000026210000}"/>
    <cellStyle name="Note 2 4 4 2 2 2" xfId="16735" xr:uid="{626D0312-2E30-4C47-BC40-A8CE34B441B3}"/>
    <cellStyle name="Note 2 4 4 2 3" xfId="12517" xr:uid="{3BC16EEC-19D3-473E-BDFC-287031B2CFFB}"/>
    <cellStyle name="Note 2 4 4 3" xfId="6148" xr:uid="{00000000-0005-0000-0000-000027210000}"/>
    <cellStyle name="Note 2 4 4 3 2" xfId="14590" xr:uid="{EE45A294-8372-45C5-9AA8-E59D5A16AB7F}"/>
    <cellStyle name="Note 2 4 4 4" xfId="10372" xr:uid="{63E899B2-9F8D-4BB3-985C-D68B9EE8E044}"/>
    <cellStyle name="Note 2 4 5" xfId="2254" xr:uid="{00000000-0005-0000-0000-000028210000}"/>
    <cellStyle name="Note 2 4 5 2" xfId="4483" xr:uid="{00000000-0005-0000-0000-000029210000}"/>
    <cellStyle name="Note 2 4 5 2 2" xfId="8706" xr:uid="{00000000-0005-0000-0000-00002A210000}"/>
    <cellStyle name="Note 2 4 5 2 2 2" xfId="17148" xr:uid="{CE35A3D4-C478-492F-8C19-8F6FF79CF9AA}"/>
    <cellStyle name="Note 2 4 5 2 3" xfId="12930" xr:uid="{3C5F5C8A-71CB-45B8-B063-B0E9999FF9D3}"/>
    <cellStyle name="Note 2 4 5 3" xfId="6561" xr:uid="{00000000-0005-0000-0000-00002B210000}"/>
    <cellStyle name="Note 2 4 5 3 2" xfId="15003" xr:uid="{C652767A-4AEA-466A-87AF-6AF2242A26FC}"/>
    <cellStyle name="Note 2 4 5 4" xfId="10785" xr:uid="{48E3CF68-A708-4BA5-9445-2CC51FBC86BC}"/>
    <cellStyle name="Note 2 4 6" xfId="2690" xr:uid="{00000000-0005-0000-0000-00002C210000}"/>
    <cellStyle name="Note 2 4 6 2" xfId="6974" xr:uid="{00000000-0005-0000-0000-00002D210000}"/>
    <cellStyle name="Note 2 4 6 2 2" xfId="15416" xr:uid="{A262AF00-85CC-4079-A609-C79FAEE4A41C}"/>
    <cellStyle name="Note 2 4 6 3" xfId="11198" xr:uid="{95EDAA3F-7FC4-45CA-91B6-82C46CD06654}"/>
    <cellStyle name="Note 2 4 7" xfId="2749" xr:uid="{00000000-0005-0000-0000-00002E210000}"/>
    <cellStyle name="Note 2 4 8" xfId="2830" xr:uid="{00000000-0005-0000-0000-00002F210000}"/>
    <cellStyle name="Note 2 4 8 2" xfId="7054" xr:uid="{00000000-0005-0000-0000-000030210000}"/>
    <cellStyle name="Note 2 4 8 2 2" xfId="15496" xr:uid="{4DAEB263-2601-42DC-A1F3-BD0C490E1A08}"/>
    <cellStyle name="Note 2 4 8 3" xfId="11278" xr:uid="{C65BB65B-6EAC-4E87-9F51-E8D945E35844}"/>
    <cellStyle name="Note 2 4 9" xfId="4909" xr:uid="{00000000-0005-0000-0000-000031210000}"/>
    <cellStyle name="Note 2 4 9 2" xfId="13351" xr:uid="{E80127D6-E995-4007-BAAC-40B5B38DB689}"/>
    <cellStyle name="Note 2 5" xfId="552" xr:uid="{00000000-0005-0000-0000-000032210000}"/>
    <cellStyle name="Note 2 5 10" xfId="9134" xr:uid="{D31ADC1E-3F73-4D2A-BFD2-09C60CD94CD3}"/>
    <cellStyle name="Note 2 5 2" xfId="1013" xr:uid="{00000000-0005-0000-0000-000033210000}"/>
    <cellStyle name="Note 2 5 2 2" xfId="3245" xr:uid="{00000000-0005-0000-0000-000034210000}"/>
    <cellStyle name="Note 2 5 2 2 2" xfId="7468" xr:uid="{00000000-0005-0000-0000-000035210000}"/>
    <cellStyle name="Note 2 5 2 2 2 2" xfId="15910" xr:uid="{8F9524E1-F067-4E0D-9CDB-EF228A97ABE9}"/>
    <cellStyle name="Note 2 5 2 2 3" xfId="11692" xr:uid="{5654BFE1-7885-40A8-9D81-F4438AB2BEB1}"/>
    <cellStyle name="Note 2 5 2 3" xfId="5323" xr:uid="{00000000-0005-0000-0000-000036210000}"/>
    <cellStyle name="Note 2 5 2 3 2" xfId="13765" xr:uid="{D8FC9CE8-C77E-41B4-9274-27B8DBC14E51}"/>
    <cellStyle name="Note 2 5 2 4" xfId="9547" xr:uid="{54E1817C-83E3-47A0-B693-CE121DAD7AB1}"/>
    <cellStyle name="Note 2 5 3" xfId="1428" xr:uid="{00000000-0005-0000-0000-000037210000}"/>
    <cellStyle name="Note 2 5 3 2" xfId="3658" xr:uid="{00000000-0005-0000-0000-000038210000}"/>
    <cellStyle name="Note 2 5 3 2 2" xfId="7881" xr:uid="{00000000-0005-0000-0000-000039210000}"/>
    <cellStyle name="Note 2 5 3 2 2 2" xfId="16323" xr:uid="{269ED985-C3F4-43EF-AD48-314F4469A453}"/>
    <cellStyle name="Note 2 5 3 2 3" xfId="12105" xr:uid="{72751B07-CD5A-4E5E-9509-5033351DA873}"/>
    <cellStyle name="Note 2 5 3 3" xfId="5736" xr:uid="{00000000-0005-0000-0000-00003A210000}"/>
    <cellStyle name="Note 2 5 3 3 2" xfId="14178" xr:uid="{97D49DA1-96AD-46B4-B9F8-B93C4D4FDE16}"/>
    <cellStyle name="Note 2 5 3 4" xfId="9960" xr:uid="{36BE435F-C2C1-43A8-801C-86569876E2C3}"/>
    <cellStyle name="Note 2 5 4" xfId="1842" xr:uid="{00000000-0005-0000-0000-00003B210000}"/>
    <cellStyle name="Note 2 5 4 2" xfId="4071" xr:uid="{00000000-0005-0000-0000-00003C210000}"/>
    <cellStyle name="Note 2 5 4 2 2" xfId="8294" xr:uid="{00000000-0005-0000-0000-00003D210000}"/>
    <cellStyle name="Note 2 5 4 2 2 2" xfId="16736" xr:uid="{7C1A1B7C-477D-4C31-88A8-29080A6E1198}"/>
    <cellStyle name="Note 2 5 4 2 3" xfId="12518" xr:uid="{E48B966A-94AB-4E57-842B-1FE9669611BD}"/>
    <cellStyle name="Note 2 5 4 3" xfId="6149" xr:uid="{00000000-0005-0000-0000-00003E210000}"/>
    <cellStyle name="Note 2 5 4 3 2" xfId="14591" xr:uid="{D6BF64AD-8A63-4598-BE7E-A78ABE59FA58}"/>
    <cellStyle name="Note 2 5 4 4" xfId="10373" xr:uid="{40D3C09E-5E2A-4E26-80B5-6144BB34D96A}"/>
    <cellStyle name="Note 2 5 5" xfId="2255" xr:uid="{00000000-0005-0000-0000-00003F210000}"/>
    <cellStyle name="Note 2 5 5 2" xfId="4484" xr:uid="{00000000-0005-0000-0000-000040210000}"/>
    <cellStyle name="Note 2 5 5 2 2" xfId="8707" xr:uid="{00000000-0005-0000-0000-000041210000}"/>
    <cellStyle name="Note 2 5 5 2 2 2" xfId="17149" xr:uid="{9BE49DB4-388C-44E9-9B3C-F24560802DD4}"/>
    <cellStyle name="Note 2 5 5 2 3" xfId="12931" xr:uid="{21E06D2A-E111-4CDA-BE87-9760C0C67A09}"/>
    <cellStyle name="Note 2 5 5 3" xfId="6562" xr:uid="{00000000-0005-0000-0000-000042210000}"/>
    <cellStyle name="Note 2 5 5 3 2" xfId="15004" xr:uid="{E92D346D-14E1-4E93-B3F5-953CDB9D9D79}"/>
    <cellStyle name="Note 2 5 5 4" xfId="10786" xr:uid="{608AC401-5727-4D3A-B5E5-F8776C751C50}"/>
    <cellStyle name="Note 2 5 6" xfId="2691" xr:uid="{00000000-0005-0000-0000-000043210000}"/>
    <cellStyle name="Note 2 5 6 2" xfId="6975" xr:uid="{00000000-0005-0000-0000-000044210000}"/>
    <cellStyle name="Note 2 5 6 2 2" xfId="15417" xr:uid="{F336EE7B-6106-45B7-8009-A8E23419A6A7}"/>
    <cellStyle name="Note 2 5 6 3" xfId="11199" xr:uid="{0C1482F6-2FC8-4955-AC5E-F9C7F38B3C4C}"/>
    <cellStyle name="Note 2 5 7" xfId="2750" xr:uid="{00000000-0005-0000-0000-000045210000}"/>
    <cellStyle name="Note 2 5 8" xfId="2831" xr:uid="{00000000-0005-0000-0000-000046210000}"/>
    <cellStyle name="Note 2 5 8 2" xfId="7055" xr:uid="{00000000-0005-0000-0000-000047210000}"/>
    <cellStyle name="Note 2 5 8 2 2" xfId="15497" xr:uid="{5A9617DE-E024-447A-B47B-E8A643245EAA}"/>
    <cellStyle name="Note 2 5 8 3" xfId="11279" xr:uid="{F0BF822C-4AEC-414A-A2FC-001D90365A84}"/>
    <cellStyle name="Note 2 5 9" xfId="4910" xr:uid="{00000000-0005-0000-0000-000048210000}"/>
    <cellStyle name="Note 2 5 9 2" xfId="13352" xr:uid="{CD4440F7-0CCB-4F36-A959-82C3A204150D}"/>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15C27E46-085D-470D-8000-B16B1171EAE3}"/>
    <cellStyle name="Note 3 2 10 3" xfId="11280" xr:uid="{A140F9E3-9D9B-4A5E-95F5-4F0EA7B87FE5}"/>
    <cellStyle name="Note 3 2 11" xfId="4911" xr:uid="{00000000-0005-0000-0000-00004D210000}"/>
    <cellStyle name="Note 3 2 11 2" xfId="13353" xr:uid="{9EFBC090-8E07-46B8-AF85-4FB455A83309}"/>
    <cellStyle name="Note 3 2 12" xfId="9135" xr:uid="{279E0F2D-316C-4B77-B90A-5706859D16EA}"/>
    <cellStyle name="Note 3 2 2" xfId="555" xr:uid="{00000000-0005-0000-0000-00004E210000}"/>
    <cellStyle name="Note 3 2 2 10" xfId="4912" xr:uid="{00000000-0005-0000-0000-00004F210000}"/>
    <cellStyle name="Note 3 2 2 10 2" xfId="13354" xr:uid="{5F9C5527-0451-4E71-884D-FDF77FCE2727}"/>
    <cellStyle name="Note 3 2 2 11" xfId="9136" xr:uid="{FB4A849F-9604-4B16-9834-EC913B380686}"/>
    <cellStyle name="Note 3 2 2 2" xfId="556" xr:uid="{00000000-0005-0000-0000-000050210000}"/>
    <cellStyle name="Note 3 2 2 2 10" xfId="9137" xr:uid="{A589B457-7ABB-4B94-8118-8B55818DB75C}"/>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20D88DF7-553E-4DC0-AC02-0CD41712E17D}"/>
    <cellStyle name="Note 3 2 2 2 2 2 3" xfId="11695" xr:uid="{6A899581-ED82-4371-9793-010E89E7BA5E}"/>
    <cellStyle name="Note 3 2 2 2 2 3" xfId="5326" xr:uid="{00000000-0005-0000-0000-000054210000}"/>
    <cellStyle name="Note 3 2 2 2 2 3 2" xfId="13768" xr:uid="{89C68ED6-B516-4A54-975B-7E04A86AF2F3}"/>
    <cellStyle name="Note 3 2 2 2 2 4" xfId="9550" xr:uid="{4732500C-30B5-460B-A938-9994113C5082}"/>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62BC1DA1-2C44-4DEB-887F-6E91E0C800B7}"/>
    <cellStyle name="Note 3 2 2 2 3 2 3" xfId="12108" xr:uid="{1F9F0AE8-21D0-43CB-B142-D2305B337C98}"/>
    <cellStyle name="Note 3 2 2 2 3 3" xfId="5739" xr:uid="{00000000-0005-0000-0000-000058210000}"/>
    <cellStyle name="Note 3 2 2 2 3 3 2" xfId="14181" xr:uid="{20D77745-A2B0-4900-93E0-3635F7DDD609}"/>
    <cellStyle name="Note 3 2 2 2 3 4" xfId="9963" xr:uid="{3C2FC02F-A78E-409B-A61A-8F6AC2C2A82E}"/>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F7A47B85-8A6B-4513-A371-2BCCE89FC573}"/>
    <cellStyle name="Note 3 2 2 2 4 2 3" xfId="12521" xr:uid="{C27AFEEF-894A-45C8-B19C-448E4FF7D590}"/>
    <cellStyle name="Note 3 2 2 2 4 3" xfId="6152" xr:uid="{00000000-0005-0000-0000-00005C210000}"/>
    <cellStyle name="Note 3 2 2 2 4 3 2" xfId="14594" xr:uid="{101B7FCD-36CA-4DE4-B403-1E0C6B768F9F}"/>
    <cellStyle name="Note 3 2 2 2 4 4" xfId="10376" xr:uid="{5FD230C9-1F5D-47DE-97F3-512303C6D5F7}"/>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8177E266-A7C6-4AB2-AD9B-2DE99F894387}"/>
    <cellStyle name="Note 3 2 2 2 5 2 3" xfId="12934" xr:uid="{B1D16085-E61F-47BF-9DE9-7250352848CB}"/>
    <cellStyle name="Note 3 2 2 2 5 3" xfId="6565" xr:uid="{00000000-0005-0000-0000-000060210000}"/>
    <cellStyle name="Note 3 2 2 2 5 3 2" xfId="15007" xr:uid="{CF56B7B5-AB8C-4D68-8414-4D8B42CC988F}"/>
    <cellStyle name="Note 3 2 2 2 5 4" xfId="10789" xr:uid="{6BD295DD-0357-47E4-B23C-24769C3A6CE8}"/>
    <cellStyle name="Note 3 2 2 2 6" xfId="2694" xr:uid="{00000000-0005-0000-0000-000061210000}"/>
    <cellStyle name="Note 3 2 2 2 6 2" xfId="6978" xr:uid="{00000000-0005-0000-0000-000062210000}"/>
    <cellStyle name="Note 3 2 2 2 6 2 2" xfId="15420" xr:uid="{9D56B4C5-0E8D-4547-80DB-D24B4409E2AF}"/>
    <cellStyle name="Note 3 2 2 2 6 3" xfId="11202" xr:uid="{743B260A-7AE8-42A0-B1F8-426561FAF9CE}"/>
    <cellStyle name="Note 3 2 2 2 7" xfId="2753" xr:uid="{00000000-0005-0000-0000-000063210000}"/>
    <cellStyle name="Note 3 2 2 2 8" xfId="2834" xr:uid="{00000000-0005-0000-0000-000064210000}"/>
    <cellStyle name="Note 3 2 2 2 8 2" xfId="7058" xr:uid="{00000000-0005-0000-0000-000065210000}"/>
    <cellStyle name="Note 3 2 2 2 8 2 2" xfId="15500" xr:uid="{750D8272-7F0A-4278-8305-F45C6FA044DB}"/>
    <cellStyle name="Note 3 2 2 2 8 3" xfId="11282" xr:uid="{208F3EFF-AF61-4FAF-B357-0F06B9A0BE1C}"/>
    <cellStyle name="Note 3 2 2 2 9" xfId="4913" xr:uid="{00000000-0005-0000-0000-000066210000}"/>
    <cellStyle name="Note 3 2 2 2 9 2" xfId="13355" xr:uid="{767B2B1C-6C3C-48CE-8383-97B8D94356E6}"/>
    <cellStyle name="Note 3 2 2 3" xfId="1015" xr:uid="{00000000-0005-0000-0000-000067210000}"/>
    <cellStyle name="Note 3 2 2 3 2" xfId="3247" xr:uid="{00000000-0005-0000-0000-000068210000}"/>
    <cellStyle name="Note 3 2 2 3 2 2" xfId="7470" xr:uid="{00000000-0005-0000-0000-000069210000}"/>
    <cellStyle name="Note 3 2 2 3 2 2 2" xfId="15912" xr:uid="{26EA144D-BEBF-40A6-935B-4F6462F0D4FB}"/>
    <cellStyle name="Note 3 2 2 3 2 3" xfId="11694" xr:uid="{A8EC457C-AF4B-4A49-B64A-CD66863E7C50}"/>
    <cellStyle name="Note 3 2 2 3 3" xfId="5325" xr:uid="{00000000-0005-0000-0000-00006A210000}"/>
    <cellStyle name="Note 3 2 2 3 3 2" xfId="13767" xr:uid="{4DCF3502-1C4B-4607-8311-0CC993E91FBC}"/>
    <cellStyle name="Note 3 2 2 3 4" xfId="9549" xr:uid="{7B5E48F6-EAA5-4876-9615-0F12BC3E2628}"/>
    <cellStyle name="Note 3 2 2 4" xfId="1430" xr:uid="{00000000-0005-0000-0000-00006B210000}"/>
    <cellStyle name="Note 3 2 2 4 2" xfId="3660" xr:uid="{00000000-0005-0000-0000-00006C210000}"/>
    <cellStyle name="Note 3 2 2 4 2 2" xfId="7883" xr:uid="{00000000-0005-0000-0000-00006D210000}"/>
    <cellStyle name="Note 3 2 2 4 2 2 2" xfId="16325" xr:uid="{33A3D84F-538A-4255-8A51-460CD5E6F3DA}"/>
    <cellStyle name="Note 3 2 2 4 2 3" xfId="12107" xr:uid="{0CFC49A7-C9D8-46BC-AAEC-03FC4A4E7794}"/>
    <cellStyle name="Note 3 2 2 4 3" xfId="5738" xr:uid="{00000000-0005-0000-0000-00006E210000}"/>
    <cellStyle name="Note 3 2 2 4 3 2" xfId="14180" xr:uid="{B334132A-852C-442E-97AF-E58E85298C44}"/>
    <cellStyle name="Note 3 2 2 4 4" xfId="9962" xr:uid="{34A6BBF9-98E8-4A16-96A4-E392B75C6966}"/>
    <cellStyle name="Note 3 2 2 5" xfId="1844" xr:uid="{00000000-0005-0000-0000-00006F210000}"/>
    <cellStyle name="Note 3 2 2 5 2" xfId="4073" xr:uid="{00000000-0005-0000-0000-000070210000}"/>
    <cellStyle name="Note 3 2 2 5 2 2" xfId="8296" xr:uid="{00000000-0005-0000-0000-000071210000}"/>
    <cellStyle name="Note 3 2 2 5 2 2 2" xfId="16738" xr:uid="{1201EE40-02BC-4F02-A19A-50125AF1E667}"/>
    <cellStyle name="Note 3 2 2 5 2 3" xfId="12520" xr:uid="{A927756E-165A-4EFB-8FBD-C5BE8B5C6A94}"/>
    <cellStyle name="Note 3 2 2 5 3" xfId="6151" xr:uid="{00000000-0005-0000-0000-000072210000}"/>
    <cellStyle name="Note 3 2 2 5 3 2" xfId="14593" xr:uid="{8E2AC9D8-14A7-4B79-AF95-CB6265254085}"/>
    <cellStyle name="Note 3 2 2 5 4" xfId="10375" xr:uid="{C6523510-02C6-4AF1-A86B-7FD79981D7B9}"/>
    <cellStyle name="Note 3 2 2 6" xfId="2257" xr:uid="{00000000-0005-0000-0000-000073210000}"/>
    <cellStyle name="Note 3 2 2 6 2" xfId="4486" xr:uid="{00000000-0005-0000-0000-000074210000}"/>
    <cellStyle name="Note 3 2 2 6 2 2" xfId="8709" xr:uid="{00000000-0005-0000-0000-000075210000}"/>
    <cellStyle name="Note 3 2 2 6 2 2 2" xfId="17151" xr:uid="{528CDF58-5158-4CCF-B36E-CD6EED5FAC40}"/>
    <cellStyle name="Note 3 2 2 6 2 3" xfId="12933" xr:uid="{45EC3AAF-A6B7-4805-B24C-87F47E0D27EA}"/>
    <cellStyle name="Note 3 2 2 6 3" xfId="6564" xr:uid="{00000000-0005-0000-0000-000076210000}"/>
    <cellStyle name="Note 3 2 2 6 3 2" xfId="15006" xr:uid="{A6822FD3-0453-4180-B638-F40D854819AB}"/>
    <cellStyle name="Note 3 2 2 6 4" xfId="10788" xr:uid="{AC603226-4786-4EF1-ADDE-D6F7B27766F9}"/>
    <cellStyle name="Note 3 2 2 7" xfId="2693" xr:uid="{00000000-0005-0000-0000-000077210000}"/>
    <cellStyle name="Note 3 2 2 7 2" xfId="6977" xr:uid="{00000000-0005-0000-0000-000078210000}"/>
    <cellStyle name="Note 3 2 2 7 2 2" xfId="15419" xr:uid="{6960467B-E59F-4C07-8949-5112494D1117}"/>
    <cellStyle name="Note 3 2 2 7 3" xfId="11201" xr:uid="{360F7D5B-AF1D-4C44-B722-1E3B1FA7E139}"/>
    <cellStyle name="Note 3 2 2 8" xfId="2752" xr:uid="{00000000-0005-0000-0000-000079210000}"/>
    <cellStyle name="Note 3 2 2 9" xfId="2833" xr:uid="{00000000-0005-0000-0000-00007A210000}"/>
    <cellStyle name="Note 3 2 2 9 2" xfId="7057" xr:uid="{00000000-0005-0000-0000-00007B210000}"/>
    <cellStyle name="Note 3 2 2 9 2 2" xfId="15499" xr:uid="{A995D88C-8405-40BB-8040-E22E7711E6F6}"/>
    <cellStyle name="Note 3 2 2 9 3" xfId="11281" xr:uid="{1BD66871-3EF0-4D1B-B0EA-0246CD6362E5}"/>
    <cellStyle name="Note 3 2 3" xfId="557" xr:uid="{00000000-0005-0000-0000-00007C210000}"/>
    <cellStyle name="Note 3 2 3 10" xfId="9138" xr:uid="{B9230A13-D01B-4A2C-A09F-3A8709DF3ABC}"/>
    <cellStyle name="Note 3 2 3 2" xfId="1017" xr:uid="{00000000-0005-0000-0000-00007D210000}"/>
    <cellStyle name="Note 3 2 3 2 2" xfId="3249" xr:uid="{00000000-0005-0000-0000-00007E210000}"/>
    <cellStyle name="Note 3 2 3 2 2 2" xfId="7472" xr:uid="{00000000-0005-0000-0000-00007F210000}"/>
    <cellStyle name="Note 3 2 3 2 2 2 2" xfId="15914" xr:uid="{3BF5CA2C-E881-4CBF-80E0-8C261A75C1CA}"/>
    <cellStyle name="Note 3 2 3 2 2 3" xfId="11696" xr:uid="{F9AE4081-5BA8-4246-AEBA-72664E4AD19D}"/>
    <cellStyle name="Note 3 2 3 2 3" xfId="5327" xr:uid="{00000000-0005-0000-0000-000080210000}"/>
    <cellStyle name="Note 3 2 3 2 3 2" xfId="13769" xr:uid="{92D26C75-2A3F-438A-9980-141522172158}"/>
    <cellStyle name="Note 3 2 3 2 4" xfId="9551" xr:uid="{D0D51C8D-E000-4C8C-9A7F-D52CCFA97B74}"/>
    <cellStyle name="Note 3 2 3 3" xfId="1432" xr:uid="{00000000-0005-0000-0000-000081210000}"/>
    <cellStyle name="Note 3 2 3 3 2" xfId="3662" xr:uid="{00000000-0005-0000-0000-000082210000}"/>
    <cellStyle name="Note 3 2 3 3 2 2" xfId="7885" xr:uid="{00000000-0005-0000-0000-000083210000}"/>
    <cellStyle name="Note 3 2 3 3 2 2 2" xfId="16327" xr:uid="{119FC6C8-72B4-4875-86D0-F146AB71B101}"/>
    <cellStyle name="Note 3 2 3 3 2 3" xfId="12109" xr:uid="{1FDBF2CB-C615-462F-8EFB-5FD8B42E568B}"/>
    <cellStyle name="Note 3 2 3 3 3" xfId="5740" xr:uid="{00000000-0005-0000-0000-000084210000}"/>
    <cellStyle name="Note 3 2 3 3 3 2" xfId="14182" xr:uid="{4CD02F69-6C8F-4D32-B3ED-F6AED5E50A47}"/>
    <cellStyle name="Note 3 2 3 3 4" xfId="9964" xr:uid="{3430D80F-FFC1-4CB3-927A-C962036B0C62}"/>
    <cellStyle name="Note 3 2 3 4" xfId="1846" xr:uid="{00000000-0005-0000-0000-000085210000}"/>
    <cellStyle name="Note 3 2 3 4 2" xfId="4075" xr:uid="{00000000-0005-0000-0000-000086210000}"/>
    <cellStyle name="Note 3 2 3 4 2 2" xfId="8298" xr:uid="{00000000-0005-0000-0000-000087210000}"/>
    <cellStyle name="Note 3 2 3 4 2 2 2" xfId="16740" xr:uid="{CF8B96C4-C24F-45D0-B9D2-FF63DC0412C7}"/>
    <cellStyle name="Note 3 2 3 4 2 3" xfId="12522" xr:uid="{C0975B1F-1F85-4530-A80C-F814FE744C40}"/>
    <cellStyle name="Note 3 2 3 4 3" xfId="6153" xr:uid="{00000000-0005-0000-0000-000088210000}"/>
    <cellStyle name="Note 3 2 3 4 3 2" xfId="14595" xr:uid="{EFB4EF47-CB1F-4B8F-9D27-0D6EECC27809}"/>
    <cellStyle name="Note 3 2 3 4 4" xfId="10377" xr:uid="{C788D0EC-6752-4650-B93F-3DFD398E4126}"/>
    <cellStyle name="Note 3 2 3 5" xfId="2259" xr:uid="{00000000-0005-0000-0000-000089210000}"/>
    <cellStyle name="Note 3 2 3 5 2" xfId="4488" xr:uid="{00000000-0005-0000-0000-00008A210000}"/>
    <cellStyle name="Note 3 2 3 5 2 2" xfId="8711" xr:uid="{00000000-0005-0000-0000-00008B210000}"/>
    <cellStyle name="Note 3 2 3 5 2 2 2" xfId="17153" xr:uid="{3CBB5246-FF93-449A-A18F-2FF5B0A60A53}"/>
    <cellStyle name="Note 3 2 3 5 2 3" xfId="12935" xr:uid="{4F8E148F-6077-4278-B238-33C5373160D7}"/>
    <cellStyle name="Note 3 2 3 5 3" xfId="6566" xr:uid="{00000000-0005-0000-0000-00008C210000}"/>
    <cellStyle name="Note 3 2 3 5 3 2" xfId="15008" xr:uid="{513BAA79-A84C-4EDC-8F91-6785E659DDD6}"/>
    <cellStyle name="Note 3 2 3 5 4" xfId="10790" xr:uid="{C9963F55-B899-424C-AC2A-E5443C6D22BE}"/>
    <cellStyle name="Note 3 2 3 6" xfId="2695" xr:uid="{00000000-0005-0000-0000-00008D210000}"/>
    <cellStyle name="Note 3 2 3 6 2" xfId="6979" xr:uid="{00000000-0005-0000-0000-00008E210000}"/>
    <cellStyle name="Note 3 2 3 6 2 2" xfId="15421" xr:uid="{7AF98F2F-6454-4343-B2D3-969BE31F818A}"/>
    <cellStyle name="Note 3 2 3 6 3" xfId="11203" xr:uid="{B05A12E0-567B-4698-835B-7F17DA5F3074}"/>
    <cellStyle name="Note 3 2 3 7" xfId="2754" xr:uid="{00000000-0005-0000-0000-00008F210000}"/>
    <cellStyle name="Note 3 2 3 8" xfId="2835" xr:uid="{00000000-0005-0000-0000-000090210000}"/>
    <cellStyle name="Note 3 2 3 8 2" xfId="7059" xr:uid="{00000000-0005-0000-0000-000091210000}"/>
    <cellStyle name="Note 3 2 3 8 2 2" xfId="15501" xr:uid="{EF8D56ED-C087-453A-BD50-E51C9E46856E}"/>
    <cellStyle name="Note 3 2 3 8 3" xfId="11283" xr:uid="{1922A789-10F3-4806-848B-9ABDF050908C}"/>
    <cellStyle name="Note 3 2 3 9" xfId="4914" xr:uid="{00000000-0005-0000-0000-000092210000}"/>
    <cellStyle name="Note 3 2 3 9 2" xfId="13356" xr:uid="{18B70D94-FE66-438A-B132-766CBEA3354B}"/>
    <cellStyle name="Note 3 2 4" xfId="1014" xr:uid="{00000000-0005-0000-0000-000093210000}"/>
    <cellStyle name="Note 3 2 4 2" xfId="3246" xr:uid="{00000000-0005-0000-0000-000094210000}"/>
    <cellStyle name="Note 3 2 4 2 2" xfId="7469" xr:uid="{00000000-0005-0000-0000-000095210000}"/>
    <cellStyle name="Note 3 2 4 2 2 2" xfId="15911" xr:uid="{C0BF52A7-567F-4B86-B5B7-9E8E1F24764D}"/>
    <cellStyle name="Note 3 2 4 2 3" xfId="11693" xr:uid="{7A06020F-66F0-4CC7-A4D8-BFB4EEBCB237}"/>
    <cellStyle name="Note 3 2 4 3" xfId="5324" xr:uid="{00000000-0005-0000-0000-000096210000}"/>
    <cellStyle name="Note 3 2 4 3 2" xfId="13766" xr:uid="{7FE168E9-A433-4153-8F3E-C36ECD494E37}"/>
    <cellStyle name="Note 3 2 4 4" xfId="9548" xr:uid="{9A409D64-5E34-4604-9521-A29631C60598}"/>
    <cellStyle name="Note 3 2 5" xfId="1429" xr:uid="{00000000-0005-0000-0000-000097210000}"/>
    <cellStyle name="Note 3 2 5 2" xfId="3659" xr:uid="{00000000-0005-0000-0000-000098210000}"/>
    <cellStyle name="Note 3 2 5 2 2" xfId="7882" xr:uid="{00000000-0005-0000-0000-000099210000}"/>
    <cellStyle name="Note 3 2 5 2 2 2" xfId="16324" xr:uid="{D73995DC-7E2F-4584-9D77-A98CF2A16C48}"/>
    <cellStyle name="Note 3 2 5 2 3" xfId="12106" xr:uid="{38A8022B-DEBE-47CA-B1E0-E19D78EC6FDD}"/>
    <cellStyle name="Note 3 2 5 3" xfId="5737" xr:uid="{00000000-0005-0000-0000-00009A210000}"/>
    <cellStyle name="Note 3 2 5 3 2" xfId="14179" xr:uid="{9A9184E1-EAA1-420A-BCA5-295925C557E4}"/>
    <cellStyle name="Note 3 2 5 4" xfId="9961" xr:uid="{84365B58-9D98-4CA6-8AED-D189929C06AC}"/>
    <cellStyle name="Note 3 2 6" xfId="1843" xr:uid="{00000000-0005-0000-0000-00009B210000}"/>
    <cellStyle name="Note 3 2 6 2" xfId="4072" xr:uid="{00000000-0005-0000-0000-00009C210000}"/>
    <cellStyle name="Note 3 2 6 2 2" xfId="8295" xr:uid="{00000000-0005-0000-0000-00009D210000}"/>
    <cellStyle name="Note 3 2 6 2 2 2" xfId="16737" xr:uid="{325545F3-BD39-4E98-B501-58C38EF3C55F}"/>
    <cellStyle name="Note 3 2 6 2 3" xfId="12519" xr:uid="{55106F3D-E53D-413C-BC1B-17D3AF9B971B}"/>
    <cellStyle name="Note 3 2 6 3" xfId="6150" xr:uid="{00000000-0005-0000-0000-00009E210000}"/>
    <cellStyle name="Note 3 2 6 3 2" xfId="14592" xr:uid="{16DCFF4F-1C6F-4A99-8CBC-6649EB7604B1}"/>
    <cellStyle name="Note 3 2 6 4" xfId="10374" xr:uid="{CE89D825-FAB8-44EA-AAAC-2576A25EEE0B}"/>
    <cellStyle name="Note 3 2 7" xfId="2256" xr:uid="{00000000-0005-0000-0000-00009F210000}"/>
    <cellStyle name="Note 3 2 7 2" xfId="4485" xr:uid="{00000000-0005-0000-0000-0000A0210000}"/>
    <cellStyle name="Note 3 2 7 2 2" xfId="8708" xr:uid="{00000000-0005-0000-0000-0000A1210000}"/>
    <cellStyle name="Note 3 2 7 2 2 2" xfId="17150" xr:uid="{45448BB0-0C69-4DEB-BA2D-D04070A88DEA}"/>
    <cellStyle name="Note 3 2 7 2 3" xfId="12932" xr:uid="{EAC844A2-B6CB-4D98-B1EA-AD26850E224F}"/>
    <cellStyle name="Note 3 2 7 3" xfId="6563" xr:uid="{00000000-0005-0000-0000-0000A2210000}"/>
    <cellStyle name="Note 3 2 7 3 2" xfId="15005" xr:uid="{0AD192D0-462F-4951-ACBA-357D4295566C}"/>
    <cellStyle name="Note 3 2 7 4" xfId="10787" xr:uid="{5A743CC9-A13D-4263-80A0-606B6882183C}"/>
    <cellStyle name="Note 3 2 8" xfId="2692" xr:uid="{00000000-0005-0000-0000-0000A3210000}"/>
    <cellStyle name="Note 3 2 8 2" xfId="6976" xr:uid="{00000000-0005-0000-0000-0000A4210000}"/>
    <cellStyle name="Note 3 2 8 2 2" xfId="15418" xr:uid="{41C51185-E3AF-4ACF-B050-D489BE939C3E}"/>
    <cellStyle name="Note 3 2 8 3" xfId="11200" xr:uid="{8B87E54F-DD0E-4FA2-A2E4-37BBF987994E}"/>
    <cellStyle name="Note 3 2 9" xfId="2751" xr:uid="{00000000-0005-0000-0000-0000A5210000}"/>
    <cellStyle name="Note 3 3" xfId="558" xr:uid="{00000000-0005-0000-0000-0000A6210000}"/>
    <cellStyle name="Note 3 3 10" xfId="4915" xr:uid="{00000000-0005-0000-0000-0000A7210000}"/>
    <cellStyle name="Note 3 3 10 2" xfId="13357" xr:uid="{4213C55B-819B-4BAC-AF72-0118B5F80E6F}"/>
    <cellStyle name="Note 3 3 11" xfId="9139" xr:uid="{D1A3183E-1BEE-42F1-9988-55E4AA7CDEA6}"/>
    <cellStyle name="Note 3 3 2" xfId="559" xr:uid="{00000000-0005-0000-0000-0000A8210000}"/>
    <cellStyle name="Note 3 3 2 10" xfId="9140" xr:uid="{5570BACF-7008-47C8-860D-C904183ECD0C}"/>
    <cellStyle name="Note 3 3 2 2" xfId="1019" xr:uid="{00000000-0005-0000-0000-0000A9210000}"/>
    <cellStyle name="Note 3 3 2 2 2" xfId="3251" xr:uid="{00000000-0005-0000-0000-0000AA210000}"/>
    <cellStyle name="Note 3 3 2 2 2 2" xfId="7474" xr:uid="{00000000-0005-0000-0000-0000AB210000}"/>
    <cellStyle name="Note 3 3 2 2 2 2 2" xfId="15916" xr:uid="{25F52CFE-E9F8-4F32-85D5-79D01C63D3A5}"/>
    <cellStyle name="Note 3 3 2 2 2 3" xfId="11698" xr:uid="{14A93913-5E3E-4A5A-B0B5-5B8D221B15BC}"/>
    <cellStyle name="Note 3 3 2 2 3" xfId="5329" xr:uid="{00000000-0005-0000-0000-0000AC210000}"/>
    <cellStyle name="Note 3 3 2 2 3 2" xfId="13771" xr:uid="{85CEF74B-FF55-4113-89F3-0DD864C3347E}"/>
    <cellStyle name="Note 3 3 2 2 4" xfId="9553" xr:uid="{72836280-33B2-44CB-9C26-64DF66AFF005}"/>
    <cellStyle name="Note 3 3 2 3" xfId="1434" xr:uid="{00000000-0005-0000-0000-0000AD210000}"/>
    <cellStyle name="Note 3 3 2 3 2" xfId="3664" xr:uid="{00000000-0005-0000-0000-0000AE210000}"/>
    <cellStyle name="Note 3 3 2 3 2 2" xfId="7887" xr:uid="{00000000-0005-0000-0000-0000AF210000}"/>
    <cellStyle name="Note 3 3 2 3 2 2 2" xfId="16329" xr:uid="{F3ECB983-C1B7-410F-906D-EAF7879678C0}"/>
    <cellStyle name="Note 3 3 2 3 2 3" xfId="12111" xr:uid="{0F6A8438-1F35-465E-8F77-9E50DCB8F03F}"/>
    <cellStyle name="Note 3 3 2 3 3" xfId="5742" xr:uid="{00000000-0005-0000-0000-0000B0210000}"/>
    <cellStyle name="Note 3 3 2 3 3 2" xfId="14184" xr:uid="{A8632F9A-13AA-4C09-923B-1034AE0059A9}"/>
    <cellStyle name="Note 3 3 2 3 4" xfId="9966" xr:uid="{4DDD4A67-A739-4E2D-8FFE-F38CEBB15EAB}"/>
    <cellStyle name="Note 3 3 2 4" xfId="1848" xr:uid="{00000000-0005-0000-0000-0000B1210000}"/>
    <cellStyle name="Note 3 3 2 4 2" xfId="4077" xr:uid="{00000000-0005-0000-0000-0000B2210000}"/>
    <cellStyle name="Note 3 3 2 4 2 2" xfId="8300" xr:uid="{00000000-0005-0000-0000-0000B3210000}"/>
    <cellStyle name="Note 3 3 2 4 2 2 2" xfId="16742" xr:uid="{FEABE82F-E14C-4AFA-8A3C-A1A98E5EBFB0}"/>
    <cellStyle name="Note 3 3 2 4 2 3" xfId="12524" xr:uid="{34BA8C08-0F9F-4746-9074-83207768F34E}"/>
    <cellStyle name="Note 3 3 2 4 3" xfId="6155" xr:uid="{00000000-0005-0000-0000-0000B4210000}"/>
    <cellStyle name="Note 3 3 2 4 3 2" xfId="14597" xr:uid="{27AB3667-FB75-457E-A761-C129522B5002}"/>
    <cellStyle name="Note 3 3 2 4 4" xfId="10379" xr:uid="{60669DDE-AD3F-4202-BB84-C3999B8833A1}"/>
    <cellStyle name="Note 3 3 2 5" xfId="2261" xr:uid="{00000000-0005-0000-0000-0000B5210000}"/>
    <cellStyle name="Note 3 3 2 5 2" xfId="4490" xr:uid="{00000000-0005-0000-0000-0000B6210000}"/>
    <cellStyle name="Note 3 3 2 5 2 2" xfId="8713" xr:uid="{00000000-0005-0000-0000-0000B7210000}"/>
    <cellStyle name="Note 3 3 2 5 2 2 2" xfId="17155" xr:uid="{FF1672EF-5EEE-48D0-AA0F-BD7AC815DF3C}"/>
    <cellStyle name="Note 3 3 2 5 2 3" xfId="12937" xr:uid="{D3247086-DDD0-40FA-BE8B-5BC98DC3E4D6}"/>
    <cellStyle name="Note 3 3 2 5 3" xfId="6568" xr:uid="{00000000-0005-0000-0000-0000B8210000}"/>
    <cellStyle name="Note 3 3 2 5 3 2" xfId="15010" xr:uid="{14BBFB13-65CB-48CF-A328-DD20295C4458}"/>
    <cellStyle name="Note 3 3 2 5 4" xfId="10792" xr:uid="{62242DD9-A6E7-4130-A535-58C520927F70}"/>
    <cellStyle name="Note 3 3 2 6" xfId="2697" xr:uid="{00000000-0005-0000-0000-0000B9210000}"/>
    <cellStyle name="Note 3 3 2 6 2" xfId="6981" xr:uid="{00000000-0005-0000-0000-0000BA210000}"/>
    <cellStyle name="Note 3 3 2 6 2 2" xfId="15423" xr:uid="{0DBB3896-64D5-421C-9E99-B71E53A3F594}"/>
    <cellStyle name="Note 3 3 2 6 3" xfId="11205" xr:uid="{A278B91A-8E7C-4C28-A0B4-E550BE60AC3F}"/>
    <cellStyle name="Note 3 3 2 7" xfId="2756" xr:uid="{00000000-0005-0000-0000-0000BB210000}"/>
    <cellStyle name="Note 3 3 2 8" xfId="2837" xr:uid="{00000000-0005-0000-0000-0000BC210000}"/>
    <cellStyle name="Note 3 3 2 8 2" xfId="7061" xr:uid="{00000000-0005-0000-0000-0000BD210000}"/>
    <cellStyle name="Note 3 3 2 8 2 2" xfId="15503" xr:uid="{3E6AE9BB-F4FD-4E26-AA47-F4D04BD4BE7E}"/>
    <cellStyle name="Note 3 3 2 8 3" xfId="11285" xr:uid="{B2BC8563-F82E-4296-8D3B-A993A268BE54}"/>
    <cellStyle name="Note 3 3 2 9" xfId="4916" xr:uid="{00000000-0005-0000-0000-0000BE210000}"/>
    <cellStyle name="Note 3 3 2 9 2" xfId="13358" xr:uid="{85929139-97E8-4AF5-B89E-A1C10CDA529B}"/>
    <cellStyle name="Note 3 3 3" xfId="1018" xr:uid="{00000000-0005-0000-0000-0000BF210000}"/>
    <cellStyle name="Note 3 3 3 2" xfId="3250" xr:uid="{00000000-0005-0000-0000-0000C0210000}"/>
    <cellStyle name="Note 3 3 3 2 2" xfId="7473" xr:uid="{00000000-0005-0000-0000-0000C1210000}"/>
    <cellStyle name="Note 3 3 3 2 2 2" xfId="15915" xr:uid="{FA20FA9B-A782-47E3-BB3C-CDCEDFEF8621}"/>
    <cellStyle name="Note 3 3 3 2 3" xfId="11697" xr:uid="{D56E6DFD-181B-43F0-8ACA-77A828B03D23}"/>
    <cellStyle name="Note 3 3 3 3" xfId="5328" xr:uid="{00000000-0005-0000-0000-0000C2210000}"/>
    <cellStyle name="Note 3 3 3 3 2" xfId="13770" xr:uid="{78FAF844-4CA0-4BCF-B437-151BF3133322}"/>
    <cellStyle name="Note 3 3 3 4" xfId="9552" xr:uid="{C8AE5E4E-76B5-4AF1-BE29-52050C75CBEF}"/>
    <cellStyle name="Note 3 3 4" xfId="1433" xr:uid="{00000000-0005-0000-0000-0000C3210000}"/>
    <cellStyle name="Note 3 3 4 2" xfId="3663" xr:uid="{00000000-0005-0000-0000-0000C4210000}"/>
    <cellStyle name="Note 3 3 4 2 2" xfId="7886" xr:uid="{00000000-0005-0000-0000-0000C5210000}"/>
    <cellStyle name="Note 3 3 4 2 2 2" xfId="16328" xr:uid="{6B5451FC-D05C-4B80-8471-35232F61DC86}"/>
    <cellStyle name="Note 3 3 4 2 3" xfId="12110" xr:uid="{75867CB5-7263-4FAF-9737-4A759CD6E725}"/>
    <cellStyle name="Note 3 3 4 3" xfId="5741" xr:uid="{00000000-0005-0000-0000-0000C6210000}"/>
    <cellStyle name="Note 3 3 4 3 2" xfId="14183" xr:uid="{B5F38F8A-DFC8-41B1-880E-31E4C75ABA00}"/>
    <cellStyle name="Note 3 3 4 4" xfId="9965" xr:uid="{AC060BBE-20D5-4DD8-A381-0A4922AE37EA}"/>
    <cellStyle name="Note 3 3 5" xfId="1847" xr:uid="{00000000-0005-0000-0000-0000C7210000}"/>
    <cellStyle name="Note 3 3 5 2" xfId="4076" xr:uid="{00000000-0005-0000-0000-0000C8210000}"/>
    <cellStyle name="Note 3 3 5 2 2" xfId="8299" xr:uid="{00000000-0005-0000-0000-0000C9210000}"/>
    <cellStyle name="Note 3 3 5 2 2 2" xfId="16741" xr:uid="{975EDB6F-1B2E-4718-8F42-CDABFAEA81EF}"/>
    <cellStyle name="Note 3 3 5 2 3" xfId="12523" xr:uid="{531D4DAE-D4D0-4088-BC10-17559E1FF3F5}"/>
    <cellStyle name="Note 3 3 5 3" xfId="6154" xr:uid="{00000000-0005-0000-0000-0000CA210000}"/>
    <cellStyle name="Note 3 3 5 3 2" xfId="14596" xr:uid="{DCE53FEC-016B-4A38-A5F4-9B03FE464B5A}"/>
    <cellStyle name="Note 3 3 5 4" xfId="10378" xr:uid="{E4871FAF-710F-4CD5-810C-6F4093C4C851}"/>
    <cellStyle name="Note 3 3 6" xfId="2260" xr:uid="{00000000-0005-0000-0000-0000CB210000}"/>
    <cellStyle name="Note 3 3 6 2" xfId="4489" xr:uid="{00000000-0005-0000-0000-0000CC210000}"/>
    <cellStyle name="Note 3 3 6 2 2" xfId="8712" xr:uid="{00000000-0005-0000-0000-0000CD210000}"/>
    <cellStyle name="Note 3 3 6 2 2 2" xfId="17154" xr:uid="{192F4053-2A2D-4021-A7A2-45279A7863C6}"/>
    <cellStyle name="Note 3 3 6 2 3" xfId="12936" xr:uid="{AA151B8A-9D73-48B3-89E5-EAEADCD1E1E4}"/>
    <cellStyle name="Note 3 3 6 3" xfId="6567" xr:uid="{00000000-0005-0000-0000-0000CE210000}"/>
    <cellStyle name="Note 3 3 6 3 2" xfId="15009" xr:uid="{F551C126-44CA-44B4-94F7-8CE17946701A}"/>
    <cellStyle name="Note 3 3 6 4" xfId="10791" xr:uid="{6B8648A8-A780-411A-9ED9-814E14A0F31E}"/>
    <cellStyle name="Note 3 3 7" xfId="2696" xr:uid="{00000000-0005-0000-0000-0000CF210000}"/>
    <cellStyle name="Note 3 3 7 2" xfId="6980" xr:uid="{00000000-0005-0000-0000-0000D0210000}"/>
    <cellStyle name="Note 3 3 7 2 2" xfId="15422" xr:uid="{D7A62AF3-D734-40A5-B24F-71925622D996}"/>
    <cellStyle name="Note 3 3 7 3" xfId="11204" xr:uid="{4D2DEB05-6E6B-4ADE-A342-AAD96BE9386E}"/>
    <cellStyle name="Note 3 3 8" xfId="2755" xr:uid="{00000000-0005-0000-0000-0000D1210000}"/>
    <cellStyle name="Note 3 3 9" xfId="2836" xr:uid="{00000000-0005-0000-0000-0000D2210000}"/>
    <cellStyle name="Note 3 3 9 2" xfId="7060" xr:uid="{00000000-0005-0000-0000-0000D3210000}"/>
    <cellStyle name="Note 3 3 9 2 2" xfId="15502" xr:uid="{56B59D2E-72DA-47A6-80CF-F5E23B53FEC7}"/>
    <cellStyle name="Note 3 3 9 3" xfId="11284" xr:uid="{0707B397-D494-499C-9C57-D406782CE12F}"/>
    <cellStyle name="Note 3 4" xfId="560" xr:uid="{00000000-0005-0000-0000-0000D4210000}"/>
    <cellStyle name="Note 3 4 10" xfId="9141" xr:uid="{89831424-168E-45C8-82A3-82FAED3A0631}"/>
    <cellStyle name="Note 3 4 2" xfId="1020" xr:uid="{00000000-0005-0000-0000-0000D5210000}"/>
    <cellStyle name="Note 3 4 2 2" xfId="3252" xr:uid="{00000000-0005-0000-0000-0000D6210000}"/>
    <cellStyle name="Note 3 4 2 2 2" xfId="7475" xr:uid="{00000000-0005-0000-0000-0000D7210000}"/>
    <cellStyle name="Note 3 4 2 2 2 2" xfId="15917" xr:uid="{DED79481-1AE3-4087-9E11-F3E36697C1AF}"/>
    <cellStyle name="Note 3 4 2 2 3" xfId="11699" xr:uid="{E7D05DC9-11AD-4593-828A-61534EA56D13}"/>
    <cellStyle name="Note 3 4 2 3" xfId="5330" xr:uid="{00000000-0005-0000-0000-0000D8210000}"/>
    <cellStyle name="Note 3 4 2 3 2" xfId="13772" xr:uid="{B51B50BD-B5A6-49A9-BB91-7378D856720D}"/>
    <cellStyle name="Note 3 4 2 4" xfId="9554" xr:uid="{97A53E85-604E-449E-95D4-5766205B3097}"/>
    <cellStyle name="Note 3 4 3" xfId="1435" xr:uid="{00000000-0005-0000-0000-0000D9210000}"/>
    <cellStyle name="Note 3 4 3 2" xfId="3665" xr:uid="{00000000-0005-0000-0000-0000DA210000}"/>
    <cellStyle name="Note 3 4 3 2 2" xfId="7888" xr:uid="{00000000-0005-0000-0000-0000DB210000}"/>
    <cellStyle name="Note 3 4 3 2 2 2" xfId="16330" xr:uid="{1FF34666-66C7-476A-BCBB-083A89B445EE}"/>
    <cellStyle name="Note 3 4 3 2 3" xfId="12112" xr:uid="{73025167-EBD5-4F3F-A2D0-4272F8C39EFA}"/>
    <cellStyle name="Note 3 4 3 3" xfId="5743" xr:uid="{00000000-0005-0000-0000-0000DC210000}"/>
    <cellStyle name="Note 3 4 3 3 2" xfId="14185" xr:uid="{064219D1-E3DD-421E-8E4F-30A557354210}"/>
    <cellStyle name="Note 3 4 3 4" xfId="9967" xr:uid="{44E02E96-4B16-49C7-95FB-C92886AEF1C1}"/>
    <cellStyle name="Note 3 4 4" xfId="1849" xr:uid="{00000000-0005-0000-0000-0000DD210000}"/>
    <cellStyle name="Note 3 4 4 2" xfId="4078" xr:uid="{00000000-0005-0000-0000-0000DE210000}"/>
    <cellStyle name="Note 3 4 4 2 2" xfId="8301" xr:uid="{00000000-0005-0000-0000-0000DF210000}"/>
    <cellStyle name="Note 3 4 4 2 2 2" xfId="16743" xr:uid="{46952A73-CF35-445E-994F-1B1D61E2E9FE}"/>
    <cellStyle name="Note 3 4 4 2 3" xfId="12525" xr:uid="{5314401B-D66B-4740-8EC6-35F12827A7D7}"/>
    <cellStyle name="Note 3 4 4 3" xfId="6156" xr:uid="{00000000-0005-0000-0000-0000E0210000}"/>
    <cellStyle name="Note 3 4 4 3 2" xfId="14598" xr:uid="{1F760784-F14D-4109-8035-F9975A27CD3C}"/>
    <cellStyle name="Note 3 4 4 4" xfId="10380" xr:uid="{A594EDB5-725F-4FF7-A02A-030BB4BD2BF1}"/>
    <cellStyle name="Note 3 4 5" xfId="2262" xr:uid="{00000000-0005-0000-0000-0000E1210000}"/>
    <cellStyle name="Note 3 4 5 2" xfId="4491" xr:uid="{00000000-0005-0000-0000-0000E2210000}"/>
    <cellStyle name="Note 3 4 5 2 2" xfId="8714" xr:uid="{00000000-0005-0000-0000-0000E3210000}"/>
    <cellStyle name="Note 3 4 5 2 2 2" xfId="17156" xr:uid="{1155645B-DF57-44B5-BD4A-33422448077A}"/>
    <cellStyle name="Note 3 4 5 2 3" xfId="12938" xr:uid="{B6A7B2FF-08C9-4D9A-846E-BCCB87C5333F}"/>
    <cellStyle name="Note 3 4 5 3" xfId="6569" xr:uid="{00000000-0005-0000-0000-0000E4210000}"/>
    <cellStyle name="Note 3 4 5 3 2" xfId="15011" xr:uid="{1349EB74-4BBE-412B-A9D8-D5FBA50962D4}"/>
    <cellStyle name="Note 3 4 5 4" xfId="10793" xr:uid="{1FEDACBE-0709-4F5A-B9B8-43035A3F49CB}"/>
    <cellStyle name="Note 3 4 6" xfId="2698" xr:uid="{00000000-0005-0000-0000-0000E5210000}"/>
    <cellStyle name="Note 3 4 6 2" xfId="6982" xr:uid="{00000000-0005-0000-0000-0000E6210000}"/>
    <cellStyle name="Note 3 4 6 2 2" xfId="15424" xr:uid="{27351F6C-76E1-4533-A3E3-18B53B4817A6}"/>
    <cellStyle name="Note 3 4 6 3" xfId="11206" xr:uid="{E986042B-FE80-4946-AEC1-A0854E74E8CC}"/>
    <cellStyle name="Note 3 4 7" xfId="2757" xr:uid="{00000000-0005-0000-0000-0000E7210000}"/>
    <cellStyle name="Note 3 4 8" xfId="2838" xr:uid="{00000000-0005-0000-0000-0000E8210000}"/>
    <cellStyle name="Note 3 4 8 2" xfId="7062" xr:uid="{00000000-0005-0000-0000-0000E9210000}"/>
    <cellStyle name="Note 3 4 8 2 2" xfId="15504" xr:uid="{4F74DF7A-B111-4DC8-8CB3-E62CC5150F67}"/>
    <cellStyle name="Note 3 4 8 3" xfId="11286" xr:uid="{D18D5C04-7B20-42DF-9906-0A72D879E5DB}"/>
    <cellStyle name="Note 3 4 9" xfId="4917" xr:uid="{00000000-0005-0000-0000-0000EA210000}"/>
    <cellStyle name="Note 3 4 9 2" xfId="13359" xr:uid="{44D19703-5684-47C9-9A8D-6C44E9A34547}"/>
    <cellStyle name="Note 3 5" xfId="561" xr:uid="{00000000-0005-0000-0000-0000EB210000}"/>
    <cellStyle name="Note 3 5 10" xfId="9142" xr:uid="{44F303A1-E316-4B6A-A679-D4B41A605CDC}"/>
    <cellStyle name="Note 3 5 2" xfId="1021" xr:uid="{00000000-0005-0000-0000-0000EC210000}"/>
    <cellStyle name="Note 3 5 2 2" xfId="3253" xr:uid="{00000000-0005-0000-0000-0000ED210000}"/>
    <cellStyle name="Note 3 5 2 2 2" xfId="7476" xr:uid="{00000000-0005-0000-0000-0000EE210000}"/>
    <cellStyle name="Note 3 5 2 2 2 2" xfId="15918" xr:uid="{1BB84BBB-1580-4F61-A652-8E3F0B94A264}"/>
    <cellStyle name="Note 3 5 2 2 3" xfId="11700" xr:uid="{05FF0663-D8A4-48D5-980B-1D095FB1EB0D}"/>
    <cellStyle name="Note 3 5 2 3" xfId="5331" xr:uid="{00000000-0005-0000-0000-0000EF210000}"/>
    <cellStyle name="Note 3 5 2 3 2" xfId="13773" xr:uid="{561E1DFC-1C1B-4FB4-910B-C54198634591}"/>
    <cellStyle name="Note 3 5 2 4" xfId="9555" xr:uid="{F5423146-050D-4413-88C2-0563E168E97B}"/>
    <cellStyle name="Note 3 5 3" xfId="1436" xr:uid="{00000000-0005-0000-0000-0000F0210000}"/>
    <cellStyle name="Note 3 5 3 2" xfId="3666" xr:uid="{00000000-0005-0000-0000-0000F1210000}"/>
    <cellStyle name="Note 3 5 3 2 2" xfId="7889" xr:uid="{00000000-0005-0000-0000-0000F2210000}"/>
    <cellStyle name="Note 3 5 3 2 2 2" xfId="16331" xr:uid="{BA8C0817-F92F-4C0D-BADC-71AD4ABC2C4F}"/>
    <cellStyle name="Note 3 5 3 2 3" xfId="12113" xr:uid="{0A019A7A-5393-4A2C-9BC9-7FDF6EA2F5FB}"/>
    <cellStyle name="Note 3 5 3 3" xfId="5744" xr:uid="{00000000-0005-0000-0000-0000F3210000}"/>
    <cellStyle name="Note 3 5 3 3 2" xfId="14186" xr:uid="{B4B1D893-F3BD-4BFA-AF32-E7CFF408B5D9}"/>
    <cellStyle name="Note 3 5 3 4" xfId="9968" xr:uid="{2D5089E5-2718-432F-841A-6F04A59B78CB}"/>
    <cellStyle name="Note 3 5 4" xfId="1850" xr:uid="{00000000-0005-0000-0000-0000F4210000}"/>
    <cellStyle name="Note 3 5 4 2" xfId="4079" xr:uid="{00000000-0005-0000-0000-0000F5210000}"/>
    <cellStyle name="Note 3 5 4 2 2" xfId="8302" xr:uid="{00000000-0005-0000-0000-0000F6210000}"/>
    <cellStyle name="Note 3 5 4 2 2 2" xfId="16744" xr:uid="{F4F7E695-C09D-4EE4-8144-FAE5CAA5C3DA}"/>
    <cellStyle name="Note 3 5 4 2 3" xfId="12526" xr:uid="{F8016A11-7DA8-4827-824A-92918627344B}"/>
    <cellStyle name="Note 3 5 4 3" xfId="6157" xr:uid="{00000000-0005-0000-0000-0000F7210000}"/>
    <cellStyle name="Note 3 5 4 3 2" xfId="14599" xr:uid="{370F984E-C4A3-49E4-BE39-3A92B0B14D0A}"/>
    <cellStyle name="Note 3 5 4 4" xfId="10381" xr:uid="{EF8774D5-5573-4B44-ABC9-720A5CF0A5BC}"/>
    <cellStyle name="Note 3 5 5" xfId="2263" xr:uid="{00000000-0005-0000-0000-0000F8210000}"/>
    <cellStyle name="Note 3 5 5 2" xfId="4492" xr:uid="{00000000-0005-0000-0000-0000F9210000}"/>
    <cellStyle name="Note 3 5 5 2 2" xfId="8715" xr:uid="{00000000-0005-0000-0000-0000FA210000}"/>
    <cellStyle name="Note 3 5 5 2 2 2" xfId="17157" xr:uid="{792078D6-460D-42CF-A440-4B880B90FF38}"/>
    <cellStyle name="Note 3 5 5 2 3" xfId="12939" xr:uid="{55065BA3-925D-455D-A64E-9901C1503095}"/>
    <cellStyle name="Note 3 5 5 3" xfId="6570" xr:uid="{00000000-0005-0000-0000-0000FB210000}"/>
    <cellStyle name="Note 3 5 5 3 2" xfId="15012" xr:uid="{471694AD-15CD-43F6-B618-08E74902FCD4}"/>
    <cellStyle name="Note 3 5 5 4" xfId="10794" xr:uid="{6B346371-026B-4889-BB8B-1DFA7AAF0746}"/>
    <cellStyle name="Note 3 5 6" xfId="2699" xr:uid="{00000000-0005-0000-0000-0000FC210000}"/>
    <cellStyle name="Note 3 5 6 2" xfId="6983" xr:uid="{00000000-0005-0000-0000-0000FD210000}"/>
    <cellStyle name="Note 3 5 6 2 2" xfId="15425" xr:uid="{EF60C7A5-2F37-44F9-8B16-EA37BA5B4617}"/>
    <cellStyle name="Note 3 5 6 3" xfId="11207" xr:uid="{813FDBA5-C043-4BC1-8329-A02E9FE1D585}"/>
    <cellStyle name="Note 3 5 7" xfId="2758" xr:uid="{00000000-0005-0000-0000-0000FE210000}"/>
    <cellStyle name="Note 3 5 8" xfId="2839" xr:uid="{00000000-0005-0000-0000-0000FF210000}"/>
    <cellStyle name="Note 3 5 8 2" xfId="7063" xr:uid="{00000000-0005-0000-0000-000000220000}"/>
    <cellStyle name="Note 3 5 8 2 2" xfId="15505" xr:uid="{8D30ADFA-DA26-4354-841D-96ABF1E45B84}"/>
    <cellStyle name="Note 3 5 8 3" xfId="11287" xr:uid="{C16A502A-F23B-400B-B3DB-99011E638FBA}"/>
    <cellStyle name="Note 3 5 9" xfId="4918" xr:uid="{00000000-0005-0000-0000-000001220000}"/>
    <cellStyle name="Note 3 5 9 2" xfId="13360" xr:uid="{C00049C7-E542-41B7-AD0E-15A3737CDAC5}"/>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13105243-3149-4931-8342-D588569B72BA}"/>
    <cellStyle name="Percent 4" xfId="4502" xr:uid="{00000000-0005-0000-0000-000007220000}"/>
    <cellStyle name="Percent 4 2" xfId="8718" xr:uid="{00000000-0005-0000-0000-000008220000}"/>
    <cellStyle name="Percent 4 2 2" xfId="17160" xr:uid="{73445976-F21D-4793-9FB3-0AF016757257}"/>
    <cellStyle name="Percent 4 3" xfId="8721" xr:uid="{D09CD3FC-D632-4B66-A68A-5CC92F993799}"/>
    <cellStyle name="Percent 4 3 2" xfId="8725" xr:uid="{D57AE941-8E59-43F0-AB73-09B3BCCFA234}"/>
    <cellStyle name="Percent 4 3 2 2" xfId="8728" xr:uid="{D24D76A7-D076-4554-9944-551B122393DE}"/>
    <cellStyle name="Percent 4 3 2 2 2" xfId="17169" xr:uid="{03BA7016-1569-4271-8FEC-D0DEB309F173}"/>
    <cellStyle name="Percent 4 3 2 3" xfId="17166" xr:uid="{676E82C9-62A3-4739-B316-0428F2234557}"/>
    <cellStyle name="Percent 4 3 3" xfId="17163" xr:uid="{4EB2C193-D400-4477-AA92-B59D0CC64FE8}"/>
    <cellStyle name="Percent 4 4" xfId="12946" xr:uid="{66B8B44D-3339-442F-A8B0-A648C50515AC}"/>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G69" sqref="G69:AK70"/>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35" customHeight="1">
      <c r="A14" s="218"/>
      <c r="B14" s="218"/>
      <c r="C14" s="219"/>
      <c r="E14" s="1266" t="s">
        <v>2579</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3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3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3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3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2585</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2501</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2359</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2360</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35" customHeight="1">
      <c r="A42" s="4"/>
      <c r="B42"/>
      <c r="C42" s="2"/>
      <c r="D42" s="4"/>
      <c r="E42" s="4" t="s">
        <v>661</v>
      </c>
      <c r="F42" s="1266" t="s">
        <v>1270</v>
      </c>
    </row>
    <row r="43" spans="1:38" s="1266" customFormat="1" ht="13.3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3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3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517</v>
      </c>
      <c r="G59" s="1271" t="s">
        <v>2355</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3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474</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3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3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42578125" style="1200" bestFit="1" customWidth="1"/>
    <col min="71" max="71" width="6.140625" style="1200" bestFit="1" customWidth="1"/>
    <col min="72" max="76" width="5.42578125" style="1200" bestFit="1" customWidth="1"/>
    <col min="77" max="77" width="6.140625" style="1200" bestFit="1" customWidth="1"/>
    <col min="78" max="78" width="5.42578125" style="1200" bestFit="1" customWidth="1"/>
    <col min="79" max="16384" width="2.7109375" style="1200"/>
  </cols>
  <sheetData>
    <row r="1" spans="1:65" ht="15.75" customHeight="1">
      <c r="A1" s="2565" t="s">
        <v>2413</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c r="AO1" s="2566"/>
      <c r="AP1" s="2566"/>
      <c r="AQ1" s="2566"/>
      <c r="AR1" s="2566"/>
      <c r="AS1" s="2566"/>
      <c r="AT1" s="2566"/>
      <c r="AU1" s="2566"/>
      <c r="AV1" s="2566"/>
      <c r="AW1" s="2566"/>
      <c r="AX1" s="2566"/>
      <c r="AY1" s="2566"/>
      <c r="AZ1" s="2566"/>
      <c r="BA1" s="2566"/>
      <c r="BB1" s="2566"/>
      <c r="BC1" s="2566"/>
      <c r="BD1" s="2566"/>
      <c r="BE1" s="2567"/>
    </row>
    <row r="2" spans="1:65" ht="15.75" customHeight="1">
      <c r="A2" s="2568" t="s">
        <v>2460</v>
      </c>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2569"/>
      <c r="AZ2" s="2569"/>
      <c r="BA2" s="2569"/>
      <c r="BB2" s="2569"/>
      <c r="BC2" s="2569"/>
      <c r="BD2" s="2569"/>
      <c r="BE2" s="2570"/>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1" t="str">
        <f>IF(Application!H18="","",Application!H18)</f>
        <v>Valentine Road Apartments</v>
      </c>
      <c r="M4" s="2572"/>
      <c r="N4" s="2572"/>
      <c r="O4" s="2572"/>
      <c r="P4" s="2572"/>
      <c r="Q4" s="2572"/>
      <c r="R4" s="2572"/>
      <c r="S4" s="2572"/>
      <c r="T4" s="2572"/>
      <c r="U4" s="2572"/>
      <c r="V4" s="2572"/>
      <c r="W4" s="2572"/>
      <c r="X4" s="2572"/>
      <c r="Y4" s="2572"/>
      <c r="Z4" s="2572"/>
      <c r="AA4" s="2572"/>
      <c r="AB4" s="2572"/>
      <c r="AC4" s="2573"/>
      <c r="AD4" s="1209"/>
      <c r="AE4" s="1209"/>
      <c r="AF4" s="2218" t="s">
        <v>2461</v>
      </c>
      <c r="AG4" s="2218"/>
      <c r="AH4" s="2218"/>
      <c r="AI4" s="2218"/>
      <c r="AJ4" s="2218"/>
      <c r="AK4" s="2218"/>
      <c r="AL4" s="2218"/>
      <c r="AM4" s="2218"/>
      <c r="AN4" s="2218"/>
      <c r="AO4" s="2218"/>
      <c r="AP4" s="2219"/>
      <c r="AQ4" s="2220"/>
      <c r="AR4" s="2220"/>
      <c r="AS4" s="2220"/>
      <c r="AT4" s="2220"/>
      <c r="AU4" s="2220"/>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8" t="s">
        <v>2462</v>
      </c>
      <c r="AG5" s="2218"/>
      <c r="AH5" s="2218"/>
      <c r="AI5" s="2218"/>
      <c r="AJ5" s="2218"/>
      <c r="AK5" s="2218"/>
      <c r="AL5" s="2218"/>
      <c r="AM5" s="2218"/>
      <c r="AN5" s="2218"/>
      <c r="AO5" s="2218"/>
      <c r="AP5" s="2219"/>
      <c r="AQ5" s="2220"/>
      <c r="AR5" s="2220"/>
      <c r="AS5" s="2220"/>
      <c r="AT5" s="2220"/>
      <c r="AU5" s="2220"/>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1" t="str">
        <f>IF(Application!H16="","",Application!H16)</f>
        <v>Homecomings, Inc</v>
      </c>
      <c r="M6" s="2572"/>
      <c r="N6" s="2572"/>
      <c r="O6" s="2572"/>
      <c r="P6" s="2572"/>
      <c r="Q6" s="2572"/>
      <c r="R6" s="2572"/>
      <c r="S6" s="2572"/>
      <c r="T6" s="2572"/>
      <c r="U6" s="2572"/>
      <c r="V6" s="2572"/>
      <c r="W6" s="2572"/>
      <c r="X6" s="2572"/>
      <c r="Y6" s="2572"/>
      <c r="Z6" s="2572"/>
      <c r="AA6" s="2572"/>
      <c r="AB6" s="2572"/>
      <c r="AC6" s="2573"/>
      <c r="AD6" s="1209"/>
      <c r="AE6" s="1209"/>
      <c r="AF6" s="2574" t="s">
        <v>2463</v>
      </c>
      <c r="AG6" s="2574"/>
      <c r="AH6" s="2574"/>
      <c r="AI6" s="2574"/>
      <c r="AJ6" s="2574"/>
      <c r="AK6" s="2574"/>
      <c r="AL6" s="2574"/>
      <c r="AM6" s="2574"/>
      <c r="AN6" s="2574"/>
      <c r="AO6" s="2574"/>
      <c r="AP6" s="2564">
        <v>0</v>
      </c>
      <c r="AQ6" s="2564"/>
      <c r="AR6" s="2564"/>
      <c r="AS6" s="2564"/>
      <c r="AT6" s="2564"/>
      <c r="AU6" s="2564"/>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4" t="s">
        <v>2464</v>
      </c>
      <c r="AG7" s="2574"/>
      <c r="AH7" s="2574"/>
      <c r="AI7" s="2574"/>
      <c r="AJ7" s="2574"/>
      <c r="AK7" s="2574"/>
      <c r="AL7" s="2574"/>
      <c r="AM7" s="2574"/>
      <c r="AN7" s="2574"/>
      <c r="AO7" s="2574"/>
      <c r="AP7" s="2564">
        <v>0</v>
      </c>
      <c r="AQ7" s="2564"/>
      <c r="AR7" s="2564"/>
      <c r="AS7" s="2564"/>
      <c r="AT7" s="2564"/>
      <c r="AU7" s="2564"/>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5" t="str">
        <f>Application!T197</f>
        <v>No</v>
      </c>
      <c r="AC8" s="2576"/>
      <c r="AD8" s="2577"/>
      <c r="AE8" s="1209"/>
      <c r="AF8" s="2574" t="s">
        <v>2465</v>
      </c>
      <c r="AG8" s="2574"/>
      <c r="AH8" s="2574"/>
      <c r="AI8" s="2574"/>
      <c r="AJ8" s="2574"/>
      <c r="AK8" s="2574"/>
      <c r="AL8" s="2574"/>
      <c r="AM8" s="2574"/>
      <c r="AN8" s="2574"/>
      <c r="AO8" s="2574"/>
      <c r="AP8" s="2564" t="s">
        <v>2417</v>
      </c>
      <c r="AQ8" s="2564"/>
      <c r="AR8" s="2564"/>
      <c r="AS8" s="2564"/>
      <c r="AT8" s="2564"/>
      <c r="AU8" s="2564"/>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8" t="s">
        <v>2625</v>
      </c>
      <c r="AG9" s="2218"/>
      <c r="AH9" s="2218"/>
      <c r="AI9" s="2218"/>
      <c r="AJ9" s="2218"/>
      <c r="AK9" s="2218"/>
      <c r="AL9" s="2218"/>
      <c r="AM9" s="2218"/>
      <c r="AN9" s="2218"/>
      <c r="AO9" s="2218"/>
      <c r="AP9" s="2219"/>
      <c r="AQ9" s="2220"/>
      <c r="AR9" s="2220"/>
      <c r="AS9" s="2220"/>
      <c r="AT9" s="2220"/>
      <c r="AU9" s="2220"/>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546">
        <f>Application!AO627</f>
        <v>14551777</v>
      </c>
      <c r="O10" s="2546"/>
      <c r="P10" s="2546"/>
      <c r="Q10" s="2546"/>
      <c r="R10" s="2546"/>
      <c r="S10" s="2546"/>
      <c r="T10" s="2546"/>
      <c r="U10" s="1209"/>
      <c r="V10" s="1209"/>
      <c r="W10" s="1209"/>
      <c r="X10" s="1258"/>
      <c r="Y10" s="1258"/>
      <c r="Z10" s="1258"/>
      <c r="AA10" s="1258"/>
      <c r="AB10" s="1258"/>
      <c r="AC10" s="1258"/>
      <c r="AD10" s="1258"/>
      <c r="AE10" s="1258"/>
      <c r="AF10" s="2218" t="s">
        <v>2624</v>
      </c>
      <c r="AG10" s="2218"/>
      <c r="AH10" s="2218"/>
      <c r="AI10" s="2218"/>
      <c r="AJ10" s="2218"/>
      <c r="AK10" s="2218"/>
      <c r="AL10" s="2218"/>
      <c r="AM10" s="2218"/>
      <c r="AN10" s="2218"/>
      <c r="AO10" s="2218"/>
      <c r="AP10" s="2219"/>
      <c r="AQ10" s="2220"/>
      <c r="AR10" s="2220"/>
      <c r="AS10" s="2220"/>
      <c r="AT10" s="2220"/>
      <c r="AU10" s="2220"/>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546">
        <f>Application!AA933</f>
        <v>0</v>
      </c>
      <c r="O11" s="2546"/>
      <c r="P11" s="2546"/>
      <c r="Q11" s="2546"/>
      <c r="R11" s="2546"/>
      <c r="S11" s="2546"/>
      <c r="T11" s="2546"/>
      <c r="U11" s="1209"/>
      <c r="V11" s="1209"/>
      <c r="W11" s="1209"/>
      <c r="X11" s="1258"/>
      <c r="Y11" s="1258"/>
      <c r="Z11" s="1258"/>
      <c r="AA11" s="1258"/>
      <c r="AB11" s="1258"/>
      <c r="AC11" s="1258"/>
      <c r="AD11" s="1258"/>
      <c r="AE11" s="1258"/>
      <c r="AF11" s="2218" t="s">
        <v>2623</v>
      </c>
      <c r="AG11" s="2218"/>
      <c r="AH11" s="2218"/>
      <c r="AI11" s="2218"/>
      <c r="AJ11" s="2218"/>
      <c r="AK11" s="2218"/>
      <c r="AL11" s="2218"/>
      <c r="AM11" s="2218"/>
      <c r="AN11" s="2218"/>
      <c r="AO11" s="2218"/>
      <c r="AP11" s="2219"/>
      <c r="AQ11" s="2220"/>
      <c r="AR11" s="2220"/>
      <c r="AS11" s="2220"/>
      <c r="AT11" s="2220"/>
      <c r="AU11" s="2220"/>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553" t="s">
        <v>1794</v>
      </c>
      <c r="C13" s="2554"/>
      <c r="D13" s="2554"/>
      <c r="E13" s="2554"/>
      <c r="F13" s="2554"/>
      <c r="G13" s="2554"/>
      <c r="H13" s="2554"/>
      <c r="I13" s="2554"/>
      <c r="J13" s="2554"/>
      <c r="K13" s="2554"/>
      <c r="L13" s="2554"/>
      <c r="M13" s="2554"/>
      <c r="N13" s="2554"/>
      <c r="O13" s="2554"/>
      <c r="P13" s="2555"/>
      <c r="Q13" s="2556" t="s">
        <v>677</v>
      </c>
      <c r="R13" s="2557"/>
      <c r="S13" s="2557"/>
      <c r="T13" s="2558"/>
      <c r="U13" s="1258"/>
      <c r="V13" s="1209"/>
      <c r="W13" s="1209"/>
      <c r="X13" s="1209"/>
      <c r="Y13" s="1209"/>
      <c r="Z13" s="1209"/>
      <c r="AA13" s="2547" t="s">
        <v>2467</v>
      </c>
      <c r="AB13" s="2547"/>
      <c r="AC13" s="2547"/>
      <c r="AD13" s="2547"/>
      <c r="AE13" s="2547"/>
      <c r="AF13" s="2547"/>
      <c r="AG13" s="2547"/>
      <c r="AH13" s="2547"/>
      <c r="AI13" s="2547"/>
      <c r="AJ13" s="2547"/>
      <c r="AK13" s="2547"/>
      <c r="AL13" s="2547"/>
      <c r="AM13" s="2547"/>
      <c r="AN13" s="2547"/>
      <c r="AO13" s="2548">
        <f>Application!W473</f>
        <v>0</v>
      </c>
      <c r="AP13" s="2549"/>
      <c r="AQ13" s="2549"/>
      <c r="AR13" s="2549"/>
      <c r="AS13" s="2549"/>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0" t="s">
        <v>2469</v>
      </c>
      <c r="AB14" s="2550"/>
      <c r="AC14" s="2550"/>
      <c r="AD14" s="2550"/>
      <c r="AE14" s="2550"/>
      <c r="AF14" s="2550"/>
      <c r="AG14" s="2550"/>
      <c r="AH14" s="2550"/>
      <c r="AI14" s="2550"/>
      <c r="AJ14" s="2550"/>
      <c r="AK14" s="2550"/>
      <c r="AL14" s="2550"/>
      <c r="AM14" s="2550"/>
      <c r="AN14" s="2550"/>
      <c r="AO14" s="2551"/>
      <c r="AP14" s="2552"/>
      <c r="AQ14" s="2552"/>
      <c r="AR14" s="2552"/>
      <c r="AS14" s="2552"/>
      <c r="AT14" s="1258"/>
      <c r="AU14" s="1258"/>
      <c r="AV14" s="1258"/>
      <c r="AW14" s="1258"/>
      <c r="AX14" s="1258"/>
      <c r="AY14" s="1258"/>
      <c r="AZ14" s="1258"/>
      <c r="BA14" s="1258"/>
      <c r="BB14" s="1258"/>
      <c r="BC14" s="1258"/>
      <c r="BD14" s="1258"/>
      <c r="BE14" s="1205"/>
    </row>
    <row r="15" spans="1:65" thickBot="1">
      <c r="A15" s="1209"/>
      <c r="B15" s="2559" t="s">
        <v>1795</v>
      </c>
      <c r="C15" s="2560"/>
      <c r="D15" s="2560"/>
      <c r="E15" s="2560"/>
      <c r="F15" s="2560"/>
      <c r="G15" s="2560"/>
      <c r="H15" s="2560"/>
      <c r="I15" s="2560"/>
      <c r="J15" s="2560"/>
      <c r="K15" s="2560"/>
      <c r="L15" s="2560"/>
      <c r="M15" s="2560"/>
      <c r="N15" s="2560"/>
      <c r="O15" s="2560"/>
      <c r="P15" s="2560"/>
      <c r="Q15" s="2560"/>
      <c r="R15" s="2561"/>
      <c r="S15" s="2562" t="str">
        <f>IF(Application!AB214="","",Application!AB214)</f>
        <v/>
      </c>
      <c r="T15" s="2562"/>
      <c r="U15" s="2562"/>
      <c r="V15" s="2562"/>
      <c r="W15" s="2563"/>
      <c r="X15" s="1258"/>
      <c r="Y15" s="1209"/>
      <c r="Z15" s="1209"/>
      <c r="AA15" s="2547" t="s">
        <v>2470</v>
      </c>
      <c r="AB15" s="2547"/>
      <c r="AC15" s="2547"/>
      <c r="AD15" s="2547"/>
      <c r="AE15" s="2547"/>
      <c r="AF15" s="2547"/>
      <c r="AG15" s="2547"/>
      <c r="AH15" s="2547"/>
      <c r="AI15" s="2547"/>
      <c r="AJ15" s="2547"/>
      <c r="AK15" s="2547"/>
      <c r="AL15" s="2547"/>
      <c r="AM15" s="2547"/>
      <c r="AN15" s="2547"/>
      <c r="AO15" s="2551"/>
      <c r="AP15" s="2552"/>
      <c r="AQ15" s="2552"/>
      <c r="AR15" s="2552"/>
      <c r="AS15" s="2552"/>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7" t="s">
        <v>1796</v>
      </c>
      <c r="C17" s="2428"/>
      <c r="D17" s="2428"/>
      <c r="E17" s="2428"/>
      <c r="F17" s="2428"/>
      <c r="G17" s="2428"/>
      <c r="H17" s="2428"/>
      <c r="I17" s="2428"/>
      <c r="J17" s="2428"/>
      <c r="K17" s="2428"/>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c r="AS17" s="2428"/>
      <c r="AT17" s="2428"/>
      <c r="AU17" s="2428"/>
      <c r="AV17" s="2428"/>
      <c r="AW17" s="2428"/>
      <c r="AX17" s="2428"/>
      <c r="AY17" s="2429"/>
      <c r="AZ17" s="1209"/>
      <c r="BA17" s="1209"/>
      <c r="BB17" s="1209"/>
      <c r="BC17" s="1209"/>
      <c r="BD17" s="1209"/>
      <c r="BE17" s="1205"/>
      <c r="BF17" s="1201"/>
    </row>
    <row r="18" spans="1:58" ht="15.75" customHeight="1">
      <c r="A18" s="1209"/>
      <c r="B18" s="2539" t="s">
        <v>1797</v>
      </c>
      <c r="C18" s="2540"/>
      <c r="D18" s="2540"/>
      <c r="E18" s="2540"/>
      <c r="F18" s="2540"/>
      <c r="G18" s="2540"/>
      <c r="H18" s="2540"/>
      <c r="I18" s="2541"/>
      <c r="J18" s="2542" t="s">
        <v>1698</v>
      </c>
      <c r="K18" s="2543"/>
      <c r="L18" s="2543"/>
      <c r="M18" s="2543"/>
      <c r="N18" s="2543"/>
      <c r="O18" s="2544"/>
      <c r="P18" s="2542" t="s">
        <v>325</v>
      </c>
      <c r="Q18" s="2543"/>
      <c r="R18" s="2543"/>
      <c r="S18" s="2543"/>
      <c r="T18" s="2543"/>
      <c r="U18" s="2544"/>
      <c r="V18" s="2542" t="s">
        <v>326</v>
      </c>
      <c r="W18" s="2543"/>
      <c r="X18" s="2543"/>
      <c r="Y18" s="2543"/>
      <c r="Z18" s="2543"/>
      <c r="AA18" s="2544"/>
      <c r="AB18" s="2542" t="s">
        <v>163</v>
      </c>
      <c r="AC18" s="2543"/>
      <c r="AD18" s="2543"/>
      <c r="AE18" s="2543"/>
      <c r="AF18" s="2543"/>
      <c r="AG18" s="2544"/>
      <c r="AH18" s="2542" t="s">
        <v>164</v>
      </c>
      <c r="AI18" s="2543"/>
      <c r="AJ18" s="2543"/>
      <c r="AK18" s="2543"/>
      <c r="AL18" s="2543"/>
      <c r="AM18" s="2544"/>
      <c r="AN18" s="2542" t="s">
        <v>165</v>
      </c>
      <c r="AO18" s="2543"/>
      <c r="AP18" s="2543"/>
      <c r="AQ18" s="2543"/>
      <c r="AR18" s="2543"/>
      <c r="AS18" s="2544"/>
      <c r="AT18" s="2542" t="s">
        <v>1798</v>
      </c>
      <c r="AU18" s="2543"/>
      <c r="AV18" s="2543"/>
      <c r="AW18" s="2543"/>
      <c r="AX18" s="2543"/>
      <c r="AY18" s="2545"/>
      <c r="AZ18" s="1209"/>
      <c r="BA18" s="1209"/>
      <c r="BB18" s="1209"/>
      <c r="BC18" s="1209"/>
      <c r="BD18" s="1209"/>
      <c r="BE18" s="1205"/>
    </row>
    <row r="19" spans="1:58" ht="15">
      <c r="A19" s="1209"/>
      <c r="B19" s="2516">
        <v>0.3</v>
      </c>
      <c r="C19" s="2517"/>
      <c r="D19" s="2517"/>
      <c r="E19" s="2517"/>
      <c r="F19" s="2517"/>
      <c r="G19" s="2517"/>
      <c r="H19" s="2517"/>
      <c r="I19" s="2518"/>
      <c r="J19" s="2519">
        <f t="shared" ref="J19:J28" si="0">SUM(P19:AS19)</f>
        <v>97</v>
      </c>
      <c r="K19" s="2520"/>
      <c r="L19" s="2520"/>
      <c r="M19" s="2520"/>
      <c r="N19" s="2520"/>
      <c r="O19" s="2521"/>
      <c r="P19" s="2519" cm="1">
        <f t="array" ref="P19">SUMPRODUCT((Application!$B$718:$B$752 = 'CalHFA Addendum'!P$18)*(Application!$AC$718:$AC$752 = 'CalHFA Addendum'!$B19),Application!$G$718:$G$752)</f>
        <v>96</v>
      </c>
      <c r="Q19" s="2520"/>
      <c r="R19" s="2520"/>
      <c r="S19" s="2520"/>
      <c r="T19" s="2520"/>
      <c r="U19" s="2521"/>
      <c r="V19" s="2519" cm="1">
        <f t="array" ref="V19">SUMPRODUCT((Application!$B$714:$B$738 = 'CalHFA Addendum'!V$18)*(Application!$AC$714:$AC$738 = 'CalHFA Addendum'!$B19),Application!$G$714:$G$738)</f>
        <v>1</v>
      </c>
      <c r="W19" s="2520"/>
      <c r="X19" s="2520"/>
      <c r="Y19" s="2520"/>
      <c r="Z19" s="2520"/>
      <c r="AA19" s="2521"/>
      <c r="AB19" s="2519" cm="1">
        <f t="array" ref="AB19">SUMPRODUCT((Application!$B$714:$B$738 = 'CalHFA Addendum'!AB$18)*(Application!$AC$714:$AC$738 = 'CalHFA Addendum'!$B19),Application!$G$714:$G$738)</f>
        <v>0</v>
      </c>
      <c r="AC19" s="2520"/>
      <c r="AD19" s="2520"/>
      <c r="AE19" s="2520"/>
      <c r="AF19" s="2520"/>
      <c r="AG19" s="2521"/>
      <c r="AH19" s="2519" cm="1">
        <f t="array" ref="AH19">SUMPRODUCT((Application!$B$714:$B$738 = 'CalHFA Addendum'!AH$18)*(Application!$AC$714:$AC$738 = 'CalHFA Addendum'!$B19),Application!$G$714:$G$738)</f>
        <v>0</v>
      </c>
      <c r="AI19" s="2520"/>
      <c r="AJ19" s="2520"/>
      <c r="AK19" s="2520"/>
      <c r="AL19" s="2520"/>
      <c r="AM19" s="2521"/>
      <c r="AN19" s="2519" cm="1">
        <f t="array" ref="AN19">SUMPRODUCT((Application!$B$714:$B$738 = 'CalHFA Addendum'!AN$18)*(Application!$AC$714:$AC$738 = 'CalHFA Addendum'!$B19),Application!$G$714:$G$738)</f>
        <v>0</v>
      </c>
      <c r="AO19" s="2520"/>
      <c r="AP19" s="2520"/>
      <c r="AQ19" s="2520"/>
      <c r="AR19" s="2520"/>
      <c r="AS19" s="2521"/>
      <c r="AT19" s="2522">
        <f t="shared" ref="AT19:AT29" si="1">J19/$J$29</f>
        <v>0.72388059701492535</v>
      </c>
      <c r="AU19" s="2523"/>
      <c r="AV19" s="2523"/>
      <c r="AW19" s="2523"/>
      <c r="AX19" s="2523"/>
      <c r="AY19" s="2524"/>
      <c r="AZ19" s="1220"/>
      <c r="BA19" s="1209"/>
      <c r="BB19" s="1209"/>
      <c r="BC19" s="1209"/>
      <c r="BD19" s="1209"/>
      <c r="BE19" s="1205"/>
    </row>
    <row r="20" spans="1:58" ht="15" customHeight="1">
      <c r="A20" s="1209"/>
      <c r="B20" s="2516">
        <v>0.4</v>
      </c>
      <c r="C20" s="2517"/>
      <c r="D20" s="2517"/>
      <c r="E20" s="2517"/>
      <c r="F20" s="2517"/>
      <c r="G20" s="2517"/>
      <c r="H20" s="2517"/>
      <c r="I20" s="2518"/>
      <c r="J20" s="2519">
        <f t="shared" si="0"/>
        <v>3</v>
      </c>
      <c r="K20" s="2520"/>
      <c r="L20" s="2520"/>
      <c r="M20" s="2520"/>
      <c r="N20" s="2520"/>
      <c r="O20" s="2521"/>
      <c r="P20" s="2519" cm="1">
        <f t="array" ref="P20">SUMPRODUCT((Application!$B$718:$B$752 = 'CalHFA Addendum'!P$18)*(Application!$AC$718:$AC$752 = 'CalHFA Addendum'!$B20),Application!$G$718:$G$752)</f>
        <v>3</v>
      </c>
      <c r="Q20" s="2520"/>
      <c r="R20" s="2520"/>
      <c r="S20" s="2520"/>
      <c r="T20" s="2520"/>
      <c r="U20" s="2521"/>
      <c r="V20" s="2519" cm="1">
        <f t="array" ref="V20">SUMPRODUCT((Application!$B$714:$B$738 = 'CalHFA Addendum'!V$18)*(Application!$AC$714:$AC$738 = 'CalHFA Addendum'!$B20),Application!$G$714:$G$738)</f>
        <v>0</v>
      </c>
      <c r="W20" s="2520"/>
      <c r="X20" s="2520"/>
      <c r="Y20" s="2520"/>
      <c r="Z20" s="2520"/>
      <c r="AA20" s="2521"/>
      <c r="AB20" s="2519" cm="1">
        <f t="array" ref="AB20">SUMPRODUCT((Application!$B$714:$B$738 = 'CalHFA Addendum'!AB$18)*(Application!$AC$714:$AC$738 = 'CalHFA Addendum'!$B20),Application!$G$714:$G$738)</f>
        <v>0</v>
      </c>
      <c r="AC20" s="2520"/>
      <c r="AD20" s="2520"/>
      <c r="AE20" s="2520"/>
      <c r="AF20" s="2520"/>
      <c r="AG20" s="2521"/>
      <c r="AH20" s="2519" cm="1">
        <f t="array" ref="AH20">SUMPRODUCT((Application!$B$714:$B$738 = 'CalHFA Addendum'!AH$18)*(Application!$AC$714:$AC$738 = 'CalHFA Addendum'!$B20),Application!$G$714:$G$738)</f>
        <v>0</v>
      </c>
      <c r="AI20" s="2520"/>
      <c r="AJ20" s="2520"/>
      <c r="AK20" s="2520"/>
      <c r="AL20" s="2520"/>
      <c r="AM20" s="2521"/>
      <c r="AN20" s="2519" cm="1">
        <f t="array" ref="AN20">SUMPRODUCT((Application!$B$714:$B$738 = 'CalHFA Addendum'!AN$18)*(Application!$AC$714:$AC$738 = 'CalHFA Addendum'!$B20),Application!$G$714:$G$738)</f>
        <v>0</v>
      </c>
      <c r="AO20" s="2520"/>
      <c r="AP20" s="2520"/>
      <c r="AQ20" s="2520"/>
      <c r="AR20" s="2520"/>
      <c r="AS20" s="2521"/>
      <c r="AT20" s="2522">
        <f t="shared" si="1"/>
        <v>2.2388059701492536E-2</v>
      </c>
      <c r="AU20" s="2523"/>
      <c r="AV20" s="2523"/>
      <c r="AW20" s="2523"/>
      <c r="AX20" s="2523"/>
      <c r="AY20" s="2524"/>
      <c r="AZ20" s="1209"/>
      <c r="BA20" s="1209"/>
      <c r="BB20" s="1209"/>
      <c r="BC20" s="1209"/>
      <c r="BD20" s="1209"/>
      <c r="BE20" s="1205"/>
    </row>
    <row r="21" spans="1:58" ht="15">
      <c r="A21" s="1209"/>
      <c r="B21" s="2516">
        <v>0.5</v>
      </c>
      <c r="C21" s="2517"/>
      <c r="D21" s="2517"/>
      <c r="E21" s="2517"/>
      <c r="F21" s="2517"/>
      <c r="G21" s="2517"/>
      <c r="H21" s="2517"/>
      <c r="I21" s="2518"/>
      <c r="J21" s="2519">
        <f t="shared" si="0"/>
        <v>34</v>
      </c>
      <c r="K21" s="2520"/>
      <c r="L21" s="2520"/>
      <c r="M21" s="2520"/>
      <c r="N21" s="2520"/>
      <c r="O21" s="2521"/>
      <c r="P21" s="2519" cm="1">
        <f t="array" ref="P21">SUMPRODUCT((Application!$B$714:$B$738 = 'CalHFA Addendum'!P$18)*(Application!$AC$714:$AC$738 = 'CalHFA Addendum'!$B21),Application!$G$714:$G$738)</f>
        <v>34</v>
      </c>
      <c r="Q21" s="2520"/>
      <c r="R21" s="2520"/>
      <c r="S21" s="2520"/>
      <c r="T21" s="2520"/>
      <c r="U21" s="2521"/>
      <c r="V21" s="2519" cm="1">
        <f t="array" ref="V21">SUMPRODUCT((Application!$B$714:$B$738 = 'CalHFA Addendum'!V$18)*(Application!$AC$714:$AC$738 = 'CalHFA Addendum'!$B21),Application!$G$714:$G$738)</f>
        <v>0</v>
      </c>
      <c r="W21" s="2520"/>
      <c r="X21" s="2520"/>
      <c r="Y21" s="2520"/>
      <c r="Z21" s="2520"/>
      <c r="AA21" s="2521"/>
      <c r="AB21" s="2519" cm="1">
        <f t="array" ref="AB21">SUMPRODUCT((Application!$B$714:$B$738 = 'CalHFA Addendum'!AB$18)*(Application!$AC$714:$AC$738 = 'CalHFA Addendum'!$B21),Application!$G$714:$G$738)</f>
        <v>0</v>
      </c>
      <c r="AC21" s="2520"/>
      <c r="AD21" s="2520"/>
      <c r="AE21" s="2520"/>
      <c r="AF21" s="2520"/>
      <c r="AG21" s="2521"/>
      <c r="AH21" s="2519" cm="1">
        <f t="array" ref="AH21">SUMPRODUCT((Application!$B$714:$B$738 = 'CalHFA Addendum'!AH$18)*(Application!$AC$714:$AC$738 = 'CalHFA Addendum'!$B21),Application!$G$714:$G$738)</f>
        <v>0</v>
      </c>
      <c r="AI21" s="2520"/>
      <c r="AJ21" s="2520"/>
      <c r="AK21" s="2520"/>
      <c r="AL21" s="2520"/>
      <c r="AM21" s="2521"/>
      <c r="AN21" s="2519" cm="1">
        <f t="array" ref="AN21">SUMPRODUCT((Application!$B$714:$B$738 = 'CalHFA Addendum'!AN$18)*(Application!$AC$714:$AC$738 = 'CalHFA Addendum'!$B21),Application!$G$714:$G$738)</f>
        <v>0</v>
      </c>
      <c r="AO21" s="2520"/>
      <c r="AP21" s="2520"/>
      <c r="AQ21" s="2520"/>
      <c r="AR21" s="2520"/>
      <c r="AS21" s="2521"/>
      <c r="AT21" s="2522">
        <f t="shared" si="1"/>
        <v>0.2537313432835821</v>
      </c>
      <c r="AU21" s="2523"/>
      <c r="AV21" s="2523"/>
      <c r="AW21" s="2523"/>
      <c r="AX21" s="2523"/>
      <c r="AY21" s="2524"/>
      <c r="AZ21" s="1209"/>
      <c r="BA21" s="1209"/>
      <c r="BB21" s="1209"/>
      <c r="BC21" s="1209"/>
      <c r="BD21" s="1209"/>
      <c r="BE21" s="1205"/>
    </row>
    <row r="22" spans="1:58" ht="15">
      <c r="A22" s="1209"/>
      <c r="B22" s="2516">
        <v>0.6</v>
      </c>
      <c r="C22" s="2517"/>
      <c r="D22" s="2517"/>
      <c r="E22" s="2517"/>
      <c r="F22" s="2517"/>
      <c r="G22" s="2517"/>
      <c r="H22" s="2517"/>
      <c r="I22" s="2518"/>
      <c r="J22" s="2519">
        <f t="shared" si="0"/>
        <v>0</v>
      </c>
      <c r="K22" s="2520"/>
      <c r="L22" s="2520"/>
      <c r="M22" s="2520"/>
      <c r="N22" s="2520"/>
      <c r="O22" s="2521"/>
      <c r="P22" s="2519" cm="1">
        <f t="array" ref="P22">SUMPRODUCT((Application!$B$714:$B$738 = 'CalHFA Addendum'!P$18)*(Application!$AC$714:$AC$738 = 'CalHFA Addendum'!$B22),Application!$G$714:$G$738)</f>
        <v>0</v>
      </c>
      <c r="Q22" s="2520"/>
      <c r="R22" s="2520"/>
      <c r="S22" s="2520"/>
      <c r="T22" s="2520"/>
      <c r="U22" s="2521"/>
      <c r="V22" s="2519" cm="1">
        <f t="array" ref="V22">SUMPRODUCT((Application!$B$714:$B$738 = 'CalHFA Addendum'!V$18)*(Application!$AC$714:$AC$738 = 'CalHFA Addendum'!$B22),Application!$G$714:$G$738)</f>
        <v>0</v>
      </c>
      <c r="W22" s="2520"/>
      <c r="X22" s="2520"/>
      <c r="Y22" s="2520"/>
      <c r="Z22" s="2520"/>
      <c r="AA22" s="2521"/>
      <c r="AB22" s="2519" cm="1">
        <f t="array" ref="AB22">SUMPRODUCT((Application!$B$714:$B$738 = 'CalHFA Addendum'!AB$18)*(Application!$AC$714:$AC$738 = 'CalHFA Addendum'!$B22),Application!$G$714:$G$738)</f>
        <v>0</v>
      </c>
      <c r="AC22" s="2520"/>
      <c r="AD22" s="2520"/>
      <c r="AE22" s="2520"/>
      <c r="AF22" s="2520"/>
      <c r="AG22" s="2521"/>
      <c r="AH22" s="2519" cm="1">
        <f t="array" ref="AH22">SUMPRODUCT((Application!$B$714:$B$738 = 'CalHFA Addendum'!AH$18)*(Application!$AC$714:$AC$738 = 'CalHFA Addendum'!$B22),Application!$G$714:$G$738)</f>
        <v>0</v>
      </c>
      <c r="AI22" s="2520"/>
      <c r="AJ22" s="2520"/>
      <c r="AK22" s="2520"/>
      <c r="AL22" s="2520"/>
      <c r="AM22" s="2521"/>
      <c r="AN22" s="2519" cm="1">
        <f t="array" ref="AN22">SUMPRODUCT((Application!$B$714:$B$738 = 'CalHFA Addendum'!AN$18)*(Application!$AC$714:$AC$738 = 'CalHFA Addendum'!$B22),Application!$G$714:$G$738)</f>
        <v>0</v>
      </c>
      <c r="AO22" s="2520"/>
      <c r="AP22" s="2520"/>
      <c r="AQ22" s="2520"/>
      <c r="AR22" s="2520"/>
      <c r="AS22" s="2521"/>
      <c r="AT22" s="2522">
        <f t="shared" si="1"/>
        <v>0</v>
      </c>
      <c r="AU22" s="2523"/>
      <c r="AV22" s="2523"/>
      <c r="AW22" s="2523"/>
      <c r="AX22" s="2523"/>
      <c r="AY22" s="2524"/>
      <c r="AZ22" s="1209"/>
      <c r="BA22" s="1209"/>
      <c r="BB22" s="1209"/>
      <c r="BC22" s="1209"/>
      <c r="BD22" s="1209"/>
      <c r="BE22" s="1205"/>
    </row>
    <row r="23" spans="1:58" ht="15">
      <c r="A23" s="1209"/>
      <c r="B23" s="2516">
        <v>0.7</v>
      </c>
      <c r="C23" s="2517"/>
      <c r="D23" s="2517"/>
      <c r="E23" s="2517"/>
      <c r="F23" s="2517"/>
      <c r="G23" s="2517"/>
      <c r="H23" s="2517"/>
      <c r="I23" s="2518"/>
      <c r="J23" s="2519">
        <f t="shared" si="0"/>
        <v>0</v>
      </c>
      <c r="K23" s="2520"/>
      <c r="L23" s="2520"/>
      <c r="M23" s="2520"/>
      <c r="N23" s="2520"/>
      <c r="O23" s="2521"/>
      <c r="P23" s="2519" cm="1">
        <f t="array" ref="P23">SUMPRODUCT((Application!$B$714:$B$738 = 'CalHFA Addendum'!P$18)*(Application!$AC$714:$AC$738 = 'CalHFA Addendum'!$B23),Application!$G$714:$G$738)</f>
        <v>0</v>
      </c>
      <c r="Q23" s="2520"/>
      <c r="R23" s="2520"/>
      <c r="S23" s="2520"/>
      <c r="T23" s="2520"/>
      <c r="U23" s="2521"/>
      <c r="V23" s="2519" cm="1">
        <f t="array" ref="V23">SUMPRODUCT((Application!$B$714:$B$738 = 'CalHFA Addendum'!V$18)*(Application!$AC$714:$AC$738 = 'CalHFA Addendum'!$B23),Application!$G$714:$G$738)</f>
        <v>0</v>
      </c>
      <c r="W23" s="2520"/>
      <c r="X23" s="2520"/>
      <c r="Y23" s="2520"/>
      <c r="Z23" s="2520"/>
      <c r="AA23" s="2521"/>
      <c r="AB23" s="2519" cm="1">
        <f t="array" ref="AB23">SUMPRODUCT((Application!$B$714:$B$738 = 'CalHFA Addendum'!AB$18)*(Application!$AC$714:$AC$738 = 'CalHFA Addendum'!$B23),Application!$G$714:$G$738)</f>
        <v>0</v>
      </c>
      <c r="AC23" s="2520"/>
      <c r="AD23" s="2520"/>
      <c r="AE23" s="2520"/>
      <c r="AF23" s="2520"/>
      <c r="AG23" s="2521"/>
      <c r="AH23" s="2519" cm="1">
        <f t="array" ref="AH23">SUMPRODUCT((Application!$B$714:$B$738 = 'CalHFA Addendum'!AH$18)*(Application!$AC$714:$AC$738 = 'CalHFA Addendum'!$B23),Application!$G$714:$G$738)</f>
        <v>0</v>
      </c>
      <c r="AI23" s="2520"/>
      <c r="AJ23" s="2520"/>
      <c r="AK23" s="2520"/>
      <c r="AL23" s="2520"/>
      <c r="AM23" s="2521"/>
      <c r="AN23" s="2519" cm="1">
        <f t="array" ref="AN23">SUMPRODUCT((Application!$B$714:$B$738 = 'CalHFA Addendum'!AN$18)*(Application!$AC$714:$AC$738 = 'CalHFA Addendum'!$B23),Application!$G$714:$G$738)</f>
        <v>0</v>
      </c>
      <c r="AO23" s="2520"/>
      <c r="AP23" s="2520"/>
      <c r="AQ23" s="2520"/>
      <c r="AR23" s="2520"/>
      <c r="AS23" s="2521"/>
      <c r="AT23" s="2522">
        <f t="shared" si="1"/>
        <v>0</v>
      </c>
      <c r="AU23" s="2523"/>
      <c r="AV23" s="2523"/>
      <c r="AW23" s="2523"/>
      <c r="AX23" s="2523"/>
      <c r="AY23" s="2524"/>
      <c r="AZ23" s="1209"/>
      <c r="BA23" s="1209"/>
      <c r="BB23" s="1209"/>
      <c r="BC23" s="1209"/>
      <c r="BD23" s="1209"/>
      <c r="BE23" s="1205"/>
    </row>
    <row r="24" spans="1:58" ht="15">
      <c r="A24" s="1209"/>
      <c r="B24" s="2516">
        <v>0.8</v>
      </c>
      <c r="C24" s="2517"/>
      <c r="D24" s="2517"/>
      <c r="E24" s="2517"/>
      <c r="F24" s="2517"/>
      <c r="G24" s="2517"/>
      <c r="H24" s="2517"/>
      <c r="I24" s="2518"/>
      <c r="J24" s="2519">
        <f t="shared" si="0"/>
        <v>0</v>
      </c>
      <c r="K24" s="2520"/>
      <c r="L24" s="2520"/>
      <c r="M24" s="2520"/>
      <c r="N24" s="2520"/>
      <c r="O24" s="2521"/>
      <c r="P24" s="2519" cm="1">
        <f t="array" ref="P24">SUMPRODUCT((Application!$B$714:$B$738 = 'CalHFA Addendum'!P$18)*(Application!$AC$714:$AC$738 = 'CalHFA Addendum'!$B24),Application!$G$714:$G$738)</f>
        <v>0</v>
      </c>
      <c r="Q24" s="2520"/>
      <c r="R24" s="2520"/>
      <c r="S24" s="2520"/>
      <c r="T24" s="2520"/>
      <c r="U24" s="2521"/>
      <c r="V24" s="2519" cm="1">
        <f t="array" ref="V24">SUMPRODUCT((Application!$B$714:$B$738 = 'CalHFA Addendum'!V$18)*(Application!$AC$714:$AC$738 = 'CalHFA Addendum'!$B24),Application!$G$714:$G$738)</f>
        <v>0</v>
      </c>
      <c r="W24" s="2520"/>
      <c r="X24" s="2520"/>
      <c r="Y24" s="2520"/>
      <c r="Z24" s="2520"/>
      <c r="AA24" s="2521"/>
      <c r="AB24" s="2519" cm="1">
        <f t="array" ref="AB24">SUMPRODUCT((Application!$B$714:$B$738 = 'CalHFA Addendum'!AB$18)*(Application!$AC$714:$AC$738 = 'CalHFA Addendum'!$B24),Application!$G$714:$G$738)</f>
        <v>0</v>
      </c>
      <c r="AC24" s="2520"/>
      <c r="AD24" s="2520"/>
      <c r="AE24" s="2520"/>
      <c r="AF24" s="2520"/>
      <c r="AG24" s="2521"/>
      <c r="AH24" s="2519" cm="1">
        <f t="array" ref="AH24">SUMPRODUCT((Application!$B$714:$B$738 = 'CalHFA Addendum'!AH$18)*(Application!$AC$714:$AC$738 = 'CalHFA Addendum'!$B24),Application!$G$714:$G$738)</f>
        <v>0</v>
      </c>
      <c r="AI24" s="2520"/>
      <c r="AJ24" s="2520"/>
      <c r="AK24" s="2520"/>
      <c r="AL24" s="2520"/>
      <c r="AM24" s="2521"/>
      <c r="AN24" s="2519" cm="1">
        <f t="array" ref="AN24">SUMPRODUCT((Application!$B$714:$B$738 = 'CalHFA Addendum'!AN$18)*(Application!$AC$714:$AC$738 = 'CalHFA Addendum'!$B24),Application!$G$714:$G$738)</f>
        <v>0</v>
      </c>
      <c r="AO24" s="2520"/>
      <c r="AP24" s="2520"/>
      <c r="AQ24" s="2520"/>
      <c r="AR24" s="2520"/>
      <c r="AS24" s="2521"/>
      <c r="AT24" s="2522">
        <f t="shared" si="1"/>
        <v>0</v>
      </c>
      <c r="AU24" s="2523"/>
      <c r="AV24" s="2523"/>
      <c r="AW24" s="2523"/>
      <c r="AX24" s="2523"/>
      <c r="AY24" s="2524"/>
      <c r="AZ24" s="1209"/>
      <c r="BA24" s="1209"/>
      <c r="BB24" s="1209"/>
      <c r="BC24" s="1209"/>
      <c r="BD24" s="1209"/>
      <c r="BE24" s="1205"/>
    </row>
    <row r="25" spans="1:58" ht="15">
      <c r="A25" s="1209"/>
      <c r="B25" s="2516">
        <v>0.9</v>
      </c>
      <c r="C25" s="2517"/>
      <c r="D25" s="2517"/>
      <c r="E25" s="2517"/>
      <c r="F25" s="2517"/>
      <c r="G25" s="2517"/>
      <c r="H25" s="2517"/>
      <c r="I25" s="2518"/>
      <c r="J25" s="2519">
        <f t="shared" si="0"/>
        <v>0</v>
      </c>
      <c r="K25" s="2520"/>
      <c r="L25" s="2520"/>
      <c r="M25" s="2520"/>
      <c r="N25" s="2520"/>
      <c r="O25" s="2521"/>
      <c r="P25" s="2519" cm="1">
        <f t="array" ref="P25">SUMPRODUCT((Application!$B$714:$B$738 = 'CalHFA Addendum'!P$18)*(Application!$AC$714:$AC$738 = 'CalHFA Addendum'!$B25),Application!$G$714:$G$738)</f>
        <v>0</v>
      </c>
      <c r="Q25" s="2520"/>
      <c r="R25" s="2520"/>
      <c r="S25" s="2520"/>
      <c r="T25" s="2520"/>
      <c r="U25" s="2521"/>
      <c r="V25" s="2519" cm="1">
        <f t="array" ref="V25">SUMPRODUCT((Application!$B$714:$B$738 = 'CalHFA Addendum'!V$18)*(Application!$AC$714:$AC$738 = 'CalHFA Addendum'!$B25),Application!$G$714:$G$738)</f>
        <v>0</v>
      </c>
      <c r="W25" s="2520"/>
      <c r="X25" s="2520"/>
      <c r="Y25" s="2520"/>
      <c r="Z25" s="2520"/>
      <c r="AA25" s="2521"/>
      <c r="AB25" s="2519" cm="1">
        <f t="array" ref="AB25">SUMPRODUCT((Application!$B$714:$B$738 = 'CalHFA Addendum'!AB$18)*(Application!$AC$714:$AC$738 = 'CalHFA Addendum'!$B25),Application!$G$714:$G$738)</f>
        <v>0</v>
      </c>
      <c r="AC25" s="2520"/>
      <c r="AD25" s="2520"/>
      <c r="AE25" s="2520"/>
      <c r="AF25" s="2520"/>
      <c r="AG25" s="2521"/>
      <c r="AH25" s="2519" cm="1">
        <f t="array" ref="AH25">SUMPRODUCT((Application!$B$714:$B$738 = 'CalHFA Addendum'!AH$18)*(Application!$AC$714:$AC$738 = 'CalHFA Addendum'!$B25),Application!$G$714:$G$738)</f>
        <v>0</v>
      </c>
      <c r="AI25" s="2520"/>
      <c r="AJ25" s="2520"/>
      <c r="AK25" s="2520"/>
      <c r="AL25" s="2520"/>
      <c r="AM25" s="2521"/>
      <c r="AN25" s="2519" cm="1">
        <f t="array" ref="AN25">SUMPRODUCT((Application!$B$714:$B$738 = 'CalHFA Addendum'!AN$18)*(Application!$AC$714:$AC$738 = 'CalHFA Addendum'!$B25),Application!$G$714:$G$738)</f>
        <v>0</v>
      </c>
      <c r="AO25" s="2520"/>
      <c r="AP25" s="2520"/>
      <c r="AQ25" s="2520"/>
      <c r="AR25" s="2520"/>
      <c r="AS25" s="2521"/>
      <c r="AT25" s="2522">
        <f t="shared" si="1"/>
        <v>0</v>
      </c>
      <c r="AU25" s="2523"/>
      <c r="AV25" s="2523"/>
      <c r="AW25" s="2523"/>
      <c r="AX25" s="2523"/>
      <c r="AY25" s="2524"/>
      <c r="AZ25" s="1209"/>
      <c r="BA25" s="1209"/>
      <c r="BB25" s="1209"/>
      <c r="BC25" s="1209"/>
      <c r="BD25" s="1209"/>
      <c r="BE25" s="1205"/>
    </row>
    <row r="26" spans="1:58" ht="15">
      <c r="A26" s="1209"/>
      <c r="B26" s="2516">
        <v>1</v>
      </c>
      <c r="C26" s="2517"/>
      <c r="D26" s="2517"/>
      <c r="E26" s="2517"/>
      <c r="F26" s="2517"/>
      <c r="G26" s="2517"/>
      <c r="H26" s="2517"/>
      <c r="I26" s="2518"/>
      <c r="J26" s="2519">
        <f t="shared" si="0"/>
        <v>0</v>
      </c>
      <c r="K26" s="2520"/>
      <c r="L26" s="2520"/>
      <c r="M26" s="2520"/>
      <c r="N26" s="2520"/>
      <c r="O26" s="2521"/>
      <c r="P26" s="2519" cm="1">
        <f t="array" ref="P26">SUMPRODUCT((Application!$B$714:$B$738 = 'CalHFA Addendum'!P$18)*(Application!$AC$714:$AC$738 = 'CalHFA Addendum'!$B26),Application!$G$714:$G$738)</f>
        <v>0</v>
      </c>
      <c r="Q26" s="2520"/>
      <c r="R26" s="2520"/>
      <c r="S26" s="2520"/>
      <c r="T26" s="2520"/>
      <c r="U26" s="2521"/>
      <c r="V26" s="2519" cm="1">
        <f t="array" ref="V26">SUMPRODUCT((Application!$B$714:$B$738 = 'CalHFA Addendum'!V$18)*(Application!$AC$714:$AC$738 = 'CalHFA Addendum'!$B26),Application!$G$714:$G$738)</f>
        <v>0</v>
      </c>
      <c r="W26" s="2520"/>
      <c r="X26" s="2520"/>
      <c r="Y26" s="2520"/>
      <c r="Z26" s="2520"/>
      <c r="AA26" s="2521"/>
      <c r="AB26" s="2519" cm="1">
        <f t="array" ref="AB26">SUMPRODUCT((Application!$B$714:$B$738 = 'CalHFA Addendum'!AB$18)*(Application!$AC$714:$AC$738 = 'CalHFA Addendum'!$B26),Application!$G$714:$G$738)</f>
        <v>0</v>
      </c>
      <c r="AC26" s="2520"/>
      <c r="AD26" s="2520"/>
      <c r="AE26" s="2520"/>
      <c r="AF26" s="2520"/>
      <c r="AG26" s="2521"/>
      <c r="AH26" s="2519" cm="1">
        <f t="array" ref="AH26">SUMPRODUCT((Application!$B$714:$B$738 = 'CalHFA Addendum'!AH$18)*(Application!$AC$714:$AC$738 = 'CalHFA Addendum'!$B26),Application!$G$714:$G$738)</f>
        <v>0</v>
      </c>
      <c r="AI26" s="2520"/>
      <c r="AJ26" s="2520"/>
      <c r="AK26" s="2520"/>
      <c r="AL26" s="2520"/>
      <c r="AM26" s="2521"/>
      <c r="AN26" s="2519" cm="1">
        <f t="array" ref="AN26">SUMPRODUCT((Application!$B$714:$B$738 = 'CalHFA Addendum'!AN$18)*(Application!$AC$714:$AC$738 = 'CalHFA Addendum'!$B26),Application!$G$714:$G$738)</f>
        <v>0</v>
      </c>
      <c r="AO26" s="2520"/>
      <c r="AP26" s="2520"/>
      <c r="AQ26" s="2520"/>
      <c r="AR26" s="2520"/>
      <c r="AS26" s="2521"/>
      <c r="AT26" s="2522">
        <f t="shared" si="1"/>
        <v>0</v>
      </c>
      <c r="AU26" s="2523"/>
      <c r="AV26" s="2523"/>
      <c r="AW26" s="2523"/>
      <c r="AX26" s="2523"/>
      <c r="AY26" s="2524"/>
      <c r="AZ26" s="1209"/>
      <c r="BA26" s="1209"/>
      <c r="BB26" s="1209"/>
      <c r="BC26" s="1209"/>
      <c r="BD26" s="1209"/>
      <c r="BE26" s="1205"/>
    </row>
    <row r="27" spans="1:58" ht="15">
      <c r="A27" s="1209"/>
      <c r="B27" s="2516">
        <v>1.1000000000000001</v>
      </c>
      <c r="C27" s="2517"/>
      <c r="D27" s="2517"/>
      <c r="E27" s="2517"/>
      <c r="F27" s="2517"/>
      <c r="G27" s="2517"/>
      <c r="H27" s="2517"/>
      <c r="I27" s="2518"/>
      <c r="J27" s="2519">
        <f t="shared" si="0"/>
        <v>0</v>
      </c>
      <c r="K27" s="2520"/>
      <c r="L27" s="2520"/>
      <c r="M27" s="2520"/>
      <c r="N27" s="2520"/>
      <c r="O27" s="2521"/>
      <c r="P27" s="2519" cm="1">
        <f t="array" ref="P27">SUMPRODUCT((Application!$B$714:$B$738 = 'CalHFA Addendum'!P$18)*(Application!$AC$714:$AC$738 = 'CalHFA Addendum'!$B27),Application!$G$714:$G$738)</f>
        <v>0</v>
      </c>
      <c r="Q27" s="2520"/>
      <c r="R27" s="2520"/>
      <c r="S27" s="2520"/>
      <c r="T27" s="2520"/>
      <c r="U27" s="2521"/>
      <c r="V27" s="2519" cm="1">
        <f t="array" ref="V27">SUMPRODUCT((Application!$B$714:$B$738 = 'CalHFA Addendum'!V$18)*(Application!$AC$714:$AC$738 = 'CalHFA Addendum'!$B27),Application!$G$714:$G$738)</f>
        <v>0</v>
      </c>
      <c r="W27" s="2520"/>
      <c r="X27" s="2520"/>
      <c r="Y27" s="2520"/>
      <c r="Z27" s="2520"/>
      <c r="AA27" s="2521"/>
      <c r="AB27" s="2519" cm="1">
        <f t="array" ref="AB27">SUMPRODUCT((Application!$B$714:$B$738 = 'CalHFA Addendum'!AB$18)*(Application!$AC$714:$AC$738 = 'CalHFA Addendum'!$B27),Application!$G$714:$G$738)</f>
        <v>0</v>
      </c>
      <c r="AC27" s="2520"/>
      <c r="AD27" s="2520"/>
      <c r="AE27" s="2520"/>
      <c r="AF27" s="2520"/>
      <c r="AG27" s="2521"/>
      <c r="AH27" s="2519" cm="1">
        <f t="array" ref="AH27">SUMPRODUCT((Application!$B$714:$B$738 = 'CalHFA Addendum'!AH$18)*(Application!$AC$714:$AC$738 = 'CalHFA Addendum'!$B27),Application!$G$714:$G$738)</f>
        <v>0</v>
      </c>
      <c r="AI27" s="2520"/>
      <c r="AJ27" s="2520"/>
      <c r="AK27" s="2520"/>
      <c r="AL27" s="2520"/>
      <c r="AM27" s="2521"/>
      <c r="AN27" s="2519" cm="1">
        <f t="array" ref="AN27">SUMPRODUCT((Application!$B$714:$B$738 = 'CalHFA Addendum'!AN$18)*(Application!$AC$714:$AC$738 = 'CalHFA Addendum'!$B27),Application!$G$714:$G$738)</f>
        <v>0</v>
      </c>
      <c r="AO27" s="2520"/>
      <c r="AP27" s="2520"/>
      <c r="AQ27" s="2520"/>
      <c r="AR27" s="2520"/>
      <c r="AS27" s="2521"/>
      <c r="AT27" s="2522">
        <f t="shared" si="1"/>
        <v>0</v>
      </c>
      <c r="AU27" s="2523"/>
      <c r="AV27" s="2523"/>
      <c r="AW27" s="2523"/>
      <c r="AX27" s="2523"/>
      <c r="AY27" s="2524"/>
      <c r="AZ27" s="1209"/>
      <c r="BA27" s="1209"/>
      <c r="BB27" s="1209"/>
      <c r="BC27" s="1209"/>
      <c r="BD27" s="1209"/>
      <c r="BE27" s="1205"/>
    </row>
    <row r="28" spans="1:58" thickBot="1">
      <c r="A28" s="1209"/>
      <c r="B28" s="2525" t="s">
        <v>1799</v>
      </c>
      <c r="C28" s="2526"/>
      <c r="D28" s="2526"/>
      <c r="E28" s="2526"/>
      <c r="F28" s="2526"/>
      <c r="G28" s="2526"/>
      <c r="H28" s="2526"/>
      <c r="I28" s="2527"/>
      <c r="J28" s="2528">
        <f t="shared" si="0"/>
        <v>0</v>
      </c>
      <c r="K28" s="2529"/>
      <c r="L28" s="2529"/>
      <c r="M28" s="2529"/>
      <c r="N28" s="2529"/>
      <c r="O28" s="2530"/>
      <c r="P28" s="2528">
        <f>_xlfn.IFNA(VLOOKUP(P$18,Application!$J$758:$S$761,6,FALSE), 0)</f>
        <v>0</v>
      </c>
      <c r="Q28" s="2529"/>
      <c r="R28" s="2529"/>
      <c r="S28" s="2529"/>
      <c r="T28" s="2529"/>
      <c r="U28" s="2530"/>
      <c r="V28" s="2528">
        <f>_xlfn.IFNA(VLOOKUP(V$18,Application!$J$758:$S$761,6,FALSE), 0)</f>
        <v>0</v>
      </c>
      <c r="W28" s="2529"/>
      <c r="X28" s="2529"/>
      <c r="Y28" s="2529"/>
      <c r="Z28" s="2529"/>
      <c r="AA28" s="2530"/>
      <c r="AB28" s="2528">
        <f>_xlfn.IFNA(VLOOKUP(AB$18,Application!$J$758:$S$761,6,FALSE), 0)</f>
        <v>0</v>
      </c>
      <c r="AC28" s="2529"/>
      <c r="AD28" s="2529"/>
      <c r="AE28" s="2529"/>
      <c r="AF28" s="2529"/>
      <c r="AG28" s="2530"/>
      <c r="AH28" s="2528">
        <f>_xlfn.IFNA(VLOOKUP(AH$18,Application!$J$758:$S$761,6,FALSE), 0)</f>
        <v>0</v>
      </c>
      <c r="AI28" s="2529"/>
      <c r="AJ28" s="2529"/>
      <c r="AK28" s="2529"/>
      <c r="AL28" s="2529"/>
      <c r="AM28" s="2530"/>
      <c r="AN28" s="2528">
        <f>_xlfn.IFNA(VLOOKUP(AN$18,Application!$J$758:$S$761,6,FALSE), 0)</f>
        <v>0</v>
      </c>
      <c r="AO28" s="2529"/>
      <c r="AP28" s="2529"/>
      <c r="AQ28" s="2529"/>
      <c r="AR28" s="2529"/>
      <c r="AS28" s="2530"/>
      <c r="AT28" s="2531">
        <f t="shared" si="1"/>
        <v>0</v>
      </c>
      <c r="AU28" s="2532"/>
      <c r="AV28" s="2532"/>
      <c r="AW28" s="2532"/>
      <c r="AX28" s="2532"/>
      <c r="AY28" s="2533"/>
      <c r="AZ28" s="1209"/>
      <c r="BA28" s="1209"/>
      <c r="BB28" s="1209"/>
      <c r="BC28" s="1209"/>
      <c r="BD28" s="1209"/>
      <c r="BE28" s="1205"/>
    </row>
    <row r="29" spans="1:58" thickBot="1">
      <c r="A29" s="1209"/>
      <c r="B29" s="2505" t="s">
        <v>1698</v>
      </c>
      <c r="C29" s="2483"/>
      <c r="D29" s="2483"/>
      <c r="E29" s="2483"/>
      <c r="F29" s="2483"/>
      <c r="G29" s="2483"/>
      <c r="H29" s="2483"/>
      <c r="I29" s="2484"/>
      <c r="J29" s="2482">
        <f>SUM(J19:O28)</f>
        <v>134</v>
      </c>
      <c r="K29" s="2483"/>
      <c r="L29" s="2483"/>
      <c r="M29" s="2483"/>
      <c r="N29" s="2483"/>
      <c r="O29" s="2484"/>
      <c r="P29" s="2482">
        <f>SUM(P19:U28)</f>
        <v>133</v>
      </c>
      <c r="Q29" s="2483"/>
      <c r="R29" s="2483"/>
      <c r="S29" s="2483"/>
      <c r="T29" s="2483"/>
      <c r="U29" s="2484"/>
      <c r="V29" s="2482">
        <f>SUM(V19:AA28)</f>
        <v>1</v>
      </c>
      <c r="W29" s="2483"/>
      <c r="X29" s="2483"/>
      <c r="Y29" s="2483"/>
      <c r="Z29" s="2483"/>
      <c r="AA29" s="2484"/>
      <c r="AB29" s="2482">
        <f>SUM(AB19:AG28)</f>
        <v>0</v>
      </c>
      <c r="AC29" s="2483"/>
      <c r="AD29" s="2483"/>
      <c r="AE29" s="2483"/>
      <c r="AF29" s="2483"/>
      <c r="AG29" s="2484"/>
      <c r="AH29" s="2482">
        <f>SUM(AH19:AM28)</f>
        <v>0</v>
      </c>
      <c r="AI29" s="2483"/>
      <c r="AJ29" s="2483"/>
      <c r="AK29" s="2483"/>
      <c r="AL29" s="2483"/>
      <c r="AM29" s="2484"/>
      <c r="AN29" s="2482">
        <f>SUM(AN19:AS28)</f>
        <v>0</v>
      </c>
      <c r="AO29" s="2483"/>
      <c r="AP29" s="2483"/>
      <c r="AQ29" s="2483"/>
      <c r="AR29" s="2483"/>
      <c r="AS29" s="2484"/>
      <c r="AT29" s="2498">
        <f t="shared" si="1"/>
        <v>1</v>
      </c>
      <c r="AU29" s="2499"/>
      <c r="AV29" s="2499"/>
      <c r="AW29" s="2499"/>
      <c r="AX29" s="2499"/>
      <c r="AY29" s="2500"/>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6" t="s">
        <v>1800</v>
      </c>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2487"/>
      <c r="AO31" s="2487"/>
      <c r="AP31" s="2487"/>
      <c r="AQ31" s="2487"/>
      <c r="AR31" s="2487"/>
      <c r="AS31" s="2487"/>
      <c r="AT31" s="2487"/>
      <c r="AU31" s="2487"/>
      <c r="AV31" s="2487"/>
      <c r="AW31" s="2487"/>
      <c r="AX31" s="2487"/>
      <c r="AY31" s="2487"/>
      <c r="AZ31" s="2487"/>
      <c r="BA31" s="2487"/>
      <c r="BB31" s="2487"/>
      <c r="BC31" s="2487"/>
      <c r="BD31" s="2488"/>
      <c r="BE31" s="1205"/>
    </row>
    <row r="32" spans="1:58" thickBot="1">
      <c r="A32" s="1209"/>
      <c r="B32" s="2501" t="s">
        <v>2473</v>
      </c>
      <c r="C32" s="2502"/>
      <c r="D32" s="2502"/>
      <c r="E32" s="2502"/>
      <c r="F32" s="2502"/>
      <c r="G32" s="2502"/>
      <c r="H32" s="2502"/>
      <c r="I32" s="2502"/>
      <c r="J32" s="2534" t="s">
        <v>2474</v>
      </c>
      <c r="K32" s="2535"/>
      <c r="L32" s="2535"/>
      <c r="M32" s="2535"/>
      <c r="N32" s="2534" t="s">
        <v>1801</v>
      </c>
      <c r="O32" s="2535"/>
      <c r="P32" s="2535"/>
      <c r="Q32" s="2537"/>
      <c r="R32" s="2495" t="s">
        <v>1802</v>
      </c>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7"/>
      <c r="BE32" s="1205"/>
    </row>
    <row r="33" spans="1:58" ht="15" customHeight="1">
      <c r="A33" s="1209"/>
      <c r="B33" s="2503"/>
      <c r="C33" s="2504"/>
      <c r="D33" s="2504"/>
      <c r="E33" s="2504"/>
      <c r="F33" s="2504"/>
      <c r="G33" s="2504"/>
      <c r="H33" s="2504"/>
      <c r="I33" s="2504"/>
      <c r="J33" s="2536"/>
      <c r="K33" s="2536"/>
      <c r="L33" s="2536"/>
      <c r="M33" s="2536"/>
      <c r="N33" s="2536"/>
      <c r="O33" s="2536"/>
      <c r="P33" s="2536"/>
      <c r="Q33" s="2538"/>
      <c r="R33" s="2489" t="s">
        <v>1803</v>
      </c>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90"/>
      <c r="AT33" s="2490"/>
      <c r="AU33" s="2490"/>
      <c r="AV33" s="2490"/>
      <c r="AW33" s="2490"/>
      <c r="AX33" s="2490"/>
      <c r="AY33" s="2490"/>
      <c r="AZ33" s="2490"/>
      <c r="BA33" s="2490"/>
      <c r="BB33" s="2490"/>
      <c r="BC33" s="2490"/>
      <c r="BD33" s="2491"/>
      <c r="BE33" s="1205"/>
    </row>
    <row r="34" spans="1:58" ht="15.75" customHeight="1" thickBot="1">
      <c r="A34" s="1209"/>
      <c r="B34" s="2503"/>
      <c r="C34" s="2504"/>
      <c r="D34" s="2504"/>
      <c r="E34" s="2504"/>
      <c r="F34" s="2504"/>
      <c r="G34" s="2504"/>
      <c r="H34" s="2504"/>
      <c r="I34" s="2504"/>
      <c r="J34" s="2536"/>
      <c r="K34" s="2536"/>
      <c r="L34" s="2536"/>
      <c r="M34" s="2536"/>
      <c r="N34" s="2536"/>
      <c r="O34" s="2536"/>
      <c r="P34" s="2536"/>
      <c r="Q34" s="2538"/>
      <c r="R34" s="2492"/>
      <c r="S34" s="2493"/>
      <c r="T34" s="2493"/>
      <c r="U34" s="2493"/>
      <c r="V34" s="2493"/>
      <c r="W34" s="2493"/>
      <c r="X34" s="2493"/>
      <c r="Y34" s="2493"/>
      <c r="Z34" s="2493"/>
      <c r="AA34" s="2493"/>
      <c r="AB34" s="2493"/>
      <c r="AC34" s="2493"/>
      <c r="AD34" s="2493"/>
      <c r="AE34" s="2493"/>
      <c r="AF34" s="2493"/>
      <c r="AG34" s="2493"/>
      <c r="AH34" s="2493"/>
      <c r="AI34" s="2493"/>
      <c r="AJ34" s="2493"/>
      <c r="AK34" s="2493"/>
      <c r="AL34" s="2493"/>
      <c r="AM34" s="2493"/>
      <c r="AN34" s="2493"/>
      <c r="AO34" s="2493"/>
      <c r="AP34" s="2493"/>
      <c r="AQ34" s="2493"/>
      <c r="AR34" s="2493"/>
      <c r="AS34" s="2493"/>
      <c r="AT34" s="2493"/>
      <c r="AU34" s="2493"/>
      <c r="AV34" s="2493"/>
      <c r="AW34" s="2493"/>
      <c r="AX34" s="2493"/>
      <c r="AY34" s="2493"/>
      <c r="AZ34" s="2493"/>
      <c r="BA34" s="2493"/>
      <c r="BB34" s="2493"/>
      <c r="BC34" s="2493"/>
      <c r="BD34" s="2494"/>
      <c r="BE34" s="1205"/>
    </row>
    <row r="35" spans="1:58" ht="15.75" customHeight="1">
      <c r="A35" s="1209"/>
      <c r="B35" s="2503"/>
      <c r="C35" s="2504"/>
      <c r="D35" s="2504"/>
      <c r="E35" s="2504"/>
      <c r="F35" s="2504"/>
      <c r="G35" s="2504"/>
      <c r="H35" s="2504"/>
      <c r="I35" s="2504"/>
      <c r="J35" s="2536"/>
      <c r="K35" s="2536"/>
      <c r="L35" s="2536"/>
      <c r="M35" s="2536"/>
      <c r="N35" s="2536"/>
      <c r="O35" s="2536"/>
      <c r="P35" s="2536"/>
      <c r="Q35" s="2536"/>
      <c r="R35" s="2485">
        <v>0.3</v>
      </c>
      <c r="S35" s="2485"/>
      <c r="T35" s="2485"/>
      <c r="U35" s="2485"/>
      <c r="V35" s="2485">
        <v>0.4</v>
      </c>
      <c r="W35" s="2485"/>
      <c r="X35" s="2485"/>
      <c r="Y35" s="2485"/>
      <c r="Z35" s="2485">
        <v>0.5</v>
      </c>
      <c r="AA35" s="2485"/>
      <c r="AB35" s="2485"/>
      <c r="AC35" s="2485"/>
      <c r="AD35" s="2485">
        <v>0.6</v>
      </c>
      <c r="AE35" s="2485"/>
      <c r="AF35" s="2485"/>
      <c r="AG35" s="2485"/>
      <c r="AH35" s="2485">
        <v>0.7</v>
      </c>
      <c r="AI35" s="2485"/>
      <c r="AJ35" s="2485"/>
      <c r="AK35" s="2485"/>
      <c r="AL35" s="2506">
        <v>0.8</v>
      </c>
      <c r="AM35" s="2507"/>
      <c r="AN35" s="2507"/>
      <c r="AO35" s="2508"/>
      <c r="AP35" s="2509">
        <v>1.2</v>
      </c>
      <c r="AQ35" s="2510"/>
      <c r="AR35" s="2511"/>
      <c r="AS35" s="2512" t="s">
        <v>1804</v>
      </c>
      <c r="AT35" s="2513"/>
      <c r="AU35" s="2513"/>
      <c r="AV35" s="2513"/>
      <c r="AW35" s="2513"/>
      <c r="AX35" s="2514"/>
      <c r="AY35" s="2512" t="s">
        <v>1805</v>
      </c>
      <c r="AZ35" s="2513"/>
      <c r="BA35" s="2513"/>
      <c r="BB35" s="2513"/>
      <c r="BC35" s="2513"/>
      <c r="BD35" s="2515"/>
      <c r="BE35" s="1205"/>
    </row>
    <row r="36" spans="1:58" ht="15.75" customHeight="1">
      <c r="A36" s="1209"/>
      <c r="B36" s="2243" t="s">
        <v>1806</v>
      </c>
      <c r="C36" s="2244"/>
      <c r="D36" s="2244"/>
      <c r="E36" s="2244"/>
      <c r="F36" s="2244"/>
      <c r="G36" s="2244"/>
      <c r="H36" s="2244"/>
      <c r="I36" s="2244"/>
      <c r="J36" s="2475" t="s">
        <v>1807</v>
      </c>
      <c r="K36" s="2475"/>
      <c r="L36" s="2475"/>
      <c r="M36" s="2475"/>
      <c r="N36" s="2475">
        <v>55</v>
      </c>
      <c r="O36" s="2475"/>
      <c r="P36" s="2475"/>
      <c r="Q36" s="2475"/>
      <c r="R36" s="2221">
        <v>0</v>
      </c>
      <c r="S36" s="2221"/>
      <c r="T36" s="2221"/>
      <c r="U36" s="2221"/>
      <c r="V36" s="2221">
        <v>0</v>
      </c>
      <c r="W36" s="2221"/>
      <c r="X36" s="2221"/>
      <c r="Y36" s="2221"/>
      <c r="Z36" s="2221">
        <v>10</v>
      </c>
      <c r="AA36" s="2221"/>
      <c r="AB36" s="2221"/>
      <c r="AC36" s="2221"/>
      <c r="AD36" s="2221">
        <v>10</v>
      </c>
      <c r="AE36" s="2221"/>
      <c r="AF36" s="2221"/>
      <c r="AG36" s="2221"/>
      <c r="AH36" s="2221">
        <v>30</v>
      </c>
      <c r="AI36" s="2221"/>
      <c r="AJ36" s="2221"/>
      <c r="AK36" s="2221"/>
      <c r="AL36" s="2222">
        <v>0</v>
      </c>
      <c r="AM36" s="2223"/>
      <c r="AN36" s="2223"/>
      <c r="AO36" s="2224"/>
      <c r="AP36" s="2222">
        <v>0</v>
      </c>
      <c r="AQ36" s="2223"/>
      <c r="AR36" s="2224"/>
      <c r="AS36" s="2225">
        <f t="shared" ref="AS36:AS47" si="2">SUM(R36:AR36)</f>
        <v>50</v>
      </c>
      <c r="AT36" s="2226"/>
      <c r="AU36" s="2226"/>
      <c r="AV36" s="2226"/>
      <c r="AW36" s="2226"/>
      <c r="AX36" s="2227"/>
      <c r="AY36" s="2479">
        <f t="shared" ref="AY36:AY47" si="3">AS36/$J$29</f>
        <v>0.37313432835820898</v>
      </c>
      <c r="AZ36" s="2480"/>
      <c r="BA36" s="2480"/>
      <c r="BB36" s="2480"/>
      <c r="BC36" s="2480"/>
      <c r="BD36" s="2481"/>
      <c r="BE36" s="1205"/>
    </row>
    <row r="37" spans="1:58" ht="15.75" customHeight="1">
      <c r="A37" s="1209"/>
      <c r="B37" s="2243" t="s">
        <v>2475</v>
      </c>
      <c r="C37" s="2244"/>
      <c r="D37" s="2244"/>
      <c r="E37" s="2244"/>
      <c r="F37" s="2244"/>
      <c r="G37" s="2244"/>
      <c r="H37" s="2244"/>
      <c r="I37" s="2244"/>
      <c r="J37" s="2475" t="s">
        <v>1808</v>
      </c>
      <c r="K37" s="2475"/>
      <c r="L37" s="2475"/>
      <c r="M37" s="2475"/>
      <c r="N37" s="2475">
        <v>55</v>
      </c>
      <c r="O37" s="2475"/>
      <c r="P37" s="2475"/>
      <c r="Q37" s="2475"/>
      <c r="R37" s="2221">
        <v>10</v>
      </c>
      <c r="S37" s="2221"/>
      <c r="T37" s="2221"/>
      <c r="U37" s="2221"/>
      <c r="V37" s="2221"/>
      <c r="W37" s="2221"/>
      <c r="X37" s="2221"/>
      <c r="Y37" s="2221"/>
      <c r="Z37" s="2221"/>
      <c r="AA37" s="2221"/>
      <c r="AB37" s="2221"/>
      <c r="AC37" s="2221"/>
      <c r="AD37" s="2221"/>
      <c r="AE37" s="2221"/>
      <c r="AF37" s="2221"/>
      <c r="AG37" s="2221"/>
      <c r="AH37" s="2221"/>
      <c r="AI37" s="2221"/>
      <c r="AJ37" s="2221"/>
      <c r="AK37" s="2221"/>
      <c r="AL37" s="2222"/>
      <c r="AM37" s="2223"/>
      <c r="AN37" s="2223"/>
      <c r="AO37" s="2224"/>
      <c r="AP37" s="2222"/>
      <c r="AQ37" s="2223"/>
      <c r="AR37" s="2224"/>
      <c r="AS37" s="2225">
        <f t="shared" si="2"/>
        <v>10</v>
      </c>
      <c r="AT37" s="2226"/>
      <c r="AU37" s="2226"/>
      <c r="AV37" s="2226"/>
      <c r="AW37" s="2226"/>
      <c r="AX37" s="2227"/>
      <c r="AY37" s="2479">
        <f t="shared" si="3"/>
        <v>7.4626865671641784E-2</v>
      </c>
      <c r="AZ37" s="2480"/>
      <c r="BA37" s="2480"/>
      <c r="BB37" s="2480"/>
      <c r="BC37" s="2480"/>
      <c r="BD37" s="2481"/>
      <c r="BE37" s="1205"/>
    </row>
    <row r="38" spans="1:58" ht="15.75" customHeight="1">
      <c r="A38" s="1209"/>
      <c r="B38" s="2243" t="s">
        <v>2414</v>
      </c>
      <c r="C38" s="2244"/>
      <c r="D38" s="2244"/>
      <c r="E38" s="2244"/>
      <c r="F38" s="2244"/>
      <c r="G38" s="2244"/>
      <c r="H38" s="2244"/>
      <c r="I38" s="2244"/>
      <c r="J38" s="2475" t="s">
        <v>1809</v>
      </c>
      <c r="K38" s="2475"/>
      <c r="L38" s="2475"/>
      <c r="M38" s="2475"/>
      <c r="N38" s="2475">
        <v>55</v>
      </c>
      <c r="O38" s="2475"/>
      <c r="P38" s="2475"/>
      <c r="Q38" s="2475"/>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2"/>
      <c r="AM38" s="2223"/>
      <c r="AN38" s="2223"/>
      <c r="AO38" s="2224"/>
      <c r="AP38" s="2222"/>
      <c r="AQ38" s="2223"/>
      <c r="AR38" s="2224"/>
      <c r="AS38" s="2225">
        <f t="shared" si="2"/>
        <v>0</v>
      </c>
      <c r="AT38" s="2226"/>
      <c r="AU38" s="2226"/>
      <c r="AV38" s="2226"/>
      <c r="AW38" s="2226"/>
      <c r="AX38" s="2227"/>
      <c r="AY38" s="2479">
        <f t="shared" si="3"/>
        <v>0</v>
      </c>
      <c r="AZ38" s="2480"/>
      <c r="BA38" s="2480"/>
      <c r="BB38" s="2480"/>
      <c r="BC38" s="2480"/>
      <c r="BD38" s="2481"/>
      <c r="BE38" s="1205"/>
    </row>
    <row r="39" spans="1:58" ht="15.75" customHeight="1">
      <c r="A39" s="1209"/>
      <c r="B39" s="2243" t="s">
        <v>1810</v>
      </c>
      <c r="C39" s="2244"/>
      <c r="D39" s="2244"/>
      <c r="E39" s="2244"/>
      <c r="F39" s="2244"/>
      <c r="G39" s="2244"/>
      <c r="H39" s="2244"/>
      <c r="I39" s="2244"/>
      <c r="J39" s="2475"/>
      <c r="K39" s="2475"/>
      <c r="L39" s="2475"/>
      <c r="M39" s="2475"/>
      <c r="N39" s="2475"/>
      <c r="O39" s="2475"/>
      <c r="P39" s="2475"/>
      <c r="Q39" s="2475"/>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2"/>
      <c r="AM39" s="2223"/>
      <c r="AN39" s="2223"/>
      <c r="AO39" s="2224"/>
      <c r="AP39" s="2222"/>
      <c r="AQ39" s="2223"/>
      <c r="AR39" s="2224"/>
      <c r="AS39" s="2225">
        <f t="shared" si="2"/>
        <v>0</v>
      </c>
      <c r="AT39" s="2226"/>
      <c r="AU39" s="2226"/>
      <c r="AV39" s="2226"/>
      <c r="AW39" s="2226"/>
      <c r="AX39" s="2227"/>
      <c r="AY39" s="2479">
        <f t="shared" si="3"/>
        <v>0</v>
      </c>
      <c r="AZ39" s="2480"/>
      <c r="BA39" s="2480"/>
      <c r="BB39" s="2480"/>
      <c r="BC39" s="2480"/>
      <c r="BD39" s="2481"/>
      <c r="BE39" s="1205"/>
    </row>
    <row r="40" spans="1:58" ht="15.75" customHeight="1">
      <c r="A40" s="1209"/>
      <c r="B40" s="2243" t="s">
        <v>1810</v>
      </c>
      <c r="C40" s="2244"/>
      <c r="D40" s="2244"/>
      <c r="E40" s="2244"/>
      <c r="F40" s="2244"/>
      <c r="G40" s="2244"/>
      <c r="H40" s="2244"/>
      <c r="I40" s="2244"/>
      <c r="J40" s="2475"/>
      <c r="K40" s="2475"/>
      <c r="L40" s="2475"/>
      <c r="M40" s="2475"/>
      <c r="N40" s="2475"/>
      <c r="O40" s="2475"/>
      <c r="P40" s="2475"/>
      <c r="Q40" s="2475"/>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2"/>
      <c r="AM40" s="2223"/>
      <c r="AN40" s="2223"/>
      <c r="AO40" s="2224"/>
      <c r="AP40" s="2222"/>
      <c r="AQ40" s="2223"/>
      <c r="AR40" s="2224"/>
      <c r="AS40" s="2225">
        <f t="shared" si="2"/>
        <v>0</v>
      </c>
      <c r="AT40" s="2226"/>
      <c r="AU40" s="2226"/>
      <c r="AV40" s="2226"/>
      <c r="AW40" s="2226"/>
      <c r="AX40" s="2227"/>
      <c r="AY40" s="2479">
        <f t="shared" si="3"/>
        <v>0</v>
      </c>
      <c r="AZ40" s="2480"/>
      <c r="BA40" s="2480"/>
      <c r="BB40" s="2480"/>
      <c r="BC40" s="2480"/>
      <c r="BD40" s="2481"/>
      <c r="BE40" s="1205"/>
    </row>
    <row r="41" spans="1:58" ht="15.75" customHeight="1">
      <c r="A41" s="1209"/>
      <c r="B41" s="2243" t="s">
        <v>1811</v>
      </c>
      <c r="C41" s="2244"/>
      <c r="D41" s="2244"/>
      <c r="E41" s="2244"/>
      <c r="F41" s="2244"/>
      <c r="G41" s="2244"/>
      <c r="H41" s="2244"/>
      <c r="I41" s="2244"/>
      <c r="J41" s="2475"/>
      <c r="K41" s="2475"/>
      <c r="L41" s="2475"/>
      <c r="M41" s="2475"/>
      <c r="N41" s="2475"/>
      <c r="O41" s="2475"/>
      <c r="P41" s="2475"/>
      <c r="Q41" s="2475"/>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2"/>
      <c r="AM41" s="2223"/>
      <c r="AN41" s="2223"/>
      <c r="AO41" s="2224"/>
      <c r="AP41" s="2222"/>
      <c r="AQ41" s="2223"/>
      <c r="AR41" s="2224"/>
      <c r="AS41" s="2225">
        <f t="shared" si="2"/>
        <v>0</v>
      </c>
      <c r="AT41" s="2226"/>
      <c r="AU41" s="2226"/>
      <c r="AV41" s="2226"/>
      <c r="AW41" s="2226"/>
      <c r="AX41" s="2227"/>
      <c r="AY41" s="2479">
        <f t="shared" si="3"/>
        <v>0</v>
      </c>
      <c r="AZ41" s="2480"/>
      <c r="BA41" s="2480"/>
      <c r="BB41" s="2480"/>
      <c r="BC41" s="2480"/>
      <c r="BD41" s="2481"/>
      <c r="BE41" s="1205"/>
    </row>
    <row r="42" spans="1:58" ht="15.75" customHeight="1">
      <c r="A42" s="1209"/>
      <c r="B42" s="2243" t="s">
        <v>1811</v>
      </c>
      <c r="C42" s="2244"/>
      <c r="D42" s="2244"/>
      <c r="E42" s="2244"/>
      <c r="F42" s="2244"/>
      <c r="G42" s="2244"/>
      <c r="H42" s="2244"/>
      <c r="I42" s="2244"/>
      <c r="J42" s="2475"/>
      <c r="K42" s="2475"/>
      <c r="L42" s="2475"/>
      <c r="M42" s="2475"/>
      <c r="N42" s="2475"/>
      <c r="O42" s="2475"/>
      <c r="P42" s="2475"/>
      <c r="Q42" s="2475"/>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2"/>
      <c r="AM42" s="2223"/>
      <c r="AN42" s="2223"/>
      <c r="AO42" s="2224"/>
      <c r="AP42" s="2222"/>
      <c r="AQ42" s="2223"/>
      <c r="AR42" s="2224"/>
      <c r="AS42" s="2225">
        <f t="shared" si="2"/>
        <v>0</v>
      </c>
      <c r="AT42" s="2226"/>
      <c r="AU42" s="2226"/>
      <c r="AV42" s="2226"/>
      <c r="AW42" s="2226"/>
      <c r="AX42" s="2227"/>
      <c r="AY42" s="2479">
        <f t="shared" si="3"/>
        <v>0</v>
      </c>
      <c r="AZ42" s="2480"/>
      <c r="BA42" s="2480"/>
      <c r="BB42" s="2480"/>
      <c r="BC42" s="2480"/>
      <c r="BD42" s="2481"/>
      <c r="BE42" s="1205"/>
    </row>
    <row r="43" spans="1:58" ht="15.75" customHeight="1">
      <c r="A43" s="1209"/>
      <c r="B43" s="2214" t="s">
        <v>1812</v>
      </c>
      <c r="C43" s="2215"/>
      <c r="D43" s="2215"/>
      <c r="E43" s="2215"/>
      <c r="F43" s="2215"/>
      <c r="G43" s="2215"/>
      <c r="H43" s="2215"/>
      <c r="I43" s="2215"/>
      <c r="J43" s="2475"/>
      <c r="K43" s="2475"/>
      <c r="L43" s="2475"/>
      <c r="M43" s="2475"/>
      <c r="N43" s="2475"/>
      <c r="O43" s="2475"/>
      <c r="P43" s="2475"/>
      <c r="Q43" s="2475"/>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2"/>
      <c r="AM43" s="2223"/>
      <c r="AN43" s="2223"/>
      <c r="AO43" s="2224"/>
      <c r="AP43" s="2222"/>
      <c r="AQ43" s="2223"/>
      <c r="AR43" s="2224"/>
      <c r="AS43" s="2225">
        <f t="shared" si="2"/>
        <v>0</v>
      </c>
      <c r="AT43" s="2226"/>
      <c r="AU43" s="2226"/>
      <c r="AV43" s="2226"/>
      <c r="AW43" s="2226"/>
      <c r="AX43" s="2227"/>
      <c r="AY43" s="2479">
        <f t="shared" si="3"/>
        <v>0</v>
      </c>
      <c r="AZ43" s="2480"/>
      <c r="BA43" s="2480"/>
      <c r="BB43" s="2480"/>
      <c r="BC43" s="2480"/>
      <c r="BD43" s="2481"/>
      <c r="BE43" s="1205"/>
    </row>
    <row r="44" spans="1:58" ht="15.75" customHeight="1">
      <c r="A44" s="1209"/>
      <c r="B44" s="2214" t="s">
        <v>1813</v>
      </c>
      <c r="C44" s="2215"/>
      <c r="D44" s="2215"/>
      <c r="E44" s="2215"/>
      <c r="F44" s="2215"/>
      <c r="G44" s="2215"/>
      <c r="H44" s="2215"/>
      <c r="I44" s="2215"/>
      <c r="J44" s="2475"/>
      <c r="K44" s="2475"/>
      <c r="L44" s="2475"/>
      <c r="M44" s="2475"/>
      <c r="N44" s="2475"/>
      <c r="O44" s="2475"/>
      <c r="P44" s="2475"/>
      <c r="Q44" s="2475"/>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2"/>
      <c r="AM44" s="2223"/>
      <c r="AN44" s="2223"/>
      <c r="AO44" s="2224"/>
      <c r="AP44" s="2222"/>
      <c r="AQ44" s="2223"/>
      <c r="AR44" s="2224"/>
      <c r="AS44" s="2225">
        <f t="shared" si="2"/>
        <v>0</v>
      </c>
      <c r="AT44" s="2226"/>
      <c r="AU44" s="2226"/>
      <c r="AV44" s="2226"/>
      <c r="AW44" s="2226"/>
      <c r="AX44" s="2227"/>
      <c r="AY44" s="2479">
        <f t="shared" si="3"/>
        <v>0</v>
      </c>
      <c r="AZ44" s="2480"/>
      <c r="BA44" s="2480"/>
      <c r="BB44" s="2480"/>
      <c r="BC44" s="2480"/>
      <c r="BD44" s="2481"/>
      <c r="BE44" s="1205"/>
    </row>
    <row r="45" spans="1:58" ht="15.75" customHeight="1">
      <c r="A45" s="1209"/>
      <c r="B45" s="2214" t="s">
        <v>1814</v>
      </c>
      <c r="C45" s="2215"/>
      <c r="D45" s="2215"/>
      <c r="E45" s="2215"/>
      <c r="F45" s="2215"/>
      <c r="G45" s="2215"/>
      <c r="H45" s="2215"/>
      <c r="I45" s="2215"/>
      <c r="J45" s="2475"/>
      <c r="K45" s="2475"/>
      <c r="L45" s="2475"/>
      <c r="M45" s="2475"/>
      <c r="N45" s="2475"/>
      <c r="O45" s="2475"/>
      <c r="P45" s="2475"/>
      <c r="Q45" s="2475"/>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2"/>
      <c r="AM45" s="2223"/>
      <c r="AN45" s="2223"/>
      <c r="AO45" s="2224"/>
      <c r="AP45" s="2222"/>
      <c r="AQ45" s="2223"/>
      <c r="AR45" s="2224"/>
      <c r="AS45" s="2225">
        <f t="shared" si="2"/>
        <v>0</v>
      </c>
      <c r="AT45" s="2226"/>
      <c r="AU45" s="2226"/>
      <c r="AV45" s="2226"/>
      <c r="AW45" s="2226"/>
      <c r="AX45" s="2227"/>
      <c r="AY45" s="2479">
        <f t="shared" si="3"/>
        <v>0</v>
      </c>
      <c r="AZ45" s="2480"/>
      <c r="BA45" s="2480"/>
      <c r="BB45" s="2480"/>
      <c r="BC45" s="2480"/>
      <c r="BD45" s="2481"/>
      <c r="BE45" s="1205"/>
    </row>
    <row r="46" spans="1:58" ht="15.75" customHeight="1">
      <c r="A46" s="1209"/>
      <c r="B46" s="2214" t="s">
        <v>1815</v>
      </c>
      <c r="C46" s="2215"/>
      <c r="D46" s="2215"/>
      <c r="E46" s="2215"/>
      <c r="F46" s="2215"/>
      <c r="G46" s="2215"/>
      <c r="H46" s="2215"/>
      <c r="I46" s="2215"/>
      <c r="J46" s="2475"/>
      <c r="K46" s="2475"/>
      <c r="L46" s="2475"/>
      <c r="M46" s="2475"/>
      <c r="N46" s="2475">
        <v>99</v>
      </c>
      <c r="O46" s="2475"/>
      <c r="P46" s="2475"/>
      <c r="Q46" s="2475"/>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2"/>
      <c r="AM46" s="2223"/>
      <c r="AN46" s="2223"/>
      <c r="AO46" s="2224"/>
      <c r="AP46" s="2222"/>
      <c r="AQ46" s="2223"/>
      <c r="AR46" s="2224"/>
      <c r="AS46" s="2225">
        <f t="shared" si="2"/>
        <v>0</v>
      </c>
      <c r="AT46" s="2226"/>
      <c r="AU46" s="2226"/>
      <c r="AV46" s="2226"/>
      <c r="AW46" s="2226"/>
      <c r="AX46" s="2227"/>
      <c r="AY46" s="2479">
        <f t="shared" si="3"/>
        <v>0</v>
      </c>
      <c r="AZ46" s="2480"/>
      <c r="BA46" s="2480"/>
      <c r="BB46" s="2480"/>
      <c r="BC46" s="2480"/>
      <c r="BD46" s="2481"/>
      <c r="BE46" s="1205"/>
    </row>
    <row r="47" spans="1:58" ht="15.75" customHeight="1" thickBot="1">
      <c r="A47" s="1209"/>
      <c r="B47" s="2472" t="s">
        <v>301</v>
      </c>
      <c r="C47" s="2473"/>
      <c r="D47" s="2473"/>
      <c r="E47" s="2473"/>
      <c r="F47" s="2473"/>
      <c r="G47" s="2473"/>
      <c r="H47" s="2473"/>
      <c r="I47" s="2473"/>
      <c r="J47" s="2474"/>
      <c r="K47" s="2474"/>
      <c r="L47" s="2474"/>
      <c r="M47" s="2474"/>
      <c r="N47" s="2474"/>
      <c r="O47" s="2474"/>
      <c r="P47" s="2474"/>
      <c r="Q47" s="2474"/>
      <c r="R47" s="2468"/>
      <c r="S47" s="2468"/>
      <c r="T47" s="2468"/>
      <c r="U47" s="2468"/>
      <c r="V47" s="2468"/>
      <c r="W47" s="2468"/>
      <c r="X47" s="2468"/>
      <c r="Y47" s="2468"/>
      <c r="Z47" s="2468"/>
      <c r="AA47" s="2468"/>
      <c r="AB47" s="2468"/>
      <c r="AC47" s="2468"/>
      <c r="AD47" s="2468"/>
      <c r="AE47" s="2468"/>
      <c r="AF47" s="2468"/>
      <c r="AG47" s="2468"/>
      <c r="AH47" s="2468"/>
      <c r="AI47" s="2468"/>
      <c r="AJ47" s="2468"/>
      <c r="AK47" s="2468"/>
      <c r="AL47" s="2469"/>
      <c r="AM47" s="2470"/>
      <c r="AN47" s="2470"/>
      <c r="AO47" s="2471"/>
      <c r="AP47" s="2469"/>
      <c r="AQ47" s="2470"/>
      <c r="AR47" s="2471"/>
      <c r="AS47" s="2225">
        <f t="shared" si="2"/>
        <v>0</v>
      </c>
      <c r="AT47" s="2226"/>
      <c r="AU47" s="2226"/>
      <c r="AV47" s="2226"/>
      <c r="AW47" s="2226"/>
      <c r="AX47" s="2227"/>
      <c r="AY47" s="2476">
        <f t="shared" si="3"/>
        <v>0</v>
      </c>
      <c r="AZ47" s="2477"/>
      <c r="BA47" s="2477"/>
      <c r="BB47" s="2477"/>
      <c r="BC47" s="2477"/>
      <c r="BD47" s="2478"/>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6" t="s">
        <v>1816</v>
      </c>
      <c r="C50" s="2212"/>
      <c r="D50" s="2212"/>
      <c r="E50" s="2212"/>
      <c r="F50" s="2212"/>
      <c r="G50" s="2212"/>
      <c r="H50" s="2212"/>
      <c r="I50" s="2212"/>
      <c r="J50" s="2212"/>
      <c r="K50" s="2212"/>
      <c r="L50" s="2212"/>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4" t="s">
        <v>1817</v>
      </c>
      <c r="C51" s="2175"/>
      <c r="D51" s="2175"/>
      <c r="E51" s="2175"/>
      <c r="F51" s="2175"/>
      <c r="G51" s="2175"/>
      <c r="H51" s="2175"/>
      <c r="I51" s="2175"/>
      <c r="J51" s="2175" t="s">
        <v>2477</v>
      </c>
      <c r="K51" s="2175"/>
      <c r="L51" s="2175"/>
      <c r="M51" s="2175"/>
      <c r="N51" s="2175"/>
      <c r="O51" s="2175"/>
      <c r="P51" s="2175"/>
      <c r="Q51" s="2175"/>
      <c r="R51" s="2466" t="s">
        <v>2478</v>
      </c>
      <c r="S51" s="2466"/>
      <c r="T51" s="2466"/>
      <c r="U51" s="2466"/>
      <c r="V51" s="2466"/>
      <c r="W51" s="2466"/>
      <c r="X51" s="2466"/>
      <c r="Y51" s="2466"/>
      <c r="Z51" s="2466" t="s">
        <v>1818</v>
      </c>
      <c r="AA51" s="2466"/>
      <c r="AB51" s="2466"/>
      <c r="AC51" s="2466"/>
      <c r="AD51" s="2466"/>
      <c r="AE51" s="2466"/>
      <c r="AF51" s="2466"/>
      <c r="AG51" s="2466"/>
      <c r="AH51" s="2466" t="s">
        <v>1819</v>
      </c>
      <c r="AI51" s="2466"/>
      <c r="AJ51" s="2466"/>
      <c r="AK51" s="2466"/>
      <c r="AL51" s="2466"/>
      <c r="AM51" s="2466"/>
      <c r="AN51" s="2466"/>
      <c r="AO51" s="2467"/>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4" t="s">
        <v>2185</v>
      </c>
      <c r="C52" s="2215"/>
      <c r="D52" s="2215"/>
      <c r="E52" s="2215"/>
      <c r="F52" s="2215"/>
      <c r="G52" s="2215"/>
      <c r="H52" s="2215"/>
      <c r="I52" s="2215"/>
      <c r="J52" s="2348">
        <v>0</v>
      </c>
      <c r="K52" s="2348"/>
      <c r="L52" s="2348"/>
      <c r="M52" s="2348"/>
      <c r="N52" s="2348"/>
      <c r="O52" s="2348"/>
      <c r="P52" s="2348"/>
      <c r="Q52" s="2348"/>
      <c r="R52" s="2454">
        <v>0</v>
      </c>
      <c r="S52" s="2454"/>
      <c r="T52" s="2454"/>
      <c r="U52" s="2454"/>
      <c r="V52" s="2454"/>
      <c r="W52" s="2454"/>
      <c r="X52" s="2454"/>
      <c r="Y52" s="2454"/>
      <c r="Z52" s="2455">
        <v>0</v>
      </c>
      <c r="AA52" s="2455"/>
      <c r="AB52" s="2455"/>
      <c r="AC52" s="2455"/>
      <c r="AD52" s="2455"/>
      <c r="AE52" s="2455"/>
      <c r="AF52" s="2455"/>
      <c r="AG52" s="2455"/>
      <c r="AH52" s="2456"/>
      <c r="AI52" s="2456"/>
      <c r="AJ52" s="2456"/>
      <c r="AK52" s="2456"/>
      <c r="AL52" s="2456"/>
      <c r="AM52" s="2456"/>
      <c r="AN52" s="2456"/>
      <c r="AO52" s="2457"/>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4" t="s">
        <v>2186</v>
      </c>
      <c r="C53" s="2215"/>
      <c r="D53" s="2215"/>
      <c r="E53" s="2215"/>
      <c r="F53" s="2215"/>
      <c r="G53" s="2215"/>
      <c r="H53" s="2215"/>
      <c r="I53" s="2215"/>
      <c r="J53" s="2348">
        <v>0</v>
      </c>
      <c r="K53" s="2348"/>
      <c r="L53" s="2348"/>
      <c r="M53" s="2348"/>
      <c r="N53" s="2348"/>
      <c r="O53" s="2348"/>
      <c r="P53" s="2348"/>
      <c r="Q53" s="2348"/>
      <c r="R53" s="2454">
        <v>0</v>
      </c>
      <c r="S53" s="2454"/>
      <c r="T53" s="2454"/>
      <c r="U53" s="2454"/>
      <c r="V53" s="2454"/>
      <c r="W53" s="2454"/>
      <c r="X53" s="2454"/>
      <c r="Y53" s="2454"/>
      <c r="Z53" s="2455">
        <v>0</v>
      </c>
      <c r="AA53" s="2455"/>
      <c r="AB53" s="2455"/>
      <c r="AC53" s="2455"/>
      <c r="AD53" s="2455"/>
      <c r="AE53" s="2455"/>
      <c r="AF53" s="2455"/>
      <c r="AG53" s="2455"/>
      <c r="AH53" s="2456"/>
      <c r="AI53" s="2456"/>
      <c r="AJ53" s="2456"/>
      <c r="AK53" s="2456"/>
      <c r="AL53" s="2456"/>
      <c r="AM53" s="2456"/>
      <c r="AN53" s="2456"/>
      <c r="AO53" s="2457"/>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4"/>
      <c r="C54" s="2215"/>
      <c r="D54" s="2215"/>
      <c r="E54" s="2215"/>
      <c r="F54" s="2215"/>
      <c r="G54" s="2215"/>
      <c r="H54" s="2215"/>
      <c r="I54" s="2215"/>
      <c r="J54" s="2348"/>
      <c r="K54" s="2348"/>
      <c r="L54" s="2348"/>
      <c r="M54" s="2348"/>
      <c r="N54" s="2348"/>
      <c r="O54" s="2348"/>
      <c r="P54" s="2348"/>
      <c r="Q54" s="2348"/>
      <c r="R54" s="2454"/>
      <c r="S54" s="2454"/>
      <c r="T54" s="2454"/>
      <c r="U54" s="2454"/>
      <c r="V54" s="2454"/>
      <c r="W54" s="2454"/>
      <c r="X54" s="2454"/>
      <c r="Y54" s="2454"/>
      <c r="Z54" s="2455"/>
      <c r="AA54" s="2455"/>
      <c r="AB54" s="2455"/>
      <c r="AC54" s="2455"/>
      <c r="AD54" s="2455"/>
      <c r="AE54" s="2455"/>
      <c r="AF54" s="2455"/>
      <c r="AG54" s="2455"/>
      <c r="AH54" s="2456"/>
      <c r="AI54" s="2456"/>
      <c r="AJ54" s="2456"/>
      <c r="AK54" s="2456"/>
      <c r="AL54" s="2456"/>
      <c r="AM54" s="2456"/>
      <c r="AN54" s="2456"/>
      <c r="AO54" s="2457"/>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4"/>
      <c r="C55" s="2215"/>
      <c r="D55" s="2215"/>
      <c r="E55" s="2215"/>
      <c r="F55" s="2215"/>
      <c r="G55" s="2215"/>
      <c r="H55" s="2215"/>
      <c r="I55" s="2215"/>
      <c r="J55" s="2348"/>
      <c r="K55" s="2348"/>
      <c r="L55" s="2348"/>
      <c r="M55" s="2348"/>
      <c r="N55" s="2348"/>
      <c r="O55" s="2348"/>
      <c r="P55" s="2348"/>
      <c r="Q55" s="2348"/>
      <c r="R55" s="2454"/>
      <c r="S55" s="2454"/>
      <c r="T55" s="2454"/>
      <c r="U55" s="2454"/>
      <c r="V55" s="2454"/>
      <c r="W55" s="2454"/>
      <c r="X55" s="2454"/>
      <c r="Y55" s="2454"/>
      <c r="Z55" s="2455"/>
      <c r="AA55" s="2455"/>
      <c r="AB55" s="2455"/>
      <c r="AC55" s="2455"/>
      <c r="AD55" s="2455"/>
      <c r="AE55" s="2455"/>
      <c r="AF55" s="2455"/>
      <c r="AG55" s="2455"/>
      <c r="AH55" s="2456"/>
      <c r="AI55" s="2456"/>
      <c r="AJ55" s="2456"/>
      <c r="AK55" s="2456"/>
      <c r="AL55" s="2456"/>
      <c r="AM55" s="2456"/>
      <c r="AN55" s="2456"/>
      <c r="AO55" s="2457"/>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4"/>
      <c r="C56" s="2215"/>
      <c r="D56" s="2215"/>
      <c r="E56" s="2215"/>
      <c r="F56" s="2215"/>
      <c r="G56" s="2215"/>
      <c r="H56" s="2215"/>
      <c r="I56" s="2215"/>
      <c r="J56" s="2348"/>
      <c r="K56" s="2348"/>
      <c r="L56" s="2348"/>
      <c r="M56" s="2348"/>
      <c r="N56" s="2348"/>
      <c r="O56" s="2348"/>
      <c r="P56" s="2348"/>
      <c r="Q56" s="2348"/>
      <c r="R56" s="2454"/>
      <c r="S56" s="2454"/>
      <c r="T56" s="2454"/>
      <c r="U56" s="2454"/>
      <c r="V56" s="2454"/>
      <c r="W56" s="2454"/>
      <c r="X56" s="2454"/>
      <c r="Y56" s="2454"/>
      <c r="Z56" s="2455"/>
      <c r="AA56" s="2455"/>
      <c r="AB56" s="2455"/>
      <c r="AC56" s="2455"/>
      <c r="AD56" s="2455"/>
      <c r="AE56" s="2455"/>
      <c r="AF56" s="2455"/>
      <c r="AG56" s="2455"/>
      <c r="AH56" s="2456"/>
      <c r="AI56" s="2456"/>
      <c r="AJ56" s="2456"/>
      <c r="AK56" s="2456"/>
      <c r="AL56" s="2456"/>
      <c r="AM56" s="2456"/>
      <c r="AN56" s="2456"/>
      <c r="AO56" s="2457"/>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8" t="s">
        <v>1698</v>
      </c>
      <c r="C57" s="2169"/>
      <c r="D57" s="2169"/>
      <c r="E57" s="2169"/>
      <c r="F57" s="2169"/>
      <c r="G57" s="2169"/>
      <c r="H57" s="2169"/>
      <c r="I57" s="2169"/>
      <c r="J57" s="2169"/>
      <c r="K57" s="2169"/>
      <c r="L57" s="2169"/>
      <c r="M57" s="2169"/>
      <c r="N57" s="2169"/>
      <c r="O57" s="2169"/>
      <c r="P57" s="2169"/>
      <c r="Q57" s="2169"/>
      <c r="R57" s="2458">
        <f>SUM(R52:Y56)</f>
        <v>0</v>
      </c>
      <c r="S57" s="2458"/>
      <c r="T57" s="2458"/>
      <c r="U57" s="2458"/>
      <c r="V57" s="2458"/>
      <c r="W57" s="2458"/>
      <c r="X57" s="2458"/>
      <c r="Y57" s="2458"/>
      <c r="Z57" s="2459">
        <f>SUM(Z52:AG56)</f>
        <v>0</v>
      </c>
      <c r="AA57" s="2459"/>
      <c r="AB57" s="2459"/>
      <c r="AC57" s="2459"/>
      <c r="AD57" s="2459"/>
      <c r="AE57" s="2459"/>
      <c r="AF57" s="2459"/>
      <c r="AG57" s="2459"/>
      <c r="AH57" s="2460"/>
      <c r="AI57" s="2460"/>
      <c r="AJ57" s="2460"/>
      <c r="AK57" s="2460"/>
      <c r="AL57" s="2460"/>
      <c r="AM57" s="2460"/>
      <c r="AN57" s="2460"/>
      <c r="AO57" s="246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2" t="s">
        <v>1817</v>
      </c>
      <c r="C59" s="2463"/>
      <c r="D59" s="2463"/>
      <c r="E59" s="2463"/>
      <c r="F59" s="2463"/>
      <c r="G59" s="2463"/>
      <c r="H59" s="2463"/>
      <c r="I59" s="2464"/>
      <c r="J59" s="2428" t="s">
        <v>2479</v>
      </c>
      <c r="K59" s="2428"/>
      <c r="L59" s="2428"/>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c r="AS59" s="2428"/>
      <c r="AT59" s="2428"/>
      <c r="AU59" s="2428"/>
      <c r="AV59" s="2428"/>
      <c r="AW59" s="2429"/>
      <c r="AX59" s="1209"/>
      <c r="AY59" s="1209"/>
      <c r="AZ59" s="1209"/>
      <c r="BA59" s="1209"/>
      <c r="BB59" s="1209"/>
      <c r="BC59" s="1209"/>
      <c r="BD59" s="1209"/>
      <c r="BE59" s="1205"/>
    </row>
    <row r="60" spans="1:58" ht="15.75" customHeight="1">
      <c r="A60" s="1209"/>
      <c r="B60" s="2447" t="str">
        <f>IF(B52="", "", B52)</f>
        <v>Services Company 1</v>
      </c>
      <c r="C60" s="2448"/>
      <c r="D60" s="2448"/>
      <c r="E60" s="2448"/>
      <c r="F60" s="2448"/>
      <c r="G60" s="2448"/>
      <c r="H60" s="2448"/>
      <c r="I60" s="2449"/>
      <c r="J60" s="2450"/>
      <c r="K60" s="2351"/>
      <c r="L60" s="2351"/>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c r="AS60" s="2351"/>
      <c r="AT60" s="2351"/>
      <c r="AU60" s="2351"/>
      <c r="AV60" s="2351"/>
      <c r="AW60" s="2352"/>
      <c r="AX60" s="1209"/>
      <c r="AY60" s="1209"/>
      <c r="AZ60" s="1209"/>
      <c r="BA60" s="1209"/>
      <c r="BB60" s="1209"/>
      <c r="BC60" s="1209"/>
      <c r="BD60" s="1209"/>
      <c r="BE60" s="1205"/>
    </row>
    <row r="61" spans="1:58" ht="15.75" customHeight="1">
      <c r="A61" s="1209"/>
      <c r="B61" s="2447" t="str">
        <f>IF(B53="", "", B53)</f>
        <v>Services Company 2</v>
      </c>
      <c r="C61" s="2448"/>
      <c r="D61" s="2448"/>
      <c r="E61" s="2448"/>
      <c r="F61" s="2448"/>
      <c r="G61" s="2448"/>
      <c r="H61" s="2448"/>
      <c r="I61" s="2449"/>
      <c r="J61" s="2450"/>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2"/>
      <c r="AX61" s="1209"/>
      <c r="AY61" s="1209"/>
      <c r="AZ61" s="1209"/>
      <c r="BA61" s="1209"/>
      <c r="BB61" s="1209"/>
      <c r="BC61" s="1209"/>
      <c r="BD61" s="1209"/>
      <c r="BE61" s="1205"/>
    </row>
    <row r="62" spans="1:58" ht="15.75" customHeight="1">
      <c r="A62" s="1209"/>
      <c r="B62" s="2447" t="str">
        <f>IF(B54="", "", B54)</f>
        <v/>
      </c>
      <c r="C62" s="2448"/>
      <c r="D62" s="2448"/>
      <c r="E62" s="2448"/>
      <c r="F62" s="2448"/>
      <c r="G62" s="2448"/>
      <c r="H62" s="2448"/>
      <c r="I62" s="2449"/>
      <c r="J62" s="2450"/>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c r="AS62" s="2351"/>
      <c r="AT62" s="2351"/>
      <c r="AU62" s="2351"/>
      <c r="AV62" s="2351"/>
      <c r="AW62" s="2352"/>
      <c r="AX62" s="1209"/>
      <c r="AY62" s="1209"/>
      <c r="AZ62" s="1209"/>
      <c r="BA62" s="1209"/>
      <c r="BB62" s="1209"/>
      <c r="BC62" s="1209"/>
      <c r="BD62" s="1209"/>
      <c r="BE62" s="1205"/>
    </row>
    <row r="63" spans="1:58" ht="15.75" customHeight="1">
      <c r="A63" s="1209"/>
      <c r="B63" s="2447" t="str">
        <f>IF(B55="", "", B55)</f>
        <v/>
      </c>
      <c r="C63" s="2448"/>
      <c r="D63" s="2448"/>
      <c r="E63" s="2448"/>
      <c r="F63" s="2448"/>
      <c r="G63" s="2448"/>
      <c r="H63" s="2448"/>
      <c r="I63" s="2449"/>
      <c r="J63" s="2450"/>
      <c r="K63" s="2351"/>
      <c r="L63" s="2351"/>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c r="AS63" s="2351"/>
      <c r="AT63" s="2351"/>
      <c r="AU63" s="2351"/>
      <c r="AV63" s="2351"/>
      <c r="AW63" s="2352"/>
      <c r="AX63" s="1209"/>
      <c r="AY63" s="1209"/>
      <c r="AZ63" s="1209"/>
      <c r="BA63" s="1209"/>
      <c r="BB63" s="1209"/>
      <c r="BC63" s="1209"/>
      <c r="BD63" s="1209"/>
      <c r="BE63" s="1205"/>
    </row>
    <row r="64" spans="1:58" ht="15.75" customHeight="1" thickBot="1">
      <c r="A64" s="1209"/>
      <c r="B64" s="2451" t="str">
        <f>IF(B56="", "", B56)</f>
        <v/>
      </c>
      <c r="C64" s="2452"/>
      <c r="D64" s="2452"/>
      <c r="E64" s="2452"/>
      <c r="F64" s="2452"/>
      <c r="G64" s="2452"/>
      <c r="H64" s="2452"/>
      <c r="I64" s="2453"/>
      <c r="J64" s="2465"/>
      <c r="K64" s="2445"/>
      <c r="L64" s="2445"/>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c r="AS64" s="2445"/>
      <c r="AT64" s="2445"/>
      <c r="AU64" s="2445"/>
      <c r="AV64" s="2445"/>
      <c r="AW64" s="2446"/>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7" t="s">
        <v>1821</v>
      </c>
      <c r="C68" s="2428"/>
      <c r="D68" s="2428"/>
      <c r="E68" s="2428"/>
      <c r="F68" s="2428"/>
      <c r="G68" s="2428"/>
      <c r="H68" s="2428"/>
      <c r="I68" s="2428"/>
      <c r="J68" s="2428"/>
      <c r="K68" s="2428"/>
      <c r="L68" s="2428"/>
      <c r="M68" s="2428"/>
      <c r="N68" s="2428"/>
      <c r="O68" s="2428"/>
      <c r="P68" s="2428"/>
      <c r="Q68" s="2428"/>
      <c r="R68" s="2428"/>
      <c r="S68" s="2428"/>
      <c r="T68" s="2428"/>
      <c r="U68" s="2428"/>
      <c r="V68" s="2428"/>
      <c r="W68" s="2428"/>
      <c r="X68" s="2428"/>
      <c r="Y68" s="2428"/>
      <c r="Z68" s="2428"/>
      <c r="AA68" s="2429"/>
      <c r="AB68" s="1209"/>
      <c r="AC68" s="2179" t="s">
        <v>1822</v>
      </c>
      <c r="AD68" s="2180"/>
      <c r="AE68" s="2180"/>
      <c r="AF68" s="2180"/>
      <c r="AG68" s="2180"/>
      <c r="AH68" s="2180"/>
      <c r="AI68" s="2180"/>
      <c r="AJ68" s="2180"/>
      <c r="AK68" s="2180"/>
      <c r="AL68" s="2180"/>
      <c r="AM68" s="2180"/>
      <c r="AN68" s="2180"/>
      <c r="AO68" s="2180"/>
      <c r="AP68" s="2180"/>
      <c r="AQ68" s="2180"/>
      <c r="AR68" s="2180"/>
      <c r="AS68" s="2180"/>
      <c r="AT68" s="2180"/>
      <c r="AU68" s="2180"/>
      <c r="AV68" s="2230" t="s">
        <v>677</v>
      </c>
      <c r="AW68" s="2231"/>
      <c r="AX68" s="2231"/>
      <c r="AY68" s="2231"/>
      <c r="AZ68" s="2231"/>
      <c r="BA68" s="2231"/>
      <c r="BB68" s="2231"/>
      <c r="BC68" s="2232"/>
      <c r="BD68" s="1209"/>
      <c r="BE68" s="1205"/>
      <c r="BM68" s="1254" t="s">
        <v>2480</v>
      </c>
    </row>
    <row r="69" spans="1:65" ht="15.75" customHeight="1" thickTop="1" thickBot="1">
      <c r="A69" s="1209"/>
      <c r="B69" s="2233" t="s">
        <v>1823</v>
      </c>
      <c r="C69" s="2234"/>
      <c r="D69" s="2234"/>
      <c r="E69" s="2234"/>
      <c r="F69" s="2234"/>
      <c r="G69" s="2234"/>
      <c r="H69" s="2234"/>
      <c r="I69" s="2234"/>
      <c r="J69" s="2234"/>
      <c r="K69" s="2234"/>
      <c r="L69" s="2234"/>
      <c r="M69" s="2234"/>
      <c r="N69" s="2234"/>
      <c r="O69" s="2235" t="s">
        <v>1824</v>
      </c>
      <c r="P69" s="2236"/>
      <c r="Q69" s="2236"/>
      <c r="R69" s="2236"/>
      <c r="S69" s="2236"/>
      <c r="T69" s="2236"/>
      <c r="U69" s="2236"/>
      <c r="V69" s="2236"/>
      <c r="W69" s="2236"/>
      <c r="X69" s="2236"/>
      <c r="Y69" s="2236"/>
      <c r="Z69" s="2236"/>
      <c r="AA69" s="2237"/>
      <c r="AB69" s="1209"/>
      <c r="AC69" s="2238" t="s">
        <v>1825</v>
      </c>
      <c r="AD69" s="2239"/>
      <c r="AE69" s="2239"/>
      <c r="AF69" s="2239"/>
      <c r="AG69" s="2239"/>
      <c r="AH69" s="2239"/>
      <c r="AI69" s="2239"/>
      <c r="AJ69" s="2239"/>
      <c r="AK69" s="2239"/>
      <c r="AL69" s="2239"/>
      <c r="AM69" s="2239"/>
      <c r="AN69" s="2239"/>
      <c r="AO69" s="2239"/>
      <c r="AP69" s="2239"/>
      <c r="AQ69" s="2239"/>
      <c r="AR69" s="2239"/>
      <c r="AS69" s="2239"/>
      <c r="AT69" s="2239"/>
      <c r="AU69" s="2239"/>
      <c r="AV69" s="2240"/>
      <c r="AW69" s="2241"/>
      <c r="AX69" s="2241"/>
      <c r="AY69" s="2241"/>
      <c r="AZ69" s="2241"/>
      <c r="BA69" s="2241"/>
      <c r="BB69" s="2241"/>
      <c r="BC69" s="2242"/>
      <c r="BD69" s="1209"/>
      <c r="BE69" s="1205"/>
      <c r="BM69" s="1253" t="s">
        <v>553</v>
      </c>
    </row>
    <row r="70" spans="1:65" ht="15.75" customHeight="1">
      <c r="A70" s="1209"/>
      <c r="B70" s="2243" t="s">
        <v>2481</v>
      </c>
      <c r="C70" s="2244"/>
      <c r="D70" s="2244"/>
      <c r="E70" s="2244"/>
      <c r="F70" s="2244"/>
      <c r="G70" s="2244"/>
      <c r="H70" s="2244"/>
      <c r="I70" s="2244"/>
      <c r="J70" s="2244"/>
      <c r="K70" s="2244"/>
      <c r="L70" s="2244"/>
      <c r="M70" s="2244"/>
      <c r="N70" s="2244"/>
      <c r="O70" s="2208">
        <v>0</v>
      </c>
      <c r="P70" s="2208"/>
      <c r="Q70" s="2208"/>
      <c r="R70" s="2208"/>
      <c r="S70" s="2208"/>
      <c r="T70" s="2208"/>
      <c r="U70" s="2208"/>
      <c r="V70" s="2208"/>
      <c r="W70" s="2208"/>
      <c r="X70" s="2208"/>
      <c r="Y70" s="2208"/>
      <c r="Z70" s="2208"/>
      <c r="AA70" s="2209"/>
      <c r="AB70" s="1209"/>
      <c r="AC70" s="2416" t="s">
        <v>1826</v>
      </c>
      <c r="AD70" s="2212"/>
      <c r="AE70" s="2212"/>
      <c r="AF70" s="2441"/>
      <c r="AG70" s="2441"/>
      <c r="AH70" s="2441"/>
      <c r="AI70" s="2441"/>
      <c r="AJ70" s="2441"/>
      <c r="AK70" s="2441"/>
      <c r="AL70" s="2441"/>
      <c r="AM70" s="2441"/>
      <c r="AN70" s="2441"/>
      <c r="AO70" s="2441"/>
      <c r="AP70" s="2441"/>
      <c r="AQ70" s="2441"/>
      <c r="AR70" s="2441"/>
      <c r="AS70" s="2441"/>
      <c r="AT70" s="2441"/>
      <c r="AU70" s="2442"/>
      <c r="AV70" s="1209"/>
      <c r="AW70" s="1209"/>
      <c r="AX70" s="1209"/>
      <c r="AY70" s="1209"/>
      <c r="AZ70" s="1209"/>
      <c r="BA70" s="1209"/>
      <c r="BB70" s="1209"/>
      <c r="BC70" s="1209"/>
      <c r="BD70" s="1209"/>
      <c r="BE70" s="1205"/>
      <c r="BM70" s="1252" t="s">
        <v>677</v>
      </c>
    </row>
    <row r="71" spans="1:65" ht="15.75" customHeight="1" thickBot="1">
      <c r="A71" s="1209"/>
      <c r="B71" s="2243" t="s">
        <v>2482</v>
      </c>
      <c r="C71" s="2244"/>
      <c r="D71" s="2244"/>
      <c r="E71" s="2244"/>
      <c r="F71" s="2244"/>
      <c r="G71" s="2244"/>
      <c r="H71" s="2244"/>
      <c r="I71" s="2244"/>
      <c r="J71" s="2244"/>
      <c r="K71" s="2244"/>
      <c r="L71" s="2244"/>
      <c r="M71" s="2244"/>
      <c r="N71" s="2244"/>
      <c r="O71" s="2208">
        <v>0</v>
      </c>
      <c r="P71" s="2208"/>
      <c r="Q71" s="2208"/>
      <c r="R71" s="2208"/>
      <c r="S71" s="2208"/>
      <c r="T71" s="2208"/>
      <c r="U71" s="2208"/>
      <c r="V71" s="2208"/>
      <c r="W71" s="2208"/>
      <c r="X71" s="2208"/>
      <c r="Y71" s="2208"/>
      <c r="Z71" s="2208"/>
      <c r="AA71" s="2209"/>
      <c r="AB71" s="1209"/>
      <c r="AC71" s="2443" t="s">
        <v>1827</v>
      </c>
      <c r="AD71" s="2444"/>
      <c r="AE71" s="2444"/>
      <c r="AF71" s="2445"/>
      <c r="AG71" s="2445"/>
      <c r="AH71" s="2445"/>
      <c r="AI71" s="2445"/>
      <c r="AJ71" s="2445"/>
      <c r="AK71" s="2445"/>
      <c r="AL71" s="2445"/>
      <c r="AM71" s="2445"/>
      <c r="AN71" s="2445"/>
      <c r="AO71" s="2445"/>
      <c r="AP71" s="2445"/>
      <c r="AQ71" s="2445"/>
      <c r="AR71" s="2445"/>
      <c r="AS71" s="2445"/>
      <c r="AT71" s="2445"/>
      <c r="AU71" s="2446"/>
      <c r="AV71" s="1209"/>
      <c r="AW71" s="1209"/>
      <c r="AX71" s="1209"/>
      <c r="AY71" s="1209"/>
      <c r="AZ71" s="1209"/>
      <c r="BA71" s="1209"/>
      <c r="BB71" s="1209"/>
      <c r="BC71" s="1209"/>
      <c r="BD71" s="1209"/>
      <c r="BE71" s="1205"/>
      <c r="BM71" s="1200" t="s">
        <v>2483</v>
      </c>
    </row>
    <row r="72" spans="1:65" ht="15.75" customHeight="1">
      <c r="A72" s="1209"/>
      <c r="B72" s="2243" t="s">
        <v>2484</v>
      </c>
      <c r="C72" s="2244"/>
      <c r="D72" s="2244"/>
      <c r="E72" s="2244"/>
      <c r="F72" s="2244"/>
      <c r="G72" s="2244"/>
      <c r="H72" s="2244"/>
      <c r="I72" s="2244"/>
      <c r="J72" s="2244"/>
      <c r="K72" s="2244"/>
      <c r="L72" s="2244"/>
      <c r="M72" s="2244"/>
      <c r="N72" s="2244"/>
      <c r="O72" s="2208">
        <v>0</v>
      </c>
      <c r="P72" s="2208"/>
      <c r="Q72" s="2208"/>
      <c r="R72" s="2208"/>
      <c r="S72" s="2208"/>
      <c r="T72" s="2208"/>
      <c r="U72" s="2208"/>
      <c r="V72" s="2208"/>
      <c r="W72" s="2208"/>
      <c r="X72" s="2208"/>
      <c r="Y72" s="2208"/>
      <c r="Z72" s="2208"/>
      <c r="AA72" s="2209"/>
      <c r="AB72" s="1209"/>
      <c r="AC72" s="2210" t="s">
        <v>2485</v>
      </c>
      <c r="AD72" s="2211"/>
      <c r="AE72" s="2211"/>
      <c r="AF72" s="2211"/>
      <c r="AG72" s="2211"/>
      <c r="AH72" s="2211"/>
      <c r="AI72" s="2211"/>
      <c r="AJ72" s="2211"/>
      <c r="AK72" s="2211"/>
      <c r="AL72" s="2211"/>
      <c r="AM72" s="2211"/>
      <c r="AN72" s="2211"/>
      <c r="AO72" s="2211"/>
      <c r="AP72" s="2211"/>
      <c r="AQ72" s="2211"/>
      <c r="AR72" s="2211"/>
      <c r="AS72" s="2211"/>
      <c r="AT72" s="2211"/>
      <c r="AU72" s="2211"/>
      <c r="AV72" s="2212"/>
      <c r="AW72" s="2212"/>
      <c r="AX72" s="2212"/>
      <c r="AY72" s="2212"/>
      <c r="AZ72" s="2212"/>
      <c r="BA72" s="2212"/>
      <c r="BB72" s="2212"/>
      <c r="BC72" s="2213"/>
      <c r="BD72" s="1209"/>
      <c r="BE72" s="1205"/>
    </row>
    <row r="73" spans="1:65" ht="15.75" customHeight="1">
      <c r="A73" s="1209"/>
      <c r="B73" s="2214" t="s">
        <v>2486</v>
      </c>
      <c r="C73" s="2215"/>
      <c r="D73" s="2215"/>
      <c r="E73" s="2215"/>
      <c r="F73" s="2215"/>
      <c r="G73" s="2215"/>
      <c r="H73" s="2215"/>
      <c r="I73" s="2215"/>
      <c r="J73" s="2215"/>
      <c r="K73" s="2215"/>
      <c r="L73" s="2215"/>
      <c r="M73" s="2215"/>
      <c r="N73" s="2215"/>
      <c r="O73" s="2208">
        <v>0</v>
      </c>
      <c r="P73" s="2208"/>
      <c r="Q73" s="2208"/>
      <c r="R73" s="2208"/>
      <c r="S73" s="2208"/>
      <c r="T73" s="2208"/>
      <c r="U73" s="2208"/>
      <c r="V73" s="2208"/>
      <c r="W73" s="2208"/>
      <c r="X73" s="2208"/>
      <c r="Y73" s="2208"/>
      <c r="Z73" s="2208"/>
      <c r="AA73" s="2209"/>
      <c r="AB73" s="1209"/>
      <c r="AC73" s="2398" t="s">
        <v>2187</v>
      </c>
      <c r="AD73" s="2399"/>
      <c r="AE73" s="2399"/>
      <c r="AF73" s="2399"/>
      <c r="AG73" s="2399"/>
      <c r="AH73" s="2399"/>
      <c r="AI73" s="2399"/>
      <c r="AJ73" s="2399"/>
      <c r="AK73" s="2399"/>
      <c r="AL73" s="2399"/>
      <c r="AM73" s="2399"/>
      <c r="AN73" s="2399"/>
      <c r="AO73" s="2399"/>
      <c r="AP73" s="2399"/>
      <c r="AQ73" s="2399"/>
      <c r="AR73" s="2399"/>
      <c r="AS73" s="2399"/>
      <c r="AT73" s="2399"/>
      <c r="AU73" s="2399"/>
      <c r="AV73" s="2399"/>
      <c r="AW73" s="2399"/>
      <c r="AX73" s="2399"/>
      <c r="AY73" s="2399"/>
      <c r="AZ73" s="2399"/>
      <c r="BA73" s="2399"/>
      <c r="BB73" s="2399"/>
      <c r="BC73" s="2400"/>
      <c r="BD73" s="1209"/>
      <c r="BE73" s="1205"/>
    </row>
    <row r="74" spans="1:65" ht="15.75" customHeight="1">
      <c r="A74" s="1209"/>
      <c r="B74" s="2347"/>
      <c r="C74" s="2348"/>
      <c r="D74" s="2348"/>
      <c r="E74" s="2348"/>
      <c r="F74" s="2348"/>
      <c r="G74" s="2348"/>
      <c r="H74" s="2348"/>
      <c r="I74" s="2348"/>
      <c r="J74" s="2348"/>
      <c r="K74" s="2348"/>
      <c r="L74" s="2348"/>
      <c r="M74" s="2348"/>
      <c r="N74" s="2348"/>
      <c r="O74" s="2208"/>
      <c r="P74" s="2208"/>
      <c r="Q74" s="2208"/>
      <c r="R74" s="2208"/>
      <c r="S74" s="2208"/>
      <c r="T74" s="2208"/>
      <c r="U74" s="2208"/>
      <c r="V74" s="2208"/>
      <c r="W74" s="2208"/>
      <c r="X74" s="2208"/>
      <c r="Y74" s="2208"/>
      <c r="Z74" s="2208"/>
      <c r="AA74" s="2209"/>
      <c r="AB74" s="1209"/>
      <c r="AC74" s="2398"/>
      <c r="AD74" s="2399"/>
      <c r="AE74" s="2399"/>
      <c r="AF74" s="2399"/>
      <c r="AG74" s="2399"/>
      <c r="AH74" s="2399"/>
      <c r="AI74" s="2399"/>
      <c r="AJ74" s="2399"/>
      <c r="AK74" s="2399"/>
      <c r="AL74" s="2399"/>
      <c r="AM74" s="2399"/>
      <c r="AN74" s="2399"/>
      <c r="AO74" s="2399"/>
      <c r="AP74" s="2399"/>
      <c r="AQ74" s="2399"/>
      <c r="AR74" s="2399"/>
      <c r="AS74" s="2399"/>
      <c r="AT74" s="2399"/>
      <c r="AU74" s="2399"/>
      <c r="AV74" s="2399"/>
      <c r="AW74" s="2399"/>
      <c r="AX74" s="2399"/>
      <c r="AY74" s="2399"/>
      <c r="AZ74" s="2399"/>
      <c r="BA74" s="2399"/>
      <c r="BB74" s="2399"/>
      <c r="BC74" s="2400"/>
      <c r="BD74" s="1209"/>
      <c r="BE74" s="1205"/>
    </row>
    <row r="75" spans="1:65" ht="15.75" customHeight="1" thickBot="1">
      <c r="A75" s="1209"/>
      <c r="B75" s="2439" t="s">
        <v>124</v>
      </c>
      <c r="C75" s="2440"/>
      <c r="D75" s="2440"/>
      <c r="E75" s="2440"/>
      <c r="F75" s="2440"/>
      <c r="G75" s="2440"/>
      <c r="H75" s="2440"/>
      <c r="I75" s="2440"/>
      <c r="J75" s="2440"/>
      <c r="K75" s="2440"/>
      <c r="L75" s="2440"/>
      <c r="M75" s="2440"/>
      <c r="N75" s="2440"/>
      <c r="O75" s="2216">
        <f>SUM(O70:AA74)</f>
        <v>0</v>
      </c>
      <c r="P75" s="2216"/>
      <c r="Q75" s="2216"/>
      <c r="R75" s="2216"/>
      <c r="S75" s="2216"/>
      <c r="T75" s="2216"/>
      <c r="U75" s="2216"/>
      <c r="V75" s="2216"/>
      <c r="W75" s="2216"/>
      <c r="X75" s="2216"/>
      <c r="Y75" s="2216"/>
      <c r="Z75" s="2216"/>
      <c r="AA75" s="2217"/>
      <c r="AB75" s="1209"/>
      <c r="AC75" s="2398"/>
      <c r="AD75" s="2399"/>
      <c r="AE75" s="2399"/>
      <c r="AF75" s="2399"/>
      <c r="AG75" s="2399"/>
      <c r="AH75" s="2399"/>
      <c r="AI75" s="2399"/>
      <c r="AJ75" s="2399"/>
      <c r="AK75" s="2399"/>
      <c r="AL75" s="2399"/>
      <c r="AM75" s="2399"/>
      <c r="AN75" s="2399"/>
      <c r="AO75" s="2399"/>
      <c r="AP75" s="2399"/>
      <c r="AQ75" s="2399"/>
      <c r="AR75" s="2399"/>
      <c r="AS75" s="2399"/>
      <c r="AT75" s="2399"/>
      <c r="AU75" s="2399"/>
      <c r="AV75" s="2399"/>
      <c r="AW75" s="2399"/>
      <c r="AX75" s="2399"/>
      <c r="AY75" s="2399"/>
      <c r="AZ75" s="2399"/>
      <c r="BA75" s="2399"/>
      <c r="BB75" s="2399"/>
      <c r="BC75" s="240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8"/>
      <c r="AD76" s="2399"/>
      <c r="AE76" s="2399"/>
      <c r="AF76" s="2399"/>
      <c r="AG76" s="2399"/>
      <c r="AH76" s="2399"/>
      <c r="AI76" s="2399"/>
      <c r="AJ76" s="2399"/>
      <c r="AK76" s="2399"/>
      <c r="AL76" s="2399"/>
      <c r="AM76" s="2399"/>
      <c r="AN76" s="2399"/>
      <c r="AO76" s="2399"/>
      <c r="AP76" s="2399"/>
      <c r="AQ76" s="2399"/>
      <c r="AR76" s="2399"/>
      <c r="AS76" s="2399"/>
      <c r="AT76" s="2399"/>
      <c r="AU76" s="2399"/>
      <c r="AV76" s="2399"/>
      <c r="AW76" s="2399"/>
      <c r="AX76" s="2399"/>
      <c r="AY76" s="2399"/>
      <c r="AZ76" s="2399"/>
      <c r="BA76" s="2399"/>
      <c r="BB76" s="2399"/>
      <c r="BC76" s="240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28"/>
      <c r="G79" s="2229"/>
      <c r="H79" s="2229"/>
      <c r="I79" s="2229"/>
      <c r="J79" s="2229"/>
      <c r="K79" s="2229"/>
      <c r="L79" s="2229"/>
      <c r="M79" s="2196"/>
      <c r="N79" s="2196"/>
      <c r="O79" s="2196"/>
      <c r="P79" s="2196"/>
      <c r="Q79" s="219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01" t="e">
        <f>BR96/SUM($BR$96:$BR$98)</f>
        <v>#DIV/0!</v>
      </c>
      <c r="P80" s="2202"/>
      <c r="Q80" s="220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192" t="s">
        <v>2553</v>
      </c>
      <c r="P81" s="2193"/>
      <c r="Q81" s="219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8" t="s">
        <v>2170</v>
      </c>
      <c r="C83" s="2579"/>
      <c r="D83" s="2579"/>
      <c r="E83" s="2579"/>
      <c r="F83" s="2579"/>
      <c r="G83" s="2579"/>
      <c r="H83" s="2579"/>
      <c r="I83" s="2579"/>
      <c r="J83" s="2579"/>
      <c r="K83" s="2579"/>
      <c r="L83" s="2579"/>
      <c r="M83" s="2579"/>
      <c r="N83" s="2579"/>
      <c r="O83" s="2579"/>
      <c r="P83" s="2579"/>
      <c r="Q83" s="2579"/>
      <c r="R83" s="2579"/>
      <c r="S83" s="2579"/>
      <c r="T83" s="2579"/>
      <c r="U83" s="2579"/>
      <c r="V83" s="2579"/>
      <c r="W83" s="2579"/>
      <c r="X83" s="2579"/>
      <c r="Y83" s="2579"/>
      <c r="Z83" s="2579"/>
      <c r="AA83" s="2579"/>
      <c r="AB83" s="2579"/>
      <c r="AC83" s="2579"/>
      <c r="AD83" s="2579"/>
      <c r="AE83" s="2579"/>
      <c r="AF83" s="2579"/>
      <c r="AG83" s="2579"/>
      <c r="AH83" s="2580"/>
      <c r="AI83" s="1209"/>
      <c r="AJ83" s="2182" t="s">
        <v>2620</v>
      </c>
      <c r="AK83" s="2183"/>
      <c r="AL83" s="2183"/>
      <c r="AM83" s="2183"/>
      <c r="AN83" s="2183"/>
      <c r="AO83" s="2183"/>
      <c r="AP83" s="2183"/>
      <c r="AQ83" s="2183"/>
      <c r="AR83" s="2183"/>
      <c r="AS83" s="2183"/>
      <c r="AT83" s="2183"/>
      <c r="AU83" s="2183"/>
      <c r="AV83" s="2183"/>
      <c r="AW83" s="2183"/>
      <c r="AX83" s="2183"/>
      <c r="AY83" s="2204" t="s">
        <v>553</v>
      </c>
      <c r="AZ83" s="2204"/>
      <c r="BA83" s="2204"/>
      <c r="BB83" s="2205"/>
      <c r="BC83" s="1209"/>
      <c r="BD83" s="1209"/>
      <c r="BE83" s="1205"/>
    </row>
    <row r="84" spans="1:70" ht="15.75" customHeight="1">
      <c r="A84" s="1209"/>
      <c r="B84" s="2174"/>
      <c r="C84" s="2175"/>
      <c r="D84" s="2175"/>
      <c r="E84" s="2175"/>
      <c r="F84" s="2175"/>
      <c r="G84" s="2175"/>
      <c r="H84" s="2175"/>
      <c r="I84" s="2175" t="s">
        <v>1828</v>
      </c>
      <c r="J84" s="2175"/>
      <c r="K84" s="2175"/>
      <c r="L84" s="2175"/>
      <c r="M84" s="2175"/>
      <c r="N84" s="2175"/>
      <c r="O84" s="2175" t="s">
        <v>1829</v>
      </c>
      <c r="P84" s="2175"/>
      <c r="Q84" s="2175"/>
      <c r="R84" s="2175"/>
      <c r="S84" s="2175"/>
      <c r="T84" s="2175"/>
      <c r="U84" s="2175"/>
      <c r="V84" s="2176" t="s">
        <v>2188</v>
      </c>
      <c r="W84" s="2176"/>
      <c r="X84" s="2176"/>
      <c r="Y84" s="2176"/>
      <c r="Z84" s="2176"/>
      <c r="AA84" s="2176"/>
      <c r="AB84" s="2177" t="s">
        <v>1830</v>
      </c>
      <c r="AC84" s="2177"/>
      <c r="AD84" s="2177"/>
      <c r="AE84" s="2177"/>
      <c r="AF84" s="2177"/>
      <c r="AG84" s="2177"/>
      <c r="AH84" s="2178"/>
      <c r="AI84" s="1209"/>
      <c r="AJ84" s="2184"/>
      <c r="AK84" s="2185"/>
      <c r="AL84" s="2185"/>
      <c r="AM84" s="2185"/>
      <c r="AN84" s="2185"/>
      <c r="AO84" s="2185"/>
      <c r="AP84" s="2185"/>
      <c r="AQ84" s="2185"/>
      <c r="AR84" s="2185"/>
      <c r="AS84" s="2185"/>
      <c r="AT84" s="2185"/>
      <c r="AU84" s="2185"/>
      <c r="AV84" s="2185"/>
      <c r="AW84" s="2185"/>
      <c r="AX84" s="2185"/>
      <c r="AY84" s="2206"/>
      <c r="AZ84" s="2206"/>
      <c r="BA84" s="2206"/>
      <c r="BB84" s="2207"/>
      <c r="BC84" s="1209"/>
      <c r="BD84" s="1209"/>
      <c r="BE84" s="1205"/>
    </row>
    <row r="85" spans="1:70" ht="15.75" customHeight="1">
      <c r="A85" s="1209"/>
      <c r="B85" s="2174"/>
      <c r="C85" s="2175"/>
      <c r="D85" s="2175"/>
      <c r="E85" s="2175"/>
      <c r="F85" s="2175"/>
      <c r="G85" s="2175"/>
      <c r="H85" s="2175"/>
      <c r="I85" s="2175"/>
      <c r="J85" s="2175"/>
      <c r="K85" s="2175"/>
      <c r="L85" s="2175"/>
      <c r="M85" s="2175"/>
      <c r="N85" s="2175"/>
      <c r="O85" s="2175"/>
      <c r="P85" s="2175"/>
      <c r="Q85" s="2175"/>
      <c r="R85" s="2175"/>
      <c r="S85" s="2175"/>
      <c r="T85" s="2175"/>
      <c r="U85" s="2175"/>
      <c r="V85" s="2176"/>
      <c r="W85" s="2176"/>
      <c r="X85" s="2176"/>
      <c r="Y85" s="2176"/>
      <c r="Z85" s="2176"/>
      <c r="AA85" s="2176"/>
      <c r="AB85" s="2177"/>
      <c r="AC85" s="2177"/>
      <c r="AD85" s="2177"/>
      <c r="AE85" s="2177"/>
      <c r="AF85" s="2177"/>
      <c r="AG85" s="2177"/>
      <c r="AH85" s="2178"/>
      <c r="AI85" s="1209"/>
      <c r="AJ85" s="2184"/>
      <c r="AK85" s="2185"/>
      <c r="AL85" s="2185"/>
      <c r="AM85" s="2185"/>
      <c r="AN85" s="2185"/>
      <c r="AO85" s="2185"/>
      <c r="AP85" s="2185"/>
      <c r="AQ85" s="2185"/>
      <c r="AR85" s="2185"/>
      <c r="AS85" s="2185"/>
      <c r="AT85" s="2185"/>
      <c r="AU85" s="2185"/>
      <c r="AV85" s="2185"/>
      <c r="AW85" s="2185"/>
      <c r="AX85" s="2185"/>
      <c r="AY85" s="2206"/>
      <c r="AZ85" s="2206"/>
      <c r="BA85" s="2206"/>
      <c r="BB85" s="2207"/>
      <c r="BC85" s="1209"/>
      <c r="BD85" s="1209"/>
      <c r="BE85" s="1205"/>
    </row>
    <row r="86" spans="1:70" ht="15.75" customHeight="1">
      <c r="A86" s="1209"/>
      <c r="B86" s="2174" t="s">
        <v>2171</v>
      </c>
      <c r="C86" s="2175"/>
      <c r="D86" s="2175"/>
      <c r="E86" s="2175"/>
      <c r="F86" s="2175"/>
      <c r="G86" s="2175"/>
      <c r="H86" s="2175"/>
      <c r="I86" s="2172">
        <v>0</v>
      </c>
      <c r="J86" s="2172"/>
      <c r="K86" s="2172"/>
      <c r="L86" s="2172"/>
      <c r="M86" s="2172"/>
      <c r="N86" s="2172"/>
      <c r="O86" s="2172">
        <v>0</v>
      </c>
      <c r="P86" s="2172"/>
      <c r="Q86" s="2172"/>
      <c r="R86" s="2172"/>
      <c r="S86" s="2172"/>
      <c r="T86" s="2172"/>
      <c r="U86" s="2172"/>
      <c r="V86" s="2172">
        <v>0</v>
      </c>
      <c r="W86" s="2172"/>
      <c r="X86" s="2172"/>
      <c r="Y86" s="2172"/>
      <c r="Z86" s="2172"/>
      <c r="AA86" s="2172"/>
      <c r="AB86" s="2172">
        <v>0</v>
      </c>
      <c r="AC86" s="2172"/>
      <c r="AD86" s="2172"/>
      <c r="AE86" s="2172"/>
      <c r="AF86" s="2172"/>
      <c r="AG86" s="2172"/>
      <c r="AH86" s="2173"/>
      <c r="AI86" s="1209"/>
      <c r="AJ86" s="2184"/>
      <c r="AK86" s="2185"/>
      <c r="AL86" s="2185"/>
      <c r="AM86" s="2185"/>
      <c r="AN86" s="2185"/>
      <c r="AO86" s="2185"/>
      <c r="AP86" s="2185"/>
      <c r="AQ86" s="2185"/>
      <c r="AR86" s="2185"/>
      <c r="AS86" s="2185"/>
      <c r="AT86" s="2185"/>
      <c r="AU86" s="2185"/>
      <c r="AV86" s="2185"/>
      <c r="AW86" s="2185"/>
      <c r="AX86" s="2185"/>
      <c r="AY86" s="2206"/>
      <c r="AZ86" s="2206"/>
      <c r="BA86" s="2206"/>
      <c r="BB86" s="2207"/>
      <c r="BC86" s="1209"/>
      <c r="BD86" s="1209"/>
      <c r="BE86" s="1205"/>
    </row>
    <row r="87" spans="1:70" ht="15.75" customHeight="1">
      <c r="A87" s="1209"/>
      <c r="B87" s="2174" t="s">
        <v>2172</v>
      </c>
      <c r="C87" s="2175"/>
      <c r="D87" s="2175"/>
      <c r="E87" s="2175"/>
      <c r="F87" s="2175"/>
      <c r="G87" s="2175"/>
      <c r="H87" s="2175"/>
      <c r="I87" s="2172">
        <v>0</v>
      </c>
      <c r="J87" s="2172"/>
      <c r="K87" s="2172"/>
      <c r="L87" s="2172"/>
      <c r="M87" s="2172"/>
      <c r="N87" s="2172"/>
      <c r="O87" s="2172">
        <v>0</v>
      </c>
      <c r="P87" s="2172"/>
      <c r="Q87" s="2172"/>
      <c r="R87" s="2172"/>
      <c r="S87" s="2172"/>
      <c r="T87" s="2172"/>
      <c r="U87" s="2172"/>
      <c r="V87" s="2172">
        <v>0</v>
      </c>
      <c r="W87" s="2172"/>
      <c r="X87" s="2172"/>
      <c r="Y87" s="2172"/>
      <c r="Z87" s="2172"/>
      <c r="AA87" s="2172"/>
      <c r="AB87" s="2172">
        <v>0</v>
      </c>
      <c r="AC87" s="2172"/>
      <c r="AD87" s="2172"/>
      <c r="AE87" s="2172"/>
      <c r="AF87" s="2172"/>
      <c r="AG87" s="2172"/>
      <c r="AH87" s="2173"/>
      <c r="AI87" s="1209"/>
      <c r="AJ87" s="2186" t="s">
        <v>2487</v>
      </c>
      <c r="AK87" s="2187"/>
      <c r="AL87" s="2187"/>
      <c r="AM87" s="2187"/>
      <c r="AN87" s="2187"/>
      <c r="AO87" s="2187"/>
      <c r="AP87" s="2187"/>
      <c r="AQ87" s="2187"/>
      <c r="AR87" s="2187"/>
      <c r="AS87" s="2187"/>
      <c r="AT87" s="2187"/>
      <c r="AU87" s="2187"/>
      <c r="AV87" s="2187"/>
      <c r="AW87" s="2187"/>
      <c r="AX87" s="2187"/>
      <c r="AY87" s="2187"/>
      <c r="AZ87" s="2187"/>
      <c r="BA87" s="2187"/>
      <c r="BB87" s="2188"/>
      <c r="BC87" s="1209"/>
      <c r="BD87" s="1209"/>
      <c r="BE87" s="1205"/>
    </row>
    <row r="88" spans="1:70" ht="15.75" customHeight="1" thickBot="1">
      <c r="A88" s="1209"/>
      <c r="B88" s="2168" t="s">
        <v>1831</v>
      </c>
      <c r="C88" s="2169"/>
      <c r="D88" s="2169"/>
      <c r="E88" s="2169"/>
      <c r="F88" s="2169"/>
      <c r="G88" s="2169"/>
      <c r="H88" s="2169"/>
      <c r="I88" s="2170">
        <v>0</v>
      </c>
      <c r="J88" s="2170"/>
      <c r="K88" s="2170"/>
      <c r="L88" s="2170"/>
      <c r="M88" s="2170"/>
      <c r="N88" s="2170"/>
      <c r="O88" s="2170">
        <v>0</v>
      </c>
      <c r="P88" s="2170"/>
      <c r="Q88" s="2170"/>
      <c r="R88" s="2170"/>
      <c r="S88" s="2170"/>
      <c r="T88" s="2170"/>
      <c r="U88" s="2170"/>
      <c r="V88" s="2170">
        <v>0</v>
      </c>
      <c r="W88" s="2170"/>
      <c r="X88" s="2170"/>
      <c r="Y88" s="2170"/>
      <c r="Z88" s="2170"/>
      <c r="AA88" s="2170"/>
      <c r="AB88" s="2170">
        <v>0</v>
      </c>
      <c r="AC88" s="2170"/>
      <c r="AD88" s="2170"/>
      <c r="AE88" s="2170"/>
      <c r="AF88" s="2170"/>
      <c r="AG88" s="2170"/>
      <c r="AH88" s="2171"/>
      <c r="AI88" s="1209"/>
      <c r="AJ88" s="2189"/>
      <c r="AK88" s="2190"/>
      <c r="AL88" s="2190"/>
      <c r="AM88" s="2190"/>
      <c r="AN88" s="2190"/>
      <c r="AO88" s="2190"/>
      <c r="AP88" s="2190"/>
      <c r="AQ88" s="2190"/>
      <c r="AR88" s="2190"/>
      <c r="AS88" s="2190"/>
      <c r="AT88" s="2190"/>
      <c r="AU88" s="2190"/>
      <c r="AV88" s="2190"/>
      <c r="AW88" s="2190"/>
      <c r="AX88" s="2190"/>
      <c r="AY88" s="2190"/>
      <c r="AZ88" s="2190"/>
      <c r="BA88" s="2190"/>
      <c r="BB88" s="219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195"/>
      <c r="G92" s="2196"/>
      <c r="H92" s="2196"/>
      <c r="I92" s="2196"/>
      <c r="J92" s="2196"/>
      <c r="K92" s="2196"/>
      <c r="L92" s="2196"/>
      <c r="M92" s="2196"/>
      <c r="N92" s="2196"/>
      <c r="O92" s="2196"/>
      <c r="P92" s="2196"/>
      <c r="Q92" s="219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01" t="e">
        <f>BR97/SUM($BR$96:$BR$98)</f>
        <v>#DIV/0!</v>
      </c>
      <c r="P93" s="2202"/>
      <c r="Q93" s="220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192" t="s">
        <v>2553</v>
      </c>
      <c r="P94" s="2193"/>
      <c r="Q94" s="219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8" t="s">
        <v>2617</v>
      </c>
      <c r="C96" s="2579"/>
      <c r="D96" s="2579"/>
      <c r="E96" s="2579"/>
      <c r="F96" s="2579"/>
      <c r="G96" s="2579"/>
      <c r="H96" s="2579"/>
      <c r="I96" s="2579"/>
      <c r="J96" s="2579"/>
      <c r="K96" s="2579"/>
      <c r="L96" s="2579"/>
      <c r="M96" s="2579"/>
      <c r="N96" s="2579"/>
      <c r="O96" s="2579"/>
      <c r="P96" s="2579"/>
      <c r="Q96" s="2579"/>
      <c r="R96" s="2579"/>
      <c r="S96" s="2579"/>
      <c r="T96" s="2579"/>
      <c r="U96" s="2579"/>
      <c r="V96" s="2579"/>
      <c r="W96" s="2579"/>
      <c r="X96" s="2579"/>
      <c r="Y96" s="2579"/>
      <c r="Z96" s="2579"/>
      <c r="AA96" s="2579"/>
      <c r="AB96" s="2579"/>
      <c r="AC96" s="2579"/>
      <c r="AD96" s="2579"/>
      <c r="AE96" s="2579"/>
      <c r="AF96" s="2579"/>
      <c r="AG96" s="2579"/>
      <c r="AH96" s="2580"/>
      <c r="AI96" s="1209"/>
      <c r="AJ96" s="2182" t="s">
        <v>2616</v>
      </c>
      <c r="AK96" s="2183"/>
      <c r="AL96" s="2183"/>
      <c r="AM96" s="2183"/>
      <c r="AN96" s="2183"/>
      <c r="AO96" s="2183"/>
      <c r="AP96" s="2183"/>
      <c r="AQ96" s="2183"/>
      <c r="AR96" s="2183"/>
      <c r="AS96" s="2183"/>
      <c r="AT96" s="2183"/>
      <c r="AU96" s="2183"/>
      <c r="AV96" s="2183"/>
      <c r="AW96" s="2183"/>
      <c r="AX96" s="2183"/>
      <c r="AY96" s="2204" t="s">
        <v>553</v>
      </c>
      <c r="AZ96" s="2204"/>
      <c r="BA96" s="2204"/>
      <c r="BB96" s="2205"/>
      <c r="BC96" s="1209"/>
      <c r="BD96" s="1209"/>
      <c r="BE96" s="1205"/>
      <c r="BQ96" s="1248" t="str">
        <f>Application!M243</f>
        <v>Valentine Road LLC (or To Be Formed)</v>
      </c>
      <c r="BR96" s="1248">
        <f>Application!AH245</f>
        <v>0</v>
      </c>
    </row>
    <row r="97" spans="1:70" ht="15.75" customHeight="1">
      <c r="A97" s="1209"/>
      <c r="B97" s="2174"/>
      <c r="C97" s="2175"/>
      <c r="D97" s="2175"/>
      <c r="E97" s="2175"/>
      <c r="F97" s="2175"/>
      <c r="G97" s="2175"/>
      <c r="H97" s="2175"/>
      <c r="I97" s="2175" t="s">
        <v>1828</v>
      </c>
      <c r="J97" s="2175"/>
      <c r="K97" s="2175"/>
      <c r="L97" s="2175"/>
      <c r="M97" s="2175"/>
      <c r="N97" s="2175"/>
      <c r="O97" s="2175" t="s">
        <v>1829</v>
      </c>
      <c r="P97" s="2175"/>
      <c r="Q97" s="2175"/>
      <c r="R97" s="2175"/>
      <c r="S97" s="2175"/>
      <c r="T97" s="2175"/>
      <c r="U97" s="2175"/>
      <c r="V97" s="2176" t="s">
        <v>2188</v>
      </c>
      <c r="W97" s="2176"/>
      <c r="X97" s="2176"/>
      <c r="Y97" s="2176"/>
      <c r="Z97" s="2176"/>
      <c r="AA97" s="2176"/>
      <c r="AB97" s="2177" t="s">
        <v>1830</v>
      </c>
      <c r="AC97" s="2177"/>
      <c r="AD97" s="2177"/>
      <c r="AE97" s="2177"/>
      <c r="AF97" s="2177"/>
      <c r="AG97" s="2177"/>
      <c r="AH97" s="2178"/>
      <c r="AI97" s="1209"/>
      <c r="AJ97" s="2184"/>
      <c r="AK97" s="2185"/>
      <c r="AL97" s="2185"/>
      <c r="AM97" s="2185"/>
      <c r="AN97" s="2185"/>
      <c r="AO97" s="2185"/>
      <c r="AP97" s="2185"/>
      <c r="AQ97" s="2185"/>
      <c r="AR97" s="2185"/>
      <c r="AS97" s="2185"/>
      <c r="AT97" s="2185"/>
      <c r="AU97" s="2185"/>
      <c r="AV97" s="2185"/>
      <c r="AW97" s="2185"/>
      <c r="AX97" s="2185"/>
      <c r="AY97" s="2206"/>
      <c r="AZ97" s="2206"/>
      <c r="BA97" s="2206"/>
      <c r="BB97" s="2207"/>
      <c r="BC97" s="1209"/>
      <c r="BD97" s="1209"/>
      <c r="BE97" s="1205"/>
      <c r="BQ97" s="1248">
        <f>Application!M251</f>
        <v>0</v>
      </c>
      <c r="BR97" s="1248">
        <f>Application!AH253</f>
        <v>0</v>
      </c>
    </row>
    <row r="98" spans="1:70" ht="15.75" customHeight="1">
      <c r="A98" s="1209"/>
      <c r="B98" s="2174"/>
      <c r="C98" s="2175"/>
      <c r="D98" s="2175"/>
      <c r="E98" s="2175"/>
      <c r="F98" s="2175"/>
      <c r="G98" s="2175"/>
      <c r="H98" s="2175"/>
      <c r="I98" s="2175"/>
      <c r="J98" s="2175"/>
      <c r="K98" s="2175"/>
      <c r="L98" s="2175"/>
      <c r="M98" s="2175"/>
      <c r="N98" s="2175"/>
      <c r="O98" s="2175"/>
      <c r="P98" s="2175"/>
      <c r="Q98" s="2175"/>
      <c r="R98" s="2175"/>
      <c r="S98" s="2175"/>
      <c r="T98" s="2175"/>
      <c r="U98" s="2175"/>
      <c r="V98" s="2176"/>
      <c r="W98" s="2176"/>
      <c r="X98" s="2176"/>
      <c r="Y98" s="2176"/>
      <c r="Z98" s="2176"/>
      <c r="AA98" s="2176"/>
      <c r="AB98" s="2177"/>
      <c r="AC98" s="2177"/>
      <c r="AD98" s="2177"/>
      <c r="AE98" s="2177"/>
      <c r="AF98" s="2177"/>
      <c r="AG98" s="2177"/>
      <c r="AH98" s="2178"/>
      <c r="AI98" s="1209"/>
      <c r="AJ98" s="2184"/>
      <c r="AK98" s="2185"/>
      <c r="AL98" s="2185"/>
      <c r="AM98" s="2185"/>
      <c r="AN98" s="2185"/>
      <c r="AO98" s="2185"/>
      <c r="AP98" s="2185"/>
      <c r="AQ98" s="2185"/>
      <c r="AR98" s="2185"/>
      <c r="AS98" s="2185"/>
      <c r="AT98" s="2185"/>
      <c r="AU98" s="2185"/>
      <c r="AV98" s="2185"/>
      <c r="AW98" s="2185"/>
      <c r="AX98" s="2185"/>
      <c r="AY98" s="2206"/>
      <c r="AZ98" s="2206"/>
      <c r="BA98" s="2206"/>
      <c r="BB98" s="2207"/>
      <c r="BC98" s="1209"/>
      <c r="BD98" s="1209"/>
      <c r="BE98" s="1205"/>
      <c r="BQ98" s="1248">
        <f>Application!M259</f>
        <v>0</v>
      </c>
      <c r="BR98" s="1248">
        <f>Application!AH261</f>
        <v>0</v>
      </c>
    </row>
    <row r="99" spans="1:70" ht="15.75" customHeight="1">
      <c r="A99" s="1209"/>
      <c r="B99" s="2174" t="s">
        <v>2171</v>
      </c>
      <c r="C99" s="2175"/>
      <c r="D99" s="2175"/>
      <c r="E99" s="2175"/>
      <c r="F99" s="2175"/>
      <c r="G99" s="2175"/>
      <c r="H99" s="2175"/>
      <c r="I99" s="2172">
        <v>0</v>
      </c>
      <c r="J99" s="2172"/>
      <c r="K99" s="2172"/>
      <c r="L99" s="2172"/>
      <c r="M99" s="2172"/>
      <c r="N99" s="2172"/>
      <c r="O99" s="2172">
        <v>0</v>
      </c>
      <c r="P99" s="2172"/>
      <c r="Q99" s="2172"/>
      <c r="R99" s="2172"/>
      <c r="S99" s="2172"/>
      <c r="T99" s="2172"/>
      <c r="U99" s="2172"/>
      <c r="V99" s="2172">
        <v>0</v>
      </c>
      <c r="W99" s="2172"/>
      <c r="X99" s="2172"/>
      <c r="Y99" s="2172"/>
      <c r="Z99" s="2172"/>
      <c r="AA99" s="2172"/>
      <c r="AB99" s="2172">
        <v>0</v>
      </c>
      <c r="AC99" s="2172"/>
      <c r="AD99" s="2172"/>
      <c r="AE99" s="2172"/>
      <c r="AF99" s="2172"/>
      <c r="AG99" s="2172"/>
      <c r="AH99" s="2173"/>
      <c r="AI99" s="1209"/>
      <c r="AJ99" s="2184"/>
      <c r="AK99" s="2185"/>
      <c r="AL99" s="2185"/>
      <c r="AM99" s="2185"/>
      <c r="AN99" s="2185"/>
      <c r="AO99" s="2185"/>
      <c r="AP99" s="2185"/>
      <c r="AQ99" s="2185"/>
      <c r="AR99" s="2185"/>
      <c r="AS99" s="2185"/>
      <c r="AT99" s="2185"/>
      <c r="AU99" s="2185"/>
      <c r="AV99" s="2185"/>
      <c r="AW99" s="2185"/>
      <c r="AX99" s="2185"/>
      <c r="AY99" s="2206"/>
      <c r="AZ99" s="2206"/>
      <c r="BA99" s="2206"/>
      <c r="BB99" s="2207"/>
      <c r="BC99" s="1209"/>
      <c r="BD99" s="1209"/>
      <c r="BE99" s="1205"/>
    </row>
    <row r="100" spans="1:70" ht="15.75" customHeight="1">
      <c r="A100" s="1209"/>
      <c r="B100" s="2174" t="s">
        <v>2172</v>
      </c>
      <c r="C100" s="2175"/>
      <c r="D100" s="2175"/>
      <c r="E100" s="2175"/>
      <c r="F100" s="2175"/>
      <c r="G100" s="2175"/>
      <c r="H100" s="2175"/>
      <c r="I100" s="2172">
        <v>0</v>
      </c>
      <c r="J100" s="2172"/>
      <c r="K100" s="2172"/>
      <c r="L100" s="2172"/>
      <c r="M100" s="2172"/>
      <c r="N100" s="2172"/>
      <c r="O100" s="2172">
        <v>0</v>
      </c>
      <c r="P100" s="2172"/>
      <c r="Q100" s="2172"/>
      <c r="R100" s="2172"/>
      <c r="S100" s="2172"/>
      <c r="T100" s="2172"/>
      <c r="U100" s="2172"/>
      <c r="V100" s="2172">
        <v>0</v>
      </c>
      <c r="W100" s="2172"/>
      <c r="X100" s="2172"/>
      <c r="Y100" s="2172"/>
      <c r="Z100" s="2172"/>
      <c r="AA100" s="2172"/>
      <c r="AB100" s="2172">
        <v>0</v>
      </c>
      <c r="AC100" s="2172"/>
      <c r="AD100" s="2172"/>
      <c r="AE100" s="2172"/>
      <c r="AF100" s="2172"/>
      <c r="AG100" s="2172"/>
      <c r="AH100" s="2173"/>
      <c r="AI100" s="1209"/>
      <c r="AJ100" s="2186" t="s">
        <v>2487</v>
      </c>
      <c r="AK100" s="2187"/>
      <c r="AL100" s="2187"/>
      <c r="AM100" s="2187"/>
      <c r="AN100" s="2187"/>
      <c r="AO100" s="2187"/>
      <c r="AP100" s="2187"/>
      <c r="AQ100" s="2187"/>
      <c r="AR100" s="2187"/>
      <c r="AS100" s="2187"/>
      <c r="AT100" s="2187"/>
      <c r="AU100" s="2187"/>
      <c r="AV100" s="2187"/>
      <c r="AW100" s="2187"/>
      <c r="AX100" s="2187"/>
      <c r="AY100" s="2187"/>
      <c r="AZ100" s="2187"/>
      <c r="BA100" s="2187"/>
      <c r="BB100" s="2188"/>
      <c r="BC100" s="1209"/>
      <c r="BD100" s="1209"/>
      <c r="BE100" s="1205"/>
    </row>
    <row r="101" spans="1:70" ht="15.75" customHeight="1" thickBot="1">
      <c r="A101" s="1209"/>
      <c r="B101" s="2168" t="s">
        <v>1831</v>
      </c>
      <c r="C101" s="2169"/>
      <c r="D101" s="2169"/>
      <c r="E101" s="2169"/>
      <c r="F101" s="2169"/>
      <c r="G101" s="2169"/>
      <c r="H101" s="2169"/>
      <c r="I101" s="2170">
        <v>0</v>
      </c>
      <c r="J101" s="2170"/>
      <c r="K101" s="2170"/>
      <c r="L101" s="2170"/>
      <c r="M101" s="2170"/>
      <c r="N101" s="2170"/>
      <c r="O101" s="2170">
        <v>0</v>
      </c>
      <c r="P101" s="2170"/>
      <c r="Q101" s="2170"/>
      <c r="R101" s="2170"/>
      <c r="S101" s="2170"/>
      <c r="T101" s="2170"/>
      <c r="U101" s="2170"/>
      <c r="V101" s="2170">
        <v>0</v>
      </c>
      <c r="W101" s="2170"/>
      <c r="X101" s="2170"/>
      <c r="Y101" s="2170"/>
      <c r="Z101" s="2170"/>
      <c r="AA101" s="2170"/>
      <c r="AB101" s="2170">
        <v>0</v>
      </c>
      <c r="AC101" s="2170"/>
      <c r="AD101" s="2170"/>
      <c r="AE101" s="2170"/>
      <c r="AF101" s="2170"/>
      <c r="AG101" s="2170"/>
      <c r="AH101" s="2171"/>
      <c r="AI101" s="1209"/>
      <c r="AJ101" s="2189"/>
      <c r="AK101" s="2190"/>
      <c r="AL101" s="2190"/>
      <c r="AM101" s="2190"/>
      <c r="AN101" s="2190"/>
      <c r="AO101" s="2190"/>
      <c r="AP101" s="2190"/>
      <c r="AQ101" s="2190"/>
      <c r="AR101" s="2190"/>
      <c r="AS101" s="2190"/>
      <c r="AT101" s="2190"/>
      <c r="AU101" s="2190"/>
      <c r="AV101" s="2190"/>
      <c r="AW101" s="2190"/>
      <c r="AX101" s="2190"/>
      <c r="AY101" s="2190"/>
      <c r="AZ101" s="2190"/>
      <c r="BA101" s="2190"/>
      <c r="BB101" s="219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198"/>
      <c r="G104" s="2199"/>
      <c r="H104" s="2199"/>
      <c r="I104" s="2199"/>
      <c r="J104" s="2199"/>
      <c r="K104" s="2199"/>
      <c r="L104" s="2199"/>
      <c r="M104" s="2199"/>
      <c r="N104" s="2199"/>
      <c r="O104" s="2199"/>
      <c r="P104" s="2199"/>
      <c r="Q104" s="2199"/>
      <c r="R104" s="2200"/>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192" t="e">
        <f>BR98/SUM(BR96:BR98)</f>
        <v>#DIV/0!</v>
      </c>
      <c r="P105" s="2193"/>
      <c r="Q105" s="2193"/>
      <c r="R105" s="219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79" t="s">
        <v>2613</v>
      </c>
      <c r="C107" s="2180"/>
      <c r="D107" s="2180"/>
      <c r="E107" s="2180"/>
      <c r="F107" s="2180"/>
      <c r="G107" s="2180"/>
      <c r="H107" s="2180"/>
      <c r="I107" s="2180"/>
      <c r="J107" s="2180"/>
      <c r="K107" s="2180"/>
      <c r="L107" s="2180"/>
      <c r="M107" s="2180"/>
      <c r="N107" s="2180"/>
      <c r="O107" s="2180"/>
      <c r="P107" s="2180"/>
      <c r="Q107" s="2180"/>
      <c r="R107" s="2180"/>
      <c r="S107" s="2180"/>
      <c r="T107" s="2180"/>
      <c r="U107" s="2180"/>
      <c r="V107" s="2180"/>
      <c r="W107" s="2180"/>
      <c r="X107" s="2180"/>
      <c r="Y107" s="2180"/>
      <c r="Z107" s="2180"/>
      <c r="AA107" s="2180"/>
      <c r="AB107" s="2180"/>
      <c r="AC107" s="2180"/>
      <c r="AD107" s="2180"/>
      <c r="AE107" s="2180"/>
      <c r="AF107" s="2180"/>
      <c r="AG107" s="2180"/>
      <c r="AH107" s="2181"/>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4"/>
      <c r="C108" s="2175"/>
      <c r="D108" s="2175"/>
      <c r="E108" s="2175"/>
      <c r="F108" s="2175"/>
      <c r="G108" s="2175"/>
      <c r="H108" s="2175"/>
      <c r="I108" s="2175" t="s">
        <v>1828</v>
      </c>
      <c r="J108" s="2175"/>
      <c r="K108" s="2175"/>
      <c r="L108" s="2175"/>
      <c r="M108" s="2175"/>
      <c r="N108" s="2175"/>
      <c r="O108" s="2175" t="s">
        <v>1829</v>
      </c>
      <c r="P108" s="2175"/>
      <c r="Q108" s="2175"/>
      <c r="R108" s="2175"/>
      <c r="S108" s="2175"/>
      <c r="T108" s="2175"/>
      <c r="U108" s="2175"/>
      <c r="V108" s="2176" t="s">
        <v>2188</v>
      </c>
      <c r="W108" s="2176"/>
      <c r="X108" s="2176"/>
      <c r="Y108" s="2176"/>
      <c r="Z108" s="2176"/>
      <c r="AA108" s="2176"/>
      <c r="AB108" s="2177" t="s">
        <v>1830</v>
      </c>
      <c r="AC108" s="2177"/>
      <c r="AD108" s="2177"/>
      <c r="AE108" s="2177"/>
      <c r="AF108" s="2177"/>
      <c r="AG108" s="2177"/>
      <c r="AH108" s="2178"/>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4"/>
      <c r="C109" s="2175"/>
      <c r="D109" s="2175"/>
      <c r="E109" s="2175"/>
      <c r="F109" s="2175"/>
      <c r="G109" s="2175"/>
      <c r="H109" s="2175"/>
      <c r="I109" s="2175"/>
      <c r="J109" s="2175"/>
      <c r="K109" s="2175"/>
      <c r="L109" s="2175"/>
      <c r="M109" s="2175"/>
      <c r="N109" s="2175"/>
      <c r="O109" s="2175"/>
      <c r="P109" s="2175"/>
      <c r="Q109" s="2175"/>
      <c r="R109" s="2175"/>
      <c r="S109" s="2175"/>
      <c r="T109" s="2175"/>
      <c r="U109" s="2175"/>
      <c r="V109" s="2176"/>
      <c r="W109" s="2176"/>
      <c r="X109" s="2176"/>
      <c r="Y109" s="2176"/>
      <c r="Z109" s="2176"/>
      <c r="AA109" s="2176"/>
      <c r="AB109" s="2177"/>
      <c r="AC109" s="2177"/>
      <c r="AD109" s="2177"/>
      <c r="AE109" s="2177"/>
      <c r="AF109" s="2177"/>
      <c r="AG109" s="2177"/>
      <c r="AH109" s="2178"/>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4" t="s">
        <v>2171</v>
      </c>
      <c r="C110" s="2175"/>
      <c r="D110" s="2175"/>
      <c r="E110" s="2175"/>
      <c r="F110" s="2175"/>
      <c r="G110" s="2175"/>
      <c r="H110" s="2175"/>
      <c r="I110" s="2172">
        <v>0</v>
      </c>
      <c r="J110" s="2172"/>
      <c r="K110" s="2172"/>
      <c r="L110" s="2172"/>
      <c r="M110" s="2172"/>
      <c r="N110" s="2172"/>
      <c r="O110" s="2172">
        <v>0</v>
      </c>
      <c r="P110" s="2172"/>
      <c r="Q110" s="2172"/>
      <c r="R110" s="2172"/>
      <c r="S110" s="2172"/>
      <c r="T110" s="2172"/>
      <c r="U110" s="2172"/>
      <c r="V110" s="2172">
        <v>0</v>
      </c>
      <c r="W110" s="2172"/>
      <c r="X110" s="2172"/>
      <c r="Y110" s="2172"/>
      <c r="Z110" s="2172"/>
      <c r="AA110" s="2172"/>
      <c r="AB110" s="2172">
        <v>0</v>
      </c>
      <c r="AC110" s="2172"/>
      <c r="AD110" s="2172"/>
      <c r="AE110" s="2172"/>
      <c r="AF110" s="2172"/>
      <c r="AG110" s="2172"/>
      <c r="AH110" s="217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4" t="s">
        <v>2172</v>
      </c>
      <c r="C111" s="2175"/>
      <c r="D111" s="2175"/>
      <c r="E111" s="2175"/>
      <c r="F111" s="2175"/>
      <c r="G111" s="2175"/>
      <c r="H111" s="2175"/>
      <c r="I111" s="2172">
        <v>0</v>
      </c>
      <c r="J111" s="2172"/>
      <c r="K111" s="2172"/>
      <c r="L111" s="2172"/>
      <c r="M111" s="2172"/>
      <c r="N111" s="2172"/>
      <c r="O111" s="2172">
        <v>0</v>
      </c>
      <c r="P111" s="2172"/>
      <c r="Q111" s="2172"/>
      <c r="R111" s="2172"/>
      <c r="S111" s="2172"/>
      <c r="T111" s="2172"/>
      <c r="U111" s="2172"/>
      <c r="V111" s="2172">
        <v>0</v>
      </c>
      <c r="W111" s="2172"/>
      <c r="X111" s="2172"/>
      <c r="Y111" s="2172"/>
      <c r="Z111" s="2172"/>
      <c r="AA111" s="2172"/>
      <c r="AB111" s="2172">
        <v>0</v>
      </c>
      <c r="AC111" s="2172"/>
      <c r="AD111" s="2172"/>
      <c r="AE111" s="2172"/>
      <c r="AF111" s="2172"/>
      <c r="AG111" s="2172"/>
      <c r="AH111" s="217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8" t="s">
        <v>1831</v>
      </c>
      <c r="C112" s="2169"/>
      <c r="D112" s="2169"/>
      <c r="E112" s="2169"/>
      <c r="F112" s="2169"/>
      <c r="G112" s="2169"/>
      <c r="H112" s="2169"/>
      <c r="I112" s="2170">
        <v>0</v>
      </c>
      <c r="J112" s="2170"/>
      <c r="K112" s="2170"/>
      <c r="L112" s="2170"/>
      <c r="M112" s="2170"/>
      <c r="N112" s="2170"/>
      <c r="O112" s="2170">
        <v>0</v>
      </c>
      <c r="P112" s="2170"/>
      <c r="Q112" s="2170"/>
      <c r="R112" s="2170"/>
      <c r="S112" s="2170"/>
      <c r="T112" s="2170"/>
      <c r="U112" s="2170"/>
      <c r="V112" s="2170">
        <v>0</v>
      </c>
      <c r="W112" s="2170"/>
      <c r="X112" s="2170"/>
      <c r="Y112" s="2170"/>
      <c r="Z112" s="2170"/>
      <c r="AA112" s="2170"/>
      <c r="AB112" s="2170">
        <v>0</v>
      </c>
      <c r="AC112" s="2170"/>
      <c r="AD112" s="2170"/>
      <c r="AE112" s="2170"/>
      <c r="AF112" s="2170"/>
      <c r="AG112" s="2170"/>
      <c r="AH112" s="2171"/>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198"/>
      <c r="G115" s="2199"/>
      <c r="H115" s="2199"/>
      <c r="I115" s="2199"/>
      <c r="J115" s="2199"/>
      <c r="K115" s="2199"/>
      <c r="L115" s="2199"/>
      <c r="M115" s="2199"/>
      <c r="N115" s="2199"/>
      <c r="O115" s="2199"/>
      <c r="P115" s="2199"/>
      <c r="Q115" s="2199"/>
      <c r="R115" s="2200"/>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2" t="s">
        <v>2488</v>
      </c>
      <c r="C117" s="2183"/>
      <c r="D117" s="2183"/>
      <c r="E117" s="2183"/>
      <c r="F117" s="2183"/>
      <c r="G117" s="2183"/>
      <c r="H117" s="2183"/>
      <c r="I117" s="2183"/>
      <c r="J117" s="2183"/>
      <c r="K117" s="2183"/>
      <c r="L117" s="2183"/>
      <c r="M117" s="2183"/>
      <c r="N117" s="2183"/>
      <c r="O117" s="2183"/>
      <c r="P117" s="2183"/>
      <c r="Q117" s="2204" t="s">
        <v>553</v>
      </c>
      <c r="R117" s="2204"/>
      <c r="S117" s="2204"/>
      <c r="T117" s="2205"/>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4"/>
      <c r="C118" s="2185"/>
      <c r="D118" s="2185"/>
      <c r="E118" s="2185"/>
      <c r="F118" s="2185"/>
      <c r="G118" s="2185"/>
      <c r="H118" s="2185"/>
      <c r="I118" s="2185"/>
      <c r="J118" s="2185"/>
      <c r="K118" s="2185"/>
      <c r="L118" s="2185"/>
      <c r="M118" s="2185"/>
      <c r="N118" s="2185"/>
      <c r="O118" s="2185"/>
      <c r="P118" s="2185"/>
      <c r="Q118" s="2206"/>
      <c r="R118" s="2206"/>
      <c r="S118" s="2206"/>
      <c r="T118" s="2207"/>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4"/>
      <c r="C119" s="2185"/>
      <c r="D119" s="2185"/>
      <c r="E119" s="2185"/>
      <c r="F119" s="2185"/>
      <c r="G119" s="2185"/>
      <c r="H119" s="2185"/>
      <c r="I119" s="2185"/>
      <c r="J119" s="2185"/>
      <c r="K119" s="2185"/>
      <c r="L119" s="2185"/>
      <c r="M119" s="2185"/>
      <c r="N119" s="2185"/>
      <c r="O119" s="2185"/>
      <c r="P119" s="2185"/>
      <c r="Q119" s="2206"/>
      <c r="R119" s="2206"/>
      <c r="S119" s="2206"/>
      <c r="T119" s="2207"/>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4"/>
      <c r="C120" s="2185"/>
      <c r="D120" s="2185"/>
      <c r="E120" s="2185"/>
      <c r="F120" s="2185"/>
      <c r="G120" s="2185"/>
      <c r="H120" s="2185"/>
      <c r="I120" s="2185"/>
      <c r="J120" s="2185"/>
      <c r="K120" s="2185"/>
      <c r="L120" s="2185"/>
      <c r="M120" s="2185"/>
      <c r="N120" s="2185"/>
      <c r="O120" s="2185"/>
      <c r="P120" s="2185"/>
      <c r="Q120" s="2206"/>
      <c r="R120" s="2206"/>
      <c r="S120" s="2206"/>
      <c r="T120" s="2207"/>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6" t="s">
        <v>2189</v>
      </c>
      <c r="C121" s="2187"/>
      <c r="D121" s="2187"/>
      <c r="E121" s="2187"/>
      <c r="F121" s="2187"/>
      <c r="G121" s="2187"/>
      <c r="H121" s="2187"/>
      <c r="I121" s="2187"/>
      <c r="J121" s="2187"/>
      <c r="K121" s="2187"/>
      <c r="L121" s="2187"/>
      <c r="M121" s="2187"/>
      <c r="N121" s="2187"/>
      <c r="O121" s="2187"/>
      <c r="P121" s="2187"/>
      <c r="Q121" s="2187"/>
      <c r="R121" s="2187"/>
      <c r="S121" s="2187"/>
      <c r="T121" s="218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89"/>
      <c r="C122" s="2190"/>
      <c r="D122" s="2190"/>
      <c r="E122" s="2190"/>
      <c r="F122" s="2190"/>
      <c r="G122" s="2190"/>
      <c r="H122" s="2190"/>
      <c r="I122" s="2190"/>
      <c r="J122" s="2190"/>
      <c r="K122" s="2190"/>
      <c r="L122" s="2190"/>
      <c r="M122" s="2190"/>
      <c r="N122" s="2190"/>
      <c r="O122" s="2190"/>
      <c r="P122" s="2190"/>
      <c r="Q122" s="2190"/>
      <c r="R122" s="2190"/>
      <c r="S122" s="2190"/>
      <c r="T122" s="219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2" t="s">
        <v>2173</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430"/>
      <c r="BE125" s="1205"/>
    </row>
    <row r="126" spans="1:57" ht="15.75" customHeight="1">
      <c r="A126" s="1209"/>
      <c r="B126" s="2432" t="s">
        <v>1688</v>
      </c>
      <c r="C126" s="2433"/>
      <c r="D126" s="2433"/>
      <c r="E126" s="2433"/>
      <c r="F126" s="2433"/>
      <c r="G126" s="2433"/>
      <c r="H126" s="2433"/>
      <c r="I126" s="2433"/>
      <c r="J126" s="2433"/>
      <c r="K126" s="2433"/>
      <c r="L126" s="2433"/>
      <c r="M126" s="2433"/>
      <c r="N126" s="2433"/>
      <c r="O126" s="2433"/>
      <c r="P126" s="2433"/>
      <c r="Q126" s="2433"/>
      <c r="R126" s="2433"/>
      <c r="S126" s="2433"/>
      <c r="T126" s="2433"/>
      <c r="U126" s="2434"/>
      <c r="V126" s="1209"/>
      <c r="W126" s="1209"/>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431"/>
      <c r="BE126" s="1205"/>
    </row>
    <row r="127" spans="1:57" ht="15.75" customHeight="1">
      <c r="A127" s="1209"/>
      <c r="B127" s="2395"/>
      <c r="C127" s="2396"/>
      <c r="D127" s="2396"/>
      <c r="E127" s="2396"/>
      <c r="F127" s="2396"/>
      <c r="G127" s="2396"/>
      <c r="H127" s="2396"/>
      <c r="I127" s="2175" t="s">
        <v>2174</v>
      </c>
      <c r="J127" s="2175"/>
      <c r="K127" s="2175"/>
      <c r="L127" s="2175"/>
      <c r="M127" s="2175"/>
      <c r="N127" s="2175"/>
      <c r="O127" s="2435" t="s">
        <v>2175</v>
      </c>
      <c r="P127" s="2435"/>
      <c r="Q127" s="2435"/>
      <c r="R127" s="2435"/>
      <c r="S127" s="2435"/>
      <c r="T127" s="2435"/>
      <c r="U127" s="2436"/>
      <c r="V127" s="1209"/>
      <c r="W127" s="1209"/>
      <c r="X127" s="2398" t="s">
        <v>2187</v>
      </c>
      <c r="Y127" s="2399"/>
      <c r="Z127" s="2399"/>
      <c r="AA127" s="2399"/>
      <c r="AB127" s="2399"/>
      <c r="AC127" s="2399"/>
      <c r="AD127" s="2399"/>
      <c r="AE127" s="2399"/>
      <c r="AF127" s="2399"/>
      <c r="AG127" s="2399"/>
      <c r="AH127" s="2399"/>
      <c r="AI127" s="2399"/>
      <c r="AJ127" s="2399"/>
      <c r="AK127" s="2399"/>
      <c r="AL127" s="2399"/>
      <c r="AM127" s="2399"/>
      <c r="AN127" s="2399"/>
      <c r="AO127" s="2399"/>
      <c r="AP127" s="2399"/>
      <c r="AQ127" s="2399"/>
      <c r="AR127" s="2399"/>
      <c r="AS127" s="2399"/>
      <c r="AT127" s="2399"/>
      <c r="AU127" s="2399"/>
      <c r="AV127" s="2399"/>
      <c r="AW127" s="2399"/>
      <c r="AX127" s="2399"/>
      <c r="AY127" s="2399"/>
      <c r="AZ127" s="2399"/>
      <c r="BA127" s="2399"/>
      <c r="BB127" s="2399"/>
      <c r="BC127" s="2399"/>
      <c r="BD127" s="2400"/>
      <c r="BE127" s="1205"/>
    </row>
    <row r="128" spans="1:57" ht="15.75" customHeight="1">
      <c r="A128" s="1209"/>
      <c r="B128" s="2412" t="s">
        <v>2176</v>
      </c>
      <c r="C128" s="2413"/>
      <c r="D128" s="2413"/>
      <c r="E128" s="2413"/>
      <c r="F128" s="2413"/>
      <c r="G128" s="2413"/>
      <c r="H128" s="2413"/>
      <c r="I128" s="2172">
        <v>0</v>
      </c>
      <c r="J128" s="2172"/>
      <c r="K128" s="2172"/>
      <c r="L128" s="2172"/>
      <c r="M128" s="2172"/>
      <c r="N128" s="2172"/>
      <c r="O128" s="2172">
        <v>0</v>
      </c>
      <c r="P128" s="2172"/>
      <c r="Q128" s="2172"/>
      <c r="R128" s="2172"/>
      <c r="S128" s="2172"/>
      <c r="T128" s="2172"/>
      <c r="U128" s="2173"/>
      <c r="V128" s="1209"/>
      <c r="W128" s="1209"/>
      <c r="X128" s="2398"/>
      <c r="Y128" s="2399"/>
      <c r="Z128" s="2399"/>
      <c r="AA128" s="2399"/>
      <c r="AB128" s="2399"/>
      <c r="AC128" s="2399"/>
      <c r="AD128" s="2399"/>
      <c r="AE128" s="2399"/>
      <c r="AF128" s="2399"/>
      <c r="AG128" s="2399"/>
      <c r="AH128" s="2399"/>
      <c r="AI128" s="2399"/>
      <c r="AJ128" s="2399"/>
      <c r="AK128" s="2399"/>
      <c r="AL128" s="2399"/>
      <c r="AM128" s="2399"/>
      <c r="AN128" s="2399"/>
      <c r="AO128" s="2399"/>
      <c r="AP128" s="2399"/>
      <c r="AQ128" s="2399"/>
      <c r="AR128" s="2399"/>
      <c r="AS128" s="2399"/>
      <c r="AT128" s="2399"/>
      <c r="AU128" s="2399"/>
      <c r="AV128" s="2399"/>
      <c r="AW128" s="2399"/>
      <c r="AX128" s="2399"/>
      <c r="AY128" s="2399"/>
      <c r="AZ128" s="2399"/>
      <c r="BA128" s="2399"/>
      <c r="BB128" s="2399"/>
      <c r="BC128" s="2399"/>
      <c r="BD128" s="2400"/>
      <c r="BE128" s="1205"/>
    </row>
    <row r="129" spans="1:57" ht="15.75" customHeight="1" thickBot="1">
      <c r="A129" s="1209"/>
      <c r="B129" s="2414" t="s">
        <v>2177</v>
      </c>
      <c r="C129" s="2415"/>
      <c r="D129" s="2415"/>
      <c r="E129" s="2415"/>
      <c r="F129" s="2415"/>
      <c r="G129" s="2415"/>
      <c r="H129" s="2415"/>
      <c r="I129" s="2170">
        <v>0</v>
      </c>
      <c r="J129" s="2170"/>
      <c r="K129" s="2170"/>
      <c r="L129" s="2170"/>
      <c r="M129" s="2170"/>
      <c r="N129" s="2170"/>
      <c r="O129" s="2437"/>
      <c r="P129" s="2437"/>
      <c r="Q129" s="2437"/>
      <c r="R129" s="2437"/>
      <c r="S129" s="2437"/>
      <c r="T129" s="2437"/>
      <c r="U129" s="2438"/>
      <c r="V129" s="1209"/>
      <c r="W129" s="1209"/>
      <c r="X129" s="2398"/>
      <c r="Y129" s="2399"/>
      <c r="Z129" s="2399"/>
      <c r="AA129" s="2399"/>
      <c r="AB129" s="2399"/>
      <c r="AC129" s="2399"/>
      <c r="AD129" s="2399"/>
      <c r="AE129" s="2399"/>
      <c r="AF129" s="2399"/>
      <c r="AG129" s="2399"/>
      <c r="AH129" s="2399"/>
      <c r="AI129" s="2399"/>
      <c r="AJ129" s="2399"/>
      <c r="AK129" s="2399"/>
      <c r="AL129" s="2399"/>
      <c r="AM129" s="2399"/>
      <c r="AN129" s="2399"/>
      <c r="AO129" s="2399"/>
      <c r="AP129" s="2399"/>
      <c r="AQ129" s="2399"/>
      <c r="AR129" s="2399"/>
      <c r="AS129" s="2399"/>
      <c r="AT129" s="2399"/>
      <c r="AU129" s="2399"/>
      <c r="AV129" s="2399"/>
      <c r="AW129" s="2399"/>
      <c r="AX129" s="2399"/>
      <c r="AY129" s="2399"/>
      <c r="AZ129" s="2399"/>
      <c r="BA129" s="2399"/>
      <c r="BB129" s="2399"/>
      <c r="BC129" s="2399"/>
      <c r="BD129" s="240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8"/>
      <c r="Y130" s="2399"/>
      <c r="Z130" s="2399"/>
      <c r="AA130" s="2399"/>
      <c r="AB130" s="2399"/>
      <c r="AC130" s="2399"/>
      <c r="AD130" s="2399"/>
      <c r="AE130" s="2399"/>
      <c r="AF130" s="2399"/>
      <c r="AG130" s="2399"/>
      <c r="AH130" s="2399"/>
      <c r="AI130" s="2399"/>
      <c r="AJ130" s="2399"/>
      <c r="AK130" s="2399"/>
      <c r="AL130" s="2399"/>
      <c r="AM130" s="2399"/>
      <c r="AN130" s="2399"/>
      <c r="AO130" s="2399"/>
      <c r="AP130" s="2399"/>
      <c r="AQ130" s="2399"/>
      <c r="AR130" s="2399"/>
      <c r="AS130" s="2399"/>
      <c r="AT130" s="2399"/>
      <c r="AU130" s="2399"/>
      <c r="AV130" s="2399"/>
      <c r="AW130" s="2399"/>
      <c r="AX130" s="2399"/>
      <c r="AY130" s="2399"/>
      <c r="AZ130" s="2399"/>
      <c r="BA130" s="2399"/>
      <c r="BB130" s="2399"/>
      <c r="BC130" s="2399"/>
      <c r="BD130" s="2400"/>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8"/>
      <c r="Y131" s="2399"/>
      <c r="Z131" s="2399"/>
      <c r="AA131" s="2399"/>
      <c r="AB131" s="2399"/>
      <c r="AC131" s="2399"/>
      <c r="AD131" s="2399"/>
      <c r="AE131" s="2399"/>
      <c r="AF131" s="2399"/>
      <c r="AG131" s="2399"/>
      <c r="AH131" s="2399"/>
      <c r="AI131" s="2399"/>
      <c r="AJ131" s="2399"/>
      <c r="AK131" s="2399"/>
      <c r="AL131" s="2399"/>
      <c r="AM131" s="2399"/>
      <c r="AN131" s="2399"/>
      <c r="AO131" s="2399"/>
      <c r="AP131" s="2399"/>
      <c r="AQ131" s="2399"/>
      <c r="AR131" s="2399"/>
      <c r="AS131" s="2399"/>
      <c r="AT131" s="2399"/>
      <c r="AU131" s="2399"/>
      <c r="AV131" s="2399"/>
      <c r="AW131" s="2399"/>
      <c r="AX131" s="2399"/>
      <c r="AY131" s="2399"/>
      <c r="AZ131" s="2399"/>
      <c r="BA131" s="2399"/>
      <c r="BB131" s="2399"/>
      <c r="BC131" s="2399"/>
      <c r="BD131" s="240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8"/>
      <c r="Y132" s="2399"/>
      <c r="Z132" s="2399"/>
      <c r="AA132" s="2399"/>
      <c r="AB132" s="2399"/>
      <c r="AC132" s="2399"/>
      <c r="AD132" s="2399"/>
      <c r="AE132" s="2399"/>
      <c r="AF132" s="2399"/>
      <c r="AG132" s="2399"/>
      <c r="AH132" s="2399"/>
      <c r="AI132" s="2399"/>
      <c r="AJ132" s="2399"/>
      <c r="AK132" s="2399"/>
      <c r="AL132" s="2399"/>
      <c r="AM132" s="2399"/>
      <c r="AN132" s="2399"/>
      <c r="AO132" s="2399"/>
      <c r="AP132" s="2399"/>
      <c r="AQ132" s="2399"/>
      <c r="AR132" s="2399"/>
      <c r="AS132" s="2399"/>
      <c r="AT132" s="2399"/>
      <c r="AU132" s="2399"/>
      <c r="AV132" s="2399"/>
      <c r="AW132" s="2399"/>
      <c r="AX132" s="2399"/>
      <c r="AY132" s="2399"/>
      <c r="AZ132" s="2399"/>
      <c r="BA132" s="2399"/>
      <c r="BB132" s="2399"/>
      <c r="BC132" s="2399"/>
      <c r="BD132" s="2400"/>
      <c r="BE132" s="1205"/>
    </row>
    <row r="133" spans="1:57" ht="15.75" customHeight="1">
      <c r="A133" s="1209"/>
      <c r="B133" s="2427" t="s">
        <v>1834</v>
      </c>
      <c r="C133" s="2428"/>
      <c r="D133" s="2428"/>
      <c r="E133" s="2428"/>
      <c r="F133" s="2428"/>
      <c r="G133" s="2428"/>
      <c r="H133" s="2428"/>
      <c r="I133" s="2428"/>
      <c r="J133" s="2428"/>
      <c r="K133" s="2428"/>
      <c r="L133" s="2428"/>
      <c r="M133" s="2428"/>
      <c r="N133" s="2428"/>
      <c r="O133" s="2428"/>
      <c r="P133" s="2428"/>
      <c r="Q133" s="2428"/>
      <c r="R133" s="2428"/>
      <c r="S133" s="2428"/>
      <c r="T133" s="2428"/>
      <c r="U133" s="2429"/>
      <c r="V133" s="1209"/>
      <c r="W133" s="1209"/>
      <c r="X133" s="2398"/>
      <c r="Y133" s="2399"/>
      <c r="Z133" s="2399"/>
      <c r="AA133" s="2399"/>
      <c r="AB133" s="2399"/>
      <c r="AC133" s="2399"/>
      <c r="AD133" s="2399"/>
      <c r="AE133" s="2399"/>
      <c r="AF133" s="2399"/>
      <c r="AG133" s="2399"/>
      <c r="AH133" s="2399"/>
      <c r="AI133" s="2399"/>
      <c r="AJ133" s="2399"/>
      <c r="AK133" s="2399"/>
      <c r="AL133" s="2399"/>
      <c r="AM133" s="2399"/>
      <c r="AN133" s="2399"/>
      <c r="AO133" s="2399"/>
      <c r="AP133" s="2399"/>
      <c r="AQ133" s="2399"/>
      <c r="AR133" s="2399"/>
      <c r="AS133" s="2399"/>
      <c r="AT133" s="2399"/>
      <c r="AU133" s="2399"/>
      <c r="AV133" s="2399"/>
      <c r="AW133" s="2399"/>
      <c r="AX133" s="2399"/>
      <c r="AY133" s="2399"/>
      <c r="AZ133" s="2399"/>
      <c r="BA133" s="2399"/>
      <c r="BB133" s="2399"/>
      <c r="BC133" s="2399"/>
      <c r="BD133" s="2400"/>
      <c r="BE133" s="1205"/>
    </row>
    <row r="134" spans="1:57" ht="15.75" customHeight="1">
      <c r="A134" s="1209"/>
      <c r="B134" s="2395"/>
      <c r="C134" s="2396"/>
      <c r="D134" s="2396"/>
      <c r="E134" s="2396"/>
      <c r="F134" s="2396"/>
      <c r="G134" s="2396"/>
      <c r="H134" s="2396"/>
      <c r="I134" s="2410" t="s">
        <v>1829</v>
      </c>
      <c r="J134" s="2410"/>
      <c r="K134" s="2410"/>
      <c r="L134" s="2410"/>
      <c r="M134" s="2410"/>
      <c r="N134" s="2410"/>
      <c r="O134" s="2410"/>
      <c r="P134" s="2410" t="s">
        <v>2188</v>
      </c>
      <c r="Q134" s="2410"/>
      <c r="R134" s="2410"/>
      <c r="S134" s="2410"/>
      <c r="T134" s="2410"/>
      <c r="U134" s="2411"/>
      <c r="V134" s="1209"/>
      <c r="W134" s="1209"/>
      <c r="X134" s="2398"/>
      <c r="Y134" s="2399"/>
      <c r="Z134" s="2399"/>
      <c r="AA134" s="2399"/>
      <c r="AB134" s="2399"/>
      <c r="AC134" s="2399"/>
      <c r="AD134" s="2399"/>
      <c r="AE134" s="2399"/>
      <c r="AF134" s="2399"/>
      <c r="AG134" s="2399"/>
      <c r="AH134" s="2399"/>
      <c r="AI134" s="2399"/>
      <c r="AJ134" s="2399"/>
      <c r="AK134" s="2399"/>
      <c r="AL134" s="2399"/>
      <c r="AM134" s="2399"/>
      <c r="AN134" s="2399"/>
      <c r="AO134" s="2399"/>
      <c r="AP134" s="2399"/>
      <c r="AQ134" s="2399"/>
      <c r="AR134" s="2399"/>
      <c r="AS134" s="2399"/>
      <c r="AT134" s="2399"/>
      <c r="AU134" s="2399"/>
      <c r="AV134" s="2399"/>
      <c r="AW134" s="2399"/>
      <c r="AX134" s="2399"/>
      <c r="AY134" s="2399"/>
      <c r="AZ134" s="2399"/>
      <c r="BA134" s="2399"/>
      <c r="BB134" s="2399"/>
      <c r="BC134" s="2399"/>
      <c r="BD134" s="2400"/>
      <c r="BE134" s="1205"/>
    </row>
    <row r="135" spans="1:57" ht="15.75" customHeight="1">
      <c r="A135" s="1209"/>
      <c r="B135" s="2395"/>
      <c r="C135" s="2396"/>
      <c r="D135" s="2396"/>
      <c r="E135" s="2396"/>
      <c r="F135" s="2396"/>
      <c r="G135" s="2396"/>
      <c r="H135" s="2396"/>
      <c r="I135" s="2410"/>
      <c r="J135" s="2410"/>
      <c r="K135" s="2410"/>
      <c r="L135" s="2410"/>
      <c r="M135" s="2410"/>
      <c r="N135" s="2410"/>
      <c r="O135" s="2410"/>
      <c r="P135" s="2410"/>
      <c r="Q135" s="2410"/>
      <c r="R135" s="2410"/>
      <c r="S135" s="2410"/>
      <c r="T135" s="2410"/>
      <c r="U135" s="2411"/>
      <c r="V135" s="1209"/>
      <c r="W135" s="1209"/>
      <c r="X135" s="2398"/>
      <c r="Y135" s="2399"/>
      <c r="Z135" s="2399"/>
      <c r="AA135" s="2399"/>
      <c r="AB135" s="2399"/>
      <c r="AC135" s="2399"/>
      <c r="AD135" s="2399"/>
      <c r="AE135" s="2399"/>
      <c r="AF135" s="2399"/>
      <c r="AG135" s="2399"/>
      <c r="AH135" s="2399"/>
      <c r="AI135" s="2399"/>
      <c r="AJ135" s="2399"/>
      <c r="AK135" s="2399"/>
      <c r="AL135" s="2399"/>
      <c r="AM135" s="2399"/>
      <c r="AN135" s="2399"/>
      <c r="AO135" s="2399"/>
      <c r="AP135" s="2399"/>
      <c r="AQ135" s="2399"/>
      <c r="AR135" s="2399"/>
      <c r="AS135" s="2399"/>
      <c r="AT135" s="2399"/>
      <c r="AU135" s="2399"/>
      <c r="AV135" s="2399"/>
      <c r="AW135" s="2399"/>
      <c r="AX135" s="2399"/>
      <c r="AY135" s="2399"/>
      <c r="AZ135" s="2399"/>
      <c r="BA135" s="2399"/>
      <c r="BB135" s="2399"/>
      <c r="BC135" s="2399"/>
      <c r="BD135" s="2400"/>
      <c r="BE135" s="1205"/>
    </row>
    <row r="136" spans="1:57" ht="15.75" customHeight="1">
      <c r="A136" s="1209"/>
      <c r="B136" s="2412" t="s">
        <v>2176</v>
      </c>
      <c r="C136" s="2413"/>
      <c r="D136" s="2413"/>
      <c r="E136" s="2413"/>
      <c r="F136" s="2413"/>
      <c r="G136" s="2413"/>
      <c r="H136" s="2413"/>
      <c r="I136" s="2172">
        <v>0</v>
      </c>
      <c r="J136" s="2172"/>
      <c r="K136" s="2172"/>
      <c r="L136" s="2172"/>
      <c r="M136" s="2172"/>
      <c r="N136" s="2172"/>
      <c r="O136" s="2172"/>
      <c r="P136" s="2172">
        <v>0</v>
      </c>
      <c r="Q136" s="2172"/>
      <c r="R136" s="2172"/>
      <c r="S136" s="2172"/>
      <c r="T136" s="2172"/>
      <c r="U136" s="2173"/>
      <c r="V136" s="1209"/>
      <c r="W136" s="1209"/>
      <c r="X136" s="2398"/>
      <c r="Y136" s="2399"/>
      <c r="Z136" s="2399"/>
      <c r="AA136" s="2399"/>
      <c r="AB136" s="2399"/>
      <c r="AC136" s="2399"/>
      <c r="AD136" s="2399"/>
      <c r="AE136" s="2399"/>
      <c r="AF136" s="2399"/>
      <c r="AG136" s="2399"/>
      <c r="AH136" s="2399"/>
      <c r="AI136" s="2399"/>
      <c r="AJ136" s="2399"/>
      <c r="AK136" s="2399"/>
      <c r="AL136" s="2399"/>
      <c r="AM136" s="2399"/>
      <c r="AN136" s="2399"/>
      <c r="AO136" s="2399"/>
      <c r="AP136" s="2399"/>
      <c r="AQ136" s="2399"/>
      <c r="AR136" s="2399"/>
      <c r="AS136" s="2399"/>
      <c r="AT136" s="2399"/>
      <c r="AU136" s="2399"/>
      <c r="AV136" s="2399"/>
      <c r="AW136" s="2399"/>
      <c r="AX136" s="2399"/>
      <c r="AY136" s="2399"/>
      <c r="AZ136" s="2399"/>
      <c r="BA136" s="2399"/>
      <c r="BB136" s="2399"/>
      <c r="BC136" s="2399"/>
      <c r="BD136" s="2400"/>
      <c r="BE136" s="1205"/>
    </row>
    <row r="137" spans="1:57" ht="15.75" customHeight="1" thickBot="1">
      <c r="A137" s="1209"/>
      <c r="B137" s="2414" t="s">
        <v>2177</v>
      </c>
      <c r="C137" s="2415"/>
      <c r="D137" s="2415"/>
      <c r="E137" s="2415"/>
      <c r="F137" s="2415"/>
      <c r="G137" s="2415"/>
      <c r="H137" s="2415"/>
      <c r="I137" s="2170">
        <v>0</v>
      </c>
      <c r="J137" s="2170"/>
      <c r="K137" s="2170"/>
      <c r="L137" s="2170"/>
      <c r="M137" s="2170"/>
      <c r="N137" s="2170"/>
      <c r="O137" s="2170"/>
      <c r="P137" s="2170">
        <v>0</v>
      </c>
      <c r="Q137" s="2170"/>
      <c r="R137" s="2170"/>
      <c r="S137" s="2170"/>
      <c r="T137" s="2170"/>
      <c r="U137" s="2171"/>
      <c r="V137" s="1209"/>
      <c r="W137" s="1209"/>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2" t="s">
        <v>1835</v>
      </c>
      <c r="C139" s="2393"/>
      <c r="D139" s="2393"/>
      <c r="E139" s="2393"/>
      <c r="F139" s="2393"/>
      <c r="G139" s="2393"/>
      <c r="H139" s="2393"/>
      <c r="I139" s="2393"/>
      <c r="J139" s="2393"/>
      <c r="K139" s="2393"/>
      <c r="L139" s="2393"/>
      <c r="M139" s="2393"/>
      <c r="N139" s="2393"/>
      <c r="O139" s="2393"/>
      <c r="P139" s="2393"/>
      <c r="Q139" s="2393"/>
      <c r="R139" s="2393"/>
      <c r="S139" s="2393"/>
      <c r="T139" s="2393"/>
      <c r="U139" s="2393"/>
      <c r="V139" s="2393"/>
      <c r="W139" s="2393"/>
      <c r="X139" s="2393"/>
      <c r="Y139" s="2393"/>
      <c r="Z139" s="2393"/>
      <c r="AA139" s="2393"/>
      <c r="AB139" s="2393"/>
      <c r="AC139" s="2393"/>
      <c r="AD139" s="2393"/>
      <c r="AE139" s="2393"/>
      <c r="AF139" s="2393"/>
      <c r="AG139" s="2393"/>
      <c r="AH139" s="2231" t="s">
        <v>553</v>
      </c>
      <c r="AI139" s="2231"/>
      <c r="AJ139" s="2231"/>
      <c r="AK139" s="2231"/>
      <c r="AL139" s="2231"/>
      <c r="AM139" s="2231"/>
      <c r="AN139" s="2231"/>
      <c r="AO139" s="2231"/>
      <c r="AP139" s="2231"/>
      <c r="AQ139" s="2231"/>
      <c r="AR139" s="2231"/>
      <c r="AS139" s="2231"/>
      <c r="AT139" s="2231"/>
      <c r="AU139" s="2231"/>
      <c r="AV139" s="2231"/>
      <c r="AW139" s="2231"/>
      <c r="AX139" s="2232"/>
      <c r="AY139" s="1209"/>
      <c r="AZ139" s="1209"/>
      <c r="BA139" s="1209"/>
      <c r="BB139" s="1209"/>
      <c r="BC139" s="1209"/>
      <c r="BD139" s="1209"/>
      <c r="BE139" s="1205"/>
    </row>
    <row r="140" spans="1:57" ht="15.75" customHeight="1">
      <c r="A140" s="1209"/>
      <c r="B140" s="2417" t="s">
        <v>1836</v>
      </c>
      <c r="C140" s="2418"/>
      <c r="D140" s="2418"/>
      <c r="E140" s="2418"/>
      <c r="F140" s="2418"/>
      <c r="G140" s="2418"/>
      <c r="H140" s="2418"/>
      <c r="I140" s="2418"/>
      <c r="J140" s="2418"/>
      <c r="K140" s="2418"/>
      <c r="L140" s="2418"/>
      <c r="M140" s="2418"/>
      <c r="N140" s="2418"/>
      <c r="O140" s="2418"/>
      <c r="P140" s="2418"/>
      <c r="Q140" s="2418"/>
      <c r="R140" s="2419" t="s">
        <v>2190</v>
      </c>
      <c r="S140" s="2419"/>
      <c r="T140" s="2419"/>
      <c r="U140" s="2419"/>
      <c r="V140" s="2419"/>
      <c r="W140" s="2419"/>
      <c r="X140" s="2419"/>
      <c r="Y140" s="2419"/>
      <c r="Z140" s="2419"/>
      <c r="AA140" s="2419"/>
      <c r="AB140" s="2419"/>
      <c r="AC140" s="2419"/>
      <c r="AD140" s="2419"/>
      <c r="AE140" s="2419"/>
      <c r="AF140" s="2419"/>
      <c r="AG140" s="2419"/>
      <c r="AH140" s="2419"/>
      <c r="AI140" s="2419"/>
      <c r="AJ140" s="2419"/>
      <c r="AK140" s="2419"/>
      <c r="AL140" s="2419"/>
      <c r="AM140" s="2419"/>
      <c r="AN140" s="2419"/>
      <c r="AO140" s="2419"/>
      <c r="AP140" s="2419"/>
      <c r="AQ140" s="2419"/>
      <c r="AR140" s="2419"/>
      <c r="AS140" s="2419"/>
      <c r="AT140" s="2419"/>
      <c r="AU140" s="2419"/>
      <c r="AV140" s="2419"/>
      <c r="AW140" s="2419"/>
      <c r="AX140" s="2420"/>
      <c r="AY140" s="1209"/>
      <c r="AZ140" s="1209"/>
      <c r="BA140" s="1209"/>
      <c r="BB140" s="1209"/>
      <c r="BC140" s="1209" t="s">
        <v>251</v>
      </c>
      <c r="BD140" s="1209"/>
      <c r="BE140" s="1205"/>
    </row>
    <row r="141" spans="1:57" ht="15.75" customHeight="1">
      <c r="A141" s="1209"/>
      <c r="B141" s="2421" t="s">
        <v>2191</v>
      </c>
      <c r="C141" s="2422"/>
      <c r="D141" s="2422"/>
      <c r="E141" s="2422"/>
      <c r="F141" s="2422"/>
      <c r="G141" s="2422"/>
      <c r="H141" s="2422"/>
      <c r="I141" s="2422"/>
      <c r="J141" s="2422"/>
      <c r="K141" s="2422"/>
      <c r="L141" s="2422"/>
      <c r="M141" s="2422"/>
      <c r="N141" s="2422"/>
      <c r="O141" s="2422"/>
      <c r="P141" s="2422"/>
      <c r="Q141" s="2422"/>
      <c r="R141" s="2422"/>
      <c r="S141" s="2422"/>
      <c r="T141" s="2422"/>
      <c r="U141" s="2422"/>
      <c r="V141" s="2422"/>
      <c r="W141" s="2422"/>
      <c r="X141" s="2422"/>
      <c r="Y141" s="2422"/>
      <c r="Z141" s="2422"/>
      <c r="AA141" s="2422"/>
      <c r="AB141" s="2422"/>
      <c r="AC141" s="2422"/>
      <c r="AD141" s="2422"/>
      <c r="AE141" s="2422"/>
      <c r="AF141" s="2422"/>
      <c r="AG141" s="2422"/>
      <c r="AH141" s="2422"/>
      <c r="AI141" s="2422"/>
      <c r="AJ141" s="2422"/>
      <c r="AK141" s="2422"/>
      <c r="AL141" s="2422"/>
      <c r="AM141" s="2422"/>
      <c r="AN141" s="2422"/>
      <c r="AO141" s="2422"/>
      <c r="AP141" s="2422"/>
      <c r="AQ141" s="2422"/>
      <c r="AR141" s="2422"/>
      <c r="AS141" s="2422"/>
      <c r="AT141" s="2422"/>
      <c r="AU141" s="2422"/>
      <c r="AV141" s="2422"/>
      <c r="AW141" s="2422"/>
      <c r="AX141" s="2423"/>
      <c r="AY141" s="1209"/>
      <c r="AZ141" s="1209"/>
      <c r="BA141" s="1209"/>
      <c r="BB141" s="1209"/>
      <c r="BC141" s="1209"/>
      <c r="BD141" s="1209"/>
      <c r="BE141" s="1205"/>
    </row>
    <row r="142" spans="1:57" ht="15.75" customHeight="1">
      <c r="A142" s="1209"/>
      <c r="B142" s="2421"/>
      <c r="C142" s="2422"/>
      <c r="D142" s="2422"/>
      <c r="E142" s="2422"/>
      <c r="F142" s="2422"/>
      <c r="G142" s="2422"/>
      <c r="H142" s="2422"/>
      <c r="I142" s="2422"/>
      <c r="J142" s="2422"/>
      <c r="K142" s="2422"/>
      <c r="L142" s="2422"/>
      <c r="M142" s="2422"/>
      <c r="N142" s="2422"/>
      <c r="O142" s="2422"/>
      <c r="P142" s="2422"/>
      <c r="Q142" s="2422"/>
      <c r="R142" s="2422"/>
      <c r="S142" s="2422"/>
      <c r="T142" s="2422"/>
      <c r="U142" s="2422"/>
      <c r="V142" s="2422"/>
      <c r="W142" s="2422"/>
      <c r="X142" s="2422"/>
      <c r="Y142" s="2422"/>
      <c r="Z142" s="2422"/>
      <c r="AA142" s="2422"/>
      <c r="AB142" s="2422"/>
      <c r="AC142" s="2422"/>
      <c r="AD142" s="2422"/>
      <c r="AE142" s="2422"/>
      <c r="AF142" s="2422"/>
      <c r="AG142" s="2422"/>
      <c r="AH142" s="2422"/>
      <c r="AI142" s="2422"/>
      <c r="AJ142" s="2422"/>
      <c r="AK142" s="2422"/>
      <c r="AL142" s="2422"/>
      <c r="AM142" s="2422"/>
      <c r="AN142" s="2422"/>
      <c r="AO142" s="2422"/>
      <c r="AP142" s="2422"/>
      <c r="AQ142" s="2422"/>
      <c r="AR142" s="2422"/>
      <c r="AS142" s="2422"/>
      <c r="AT142" s="2422"/>
      <c r="AU142" s="2422"/>
      <c r="AV142" s="2422"/>
      <c r="AW142" s="2422"/>
      <c r="AX142" s="2423"/>
      <c r="AY142" s="1209"/>
      <c r="AZ142" s="1209"/>
      <c r="BA142" s="1209"/>
      <c r="BB142" s="1209"/>
      <c r="BC142" s="1209"/>
      <c r="BD142" s="1209"/>
      <c r="BE142" s="1205"/>
    </row>
    <row r="143" spans="1:57" ht="15.75" customHeight="1">
      <c r="A143" s="1209"/>
      <c r="B143" s="2421"/>
      <c r="C143" s="2422"/>
      <c r="D143" s="2422"/>
      <c r="E143" s="2422"/>
      <c r="F143" s="2422"/>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c r="AJ143" s="2422"/>
      <c r="AK143" s="2422"/>
      <c r="AL143" s="2422"/>
      <c r="AM143" s="2422"/>
      <c r="AN143" s="2422"/>
      <c r="AO143" s="2422"/>
      <c r="AP143" s="2422"/>
      <c r="AQ143" s="2422"/>
      <c r="AR143" s="2422"/>
      <c r="AS143" s="2422"/>
      <c r="AT143" s="2422"/>
      <c r="AU143" s="2422"/>
      <c r="AV143" s="2422"/>
      <c r="AW143" s="2422"/>
      <c r="AX143" s="2423"/>
      <c r="AY143" s="1209"/>
      <c r="AZ143" s="1209"/>
      <c r="BA143" s="1209"/>
      <c r="BB143" s="1209"/>
      <c r="BC143" s="1209"/>
      <c r="BD143" s="1209"/>
      <c r="BE143" s="1205"/>
    </row>
    <row r="144" spans="1:57" ht="15.75" customHeight="1">
      <c r="A144" s="1209"/>
      <c r="B144" s="2421"/>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c r="AJ144" s="2422"/>
      <c r="AK144" s="2422"/>
      <c r="AL144" s="2422"/>
      <c r="AM144" s="2422"/>
      <c r="AN144" s="2422"/>
      <c r="AO144" s="2422"/>
      <c r="AP144" s="2422"/>
      <c r="AQ144" s="2422"/>
      <c r="AR144" s="2422"/>
      <c r="AS144" s="2422"/>
      <c r="AT144" s="2422"/>
      <c r="AU144" s="2422"/>
      <c r="AV144" s="2422"/>
      <c r="AW144" s="2422"/>
      <c r="AX144" s="2423"/>
      <c r="AY144" s="1209"/>
      <c r="AZ144" s="1209"/>
      <c r="BA144" s="1209"/>
      <c r="BB144" s="1209"/>
      <c r="BC144" s="1209"/>
      <c r="BD144" s="1209"/>
      <c r="BE144" s="1205"/>
    </row>
    <row r="145" spans="1:57" ht="15.75" customHeight="1">
      <c r="A145" s="1209"/>
      <c r="B145" s="2421"/>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c r="AJ145" s="2422"/>
      <c r="AK145" s="2422"/>
      <c r="AL145" s="2422"/>
      <c r="AM145" s="2422"/>
      <c r="AN145" s="2422"/>
      <c r="AO145" s="2422"/>
      <c r="AP145" s="2422"/>
      <c r="AQ145" s="2422"/>
      <c r="AR145" s="2422"/>
      <c r="AS145" s="2422"/>
      <c r="AT145" s="2422"/>
      <c r="AU145" s="2422"/>
      <c r="AV145" s="2422"/>
      <c r="AW145" s="2422"/>
      <c r="AX145" s="2423"/>
      <c r="AY145" s="1209"/>
      <c r="AZ145" s="1209"/>
      <c r="BA145" s="1209"/>
      <c r="BB145" s="1209"/>
      <c r="BC145" s="1209"/>
      <c r="BD145" s="1209"/>
      <c r="BE145" s="1205"/>
    </row>
    <row r="146" spans="1:57" ht="15.75" customHeight="1">
      <c r="A146" s="1209"/>
      <c r="B146" s="2421"/>
      <c r="C146" s="2422"/>
      <c r="D146" s="2422"/>
      <c r="E146" s="2422"/>
      <c r="F146" s="2422"/>
      <c r="G146" s="2422"/>
      <c r="H146" s="2422"/>
      <c r="I146" s="2422"/>
      <c r="J146" s="2422"/>
      <c r="K146" s="2422"/>
      <c r="L146" s="2422"/>
      <c r="M146" s="2422"/>
      <c r="N146" s="2422"/>
      <c r="O146" s="2422"/>
      <c r="P146" s="2422"/>
      <c r="Q146" s="2422"/>
      <c r="R146" s="2422"/>
      <c r="S146" s="2422"/>
      <c r="T146" s="2422"/>
      <c r="U146" s="2422"/>
      <c r="V146" s="2422"/>
      <c r="W146" s="2422"/>
      <c r="X146" s="2422"/>
      <c r="Y146" s="2422"/>
      <c r="Z146" s="2422"/>
      <c r="AA146" s="2422"/>
      <c r="AB146" s="2422"/>
      <c r="AC146" s="2422"/>
      <c r="AD146" s="2422"/>
      <c r="AE146" s="2422"/>
      <c r="AF146" s="2422"/>
      <c r="AG146" s="2422"/>
      <c r="AH146" s="2422"/>
      <c r="AI146" s="2422"/>
      <c r="AJ146" s="2422"/>
      <c r="AK146" s="2422"/>
      <c r="AL146" s="2422"/>
      <c r="AM146" s="2422"/>
      <c r="AN146" s="2422"/>
      <c r="AO146" s="2422"/>
      <c r="AP146" s="2422"/>
      <c r="AQ146" s="2422"/>
      <c r="AR146" s="2422"/>
      <c r="AS146" s="2422"/>
      <c r="AT146" s="2422"/>
      <c r="AU146" s="2422"/>
      <c r="AV146" s="2422"/>
      <c r="AW146" s="2422"/>
      <c r="AX146" s="2423"/>
      <c r="AY146" s="1209"/>
      <c r="AZ146" s="1209"/>
      <c r="BA146" s="1209"/>
      <c r="BB146" s="1209"/>
      <c r="BC146" s="1209"/>
      <c r="BD146" s="1209"/>
      <c r="BE146" s="1205"/>
    </row>
    <row r="147" spans="1:57" ht="15.75" customHeight="1">
      <c r="A147" s="1209"/>
      <c r="B147" s="2421"/>
      <c r="C147" s="2422"/>
      <c r="D147" s="2422"/>
      <c r="E147" s="2422"/>
      <c r="F147" s="2422"/>
      <c r="G147" s="2422"/>
      <c r="H147" s="2422"/>
      <c r="I147" s="2422"/>
      <c r="J147" s="2422"/>
      <c r="K147" s="2422"/>
      <c r="L147" s="2422"/>
      <c r="M147" s="2422"/>
      <c r="N147" s="2422"/>
      <c r="O147" s="2422"/>
      <c r="P147" s="2422"/>
      <c r="Q147" s="2422"/>
      <c r="R147" s="2422"/>
      <c r="S147" s="2422"/>
      <c r="T147" s="2422"/>
      <c r="U147" s="2422"/>
      <c r="V147" s="2422"/>
      <c r="W147" s="2422"/>
      <c r="X147" s="2422"/>
      <c r="Y147" s="2422"/>
      <c r="Z147" s="2422"/>
      <c r="AA147" s="2422"/>
      <c r="AB147" s="2422"/>
      <c r="AC147" s="2422"/>
      <c r="AD147" s="2422"/>
      <c r="AE147" s="2422"/>
      <c r="AF147" s="2422"/>
      <c r="AG147" s="2422"/>
      <c r="AH147" s="2422"/>
      <c r="AI147" s="2422"/>
      <c r="AJ147" s="2422"/>
      <c r="AK147" s="2422"/>
      <c r="AL147" s="2422"/>
      <c r="AM147" s="2422"/>
      <c r="AN147" s="2422"/>
      <c r="AO147" s="2422"/>
      <c r="AP147" s="2422"/>
      <c r="AQ147" s="2422"/>
      <c r="AR147" s="2422"/>
      <c r="AS147" s="2422"/>
      <c r="AT147" s="2422"/>
      <c r="AU147" s="2422"/>
      <c r="AV147" s="2422"/>
      <c r="AW147" s="2422"/>
      <c r="AX147" s="2423"/>
      <c r="AY147" s="1209"/>
      <c r="AZ147" s="1209"/>
      <c r="BA147" s="1209"/>
      <c r="BB147" s="1209"/>
      <c r="BC147" s="1209"/>
      <c r="BD147" s="1209"/>
      <c r="BE147" s="1205"/>
    </row>
    <row r="148" spans="1:57" ht="15.75" customHeight="1">
      <c r="A148" s="1209"/>
      <c r="B148" s="2421"/>
      <c r="C148" s="2422"/>
      <c r="D148" s="2422"/>
      <c r="E148" s="2422"/>
      <c r="F148" s="2422"/>
      <c r="G148" s="2422"/>
      <c r="H148" s="2422"/>
      <c r="I148" s="2422"/>
      <c r="J148" s="2422"/>
      <c r="K148" s="2422"/>
      <c r="L148" s="2422"/>
      <c r="M148" s="2422"/>
      <c r="N148" s="2422"/>
      <c r="O148" s="2422"/>
      <c r="P148" s="2422"/>
      <c r="Q148" s="2422"/>
      <c r="R148" s="2422"/>
      <c r="S148" s="2422"/>
      <c r="T148" s="2422"/>
      <c r="U148" s="2422"/>
      <c r="V148" s="2422"/>
      <c r="W148" s="2422"/>
      <c r="X148" s="2422"/>
      <c r="Y148" s="2422"/>
      <c r="Z148" s="2422"/>
      <c r="AA148" s="2422"/>
      <c r="AB148" s="2422"/>
      <c r="AC148" s="2422"/>
      <c r="AD148" s="2422"/>
      <c r="AE148" s="2422"/>
      <c r="AF148" s="2422"/>
      <c r="AG148" s="2422"/>
      <c r="AH148" s="2422"/>
      <c r="AI148" s="2422"/>
      <c r="AJ148" s="2422"/>
      <c r="AK148" s="2422"/>
      <c r="AL148" s="2422"/>
      <c r="AM148" s="2422"/>
      <c r="AN148" s="2422"/>
      <c r="AO148" s="2422"/>
      <c r="AP148" s="2422"/>
      <c r="AQ148" s="2422"/>
      <c r="AR148" s="2422"/>
      <c r="AS148" s="2422"/>
      <c r="AT148" s="2422"/>
      <c r="AU148" s="2422"/>
      <c r="AV148" s="2422"/>
      <c r="AW148" s="2422"/>
      <c r="AX148" s="2423"/>
      <c r="AY148" s="1209"/>
      <c r="AZ148" s="1209"/>
      <c r="BA148" s="1209"/>
      <c r="BB148" s="1209"/>
      <c r="BC148" s="1209"/>
      <c r="BD148" s="1209"/>
      <c r="BE148" s="1205"/>
    </row>
    <row r="149" spans="1:57" ht="15.75" customHeight="1">
      <c r="A149" s="1209"/>
      <c r="B149" s="2421"/>
      <c r="C149" s="2422"/>
      <c r="D149" s="2422"/>
      <c r="E149" s="2422"/>
      <c r="F149" s="2422"/>
      <c r="G149" s="2422"/>
      <c r="H149" s="2422"/>
      <c r="I149" s="2422"/>
      <c r="J149" s="2422"/>
      <c r="K149" s="2422"/>
      <c r="L149" s="2422"/>
      <c r="M149" s="2422"/>
      <c r="N149" s="2422"/>
      <c r="O149" s="2422"/>
      <c r="P149" s="2422"/>
      <c r="Q149" s="2422"/>
      <c r="R149" s="2422"/>
      <c r="S149" s="2422"/>
      <c r="T149" s="2422"/>
      <c r="U149" s="2422"/>
      <c r="V149" s="2422"/>
      <c r="W149" s="2422"/>
      <c r="X149" s="2422"/>
      <c r="Y149" s="2422"/>
      <c r="Z149" s="2422"/>
      <c r="AA149" s="2422"/>
      <c r="AB149" s="2422"/>
      <c r="AC149" s="2422"/>
      <c r="AD149" s="2422"/>
      <c r="AE149" s="2422"/>
      <c r="AF149" s="2422"/>
      <c r="AG149" s="2422"/>
      <c r="AH149" s="2422"/>
      <c r="AI149" s="2422"/>
      <c r="AJ149" s="2422"/>
      <c r="AK149" s="2422"/>
      <c r="AL149" s="2422"/>
      <c r="AM149" s="2422"/>
      <c r="AN149" s="2422"/>
      <c r="AO149" s="2422"/>
      <c r="AP149" s="2422"/>
      <c r="AQ149" s="2422"/>
      <c r="AR149" s="2422"/>
      <c r="AS149" s="2422"/>
      <c r="AT149" s="2422"/>
      <c r="AU149" s="2422"/>
      <c r="AV149" s="2422"/>
      <c r="AW149" s="2422"/>
      <c r="AX149" s="2423"/>
      <c r="AY149" s="1209"/>
      <c r="AZ149" s="1209"/>
      <c r="BA149" s="1209"/>
      <c r="BB149" s="1209"/>
      <c r="BC149" s="1209"/>
      <c r="BD149" s="1209"/>
      <c r="BE149" s="1205"/>
    </row>
    <row r="150" spans="1:57" ht="15.75" customHeight="1" thickBot="1">
      <c r="A150" s="1209"/>
      <c r="B150" s="2424"/>
      <c r="C150" s="2425"/>
      <c r="D150" s="2425"/>
      <c r="E150" s="2425"/>
      <c r="F150" s="2425"/>
      <c r="G150" s="2425"/>
      <c r="H150" s="2425"/>
      <c r="I150" s="2425"/>
      <c r="J150" s="2425"/>
      <c r="K150" s="2425"/>
      <c r="L150" s="2425"/>
      <c r="M150" s="2425"/>
      <c r="N150" s="2425"/>
      <c r="O150" s="2425"/>
      <c r="P150" s="2425"/>
      <c r="Q150" s="2425"/>
      <c r="R150" s="2425"/>
      <c r="S150" s="2425"/>
      <c r="T150" s="2425"/>
      <c r="U150" s="2425"/>
      <c r="V150" s="2425"/>
      <c r="W150" s="2425"/>
      <c r="X150" s="2425"/>
      <c r="Y150" s="2425"/>
      <c r="Z150" s="2425"/>
      <c r="AA150" s="2425"/>
      <c r="AB150" s="2425"/>
      <c r="AC150" s="2425"/>
      <c r="AD150" s="2425"/>
      <c r="AE150" s="2425"/>
      <c r="AF150" s="2425"/>
      <c r="AG150" s="2425"/>
      <c r="AH150" s="2425"/>
      <c r="AI150" s="2425"/>
      <c r="AJ150" s="2425"/>
      <c r="AK150" s="2425"/>
      <c r="AL150" s="2425"/>
      <c r="AM150" s="2425"/>
      <c r="AN150" s="2425"/>
      <c r="AO150" s="2425"/>
      <c r="AP150" s="2425"/>
      <c r="AQ150" s="2425"/>
      <c r="AR150" s="2425"/>
      <c r="AS150" s="2425"/>
      <c r="AT150" s="2425"/>
      <c r="AU150" s="2425"/>
      <c r="AV150" s="2425"/>
      <c r="AW150" s="2425"/>
      <c r="AX150" s="2426"/>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6" t="s">
        <v>1838</v>
      </c>
      <c r="C154" s="2212"/>
      <c r="D154" s="2212"/>
      <c r="E154" s="2212"/>
      <c r="F154" s="2212"/>
      <c r="G154" s="2212"/>
      <c r="H154" s="2212"/>
      <c r="I154" s="2212"/>
      <c r="J154" s="2212"/>
      <c r="K154" s="2212"/>
      <c r="L154" s="2212"/>
      <c r="M154" s="2212"/>
      <c r="N154" s="2212"/>
      <c r="O154" s="2212"/>
      <c r="P154" s="2212"/>
      <c r="Q154" s="2212"/>
      <c r="R154" s="2212"/>
      <c r="S154" s="2212"/>
      <c r="T154" s="2212"/>
      <c r="U154" s="2213"/>
      <c r="V154" s="1209"/>
      <c r="W154" s="1217"/>
      <c r="X154" s="2416" t="s">
        <v>2193</v>
      </c>
      <c r="Y154" s="2212"/>
      <c r="Z154" s="2212"/>
      <c r="AA154" s="2212"/>
      <c r="AB154" s="2212"/>
      <c r="AC154" s="2212"/>
      <c r="AD154" s="2212"/>
      <c r="AE154" s="2212"/>
      <c r="AF154" s="2212"/>
      <c r="AG154" s="2212"/>
      <c r="AH154" s="2212"/>
      <c r="AI154" s="2212"/>
      <c r="AJ154" s="2212"/>
      <c r="AK154" s="2212"/>
      <c r="AL154" s="2212"/>
      <c r="AM154" s="2212"/>
      <c r="AN154" s="2212"/>
      <c r="AO154" s="2212"/>
      <c r="AP154" s="2212"/>
      <c r="AQ154" s="2213"/>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5"/>
      <c r="C155" s="2396"/>
      <c r="D155" s="2396"/>
      <c r="E155" s="2396"/>
      <c r="F155" s="2396"/>
      <c r="G155" s="2396"/>
      <c r="H155" s="2396"/>
      <c r="I155" s="2410" t="s">
        <v>1829</v>
      </c>
      <c r="J155" s="2410"/>
      <c r="K155" s="2410"/>
      <c r="L155" s="2410"/>
      <c r="M155" s="2410"/>
      <c r="N155" s="2410"/>
      <c r="O155" s="2410"/>
      <c r="P155" s="2410" t="s">
        <v>2194</v>
      </c>
      <c r="Q155" s="2410"/>
      <c r="R155" s="2410"/>
      <c r="S155" s="2410"/>
      <c r="T155" s="2410"/>
      <c r="U155" s="2411"/>
      <c r="V155" s="1209"/>
      <c r="W155" s="1209"/>
      <c r="X155" s="2395"/>
      <c r="Y155" s="2396"/>
      <c r="Z155" s="2396"/>
      <c r="AA155" s="2396"/>
      <c r="AB155" s="2396"/>
      <c r="AC155" s="2396"/>
      <c r="AD155" s="2396"/>
      <c r="AE155" s="2410" t="s">
        <v>1829</v>
      </c>
      <c r="AF155" s="2410"/>
      <c r="AG155" s="2410"/>
      <c r="AH155" s="2410"/>
      <c r="AI155" s="2410"/>
      <c r="AJ155" s="2410"/>
      <c r="AK155" s="2410"/>
      <c r="AL155" s="2410" t="s">
        <v>2188</v>
      </c>
      <c r="AM155" s="2410"/>
      <c r="AN155" s="2410"/>
      <c r="AO155" s="2410"/>
      <c r="AP155" s="2410"/>
      <c r="AQ155" s="2411"/>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5"/>
      <c r="C156" s="2396"/>
      <c r="D156" s="2396"/>
      <c r="E156" s="2396"/>
      <c r="F156" s="2396"/>
      <c r="G156" s="2396"/>
      <c r="H156" s="2396"/>
      <c r="I156" s="2410"/>
      <c r="J156" s="2410"/>
      <c r="K156" s="2410"/>
      <c r="L156" s="2410"/>
      <c r="M156" s="2410"/>
      <c r="N156" s="2410"/>
      <c r="O156" s="2410"/>
      <c r="P156" s="2410"/>
      <c r="Q156" s="2410"/>
      <c r="R156" s="2410"/>
      <c r="S156" s="2410"/>
      <c r="T156" s="2410"/>
      <c r="U156" s="2411"/>
      <c r="V156" s="1209"/>
      <c r="W156" s="1209"/>
      <c r="X156" s="2395"/>
      <c r="Y156" s="2396"/>
      <c r="Z156" s="2396"/>
      <c r="AA156" s="2396"/>
      <c r="AB156" s="2396"/>
      <c r="AC156" s="2396"/>
      <c r="AD156" s="2396"/>
      <c r="AE156" s="2410"/>
      <c r="AF156" s="2410"/>
      <c r="AG156" s="2410"/>
      <c r="AH156" s="2410"/>
      <c r="AI156" s="2410"/>
      <c r="AJ156" s="2410"/>
      <c r="AK156" s="2410"/>
      <c r="AL156" s="2410"/>
      <c r="AM156" s="2410"/>
      <c r="AN156" s="2410"/>
      <c r="AO156" s="2410"/>
      <c r="AP156" s="2410"/>
      <c r="AQ156" s="2411"/>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2" t="s">
        <v>2176</v>
      </c>
      <c r="C157" s="2413"/>
      <c r="D157" s="2413"/>
      <c r="E157" s="2413"/>
      <c r="F157" s="2413"/>
      <c r="G157" s="2413"/>
      <c r="H157" s="2413"/>
      <c r="I157" s="2172">
        <v>0</v>
      </c>
      <c r="J157" s="2172"/>
      <c r="K157" s="2172"/>
      <c r="L157" s="2172"/>
      <c r="M157" s="2172"/>
      <c r="N157" s="2172"/>
      <c r="O157" s="2172"/>
      <c r="P157" s="2172">
        <v>0</v>
      </c>
      <c r="Q157" s="2172"/>
      <c r="R157" s="2172"/>
      <c r="S157" s="2172"/>
      <c r="T157" s="2172"/>
      <c r="U157" s="2173"/>
      <c r="V157" s="1209"/>
      <c r="W157" s="1209"/>
      <c r="X157" s="2414" t="s">
        <v>2176</v>
      </c>
      <c r="Y157" s="2415"/>
      <c r="Z157" s="2415"/>
      <c r="AA157" s="2415"/>
      <c r="AB157" s="2415"/>
      <c r="AC157" s="2415"/>
      <c r="AD157" s="2415"/>
      <c r="AE157" s="2170">
        <v>0</v>
      </c>
      <c r="AF157" s="2170"/>
      <c r="AG157" s="2170"/>
      <c r="AH157" s="2170"/>
      <c r="AI157" s="2170"/>
      <c r="AJ157" s="2170"/>
      <c r="AK157" s="2170"/>
      <c r="AL157" s="2170">
        <v>0</v>
      </c>
      <c r="AM157" s="2170"/>
      <c r="AN157" s="2170"/>
      <c r="AO157" s="2170"/>
      <c r="AP157" s="2170"/>
      <c r="AQ157" s="2171"/>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4" t="s">
        <v>2177</v>
      </c>
      <c r="C158" s="2415"/>
      <c r="D158" s="2415"/>
      <c r="E158" s="2415"/>
      <c r="F158" s="2415"/>
      <c r="G158" s="2415"/>
      <c r="H158" s="2415"/>
      <c r="I158" s="2170">
        <v>0</v>
      </c>
      <c r="J158" s="2170"/>
      <c r="K158" s="2170"/>
      <c r="L158" s="2170"/>
      <c r="M158" s="2170"/>
      <c r="N158" s="2170"/>
      <c r="O158" s="2170"/>
      <c r="P158" s="2170">
        <v>0</v>
      </c>
      <c r="Q158" s="2170"/>
      <c r="R158" s="2170"/>
      <c r="S158" s="2170"/>
      <c r="T158" s="2170"/>
      <c r="U158" s="2171"/>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6" t="s">
        <v>2178</v>
      </c>
      <c r="D160" s="2212"/>
      <c r="E160" s="2212"/>
      <c r="F160" s="2212"/>
      <c r="G160" s="2212"/>
      <c r="H160" s="2212"/>
      <c r="I160" s="2212"/>
      <c r="J160" s="2212"/>
      <c r="K160" s="2212"/>
      <c r="L160" s="2212"/>
      <c r="M160" s="2212"/>
      <c r="N160" s="2212"/>
      <c r="O160" s="2212"/>
      <c r="P160" s="2212"/>
      <c r="Q160" s="2212"/>
      <c r="R160" s="2212"/>
      <c r="S160" s="2212"/>
      <c r="T160" s="2212"/>
      <c r="U160" s="2212"/>
      <c r="V160" s="2212"/>
      <c r="W160" s="2212"/>
      <c r="X160" s="2212"/>
      <c r="Y160" s="2212"/>
      <c r="Z160" s="2212"/>
      <c r="AA160" s="2212"/>
      <c r="AB160" s="2212"/>
      <c r="AC160" s="2212"/>
      <c r="AD160" s="2212"/>
      <c r="AE160" s="2212"/>
      <c r="AF160" s="2212"/>
      <c r="AG160" s="221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5" t="s">
        <v>1839</v>
      </c>
      <c r="D161" s="2396"/>
      <c r="E161" s="2396"/>
      <c r="F161" s="2396"/>
      <c r="G161" s="2396"/>
      <c r="H161" s="2396"/>
      <c r="I161" s="2396"/>
      <c r="J161" s="2396"/>
      <c r="K161" s="2396"/>
      <c r="L161" s="2396"/>
      <c r="M161" s="2396"/>
      <c r="N161" s="2396"/>
      <c r="O161" s="2396"/>
      <c r="P161" s="2396"/>
      <c r="Q161" s="2396" t="s">
        <v>1840</v>
      </c>
      <c r="R161" s="2396"/>
      <c r="S161" s="2396"/>
      <c r="T161" s="2177" t="s">
        <v>2179</v>
      </c>
      <c r="U161" s="2177"/>
      <c r="V161" s="2177"/>
      <c r="W161" s="2177"/>
      <c r="X161" s="2177"/>
      <c r="Y161" s="2177"/>
      <c r="Z161" s="2177"/>
      <c r="AA161" s="2177"/>
      <c r="AB161" s="2396" t="s">
        <v>1841</v>
      </c>
      <c r="AC161" s="2396"/>
      <c r="AD161" s="2396"/>
      <c r="AE161" s="2396"/>
      <c r="AF161" s="2396"/>
      <c r="AG161" s="2397"/>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4" t="s">
        <v>1842</v>
      </c>
      <c r="D162" s="2405"/>
      <c r="E162" s="2405"/>
      <c r="F162" s="2405"/>
      <c r="G162" s="2405"/>
      <c r="H162" s="2405"/>
      <c r="I162" s="2405"/>
      <c r="J162" s="2405"/>
      <c r="K162" s="2405"/>
      <c r="L162" s="2405"/>
      <c r="M162" s="2405"/>
      <c r="N162" s="2405"/>
      <c r="O162" s="2405"/>
      <c r="P162" s="2405"/>
      <c r="Q162" s="2354">
        <v>55</v>
      </c>
      <c r="R162" s="2354"/>
      <c r="S162" s="2354"/>
      <c r="T162" s="2368"/>
      <c r="U162" s="2368"/>
      <c r="V162" s="2368"/>
      <c r="W162" s="2368"/>
      <c r="X162" s="2368"/>
      <c r="Y162" s="2368"/>
      <c r="Z162" s="2368"/>
      <c r="AA162" s="2368"/>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4" t="s">
        <v>1843</v>
      </c>
      <c r="D163" s="2405"/>
      <c r="E163" s="2405"/>
      <c r="F163" s="2405"/>
      <c r="G163" s="2405"/>
      <c r="H163" s="2405"/>
      <c r="I163" s="2405"/>
      <c r="J163" s="2405"/>
      <c r="K163" s="2405"/>
      <c r="L163" s="2405"/>
      <c r="M163" s="2405"/>
      <c r="N163" s="2405"/>
      <c r="O163" s="2405"/>
      <c r="P163" s="2405"/>
      <c r="Q163" s="2354">
        <v>55</v>
      </c>
      <c r="R163" s="2354"/>
      <c r="S163" s="2354"/>
      <c r="T163" s="2407"/>
      <c r="U163" s="2407"/>
      <c r="V163" s="2407"/>
      <c r="W163" s="2407"/>
      <c r="X163" s="2407"/>
      <c r="Y163" s="2407"/>
      <c r="Z163" s="2407"/>
      <c r="AA163" s="240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4" t="s">
        <v>1844</v>
      </c>
      <c r="D164" s="2405"/>
      <c r="E164" s="2405"/>
      <c r="F164" s="2405"/>
      <c r="G164" s="2405"/>
      <c r="H164" s="2405"/>
      <c r="I164" s="2405"/>
      <c r="J164" s="2405"/>
      <c r="K164" s="2405"/>
      <c r="L164" s="2405"/>
      <c r="M164" s="2405"/>
      <c r="N164" s="2405"/>
      <c r="O164" s="2405"/>
      <c r="P164" s="2405"/>
      <c r="Q164" s="2354">
        <v>55</v>
      </c>
      <c r="R164" s="2354"/>
      <c r="S164" s="2354"/>
      <c r="T164" s="2368"/>
      <c r="U164" s="2368"/>
      <c r="V164" s="2368"/>
      <c r="W164" s="2368"/>
      <c r="X164" s="2368"/>
      <c r="Y164" s="2368"/>
      <c r="Z164" s="2368"/>
      <c r="AA164" s="2368"/>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4" t="s">
        <v>1815</v>
      </c>
      <c r="D165" s="2405"/>
      <c r="E165" s="2405"/>
      <c r="F165" s="2405"/>
      <c r="G165" s="2405"/>
      <c r="H165" s="2405"/>
      <c r="I165" s="2405"/>
      <c r="J165" s="2405"/>
      <c r="K165" s="2405"/>
      <c r="L165" s="2405"/>
      <c r="M165" s="2405"/>
      <c r="N165" s="2405"/>
      <c r="O165" s="2405"/>
      <c r="P165" s="2405"/>
      <c r="Q165" s="2354">
        <v>55</v>
      </c>
      <c r="R165" s="2354"/>
      <c r="S165" s="2354"/>
      <c r="T165" s="2368"/>
      <c r="U165" s="2368"/>
      <c r="V165" s="2368"/>
      <c r="W165" s="2368"/>
      <c r="X165" s="2368"/>
      <c r="Y165" s="2368"/>
      <c r="Z165" s="2368"/>
      <c r="AA165" s="2368"/>
      <c r="AB165" s="2408">
        <v>0</v>
      </c>
      <c r="AC165" s="2408"/>
      <c r="AD165" s="2408"/>
      <c r="AE165" s="2408"/>
      <c r="AF165" s="2408"/>
      <c r="AG165" s="2409"/>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4" t="s">
        <v>170</v>
      </c>
      <c r="D166" s="2405"/>
      <c r="E166" s="2405"/>
      <c r="F166" s="2406" t="s">
        <v>1845</v>
      </c>
      <c r="G166" s="2406"/>
      <c r="H166" s="2406"/>
      <c r="I166" s="2406"/>
      <c r="J166" s="2406"/>
      <c r="K166" s="2406"/>
      <c r="L166" s="2406"/>
      <c r="M166" s="2406"/>
      <c r="N166" s="2406"/>
      <c r="O166" s="2406"/>
      <c r="P166" s="2406"/>
      <c r="Q166" s="2354">
        <v>55</v>
      </c>
      <c r="R166" s="2354"/>
      <c r="S166" s="2354"/>
      <c r="T166" s="2407"/>
      <c r="U166" s="2407"/>
      <c r="V166" s="2407"/>
      <c r="W166" s="2407"/>
      <c r="X166" s="2407"/>
      <c r="Y166" s="2407"/>
      <c r="Z166" s="2407"/>
      <c r="AA166" s="2407"/>
      <c r="AB166" s="2408">
        <v>0</v>
      </c>
      <c r="AC166" s="2408"/>
      <c r="AD166" s="2408"/>
      <c r="AE166" s="2408"/>
      <c r="AF166" s="2408"/>
      <c r="AG166" s="2409"/>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4" t="s">
        <v>170</v>
      </c>
      <c r="D167" s="2405"/>
      <c r="E167" s="2405"/>
      <c r="F167" s="2406" t="s">
        <v>1845</v>
      </c>
      <c r="G167" s="2406"/>
      <c r="H167" s="2406"/>
      <c r="I167" s="2406"/>
      <c r="J167" s="2406"/>
      <c r="K167" s="2406"/>
      <c r="L167" s="2406"/>
      <c r="M167" s="2406"/>
      <c r="N167" s="2406"/>
      <c r="O167" s="2406"/>
      <c r="P167" s="2406"/>
      <c r="Q167" s="2354">
        <v>55</v>
      </c>
      <c r="R167" s="2354"/>
      <c r="S167" s="2354"/>
      <c r="T167" s="2407"/>
      <c r="U167" s="2407"/>
      <c r="V167" s="2407"/>
      <c r="W167" s="2407"/>
      <c r="X167" s="2407"/>
      <c r="Y167" s="2407"/>
      <c r="Z167" s="2407"/>
      <c r="AA167" s="2407"/>
      <c r="AB167" s="2408">
        <v>0</v>
      </c>
      <c r="AC167" s="2408"/>
      <c r="AD167" s="2408"/>
      <c r="AE167" s="2408"/>
      <c r="AF167" s="2408"/>
      <c r="AG167" s="2409"/>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5" t="s">
        <v>170</v>
      </c>
      <c r="D168" s="2376"/>
      <c r="E168" s="2376"/>
      <c r="F168" s="2377" t="s">
        <v>1845</v>
      </c>
      <c r="G168" s="2377"/>
      <c r="H168" s="2377"/>
      <c r="I168" s="2377"/>
      <c r="J168" s="2377"/>
      <c r="K168" s="2377"/>
      <c r="L168" s="2377"/>
      <c r="M168" s="2377"/>
      <c r="N168" s="2377"/>
      <c r="O168" s="2377"/>
      <c r="P168" s="2377"/>
      <c r="Q168" s="2378">
        <v>55</v>
      </c>
      <c r="R168" s="2378"/>
      <c r="S168" s="2378"/>
      <c r="T168" s="2379"/>
      <c r="U168" s="2379"/>
      <c r="V168" s="2379"/>
      <c r="W168" s="2379"/>
      <c r="X168" s="2379"/>
      <c r="Y168" s="2379"/>
      <c r="Z168" s="2379"/>
      <c r="AA168" s="2379"/>
      <c r="AB168" s="2380">
        <v>0</v>
      </c>
      <c r="AC168" s="2380"/>
      <c r="AD168" s="2380"/>
      <c r="AE168" s="2380"/>
      <c r="AF168" s="2380"/>
      <c r="AG168" s="238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79" t="s">
        <v>1846</v>
      </c>
      <c r="D170" s="2180"/>
      <c r="E170" s="2180"/>
      <c r="F170" s="2180"/>
      <c r="G170" s="2180"/>
      <c r="H170" s="2180"/>
      <c r="I170" s="2180"/>
      <c r="J170" s="2180"/>
      <c r="K170" s="2180"/>
      <c r="L170" s="2180"/>
      <c r="M170" s="2180"/>
      <c r="N170" s="2181"/>
      <c r="O170" s="1209"/>
      <c r="P170" s="2392" t="s">
        <v>1847</v>
      </c>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2393"/>
      <c r="AK170" s="2393"/>
      <c r="AL170" s="2393"/>
      <c r="AM170" s="2393"/>
      <c r="AN170" s="2393"/>
      <c r="AO170" s="2394"/>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5" t="s">
        <v>1848</v>
      </c>
      <c r="D171" s="2396"/>
      <c r="E171" s="2396"/>
      <c r="F171" s="2396"/>
      <c r="G171" s="2396"/>
      <c r="H171" s="2396"/>
      <c r="I171" s="2396" t="s">
        <v>1849</v>
      </c>
      <c r="J171" s="2396"/>
      <c r="K171" s="2396"/>
      <c r="L171" s="2396"/>
      <c r="M171" s="2396"/>
      <c r="N171" s="2397"/>
      <c r="O171" s="1209"/>
      <c r="P171" s="2398" t="s">
        <v>2187</v>
      </c>
      <c r="Q171" s="2399"/>
      <c r="R171" s="2399"/>
      <c r="S171" s="2399"/>
      <c r="T171" s="2399"/>
      <c r="U171" s="2399"/>
      <c r="V171" s="2399"/>
      <c r="W171" s="2399"/>
      <c r="X171" s="2399"/>
      <c r="Y171" s="2399"/>
      <c r="Z171" s="2399"/>
      <c r="AA171" s="2399"/>
      <c r="AB171" s="2399"/>
      <c r="AC171" s="2399"/>
      <c r="AD171" s="2399"/>
      <c r="AE171" s="2399"/>
      <c r="AF171" s="2399"/>
      <c r="AG171" s="2399"/>
      <c r="AH171" s="2399"/>
      <c r="AI171" s="2399"/>
      <c r="AJ171" s="2399"/>
      <c r="AK171" s="2399"/>
      <c r="AL171" s="2399"/>
      <c r="AM171" s="2399"/>
      <c r="AN171" s="2399"/>
      <c r="AO171" s="240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7"/>
      <c r="D172" s="2348"/>
      <c r="E172" s="2348"/>
      <c r="F172" s="2348"/>
      <c r="G172" s="2348"/>
      <c r="H172" s="2348"/>
      <c r="I172" s="2368"/>
      <c r="J172" s="2368"/>
      <c r="K172" s="2368"/>
      <c r="L172" s="2368"/>
      <c r="M172" s="2368"/>
      <c r="N172" s="2369"/>
      <c r="O172" s="1209"/>
      <c r="P172" s="2398"/>
      <c r="Q172" s="2399"/>
      <c r="R172" s="2399"/>
      <c r="S172" s="2399"/>
      <c r="T172" s="2399"/>
      <c r="U172" s="2399"/>
      <c r="V172" s="2399"/>
      <c r="W172" s="2399"/>
      <c r="X172" s="2399"/>
      <c r="Y172" s="2399"/>
      <c r="Z172" s="2399"/>
      <c r="AA172" s="2399"/>
      <c r="AB172" s="2399"/>
      <c r="AC172" s="2399"/>
      <c r="AD172" s="2399"/>
      <c r="AE172" s="2399"/>
      <c r="AF172" s="2399"/>
      <c r="AG172" s="2399"/>
      <c r="AH172" s="2399"/>
      <c r="AI172" s="2399"/>
      <c r="AJ172" s="2399"/>
      <c r="AK172" s="2399"/>
      <c r="AL172" s="2399"/>
      <c r="AM172" s="2399"/>
      <c r="AN172" s="2399"/>
      <c r="AO172" s="240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7"/>
      <c r="D173" s="2348"/>
      <c r="E173" s="2348"/>
      <c r="F173" s="2348"/>
      <c r="G173" s="2348"/>
      <c r="H173" s="2348"/>
      <c r="I173" s="2368"/>
      <c r="J173" s="2368"/>
      <c r="K173" s="2368"/>
      <c r="L173" s="2368"/>
      <c r="M173" s="2368"/>
      <c r="N173" s="2369"/>
      <c r="O173" s="1209"/>
      <c r="P173" s="2398"/>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40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7"/>
      <c r="D174" s="2348"/>
      <c r="E174" s="2348"/>
      <c r="F174" s="2348"/>
      <c r="G174" s="2348"/>
      <c r="H174" s="2348"/>
      <c r="I174" s="2368"/>
      <c r="J174" s="2368"/>
      <c r="K174" s="2368"/>
      <c r="L174" s="2368"/>
      <c r="M174" s="2368"/>
      <c r="N174" s="2369"/>
      <c r="O174" s="1209"/>
      <c r="P174" s="2398"/>
      <c r="Q174" s="2399"/>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40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7"/>
      <c r="D175" s="2348"/>
      <c r="E175" s="2348"/>
      <c r="F175" s="2348"/>
      <c r="G175" s="2348"/>
      <c r="H175" s="2348"/>
      <c r="I175" s="2368"/>
      <c r="J175" s="2368"/>
      <c r="K175" s="2368"/>
      <c r="L175" s="2368"/>
      <c r="M175" s="2368"/>
      <c r="N175" s="2369"/>
      <c r="O175" s="1209"/>
      <c r="P175" s="2398"/>
      <c r="Q175" s="2399"/>
      <c r="R175" s="2399"/>
      <c r="S175" s="2399"/>
      <c r="T175" s="2399"/>
      <c r="U175" s="2399"/>
      <c r="V175" s="2399"/>
      <c r="W175" s="2399"/>
      <c r="X175" s="2399"/>
      <c r="Y175" s="2399"/>
      <c r="Z175" s="2399"/>
      <c r="AA175" s="2399"/>
      <c r="AB175" s="2399"/>
      <c r="AC175" s="2399"/>
      <c r="AD175" s="2399"/>
      <c r="AE175" s="2399"/>
      <c r="AF175" s="2399"/>
      <c r="AG175" s="2399"/>
      <c r="AH175" s="2399"/>
      <c r="AI175" s="2399"/>
      <c r="AJ175" s="2399"/>
      <c r="AK175" s="2399"/>
      <c r="AL175" s="2399"/>
      <c r="AM175" s="2399"/>
      <c r="AN175" s="2399"/>
      <c r="AO175" s="240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7"/>
      <c r="D176" s="2348"/>
      <c r="E176" s="2348"/>
      <c r="F176" s="2348"/>
      <c r="G176" s="2348"/>
      <c r="H176" s="2348"/>
      <c r="I176" s="2368"/>
      <c r="J176" s="2368"/>
      <c r="K176" s="2368"/>
      <c r="L176" s="2368"/>
      <c r="M176" s="2368"/>
      <c r="N176" s="2369"/>
      <c r="O176" s="1209"/>
      <c r="P176" s="2398"/>
      <c r="Q176" s="2399"/>
      <c r="R176" s="2399"/>
      <c r="S176" s="2399"/>
      <c r="T176" s="2399"/>
      <c r="U176" s="2399"/>
      <c r="V176" s="2399"/>
      <c r="W176" s="2399"/>
      <c r="X176" s="2399"/>
      <c r="Y176" s="2399"/>
      <c r="Z176" s="2399"/>
      <c r="AA176" s="2399"/>
      <c r="AB176" s="2399"/>
      <c r="AC176" s="2399"/>
      <c r="AD176" s="2399"/>
      <c r="AE176" s="2399"/>
      <c r="AF176" s="2399"/>
      <c r="AG176" s="2399"/>
      <c r="AH176" s="2399"/>
      <c r="AI176" s="2399"/>
      <c r="AJ176" s="2399"/>
      <c r="AK176" s="2399"/>
      <c r="AL176" s="2399"/>
      <c r="AM176" s="2399"/>
      <c r="AN176" s="2399"/>
      <c r="AO176" s="240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7"/>
      <c r="D177" s="2348"/>
      <c r="E177" s="2348"/>
      <c r="F177" s="2348"/>
      <c r="G177" s="2348"/>
      <c r="H177" s="2348"/>
      <c r="I177" s="2368"/>
      <c r="J177" s="2368"/>
      <c r="K177" s="2368"/>
      <c r="L177" s="2368"/>
      <c r="M177" s="2368"/>
      <c r="N177" s="2369"/>
      <c r="O177" s="1209"/>
      <c r="P177" s="2398"/>
      <c r="Q177" s="2399"/>
      <c r="R177" s="2399"/>
      <c r="S177" s="2399"/>
      <c r="T177" s="2399"/>
      <c r="U177" s="2399"/>
      <c r="V177" s="2399"/>
      <c r="W177" s="2399"/>
      <c r="X177" s="2399"/>
      <c r="Y177" s="2399"/>
      <c r="Z177" s="2399"/>
      <c r="AA177" s="2399"/>
      <c r="AB177" s="2399"/>
      <c r="AC177" s="2399"/>
      <c r="AD177" s="2399"/>
      <c r="AE177" s="2399"/>
      <c r="AF177" s="2399"/>
      <c r="AG177" s="2399"/>
      <c r="AH177" s="2399"/>
      <c r="AI177" s="2399"/>
      <c r="AJ177" s="2399"/>
      <c r="AK177" s="2399"/>
      <c r="AL177" s="2399"/>
      <c r="AM177" s="2399"/>
      <c r="AN177" s="2399"/>
      <c r="AO177" s="240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2"/>
      <c r="D178" s="2383"/>
      <c r="E178" s="2383"/>
      <c r="F178" s="2383"/>
      <c r="G178" s="2383"/>
      <c r="H178" s="2383"/>
      <c r="I178" s="2384"/>
      <c r="J178" s="2384"/>
      <c r="K178" s="2384"/>
      <c r="L178" s="2384"/>
      <c r="M178" s="2384"/>
      <c r="N178" s="2385"/>
      <c r="O178" s="1209"/>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6" t="s">
        <v>2489</v>
      </c>
      <c r="D180" s="2387"/>
      <c r="E180" s="2387"/>
      <c r="F180" s="2387"/>
      <c r="G180" s="2387"/>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8"/>
      <c r="AF180" s="1209"/>
      <c r="AG180" s="1209"/>
      <c r="AH180" s="2581" t="s">
        <v>2606</v>
      </c>
      <c r="AI180" s="2582"/>
      <c r="AJ180" s="2582"/>
      <c r="AK180" s="2582"/>
      <c r="AL180" s="2582"/>
      <c r="AM180" s="2582"/>
      <c r="AN180" s="2582"/>
      <c r="AO180" s="2582"/>
      <c r="AP180" s="2582"/>
      <c r="AQ180" s="2582"/>
      <c r="AR180" s="2582"/>
      <c r="AS180" s="2582"/>
      <c r="AT180" s="2582"/>
      <c r="AU180" s="2582"/>
      <c r="AV180" s="2582"/>
      <c r="AW180" s="2582"/>
      <c r="AX180" s="2582"/>
      <c r="AY180" s="2582"/>
      <c r="AZ180" s="2582"/>
      <c r="BA180" s="2582"/>
      <c r="BB180" s="2582"/>
      <c r="BC180" s="2582"/>
      <c r="BD180" s="2582"/>
      <c r="BE180" s="2583"/>
    </row>
    <row r="181" spans="1:57" ht="15.75" customHeight="1" thickBot="1">
      <c r="A181" s="1209"/>
      <c r="B181" s="1209"/>
      <c r="C181" s="2389"/>
      <c r="D181" s="2390"/>
      <c r="E181" s="2390"/>
      <c r="F181" s="2390"/>
      <c r="G181" s="2390"/>
      <c r="H181" s="2390"/>
      <c r="I181" s="2390"/>
      <c r="J181" s="2390"/>
      <c r="K181" s="2390"/>
      <c r="L181" s="2390"/>
      <c r="M181" s="2390"/>
      <c r="N181" s="2390"/>
      <c r="O181" s="2390"/>
      <c r="P181" s="2390"/>
      <c r="Q181" s="2390"/>
      <c r="R181" s="2390"/>
      <c r="S181" s="2390"/>
      <c r="T181" s="2390"/>
      <c r="U181" s="2390"/>
      <c r="V181" s="2390"/>
      <c r="W181" s="2390"/>
      <c r="X181" s="2390"/>
      <c r="Y181" s="2390"/>
      <c r="Z181" s="2390"/>
      <c r="AA181" s="2390"/>
      <c r="AB181" s="2390"/>
      <c r="AC181" s="2390"/>
      <c r="AD181" s="2390"/>
      <c r="AE181" s="2391"/>
      <c r="AF181" s="1209"/>
      <c r="AG181" s="1209"/>
      <c r="AH181" s="2584" t="s">
        <v>2627</v>
      </c>
      <c r="AI181" s="2584"/>
      <c r="AJ181" s="2584"/>
      <c r="AK181" s="2584"/>
      <c r="AL181" s="2584"/>
      <c r="AM181" s="2584"/>
      <c r="AN181" s="2584"/>
      <c r="AO181" s="2584"/>
      <c r="AP181" s="2584"/>
      <c r="AQ181" s="2584"/>
      <c r="AR181" s="2584"/>
      <c r="AS181" s="2584"/>
      <c r="AT181" s="2584"/>
      <c r="AU181" s="2584"/>
      <c r="AV181" s="2584"/>
      <c r="AW181" s="2584"/>
      <c r="AX181" s="2584"/>
      <c r="AY181" s="2584"/>
      <c r="AZ181" s="2584"/>
      <c r="BA181" s="2584"/>
      <c r="BB181" s="2584"/>
      <c r="BC181" s="2584"/>
      <c r="BD181" s="2584"/>
      <c r="BE181" s="2584"/>
    </row>
    <row r="182" spans="1:57" ht="15.75" customHeight="1">
      <c r="A182" s="1209"/>
      <c r="B182" s="1209"/>
      <c r="C182" s="2179" t="s">
        <v>1839</v>
      </c>
      <c r="D182" s="2180"/>
      <c r="E182" s="2180"/>
      <c r="F182" s="2180"/>
      <c r="G182" s="2180"/>
      <c r="H182" s="2180"/>
      <c r="I182" s="2180"/>
      <c r="J182" s="2180"/>
      <c r="K182" s="2180"/>
      <c r="L182" s="2180"/>
      <c r="M182" s="2180"/>
      <c r="N182" s="2180" t="s">
        <v>1850</v>
      </c>
      <c r="O182" s="2180"/>
      <c r="P182" s="2180"/>
      <c r="Q182" s="2180"/>
      <c r="R182" s="2180"/>
      <c r="S182" s="2180"/>
      <c r="T182" s="2180"/>
      <c r="U182" s="2212" t="s">
        <v>1839</v>
      </c>
      <c r="V182" s="2212"/>
      <c r="W182" s="2212"/>
      <c r="X182" s="2212"/>
      <c r="Y182" s="2212"/>
      <c r="Z182" s="2212"/>
      <c r="AA182" s="2212"/>
      <c r="AB182" s="2212"/>
      <c r="AC182" s="2212"/>
      <c r="AD182" s="2212"/>
      <c r="AE182" s="2213"/>
      <c r="AF182" s="1209"/>
      <c r="AG182" s="1209"/>
      <c r="AH182" s="2367" t="s">
        <v>2611</v>
      </c>
      <c r="AI182" s="2367"/>
      <c r="AJ182" s="2367"/>
      <c r="AK182" s="2367"/>
      <c r="AL182" s="2367"/>
      <c r="AM182" s="2367"/>
      <c r="AN182" s="2367"/>
      <c r="AO182" s="2367"/>
      <c r="AP182" s="2367"/>
      <c r="AQ182" s="2367"/>
      <c r="AR182" s="2367"/>
      <c r="AS182" s="2367"/>
      <c r="AT182" s="2367"/>
      <c r="AU182" s="2592">
        <v>2500000</v>
      </c>
      <c r="AV182" s="2592"/>
      <c r="AW182" s="2592"/>
      <c r="AX182" s="2592"/>
      <c r="AY182" s="2592"/>
      <c r="AZ182" s="2592"/>
      <c r="BA182" s="2592"/>
      <c r="BB182" s="2592"/>
      <c r="BC182" s="2596"/>
      <c r="BD182" s="2597"/>
      <c r="BE182" s="2598"/>
    </row>
    <row r="183" spans="1:57" ht="15.75" customHeight="1">
      <c r="A183" s="1209"/>
      <c r="B183" s="1209"/>
      <c r="C183" s="2356" t="s">
        <v>2490</v>
      </c>
      <c r="D183" s="2357"/>
      <c r="E183" s="2357"/>
      <c r="F183" s="2357"/>
      <c r="G183" s="2357"/>
      <c r="H183" s="2357"/>
      <c r="I183" s="2357"/>
      <c r="J183" s="2357"/>
      <c r="K183" s="2357"/>
      <c r="L183" s="2357"/>
      <c r="M183" s="2357"/>
      <c r="N183" s="2370">
        <f>'Sources and Uses Budget'!B105</f>
        <v>91405707</v>
      </c>
      <c r="O183" s="2370"/>
      <c r="P183" s="2370"/>
      <c r="Q183" s="2370"/>
      <c r="R183" s="2370"/>
      <c r="S183" s="2370"/>
      <c r="T183" s="2370"/>
      <c r="U183" s="2371"/>
      <c r="V183" s="2371"/>
      <c r="W183" s="2371"/>
      <c r="X183" s="2371"/>
      <c r="Y183" s="2371"/>
      <c r="Z183" s="2371"/>
      <c r="AA183" s="2371"/>
      <c r="AB183" s="2371"/>
      <c r="AC183" s="2371"/>
      <c r="AD183" s="2371"/>
      <c r="AE183" s="2372"/>
      <c r="AF183" s="1209"/>
      <c r="AG183" s="1209"/>
      <c r="AH183" s="2367" t="s">
        <v>2610</v>
      </c>
      <c r="AI183" s="2367"/>
      <c r="AJ183" s="2367"/>
      <c r="AK183" s="2367"/>
      <c r="AL183" s="2367"/>
      <c r="AM183" s="2367"/>
      <c r="AN183" s="2367"/>
      <c r="AO183" s="2367"/>
      <c r="AP183" s="2367"/>
      <c r="AQ183" s="2367"/>
      <c r="AR183" s="2367"/>
      <c r="AS183" s="2367"/>
      <c r="AT183" s="2367"/>
      <c r="AU183" s="2593">
        <f>MAX(0,Application!AG439-100)*20000</f>
        <v>680000</v>
      </c>
      <c r="AV183" s="2593"/>
      <c r="AW183" s="2593"/>
      <c r="AX183" s="2593"/>
      <c r="AY183" s="2593"/>
      <c r="AZ183" s="2593"/>
      <c r="BA183" s="2593"/>
      <c r="BB183" s="2593"/>
      <c r="BC183" s="2326"/>
      <c r="BD183" s="2327"/>
      <c r="BE183" s="2328"/>
    </row>
    <row r="184" spans="1:57" ht="15.75" customHeight="1">
      <c r="A184" s="1209"/>
      <c r="B184" s="1209"/>
      <c r="C184" s="2356" t="s">
        <v>2491</v>
      </c>
      <c r="D184" s="2357"/>
      <c r="E184" s="2357"/>
      <c r="F184" s="2357"/>
      <c r="G184" s="2357"/>
      <c r="H184" s="2357"/>
      <c r="I184" s="2357"/>
      <c r="J184" s="2357"/>
      <c r="K184" s="2357"/>
      <c r="L184" s="2357"/>
      <c r="M184" s="2357"/>
      <c r="N184" s="2370">
        <f>N183/J29</f>
        <v>682132.14179104473</v>
      </c>
      <c r="O184" s="2370"/>
      <c r="P184" s="2370"/>
      <c r="Q184" s="2370"/>
      <c r="R184" s="2370"/>
      <c r="S184" s="2370"/>
      <c r="T184" s="2370"/>
      <c r="U184" s="1225"/>
      <c r="V184" s="1225"/>
      <c r="W184" s="1225"/>
      <c r="X184" s="1225"/>
      <c r="Y184" s="1225"/>
      <c r="Z184" s="1225"/>
      <c r="AA184" s="1225"/>
      <c r="AB184" s="1225"/>
      <c r="AC184" s="1225"/>
      <c r="AD184" s="1225"/>
      <c r="AE184" s="1224"/>
      <c r="AF184" s="1209"/>
      <c r="AG184" s="1209"/>
      <c r="AH184" s="2585" t="s">
        <v>2609</v>
      </c>
      <c r="AI184" s="2585"/>
      <c r="AJ184" s="2585"/>
      <c r="AK184" s="2585"/>
      <c r="AL184" s="2585"/>
      <c r="AM184" s="2585"/>
      <c r="AN184" s="2585"/>
      <c r="AO184" s="2585"/>
      <c r="AP184" s="2585"/>
      <c r="AQ184" s="2585"/>
      <c r="AR184" s="2585"/>
      <c r="AS184" s="2585"/>
      <c r="AT184" s="2585"/>
      <c r="AU184" s="2325">
        <f>AU182+AU183</f>
        <v>3180000</v>
      </c>
      <c r="AV184" s="2325"/>
      <c r="AW184" s="2325"/>
      <c r="AX184" s="2325"/>
      <c r="AY184" s="2325"/>
      <c r="AZ184" s="2325"/>
      <c r="BA184" s="2325"/>
      <c r="BB184" s="2325"/>
      <c r="BC184" s="2326"/>
      <c r="BD184" s="2327"/>
      <c r="BE184" s="2328"/>
    </row>
    <row r="185" spans="1:57" ht="15.75" customHeight="1">
      <c r="A185" s="1209"/>
      <c r="B185" s="1209"/>
      <c r="C185" s="2373" t="s">
        <v>2492</v>
      </c>
      <c r="D185" s="2374"/>
      <c r="E185" s="2374"/>
      <c r="F185" s="2374"/>
      <c r="G185" s="2374"/>
      <c r="H185" s="2374"/>
      <c r="I185" s="2374"/>
      <c r="J185" s="2374"/>
      <c r="K185" s="2374"/>
      <c r="L185" s="2374"/>
      <c r="M185" s="2374"/>
      <c r="N185" s="2208">
        <v>0</v>
      </c>
      <c r="O185" s="2208"/>
      <c r="P185" s="2208"/>
      <c r="Q185" s="2208"/>
      <c r="R185" s="2208"/>
      <c r="S185" s="2208"/>
      <c r="T185" s="2208"/>
      <c r="U185" s="2351"/>
      <c r="V185" s="2351"/>
      <c r="W185" s="2351"/>
      <c r="X185" s="2351"/>
      <c r="Y185" s="2351"/>
      <c r="Z185" s="2351"/>
      <c r="AA185" s="2351"/>
      <c r="AB185" s="2351"/>
      <c r="AC185" s="2351"/>
      <c r="AD185" s="2351"/>
      <c r="AE185" s="2352"/>
      <c r="AF185" s="1209"/>
      <c r="AG185" s="1209"/>
      <c r="AH185" s="2595" t="s">
        <v>2608</v>
      </c>
      <c r="AI185" s="2595"/>
      <c r="AJ185" s="2595"/>
      <c r="AK185" s="2595"/>
      <c r="AL185" s="2595"/>
      <c r="AM185" s="2595"/>
      <c r="AN185" s="2595"/>
      <c r="AO185" s="2595"/>
      <c r="AP185" s="2595"/>
      <c r="AQ185" s="2595"/>
      <c r="AR185" s="2595"/>
      <c r="AS185" s="2595"/>
      <c r="AT185" s="2595"/>
      <c r="AU185" s="2594" t="str">
        <f>IF(AU189-AU192&lt;=AU184,"Y","N")</f>
        <v>Y</v>
      </c>
      <c r="AV185" s="2594"/>
      <c r="AW185" s="2594"/>
      <c r="AX185" s="2594"/>
      <c r="AY185" s="2594"/>
      <c r="AZ185" s="2594"/>
      <c r="BA185" s="2594"/>
      <c r="BB185" s="2594"/>
      <c r="BC185" s="2326"/>
      <c r="BD185" s="2327"/>
      <c r="BE185" s="2328"/>
    </row>
    <row r="186" spans="1:57" ht="15.75" customHeight="1" thickBot="1">
      <c r="A186" s="1209"/>
      <c r="B186" s="1209"/>
      <c r="C186" s="2356" t="s">
        <v>2493</v>
      </c>
      <c r="D186" s="2357"/>
      <c r="E186" s="2357"/>
      <c r="F186" s="2357"/>
      <c r="G186" s="2357"/>
      <c r="H186" s="2357"/>
      <c r="I186" s="2357"/>
      <c r="J186" s="2357"/>
      <c r="K186" s="2357"/>
      <c r="L186" s="2357"/>
      <c r="M186" s="2357"/>
      <c r="N186" s="2358">
        <f>SUM('Sources and Uses Budget'!B85:B86)</f>
        <v>1762244</v>
      </c>
      <c r="O186" s="2358"/>
      <c r="P186" s="2358"/>
      <c r="Q186" s="2358"/>
      <c r="R186" s="2358"/>
      <c r="S186" s="2358"/>
      <c r="T186" s="2358"/>
      <c r="U186" s="2351"/>
      <c r="V186" s="2351"/>
      <c r="W186" s="2351"/>
      <c r="X186" s="2351"/>
      <c r="Y186" s="2351"/>
      <c r="Z186" s="2351"/>
      <c r="AA186" s="2351"/>
      <c r="AB186" s="2351"/>
      <c r="AC186" s="2351"/>
      <c r="AD186" s="2351"/>
      <c r="AE186" s="2352"/>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6" t="s">
        <v>2494</v>
      </c>
      <c r="D187" s="2357"/>
      <c r="E187" s="2357"/>
      <c r="F187" s="2357"/>
      <c r="G187" s="2357"/>
      <c r="H187" s="2357"/>
      <c r="I187" s="2357"/>
      <c r="J187" s="2357"/>
      <c r="K187" s="2357"/>
      <c r="L187" s="2357"/>
      <c r="M187" s="2357"/>
      <c r="N187" s="2358">
        <f>'Sources and Uses Budget'!B8</f>
        <v>5689647</v>
      </c>
      <c r="O187" s="2358"/>
      <c r="P187" s="2358"/>
      <c r="Q187" s="2358"/>
      <c r="R187" s="2358"/>
      <c r="S187" s="2358"/>
      <c r="T187" s="2358"/>
      <c r="U187" s="2351"/>
      <c r="V187" s="2351"/>
      <c r="W187" s="2351"/>
      <c r="X187" s="2351"/>
      <c r="Y187" s="2351"/>
      <c r="Z187" s="2351"/>
      <c r="AA187" s="2351"/>
      <c r="AB187" s="2351"/>
      <c r="AC187" s="2351"/>
      <c r="AD187" s="2351"/>
      <c r="AE187" s="2352"/>
      <c r="AF187" s="1209"/>
      <c r="AG187" s="1209"/>
      <c r="AH187" s="2359" t="s">
        <v>1851</v>
      </c>
      <c r="AI187" s="2360"/>
      <c r="AJ187" s="2360"/>
      <c r="AK187" s="2360"/>
      <c r="AL187" s="2360"/>
      <c r="AM187" s="2360"/>
      <c r="AN187" s="2360"/>
      <c r="AO187" s="2360"/>
      <c r="AP187" s="2360"/>
      <c r="AQ187" s="2360"/>
      <c r="AR187" s="2360"/>
      <c r="AS187" s="2360"/>
      <c r="AT187" s="2360"/>
      <c r="AU187" s="2360"/>
      <c r="AV187" s="2360"/>
      <c r="AW187" s="2360"/>
      <c r="AX187" s="2360"/>
      <c r="AY187" s="2360"/>
      <c r="AZ187" s="2360"/>
      <c r="BA187" s="2360"/>
      <c r="BB187" s="2360"/>
      <c r="BC187" s="2360"/>
      <c r="BD187" s="2360"/>
      <c r="BE187" s="2361"/>
    </row>
    <row r="188" spans="1:57" ht="15.75" customHeight="1">
      <c r="A188" s="1209"/>
      <c r="B188" s="1209"/>
      <c r="C188" s="2356" t="s">
        <v>2495</v>
      </c>
      <c r="D188" s="2357"/>
      <c r="E188" s="2357"/>
      <c r="F188" s="2357"/>
      <c r="G188" s="2357"/>
      <c r="H188" s="2357"/>
      <c r="I188" s="2357"/>
      <c r="J188" s="2357"/>
      <c r="K188" s="2357"/>
      <c r="L188" s="2357"/>
      <c r="M188" s="2357"/>
      <c r="N188" s="2350">
        <v>0</v>
      </c>
      <c r="O188" s="2350"/>
      <c r="P188" s="2350"/>
      <c r="Q188" s="2350"/>
      <c r="R188" s="2350"/>
      <c r="S188" s="2350"/>
      <c r="T188" s="2350"/>
      <c r="U188" s="2351"/>
      <c r="V188" s="2351"/>
      <c r="W188" s="2351"/>
      <c r="X188" s="2351"/>
      <c r="Y188" s="2351"/>
      <c r="Z188" s="2351"/>
      <c r="AA188" s="2351"/>
      <c r="AB188" s="2351"/>
      <c r="AC188" s="2351"/>
      <c r="AD188" s="2351"/>
      <c r="AE188" s="2352"/>
      <c r="AF188" s="1209"/>
      <c r="AG188" s="1209"/>
      <c r="AH188" s="2362" t="s">
        <v>1851</v>
      </c>
      <c r="AI188" s="2362"/>
      <c r="AJ188" s="2362"/>
      <c r="AK188" s="2362"/>
      <c r="AL188" s="2362"/>
      <c r="AM188" s="2362"/>
      <c r="AN188" s="2362"/>
      <c r="AO188" s="2362"/>
      <c r="AP188" s="2362"/>
      <c r="AQ188" s="2362"/>
      <c r="AR188" s="2362"/>
      <c r="AS188" s="2362"/>
      <c r="AT188" s="2362"/>
      <c r="AU188" s="2363">
        <v>0</v>
      </c>
      <c r="AV188" s="2363"/>
      <c r="AW188" s="2363"/>
      <c r="AX188" s="2363"/>
      <c r="AY188" s="2363"/>
      <c r="AZ188" s="2363"/>
      <c r="BA188" s="2363"/>
      <c r="BB188" s="2363"/>
      <c r="BC188" s="2364"/>
      <c r="BD188" s="2365"/>
      <c r="BE188" s="2366"/>
    </row>
    <row r="189" spans="1:57" ht="15.75" customHeight="1">
      <c r="A189" s="1209"/>
      <c r="B189" s="1209"/>
      <c r="C189" s="2356" t="s">
        <v>2496</v>
      </c>
      <c r="D189" s="2357"/>
      <c r="E189" s="2357"/>
      <c r="F189" s="2357"/>
      <c r="G189" s="2357"/>
      <c r="H189" s="2357"/>
      <c r="I189" s="2357"/>
      <c r="J189" s="2357"/>
      <c r="K189" s="2357"/>
      <c r="L189" s="2357"/>
      <c r="M189" s="2357"/>
      <c r="N189" s="2350">
        <v>0</v>
      </c>
      <c r="O189" s="2350"/>
      <c r="P189" s="2350"/>
      <c r="Q189" s="2350"/>
      <c r="R189" s="2350"/>
      <c r="S189" s="2350"/>
      <c r="T189" s="2350"/>
      <c r="U189" s="2351"/>
      <c r="V189" s="2351"/>
      <c r="W189" s="2351"/>
      <c r="X189" s="2351"/>
      <c r="Y189" s="2351"/>
      <c r="Z189" s="2351"/>
      <c r="AA189" s="2351"/>
      <c r="AB189" s="2351"/>
      <c r="AC189" s="2351"/>
      <c r="AD189" s="2351"/>
      <c r="AE189" s="2352"/>
      <c r="AF189" s="1209"/>
      <c r="AG189" s="1209"/>
      <c r="AH189" s="2367" t="s">
        <v>2607</v>
      </c>
      <c r="AI189" s="2367"/>
      <c r="AJ189" s="2367"/>
      <c r="AK189" s="2367"/>
      <c r="AL189" s="2367"/>
      <c r="AM189" s="2367"/>
      <c r="AN189" s="2367"/>
      <c r="AO189" s="2367"/>
      <c r="AP189" s="2367"/>
      <c r="AQ189" s="2367"/>
      <c r="AR189" s="2367"/>
      <c r="AS189" s="2367"/>
      <c r="AT189" s="2367"/>
      <c r="AU189" s="2355"/>
      <c r="AV189" s="2355"/>
      <c r="AW189" s="2355"/>
      <c r="AX189" s="2355"/>
      <c r="AY189" s="2355"/>
      <c r="AZ189" s="2355"/>
      <c r="BA189" s="2355"/>
      <c r="BB189" s="2355"/>
      <c r="BC189" s="2326"/>
      <c r="BD189" s="2327"/>
      <c r="BE189" s="2328"/>
    </row>
    <row r="190" spans="1:57" ht="15.75" customHeight="1">
      <c r="A190" s="1209"/>
      <c r="B190" s="1209"/>
      <c r="C190" s="2353" t="s">
        <v>301</v>
      </c>
      <c r="D190" s="2354"/>
      <c r="E190" s="2349" t="s">
        <v>1845</v>
      </c>
      <c r="F190" s="2349"/>
      <c r="G190" s="2349"/>
      <c r="H190" s="2349"/>
      <c r="I190" s="2349"/>
      <c r="J190" s="2349"/>
      <c r="K190" s="2349"/>
      <c r="L190" s="2349"/>
      <c r="M190" s="2349"/>
      <c r="N190" s="2350">
        <v>0</v>
      </c>
      <c r="O190" s="2350"/>
      <c r="P190" s="2350"/>
      <c r="Q190" s="2350"/>
      <c r="R190" s="2350"/>
      <c r="S190" s="2350"/>
      <c r="T190" s="2350"/>
      <c r="U190" s="2351"/>
      <c r="V190" s="2351"/>
      <c r="W190" s="2351"/>
      <c r="X190" s="2351"/>
      <c r="Y190" s="2351"/>
      <c r="Z190" s="2351"/>
      <c r="AA190" s="2351"/>
      <c r="AB190" s="2351"/>
      <c r="AC190" s="2351"/>
      <c r="AD190" s="2351"/>
      <c r="AE190" s="2352"/>
      <c r="AF190" s="1209"/>
      <c r="AG190" s="1209"/>
      <c r="AH190" s="2585" t="s">
        <v>2606</v>
      </c>
      <c r="AI190" s="2585"/>
      <c r="AJ190" s="2585"/>
      <c r="AK190" s="2585"/>
      <c r="AL190" s="2585"/>
      <c r="AM190" s="2585"/>
      <c r="AN190" s="2585"/>
      <c r="AO190" s="2585"/>
      <c r="AP190" s="2585"/>
      <c r="AQ190" s="2585"/>
      <c r="AR190" s="2585"/>
      <c r="AS190" s="2585"/>
      <c r="AT190" s="2585"/>
      <c r="AU190" s="2325">
        <f>SUM(AU188:BB189)</f>
        <v>0</v>
      </c>
      <c r="AV190" s="2325"/>
      <c r="AW190" s="2325"/>
      <c r="AX190" s="2325"/>
      <c r="AY190" s="2325"/>
      <c r="AZ190" s="2325"/>
      <c r="BA190" s="2325"/>
      <c r="BB190" s="2325"/>
      <c r="BC190" s="2326"/>
      <c r="BD190" s="2327"/>
      <c r="BE190" s="2328"/>
    </row>
    <row r="191" spans="1:57" ht="15.75" customHeight="1" thickBot="1">
      <c r="A191" s="1209"/>
      <c r="B191" s="1209"/>
      <c r="C191" s="2347" t="s">
        <v>301</v>
      </c>
      <c r="D191" s="2348"/>
      <c r="E191" s="2349" t="s">
        <v>1845</v>
      </c>
      <c r="F191" s="2349"/>
      <c r="G191" s="2349"/>
      <c r="H191" s="2349"/>
      <c r="I191" s="2349"/>
      <c r="J191" s="2349"/>
      <c r="K191" s="2349"/>
      <c r="L191" s="2349"/>
      <c r="M191" s="2349"/>
      <c r="N191" s="2350">
        <v>0</v>
      </c>
      <c r="O191" s="2350"/>
      <c r="P191" s="2350"/>
      <c r="Q191" s="2350"/>
      <c r="R191" s="2350"/>
      <c r="S191" s="2350"/>
      <c r="T191" s="2350"/>
      <c r="U191" s="2351"/>
      <c r="V191" s="2351"/>
      <c r="W191" s="2351"/>
      <c r="X191" s="2351"/>
      <c r="Y191" s="2351"/>
      <c r="Z191" s="2351"/>
      <c r="AA191" s="2351"/>
      <c r="AB191" s="2351"/>
      <c r="AC191" s="2351"/>
      <c r="AD191" s="2351"/>
      <c r="AE191" s="2352"/>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29"/>
      <c r="BD191" s="2330"/>
      <c r="BE191" s="2331"/>
    </row>
    <row r="192" spans="1:57" ht="15.75" customHeight="1" thickBot="1">
      <c r="A192" s="1209"/>
      <c r="B192" s="1209"/>
      <c r="C192" s="2336" t="s">
        <v>301</v>
      </c>
      <c r="D192" s="2337"/>
      <c r="E192" s="2338" t="s">
        <v>1845</v>
      </c>
      <c r="F192" s="2338"/>
      <c r="G192" s="2338"/>
      <c r="H192" s="2338"/>
      <c r="I192" s="2338"/>
      <c r="J192" s="2338"/>
      <c r="K192" s="2338"/>
      <c r="L192" s="2338"/>
      <c r="M192" s="2339"/>
      <c r="N192" s="2340">
        <v>0</v>
      </c>
      <c r="O192" s="2340"/>
      <c r="P192" s="2340"/>
      <c r="Q192" s="2340"/>
      <c r="R192" s="2340"/>
      <c r="S192" s="2340"/>
      <c r="T192" s="2341"/>
      <c r="U192" s="2342"/>
      <c r="V192" s="2343"/>
      <c r="W192" s="2343"/>
      <c r="X192" s="2343"/>
      <c r="Y192" s="2343"/>
      <c r="Z192" s="2343"/>
      <c r="AA192" s="2343"/>
      <c r="AB192" s="2343"/>
      <c r="AC192" s="2343"/>
      <c r="AD192" s="2343"/>
      <c r="AE192" s="2344"/>
      <c r="AF192" s="1209"/>
      <c r="AG192" s="1209"/>
      <c r="AH192" s="2310" t="s">
        <v>1852</v>
      </c>
      <c r="AI192" s="2311"/>
      <c r="AJ192" s="2311"/>
      <c r="AK192" s="2311"/>
      <c r="AL192" s="2311"/>
      <c r="AM192" s="2311"/>
      <c r="AN192" s="2311"/>
      <c r="AO192" s="2311"/>
      <c r="AP192" s="2311"/>
      <c r="AQ192" s="2311"/>
      <c r="AR192" s="2311"/>
      <c r="AS192" s="2311"/>
      <c r="AT192" s="2311"/>
      <c r="AU192" s="2320"/>
      <c r="AV192" s="2320"/>
      <c r="AW192" s="2320"/>
      <c r="AX192" s="2320"/>
      <c r="AY192" s="2320"/>
      <c r="AZ192" s="2320"/>
      <c r="BA192" s="2320"/>
      <c r="BB192" s="2320"/>
      <c r="BC192" s="1222"/>
      <c r="BD192" s="1222"/>
      <c r="BE192" s="1221"/>
    </row>
    <row r="193" spans="1:57" ht="15.75" customHeight="1">
      <c r="A193" s="1209"/>
      <c r="B193" s="1209"/>
      <c r="C193" s="2332" t="s">
        <v>1853</v>
      </c>
      <c r="D193" s="2333"/>
      <c r="E193" s="2333"/>
      <c r="F193" s="2333"/>
      <c r="G193" s="2333"/>
      <c r="H193" s="2333"/>
      <c r="I193" s="2333"/>
      <c r="J193" s="2333"/>
      <c r="K193" s="2333"/>
      <c r="L193" s="2333"/>
      <c r="M193" s="2333"/>
      <c r="N193" s="2334">
        <f>SUM(N185:T192)</f>
        <v>7451891</v>
      </c>
      <c r="O193" s="2334"/>
      <c r="P193" s="2334"/>
      <c r="Q193" s="2334"/>
      <c r="R193" s="2334"/>
      <c r="S193" s="2334"/>
      <c r="T193" s="2335"/>
      <c r="U193" s="1209"/>
      <c r="V193" s="1209"/>
      <c r="W193" s="1209"/>
      <c r="X193" s="1209"/>
      <c r="Y193" s="1209"/>
      <c r="Z193" s="1209"/>
      <c r="AA193" s="1209"/>
      <c r="AB193" s="1209"/>
      <c r="AC193" s="1209"/>
      <c r="AD193" s="1209"/>
      <c r="AE193" s="1209"/>
      <c r="AF193" s="1209"/>
      <c r="AG193" s="1209"/>
      <c r="AH193" s="2345" t="s">
        <v>2605</v>
      </c>
      <c r="AI193" s="2345"/>
      <c r="AJ193" s="2345"/>
      <c r="AK193" s="2345"/>
      <c r="AL193" s="2345"/>
      <c r="AM193" s="2345"/>
      <c r="AN193" s="2345"/>
      <c r="AO193" s="2345"/>
      <c r="AP193" s="2345"/>
      <c r="AQ193" s="2345"/>
      <c r="AR193" s="2345"/>
      <c r="AS193" s="2345"/>
      <c r="AT193" s="2345"/>
      <c r="AU193" s="2345"/>
      <c r="AV193" s="2345"/>
      <c r="AW193" s="2345"/>
      <c r="AX193" s="2345"/>
      <c r="AY193" s="2345"/>
      <c r="AZ193" s="2345"/>
      <c r="BA193" s="2345"/>
      <c r="BB193" s="2345"/>
      <c r="BC193" s="2345"/>
      <c r="BD193" s="2345"/>
      <c r="BE193" s="2346"/>
    </row>
    <row r="194" spans="1:57" ht="15.75" customHeight="1" thickBot="1">
      <c r="A194" s="1209"/>
      <c r="B194" s="1209"/>
      <c r="C194" s="2312" t="s">
        <v>2497</v>
      </c>
      <c r="D194" s="2313"/>
      <c r="E194" s="2313"/>
      <c r="F194" s="2313"/>
      <c r="G194" s="2313"/>
      <c r="H194" s="2313"/>
      <c r="I194" s="2313"/>
      <c r="J194" s="2313"/>
      <c r="K194" s="2313"/>
      <c r="L194" s="2313"/>
      <c r="M194" s="2313"/>
      <c r="N194" s="2314">
        <f>(N183-N193)/J29</f>
        <v>626521.01492537314</v>
      </c>
      <c r="O194" s="2315"/>
      <c r="P194" s="2315"/>
      <c r="Q194" s="2315"/>
      <c r="R194" s="2315"/>
      <c r="S194" s="2315"/>
      <c r="T194" s="2316"/>
      <c r="U194" s="1220"/>
      <c r="V194" s="1209"/>
      <c r="W194" s="1209"/>
      <c r="X194" s="1209"/>
      <c r="Y194" s="1209"/>
      <c r="Z194" s="1209"/>
      <c r="AA194" s="1209"/>
      <c r="AB194" s="1209"/>
      <c r="AC194" s="1209"/>
      <c r="AD194" s="1209"/>
      <c r="AE194" s="1209"/>
      <c r="AF194" s="1209"/>
      <c r="AG194" s="1209"/>
      <c r="AH194" s="2345"/>
      <c r="AI194" s="2345"/>
      <c r="AJ194" s="2345"/>
      <c r="AK194" s="2345"/>
      <c r="AL194" s="2345"/>
      <c r="AM194" s="2345"/>
      <c r="AN194" s="2345"/>
      <c r="AO194" s="2345"/>
      <c r="AP194" s="2345"/>
      <c r="AQ194" s="2345"/>
      <c r="AR194" s="2345"/>
      <c r="AS194" s="2345"/>
      <c r="AT194" s="2345"/>
      <c r="AU194" s="2345"/>
      <c r="AV194" s="2345"/>
      <c r="AW194" s="2345"/>
      <c r="AX194" s="2345"/>
      <c r="AY194" s="2345"/>
      <c r="AZ194" s="2345"/>
      <c r="BA194" s="2345"/>
      <c r="BB194" s="2345"/>
      <c r="BC194" s="2345"/>
      <c r="BD194" s="2345"/>
      <c r="BE194" s="234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7"/>
      <c r="AI195" s="2317"/>
      <c r="AJ195" s="2317"/>
      <c r="AK195" s="2317"/>
      <c r="AL195" s="2317"/>
      <c r="AM195" s="2317"/>
      <c r="AN195" s="2317"/>
      <c r="AO195" s="2317"/>
      <c r="AP195" s="2317"/>
      <c r="AQ195" s="2317"/>
      <c r="AR195" s="2317"/>
      <c r="AS195" s="2321"/>
      <c r="AT195" s="2321"/>
      <c r="AU195" s="2321"/>
      <c r="AV195" s="2321"/>
      <c r="AW195" s="2321"/>
      <c r="AX195" s="2321"/>
      <c r="AY195" s="2321"/>
      <c r="AZ195" s="2321"/>
      <c r="BA195" s="2321"/>
      <c r="BB195" s="2321"/>
      <c r="BC195" s="2321"/>
      <c r="BD195" s="2321"/>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2" t="s">
        <v>2604</v>
      </c>
      <c r="D197" s="2323"/>
      <c r="E197" s="2323"/>
      <c r="F197" s="2323"/>
      <c r="G197" s="2323"/>
      <c r="H197" s="2323"/>
      <c r="I197" s="2323"/>
      <c r="J197" s="2323"/>
      <c r="K197" s="2323"/>
      <c r="L197" s="2323"/>
      <c r="M197" s="2323"/>
      <c r="N197" s="2323"/>
      <c r="O197" s="2323"/>
      <c r="P197" s="2323"/>
      <c r="Q197" s="2323"/>
      <c r="R197" s="2323"/>
      <c r="S197" s="2323"/>
      <c r="T197" s="2323"/>
      <c r="U197" s="2323"/>
      <c r="V197" s="2323"/>
      <c r="W197" s="2323"/>
      <c r="X197" s="2323"/>
      <c r="Y197" s="2323"/>
      <c r="Z197" s="2323"/>
      <c r="AA197" s="2323"/>
      <c r="AB197" s="2323"/>
      <c r="AC197" s="2323"/>
      <c r="AD197" s="2323"/>
      <c r="AE197" s="2324"/>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8" t="s">
        <v>2603</v>
      </c>
      <c r="D198" s="2588"/>
      <c r="E198" s="2588"/>
      <c r="F198" s="2588"/>
      <c r="G198" s="2588"/>
      <c r="H198" s="2588"/>
      <c r="I198" s="2588"/>
      <c r="J198" s="2588"/>
      <c r="K198" s="2588"/>
      <c r="L198" s="2588"/>
      <c r="M198" s="2588"/>
      <c r="N198" s="2588"/>
      <c r="O198" s="2589" t="s">
        <v>2602</v>
      </c>
      <c r="P198" s="2589"/>
      <c r="Q198" s="2589"/>
      <c r="R198" s="2589"/>
      <c r="S198" s="2589"/>
      <c r="T198" s="2589"/>
      <c r="U198" s="2589"/>
      <c r="V198" s="2589"/>
      <c r="W198" s="2589"/>
      <c r="X198" s="2589" t="s">
        <v>2601</v>
      </c>
      <c r="Y198" s="2589"/>
      <c r="Z198" s="2589"/>
      <c r="AA198" s="2589"/>
      <c r="AB198" s="2589"/>
      <c r="AC198" s="2589"/>
      <c r="AD198" s="2589"/>
      <c r="AE198" s="2589"/>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6" t="s">
        <v>2600</v>
      </c>
      <c r="D199" s="2586"/>
      <c r="E199" s="2586"/>
      <c r="F199" s="2586"/>
      <c r="G199" s="2586"/>
      <c r="H199" s="2586"/>
      <c r="I199" s="2586"/>
      <c r="J199" s="2586"/>
      <c r="K199" s="2586"/>
      <c r="L199" s="2586"/>
      <c r="M199" s="2586"/>
      <c r="N199" s="2586"/>
      <c r="O199" s="2318" t="s">
        <v>2599</v>
      </c>
      <c r="P199" s="2318"/>
      <c r="Q199" s="2318"/>
      <c r="R199" s="2318"/>
      <c r="S199" s="2318"/>
      <c r="T199" s="2318"/>
      <c r="U199" s="2318"/>
      <c r="V199" s="2318"/>
      <c r="W199" s="2318"/>
      <c r="X199" s="2319">
        <v>0.03</v>
      </c>
      <c r="Y199" s="2319"/>
      <c r="Z199" s="2319"/>
      <c r="AA199" s="2319"/>
      <c r="AB199" s="2319"/>
      <c r="AC199" s="2319"/>
      <c r="AD199" s="2319"/>
      <c r="AE199" s="231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6" t="s">
        <v>865</v>
      </c>
      <c r="D200" s="2586"/>
      <c r="E200" s="2586"/>
      <c r="F200" s="2586"/>
      <c r="G200" s="2586"/>
      <c r="H200" s="2586"/>
      <c r="I200" s="2586"/>
      <c r="J200" s="2586"/>
      <c r="K200" s="2586"/>
      <c r="L200" s="2586"/>
      <c r="M200" s="2586"/>
      <c r="N200" s="2586"/>
      <c r="O200" s="2318" t="s">
        <v>2599</v>
      </c>
      <c r="P200" s="2318"/>
      <c r="Q200" s="2318"/>
      <c r="R200" s="2318"/>
      <c r="S200" s="2318"/>
      <c r="T200" s="2318"/>
      <c r="U200" s="2318"/>
      <c r="V200" s="2318"/>
      <c r="W200" s="2318"/>
      <c r="X200" s="2319">
        <v>0.03</v>
      </c>
      <c r="Y200" s="2319"/>
      <c r="Z200" s="2319"/>
      <c r="AA200" s="2319"/>
      <c r="AB200" s="2319"/>
      <c r="AC200" s="2319"/>
      <c r="AD200" s="2319"/>
      <c r="AE200" s="231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6" t="s">
        <v>2598</v>
      </c>
      <c r="D201" s="2586"/>
      <c r="E201" s="2586"/>
      <c r="F201" s="2586"/>
      <c r="G201" s="2586"/>
      <c r="H201" s="2586"/>
      <c r="I201" s="2586"/>
      <c r="J201" s="2586"/>
      <c r="K201" s="2586"/>
      <c r="L201" s="2586"/>
      <c r="M201" s="2586"/>
      <c r="N201" s="2586"/>
      <c r="O201" s="2590">
        <f>SUM(O199:W200)</f>
        <v>0</v>
      </c>
      <c r="P201" s="2591"/>
      <c r="Q201" s="2591"/>
      <c r="R201" s="2591"/>
      <c r="S201" s="2591"/>
      <c r="T201" s="2591"/>
      <c r="U201" s="2591"/>
      <c r="V201" s="2591"/>
      <c r="W201" s="2591"/>
      <c r="X201" s="2591" t="s">
        <v>2597</v>
      </c>
      <c r="Y201" s="2591"/>
      <c r="Z201" s="2591"/>
      <c r="AA201" s="2591"/>
      <c r="AB201" s="2591"/>
      <c r="AC201" s="2591"/>
      <c r="AD201" s="2591"/>
      <c r="AE201" s="2591"/>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7" t="s">
        <v>2596</v>
      </c>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2587"/>
      <c r="AD202" s="2587"/>
      <c r="AE202" s="2587"/>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7" t="s">
        <v>2595</v>
      </c>
      <c r="D204" s="2298"/>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2298"/>
      <c r="AD204" s="2298"/>
      <c r="AE204" s="2298"/>
      <c r="AF204" s="2298"/>
      <c r="AG204" s="2298"/>
      <c r="AH204" s="2298"/>
      <c r="AI204" s="2298"/>
      <c r="AJ204" s="2298"/>
      <c r="AK204" s="2299"/>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0" t="s">
        <v>2594</v>
      </c>
      <c r="D205" s="2258"/>
      <c r="E205" s="2258"/>
      <c r="F205" s="2301"/>
      <c r="G205" s="2257" t="s">
        <v>2593</v>
      </c>
      <c r="H205" s="2258"/>
      <c r="I205" s="2258"/>
      <c r="J205" s="2258"/>
      <c r="K205" s="2258"/>
      <c r="L205" s="2258"/>
      <c r="M205" s="2258"/>
      <c r="N205" s="2258"/>
      <c r="O205" s="2301"/>
      <c r="P205" s="2304" t="s">
        <v>2592</v>
      </c>
      <c r="Q205" s="2305"/>
      <c r="R205" s="2305"/>
      <c r="S205" s="2305"/>
      <c r="T205" s="2306"/>
      <c r="U205" s="2251" t="s">
        <v>2591</v>
      </c>
      <c r="V205" s="2252"/>
      <c r="W205" s="2252"/>
      <c r="X205" s="2253"/>
      <c r="Y205" s="2251" t="s">
        <v>2590</v>
      </c>
      <c r="Z205" s="2252"/>
      <c r="AA205" s="2252"/>
      <c r="AB205" s="2253"/>
      <c r="AC205" s="2251" t="s">
        <v>2589</v>
      </c>
      <c r="AD205" s="2252"/>
      <c r="AE205" s="2252"/>
      <c r="AF205" s="2253"/>
      <c r="AG205" s="2257" t="s">
        <v>2588</v>
      </c>
      <c r="AH205" s="2258"/>
      <c r="AI205" s="2258"/>
      <c r="AJ205" s="2258"/>
      <c r="AK205" s="225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2"/>
      <c r="D206" s="2261"/>
      <c r="E206" s="2261"/>
      <c r="F206" s="2303"/>
      <c r="G206" s="2260"/>
      <c r="H206" s="2261"/>
      <c r="I206" s="2261"/>
      <c r="J206" s="2261"/>
      <c r="K206" s="2261"/>
      <c r="L206" s="2261"/>
      <c r="M206" s="2261"/>
      <c r="N206" s="2261"/>
      <c r="O206" s="2303"/>
      <c r="P206" s="2307"/>
      <c r="Q206" s="2308"/>
      <c r="R206" s="2308"/>
      <c r="S206" s="2308"/>
      <c r="T206" s="2309"/>
      <c r="U206" s="2254"/>
      <c r="V206" s="2255"/>
      <c r="W206" s="2255"/>
      <c r="X206" s="2256"/>
      <c r="Y206" s="2254"/>
      <c r="Z206" s="2255"/>
      <c r="AA206" s="2255"/>
      <c r="AB206" s="2256"/>
      <c r="AC206" s="2254"/>
      <c r="AD206" s="2255"/>
      <c r="AE206" s="2255"/>
      <c r="AF206" s="2256"/>
      <c r="AG206" s="2260"/>
      <c r="AH206" s="2261"/>
      <c r="AI206" s="2261"/>
      <c r="AJ206" s="2261"/>
      <c r="AK206" s="226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3">
        <v>1</v>
      </c>
      <c r="D207" s="2264"/>
      <c r="E207" s="2264"/>
      <c r="F207" s="2264"/>
      <c r="G207" s="2265" t="s">
        <v>2154</v>
      </c>
      <c r="H207" s="2265"/>
      <c r="I207" s="2265"/>
      <c r="J207" s="2265"/>
      <c r="K207" s="2265"/>
      <c r="L207" s="2265"/>
      <c r="M207" s="2265"/>
      <c r="N207" s="2265"/>
      <c r="O207" s="2265"/>
      <c r="P207" s="2266"/>
      <c r="Q207" s="2267"/>
      <c r="R207" s="2267"/>
      <c r="S207" s="2267"/>
      <c r="T207" s="2267"/>
      <c r="U207" s="2268" t="s">
        <v>2154</v>
      </c>
      <c r="V207" s="2268"/>
      <c r="W207" s="2268"/>
      <c r="X207" s="2268"/>
      <c r="Y207" s="2268" t="s">
        <v>2154</v>
      </c>
      <c r="Z207" s="2268"/>
      <c r="AA207" s="2268"/>
      <c r="AB207" s="2268"/>
      <c r="AC207" s="2269" t="s">
        <v>2154</v>
      </c>
      <c r="AD207" s="2269"/>
      <c r="AE207" s="2269"/>
      <c r="AF207" s="2269"/>
      <c r="AG207" s="2248"/>
      <c r="AH207" s="2249"/>
      <c r="AI207" s="2249"/>
      <c r="AJ207" s="2249"/>
      <c r="AK207" s="2250"/>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3">
        <v>2</v>
      </c>
      <c r="D208" s="2264"/>
      <c r="E208" s="2264"/>
      <c r="F208" s="2264"/>
      <c r="G208" s="2265" t="s">
        <v>2154</v>
      </c>
      <c r="H208" s="2265"/>
      <c r="I208" s="2265"/>
      <c r="J208" s="2265"/>
      <c r="K208" s="2265"/>
      <c r="L208" s="2265"/>
      <c r="M208" s="2265"/>
      <c r="N208" s="2265"/>
      <c r="O208" s="2265"/>
      <c r="P208" s="2266"/>
      <c r="Q208" s="2266"/>
      <c r="R208" s="2266"/>
      <c r="S208" s="2266"/>
      <c r="T208" s="2266"/>
      <c r="U208" s="2268" t="s">
        <v>2154</v>
      </c>
      <c r="V208" s="2268"/>
      <c r="W208" s="2268"/>
      <c r="X208" s="2268"/>
      <c r="Y208" s="2268" t="s">
        <v>2154</v>
      </c>
      <c r="Z208" s="2268"/>
      <c r="AA208" s="2268"/>
      <c r="AB208" s="2268"/>
      <c r="AC208" s="2269" t="s">
        <v>2154</v>
      </c>
      <c r="AD208" s="2269"/>
      <c r="AE208" s="2269"/>
      <c r="AF208" s="2269"/>
      <c r="AG208" s="2248"/>
      <c r="AH208" s="2249"/>
      <c r="AI208" s="2249"/>
      <c r="AJ208" s="2249"/>
      <c r="AK208" s="2250"/>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3">
        <v>3</v>
      </c>
      <c r="D209" s="2264"/>
      <c r="E209" s="2264"/>
      <c r="F209" s="2264"/>
      <c r="G209" s="2265" t="s">
        <v>2154</v>
      </c>
      <c r="H209" s="2265"/>
      <c r="I209" s="2265"/>
      <c r="J209" s="2265"/>
      <c r="K209" s="2265"/>
      <c r="L209" s="2265"/>
      <c r="M209" s="2265"/>
      <c r="N209" s="2265"/>
      <c r="O209" s="2265"/>
      <c r="P209" s="2266"/>
      <c r="Q209" s="2266"/>
      <c r="R209" s="2266"/>
      <c r="S209" s="2266"/>
      <c r="T209" s="2266"/>
      <c r="U209" s="2268" t="s">
        <v>2154</v>
      </c>
      <c r="V209" s="2268"/>
      <c r="W209" s="2268"/>
      <c r="X209" s="2268"/>
      <c r="Y209" s="2268" t="s">
        <v>2154</v>
      </c>
      <c r="Z209" s="2268"/>
      <c r="AA209" s="2268"/>
      <c r="AB209" s="2268"/>
      <c r="AC209" s="2269" t="s">
        <v>2154</v>
      </c>
      <c r="AD209" s="2269"/>
      <c r="AE209" s="2269"/>
      <c r="AF209" s="2269"/>
      <c r="AG209" s="2248"/>
      <c r="AH209" s="2249"/>
      <c r="AI209" s="2249"/>
      <c r="AJ209" s="2249"/>
      <c r="AK209" s="2250"/>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3">
        <v>4</v>
      </c>
      <c r="D210" s="2264"/>
      <c r="E210" s="2264"/>
      <c r="F210" s="2264"/>
      <c r="G210" s="2265" t="s">
        <v>2154</v>
      </c>
      <c r="H210" s="2265"/>
      <c r="I210" s="2265"/>
      <c r="J210" s="2265"/>
      <c r="K210" s="2265"/>
      <c r="L210" s="2265"/>
      <c r="M210" s="2265"/>
      <c r="N210" s="2265"/>
      <c r="O210" s="2265"/>
      <c r="P210" s="2266"/>
      <c r="Q210" s="2266"/>
      <c r="R210" s="2266"/>
      <c r="S210" s="2266"/>
      <c r="T210" s="2266"/>
      <c r="U210" s="2268" t="s">
        <v>2154</v>
      </c>
      <c r="V210" s="2268"/>
      <c r="W210" s="2268"/>
      <c r="X210" s="2268"/>
      <c r="Y210" s="2268" t="s">
        <v>2154</v>
      </c>
      <c r="Z210" s="2268"/>
      <c r="AA210" s="2268"/>
      <c r="AB210" s="2268"/>
      <c r="AC210" s="2269" t="s">
        <v>2154</v>
      </c>
      <c r="AD210" s="2269"/>
      <c r="AE210" s="2269"/>
      <c r="AF210" s="2269"/>
      <c r="AG210" s="2248"/>
      <c r="AH210" s="2249"/>
      <c r="AI210" s="2249"/>
      <c r="AJ210" s="2249"/>
      <c r="AK210" s="2250"/>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3">
        <v>5</v>
      </c>
      <c r="D211" s="2264"/>
      <c r="E211" s="2264"/>
      <c r="F211" s="2264"/>
      <c r="G211" s="2265"/>
      <c r="H211" s="2265"/>
      <c r="I211" s="2265"/>
      <c r="J211" s="2265"/>
      <c r="K211" s="2265"/>
      <c r="L211" s="2265"/>
      <c r="M211" s="2265"/>
      <c r="N211" s="2265"/>
      <c r="O211" s="2265"/>
      <c r="P211" s="2266"/>
      <c r="Q211" s="2266"/>
      <c r="R211" s="2266"/>
      <c r="S211" s="2266"/>
      <c r="T211" s="2266"/>
      <c r="U211" s="2268" t="s">
        <v>2154</v>
      </c>
      <c r="V211" s="2268"/>
      <c r="W211" s="2268"/>
      <c r="X211" s="2268"/>
      <c r="Y211" s="2268" t="s">
        <v>2154</v>
      </c>
      <c r="Z211" s="2268"/>
      <c r="AA211" s="2268"/>
      <c r="AB211" s="2268"/>
      <c r="AC211" s="2269" t="s">
        <v>2154</v>
      </c>
      <c r="AD211" s="2269"/>
      <c r="AE211" s="2269"/>
      <c r="AF211" s="2269"/>
      <c r="AG211" s="2248"/>
      <c r="AH211" s="2249"/>
      <c r="AI211" s="2249"/>
      <c r="AJ211" s="2249"/>
      <c r="AK211" s="2250"/>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3">
        <v>6</v>
      </c>
      <c r="D212" s="2264"/>
      <c r="E212" s="2264"/>
      <c r="F212" s="2264"/>
      <c r="G212" s="2265" t="s">
        <v>2154</v>
      </c>
      <c r="H212" s="2265"/>
      <c r="I212" s="2265"/>
      <c r="J212" s="2265"/>
      <c r="K212" s="2265"/>
      <c r="L212" s="2265"/>
      <c r="M212" s="2265"/>
      <c r="N212" s="2265"/>
      <c r="O212" s="2265"/>
      <c r="P212" s="2266"/>
      <c r="Q212" s="2266"/>
      <c r="R212" s="2266"/>
      <c r="S212" s="2266"/>
      <c r="T212" s="2266"/>
      <c r="U212" s="2268"/>
      <c r="V212" s="2268"/>
      <c r="W212" s="2268"/>
      <c r="X212" s="2268"/>
      <c r="Y212" s="2268"/>
      <c r="Z212" s="2268"/>
      <c r="AA212" s="2268"/>
      <c r="AB212" s="2268"/>
      <c r="AC212" s="2269" t="s">
        <v>2154</v>
      </c>
      <c r="AD212" s="2269"/>
      <c r="AE212" s="2269"/>
      <c r="AF212" s="2269"/>
      <c r="AG212" s="2248"/>
      <c r="AH212" s="2249"/>
      <c r="AI212" s="2249"/>
      <c r="AJ212" s="2249"/>
      <c r="AK212" s="2250"/>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3">
        <v>7</v>
      </c>
      <c r="D213" s="2264"/>
      <c r="E213" s="2264"/>
      <c r="F213" s="2264"/>
      <c r="G213" s="2599"/>
      <c r="H213" s="2600"/>
      <c r="I213" s="2600"/>
      <c r="J213" s="2600"/>
      <c r="K213" s="2600"/>
      <c r="L213" s="2600"/>
      <c r="M213" s="2600"/>
      <c r="N213" s="2600"/>
      <c r="O213" s="2601"/>
      <c r="P213" s="2266"/>
      <c r="Q213" s="2266"/>
      <c r="R213" s="2266"/>
      <c r="S213" s="2266"/>
      <c r="T213" s="2266"/>
      <c r="U213" s="2268"/>
      <c r="V213" s="2268"/>
      <c r="W213" s="2268"/>
      <c r="X213" s="2268"/>
      <c r="Y213" s="2268"/>
      <c r="Z213" s="2268"/>
      <c r="AA213" s="2268"/>
      <c r="AB213" s="2268"/>
      <c r="AC213" s="2269" t="s">
        <v>2154</v>
      </c>
      <c r="AD213" s="2269"/>
      <c r="AE213" s="2269"/>
      <c r="AF213" s="2269"/>
      <c r="AG213" s="2248"/>
      <c r="AH213" s="2249"/>
      <c r="AI213" s="2249"/>
      <c r="AJ213" s="2249"/>
      <c r="AK213" s="2250"/>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2" t="s">
        <v>2587</v>
      </c>
      <c r="D214" s="2603"/>
      <c r="E214" s="2603"/>
      <c r="F214" s="2603"/>
      <c r="G214" s="2603"/>
      <c r="H214" s="2603"/>
      <c r="I214" s="2603"/>
      <c r="J214" s="2603"/>
      <c r="K214" s="2603"/>
      <c r="L214" s="2603"/>
      <c r="M214" s="2603"/>
      <c r="N214" s="2603"/>
      <c r="O214" s="2603"/>
      <c r="P214" s="2604"/>
      <c r="Q214" s="2604"/>
      <c r="R214" s="2604"/>
      <c r="S214" s="2604"/>
      <c r="T214" s="2604"/>
      <c r="U214" s="2605">
        <v>0</v>
      </c>
      <c r="V214" s="2605"/>
      <c r="W214" s="2605"/>
      <c r="X214" s="2605"/>
      <c r="Y214" s="2605">
        <v>0</v>
      </c>
      <c r="Z214" s="2605"/>
      <c r="AA214" s="2605"/>
      <c r="AB214" s="2605"/>
      <c r="AC214" s="2606">
        <v>0</v>
      </c>
      <c r="AD214" s="2606"/>
      <c r="AE214" s="2606"/>
      <c r="AF214" s="2606"/>
      <c r="AG214" s="2245"/>
      <c r="AH214" s="2246"/>
      <c r="AI214" s="2246"/>
      <c r="AJ214" s="2246"/>
      <c r="AK214" s="2247"/>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3" t="s">
        <v>1854</v>
      </c>
      <c r="C219" s="2274"/>
      <c r="D219" s="2274"/>
      <c r="E219" s="2274"/>
      <c r="F219" s="2274"/>
      <c r="G219" s="2274"/>
      <c r="H219" s="2274"/>
      <c r="I219" s="2274"/>
      <c r="J219" s="2274"/>
      <c r="K219" s="2274"/>
      <c r="L219" s="2274"/>
      <c r="M219" s="2274"/>
      <c r="N219" s="2274"/>
      <c r="O219" s="2274"/>
      <c r="P219" s="2274"/>
      <c r="Q219" s="2274"/>
      <c r="R219" s="2274"/>
      <c r="S219" s="2274"/>
      <c r="T219" s="2274"/>
      <c r="U219" s="2274"/>
      <c r="V219" s="2274"/>
      <c r="W219" s="2274"/>
      <c r="X219" s="2274"/>
      <c r="Y219" s="2274"/>
      <c r="Z219" s="2274"/>
      <c r="AA219" s="2274"/>
      <c r="AB219" s="2274"/>
      <c r="AC219" s="2274"/>
      <c r="AD219" s="2274"/>
      <c r="AE219" s="2274"/>
      <c r="AF219" s="2274"/>
      <c r="AG219" s="2274"/>
      <c r="AH219" s="2274"/>
      <c r="AI219" s="2274"/>
      <c r="AJ219" s="2274"/>
      <c r="AK219" s="2274"/>
      <c r="AL219" s="2274"/>
      <c r="AM219" s="2274"/>
      <c r="AN219" s="2274"/>
      <c r="AO219" s="2274"/>
      <c r="AP219" s="2274"/>
      <c r="AQ219" s="2274"/>
      <c r="AR219" s="2274"/>
      <c r="AS219" s="2274"/>
      <c r="AT219" s="2274"/>
      <c r="AU219" s="2274"/>
      <c r="AV219" s="2274"/>
      <c r="AW219" s="2274"/>
      <c r="AX219" s="2274"/>
      <c r="AY219" s="2274"/>
      <c r="AZ219" s="2274"/>
      <c r="BA219" s="2274"/>
      <c r="BB219" s="2274"/>
      <c r="BC219" s="2274"/>
      <c r="BD219" s="2275"/>
      <c r="BE219" s="1205"/>
    </row>
    <row r="220" spans="1:57" ht="15.75" customHeight="1">
      <c r="A220" s="1209"/>
      <c r="B220" s="2276"/>
      <c r="C220" s="2277"/>
      <c r="D220" s="2277"/>
      <c r="E220" s="2277"/>
      <c r="F220" s="2277"/>
      <c r="G220" s="2277"/>
      <c r="H220" s="2277"/>
      <c r="I220" s="2277"/>
      <c r="J220" s="2277"/>
      <c r="K220" s="2277"/>
      <c r="L220" s="2277"/>
      <c r="M220" s="2277"/>
      <c r="N220" s="2277"/>
      <c r="O220" s="2277"/>
      <c r="P220" s="2277"/>
      <c r="Q220" s="2277"/>
      <c r="R220" s="2277"/>
      <c r="S220" s="2277"/>
      <c r="T220" s="2277"/>
      <c r="U220" s="2277"/>
      <c r="V220" s="2277"/>
      <c r="W220" s="2277"/>
      <c r="X220" s="2277"/>
      <c r="Y220" s="2277"/>
      <c r="Z220" s="2277"/>
      <c r="AA220" s="2277"/>
      <c r="AB220" s="2277"/>
      <c r="AC220" s="2277"/>
      <c r="AD220" s="2277"/>
      <c r="AE220" s="2277"/>
      <c r="AF220" s="2277"/>
      <c r="AG220" s="2277"/>
      <c r="AH220" s="2277"/>
      <c r="AI220" s="2277"/>
      <c r="AJ220" s="2277"/>
      <c r="AK220" s="2277"/>
      <c r="AL220" s="2277"/>
      <c r="AM220" s="2277"/>
      <c r="AN220" s="2277"/>
      <c r="AO220" s="2277"/>
      <c r="AP220" s="2277"/>
      <c r="AQ220" s="2277"/>
      <c r="AR220" s="2277"/>
      <c r="AS220" s="2277"/>
      <c r="AT220" s="2277"/>
      <c r="AU220" s="2277"/>
      <c r="AV220" s="2277"/>
      <c r="AW220" s="2277"/>
      <c r="AX220" s="2277"/>
      <c r="AY220" s="2277"/>
      <c r="AZ220" s="2277"/>
      <c r="BA220" s="2277"/>
      <c r="BB220" s="2277"/>
      <c r="BC220" s="2277"/>
      <c r="BD220" s="2278"/>
      <c r="BE220" s="1205"/>
    </row>
    <row r="221" spans="1:57" ht="15.75" customHeight="1">
      <c r="A221" s="1209"/>
      <c r="B221" s="2279" t="s">
        <v>1855</v>
      </c>
      <c r="C221" s="2280"/>
      <c r="D221" s="2280"/>
      <c r="E221" s="2280"/>
      <c r="F221" s="2280"/>
      <c r="G221" s="2280"/>
      <c r="H221" s="2280"/>
      <c r="I221" s="2280"/>
      <c r="J221" s="2280"/>
      <c r="K221" s="2280"/>
      <c r="L221" s="2280"/>
      <c r="M221" s="2280"/>
      <c r="N221" s="2280"/>
      <c r="O221" s="2280"/>
      <c r="P221" s="2280"/>
      <c r="Q221" s="2280"/>
      <c r="R221" s="2280"/>
      <c r="S221" s="2280"/>
      <c r="T221" s="2280"/>
      <c r="U221" s="2280"/>
      <c r="V221" s="2280"/>
      <c r="W221" s="2280"/>
      <c r="X221" s="2280"/>
      <c r="Y221" s="2280"/>
      <c r="Z221" s="2280"/>
      <c r="AA221" s="2280"/>
      <c r="AB221" s="2280"/>
      <c r="AC221" s="2280"/>
      <c r="AD221" s="2280"/>
      <c r="AE221" s="2280"/>
      <c r="AF221" s="2280"/>
      <c r="AG221" s="2280"/>
      <c r="AH221" s="2280"/>
      <c r="AI221" s="2280"/>
      <c r="AJ221" s="2280"/>
      <c r="AK221" s="2280"/>
      <c r="AL221" s="2280"/>
      <c r="AM221" s="2280"/>
      <c r="AN221" s="2280"/>
      <c r="AO221" s="2280"/>
      <c r="AP221" s="2280"/>
      <c r="AQ221" s="2280"/>
      <c r="AR221" s="2280"/>
      <c r="AS221" s="2280"/>
      <c r="AT221" s="2280"/>
      <c r="AU221" s="2280"/>
      <c r="AV221" s="2280"/>
      <c r="AW221" s="2280"/>
      <c r="AX221" s="2280"/>
      <c r="AY221" s="2280"/>
      <c r="AZ221" s="2280"/>
      <c r="BA221" s="2280"/>
      <c r="BB221" s="2280"/>
      <c r="BC221" s="2280"/>
      <c r="BD221" s="2281"/>
      <c r="BE221" s="1205"/>
    </row>
    <row r="222" spans="1:57" ht="15.75" customHeight="1">
      <c r="A222" s="1209"/>
      <c r="B222" s="2279" t="s">
        <v>1856</v>
      </c>
      <c r="C222" s="2280"/>
      <c r="D222" s="2280"/>
      <c r="E222" s="2280"/>
      <c r="F222" s="2280"/>
      <c r="G222" s="2280"/>
      <c r="H222" s="2280"/>
      <c r="I222" s="2280"/>
      <c r="J222" s="2280"/>
      <c r="K222" s="2280"/>
      <c r="L222" s="2280"/>
      <c r="M222" s="2280"/>
      <c r="N222" s="2280"/>
      <c r="O222" s="2280"/>
      <c r="P222" s="2280"/>
      <c r="Q222" s="2280"/>
      <c r="R222" s="2280"/>
      <c r="S222" s="2280"/>
      <c r="T222" s="2280"/>
      <c r="U222" s="2280"/>
      <c r="V222" s="2280"/>
      <c r="W222" s="2280"/>
      <c r="X222" s="2280"/>
      <c r="Y222" s="2280"/>
      <c r="Z222" s="2280"/>
      <c r="AA222" s="2280"/>
      <c r="AB222" s="2280"/>
      <c r="AC222" s="2280"/>
      <c r="AD222" s="2280"/>
      <c r="AE222" s="2280"/>
      <c r="AF222" s="2280"/>
      <c r="AG222" s="2280"/>
      <c r="AH222" s="2280"/>
      <c r="AI222" s="2280"/>
      <c r="AJ222" s="2280"/>
      <c r="AK222" s="2280"/>
      <c r="AL222" s="2280"/>
      <c r="AM222" s="2280"/>
      <c r="AN222" s="2280"/>
      <c r="AO222" s="2280"/>
      <c r="AP222" s="2280"/>
      <c r="AQ222" s="2280"/>
      <c r="AR222" s="2280"/>
      <c r="AS222" s="2280"/>
      <c r="AT222" s="2280"/>
      <c r="AU222" s="2280"/>
      <c r="AV222" s="2280"/>
      <c r="AW222" s="2280"/>
      <c r="AX222" s="2280"/>
      <c r="AY222" s="2280"/>
      <c r="AZ222" s="2280"/>
      <c r="BA222" s="2280"/>
      <c r="BB222" s="2280"/>
      <c r="BC222" s="2280"/>
      <c r="BD222" s="2281"/>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2" t="s">
        <v>1857</v>
      </c>
      <c r="C224" s="2283"/>
      <c r="D224" s="2283"/>
      <c r="E224" s="2283"/>
      <c r="F224" s="2283"/>
      <c r="G224" s="2283"/>
      <c r="H224" s="2283"/>
      <c r="I224" s="2283"/>
      <c r="J224" s="2283"/>
      <c r="K224" s="2283"/>
      <c r="L224" s="2283"/>
      <c r="M224" s="2283"/>
      <c r="N224" s="2283"/>
      <c r="O224" s="2283"/>
      <c r="P224" s="2283"/>
      <c r="Q224" s="2283"/>
      <c r="R224" s="2283"/>
      <c r="S224" s="2283"/>
      <c r="T224" s="2283"/>
      <c r="U224" s="2283"/>
      <c r="V224" s="2283"/>
      <c r="W224" s="2283"/>
      <c r="X224" s="2283"/>
      <c r="Y224" s="2283"/>
      <c r="Z224" s="2283"/>
      <c r="AA224" s="2283"/>
      <c r="AB224" s="2283"/>
      <c r="AC224" s="2283"/>
      <c r="AD224" s="2283"/>
      <c r="AE224" s="2283"/>
      <c r="AF224" s="2283"/>
      <c r="AG224" s="2283"/>
      <c r="AH224" s="2283"/>
      <c r="AI224" s="2283"/>
      <c r="AJ224" s="2283"/>
      <c r="AK224" s="2283"/>
      <c r="AL224" s="2283"/>
      <c r="AM224" s="2283"/>
      <c r="AN224" s="2283"/>
      <c r="AO224" s="2283"/>
      <c r="AP224" s="2283"/>
      <c r="AQ224" s="2283"/>
      <c r="AR224" s="2283"/>
      <c r="AS224" s="2283"/>
      <c r="AT224" s="2283"/>
      <c r="AU224" s="2283"/>
      <c r="AV224" s="2283"/>
      <c r="AW224" s="2283"/>
      <c r="AX224" s="2283"/>
      <c r="AY224" s="2283"/>
      <c r="AZ224" s="2283"/>
      <c r="BA224" s="2283"/>
      <c r="BB224" s="2283"/>
      <c r="BC224" s="2283"/>
      <c r="BD224" s="2284"/>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6" t="s">
        <v>1859</v>
      </c>
      <c r="I228" s="2296"/>
      <c r="J228" s="2296"/>
      <c r="K228" s="2296"/>
      <c r="L228" s="2296"/>
      <c r="M228" s="2296"/>
      <c r="N228" s="2296"/>
      <c r="O228" s="2296"/>
      <c r="P228" s="2296"/>
      <c r="Q228" s="2296"/>
      <c r="R228" s="2296"/>
      <c r="S228" s="2296"/>
      <c r="T228" s="2296"/>
      <c r="U228" s="2296"/>
      <c r="V228" s="2296"/>
      <c r="W228" s="2296"/>
      <c r="X228" s="2296"/>
      <c r="Y228" s="2296"/>
      <c r="Z228" s="2296"/>
      <c r="AA228" s="2296"/>
      <c r="AB228" s="2296"/>
      <c r="AC228" s="2296"/>
      <c r="AD228" s="2296"/>
      <c r="AE228" s="2296"/>
      <c r="AF228" s="2296"/>
      <c r="AG228" s="2296"/>
      <c r="AH228" s="2296"/>
      <c r="AI228" s="2296"/>
      <c r="AJ228" s="2296"/>
      <c r="AK228" s="2296"/>
      <c r="AL228" s="2296"/>
      <c r="AM228" s="2296"/>
      <c r="AN228" s="2296"/>
      <c r="AO228" s="2296"/>
      <c r="AP228" s="2296"/>
      <c r="AQ228" s="2296"/>
      <c r="AR228" s="2296"/>
      <c r="AS228" s="2296"/>
      <c r="AT228" s="2296"/>
      <c r="AU228" s="2296"/>
      <c r="AV228" s="2296"/>
      <c r="AW228" s="2296"/>
      <c r="AX228" s="2296"/>
      <c r="AY228" s="2296"/>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5" t="s">
        <v>2498</v>
      </c>
      <c r="I230" s="2295"/>
      <c r="J230" s="2295"/>
      <c r="K230" s="2295"/>
      <c r="L230" s="2295"/>
      <c r="M230" s="2295"/>
      <c r="N230" s="2295"/>
      <c r="O230" s="2295"/>
      <c r="P230" s="2295"/>
      <c r="Q230" s="2295"/>
      <c r="R230" s="2295"/>
      <c r="S230" s="2295"/>
      <c r="T230" s="2295"/>
      <c r="U230" s="2295"/>
      <c r="V230" s="2295"/>
      <c r="W230" s="2295"/>
      <c r="X230" s="2295"/>
      <c r="Y230" s="2295"/>
      <c r="Z230" s="2295"/>
      <c r="AA230" s="2295"/>
      <c r="AB230" s="2295"/>
      <c r="AC230" s="2295"/>
      <c r="AD230" s="2295"/>
      <c r="AE230" s="2295"/>
      <c r="AF230" s="2295"/>
      <c r="AG230" s="2295"/>
      <c r="AH230" s="2295"/>
      <c r="AI230" s="2295"/>
      <c r="AJ230" s="2295"/>
      <c r="AK230" s="2295"/>
      <c r="AL230" s="2295"/>
      <c r="AM230" s="2295"/>
      <c r="AN230" s="2295"/>
      <c r="AO230" s="2295"/>
      <c r="AP230" s="2295"/>
      <c r="AQ230" s="2295"/>
      <c r="AR230" s="2295"/>
      <c r="AS230" s="2295"/>
      <c r="AT230" s="2295"/>
      <c r="AU230" s="2295"/>
      <c r="AV230" s="2295"/>
      <c r="AW230" s="2295"/>
      <c r="AX230" s="2295"/>
      <c r="AY230" s="2295"/>
      <c r="AZ230" s="2295"/>
      <c r="BA230" s="1209"/>
      <c r="BB230" s="1209"/>
      <c r="BC230" s="1209"/>
      <c r="BD230" s="1205"/>
      <c r="BE230" s="1205"/>
    </row>
    <row r="231" spans="1:57" ht="15.75" customHeight="1">
      <c r="A231" s="1209"/>
      <c r="B231" s="1215"/>
      <c r="C231" s="1209"/>
      <c r="D231" s="1209"/>
      <c r="E231" s="1209"/>
      <c r="F231" s="1209"/>
      <c r="G231" s="1209"/>
      <c r="H231" s="2295"/>
      <c r="I231" s="2295"/>
      <c r="J231" s="2295"/>
      <c r="K231" s="2295"/>
      <c r="L231" s="2295"/>
      <c r="M231" s="2295"/>
      <c r="N231" s="2295"/>
      <c r="O231" s="2295"/>
      <c r="P231" s="2295"/>
      <c r="Q231" s="2295"/>
      <c r="R231" s="2295"/>
      <c r="S231" s="2295"/>
      <c r="T231" s="2295"/>
      <c r="U231" s="2295"/>
      <c r="V231" s="2295"/>
      <c r="W231" s="2295"/>
      <c r="X231" s="2295"/>
      <c r="Y231" s="2295"/>
      <c r="Z231" s="2295"/>
      <c r="AA231" s="2295"/>
      <c r="AB231" s="2295"/>
      <c r="AC231" s="2295"/>
      <c r="AD231" s="2295"/>
      <c r="AE231" s="2295"/>
      <c r="AF231" s="2295"/>
      <c r="AG231" s="2295"/>
      <c r="AH231" s="2295"/>
      <c r="AI231" s="2295"/>
      <c r="AJ231" s="2295"/>
      <c r="AK231" s="2295"/>
      <c r="AL231" s="2295"/>
      <c r="AM231" s="2295"/>
      <c r="AN231" s="2295"/>
      <c r="AO231" s="2295"/>
      <c r="AP231" s="2295"/>
      <c r="AQ231" s="2295"/>
      <c r="AR231" s="2295"/>
      <c r="AS231" s="2295"/>
      <c r="AT231" s="2295"/>
      <c r="AU231" s="2295"/>
      <c r="AV231" s="2295"/>
      <c r="AW231" s="2295"/>
      <c r="AX231" s="2295"/>
      <c r="AY231" s="2295"/>
      <c r="AZ231" s="2295"/>
      <c r="BA231" s="1209"/>
      <c r="BB231" s="1209"/>
      <c r="BC231" s="1209"/>
      <c r="BD231" s="1205"/>
      <c r="BE231" s="1205"/>
    </row>
    <row r="232" spans="1:57" ht="15.75" customHeight="1">
      <c r="A232" s="1209"/>
      <c r="B232" s="1215"/>
      <c r="C232" s="1209"/>
      <c r="D232" s="1209"/>
      <c r="E232" s="1209"/>
      <c r="F232" s="1209"/>
      <c r="G232" s="1209"/>
      <c r="H232" s="2295"/>
      <c r="I232" s="2295"/>
      <c r="J232" s="2295"/>
      <c r="K232" s="2295"/>
      <c r="L232" s="2295"/>
      <c r="M232" s="2295"/>
      <c r="N232" s="2295"/>
      <c r="O232" s="2295"/>
      <c r="P232" s="2295"/>
      <c r="Q232" s="2295"/>
      <c r="R232" s="2295"/>
      <c r="S232" s="2295"/>
      <c r="T232" s="2295"/>
      <c r="U232" s="2295"/>
      <c r="V232" s="2295"/>
      <c r="W232" s="2295"/>
      <c r="X232" s="2295"/>
      <c r="Y232" s="2295"/>
      <c r="Z232" s="2295"/>
      <c r="AA232" s="2295"/>
      <c r="AB232" s="2295"/>
      <c r="AC232" s="2295"/>
      <c r="AD232" s="2295"/>
      <c r="AE232" s="2295"/>
      <c r="AF232" s="2295"/>
      <c r="AG232" s="2295"/>
      <c r="AH232" s="2295"/>
      <c r="AI232" s="2295"/>
      <c r="AJ232" s="2295"/>
      <c r="AK232" s="2295"/>
      <c r="AL232" s="2295"/>
      <c r="AM232" s="2295"/>
      <c r="AN232" s="2295"/>
      <c r="AO232" s="2295"/>
      <c r="AP232" s="2295"/>
      <c r="AQ232" s="2295"/>
      <c r="AR232" s="2295"/>
      <c r="AS232" s="2295"/>
      <c r="AT232" s="2295"/>
      <c r="AU232" s="2295"/>
      <c r="AV232" s="2295"/>
      <c r="AW232" s="2295"/>
      <c r="AX232" s="2295"/>
      <c r="AY232" s="2295"/>
      <c r="AZ232" s="2295"/>
      <c r="BA232" s="1209"/>
      <c r="BB232" s="1209"/>
      <c r="BC232" s="1209"/>
      <c r="BD232" s="1205"/>
      <c r="BE232" s="1205"/>
    </row>
    <row r="233" spans="1:57" ht="15.75" customHeight="1">
      <c r="A233" s="1209"/>
      <c r="B233" s="1215"/>
      <c r="C233" s="1209"/>
      <c r="D233" s="1209"/>
      <c r="E233" s="1209"/>
      <c r="F233" s="1209"/>
      <c r="G233" s="1209"/>
      <c r="H233" s="2295"/>
      <c r="I233" s="2295"/>
      <c r="J233" s="2295"/>
      <c r="K233" s="2295"/>
      <c r="L233" s="2295"/>
      <c r="M233" s="2295"/>
      <c r="N233" s="2295"/>
      <c r="O233" s="2295"/>
      <c r="P233" s="2295"/>
      <c r="Q233" s="2295"/>
      <c r="R233" s="2295"/>
      <c r="S233" s="2295"/>
      <c r="T233" s="2295"/>
      <c r="U233" s="2295"/>
      <c r="V233" s="2295"/>
      <c r="W233" s="2295"/>
      <c r="X233" s="2295"/>
      <c r="Y233" s="2295"/>
      <c r="Z233" s="2295"/>
      <c r="AA233" s="2295"/>
      <c r="AB233" s="2295"/>
      <c r="AC233" s="2295"/>
      <c r="AD233" s="2295"/>
      <c r="AE233" s="2295"/>
      <c r="AF233" s="2295"/>
      <c r="AG233" s="2295"/>
      <c r="AH233" s="2295"/>
      <c r="AI233" s="2295"/>
      <c r="AJ233" s="2295"/>
      <c r="AK233" s="2295"/>
      <c r="AL233" s="2295"/>
      <c r="AM233" s="2295"/>
      <c r="AN233" s="2295"/>
      <c r="AO233" s="2295"/>
      <c r="AP233" s="2295"/>
      <c r="AQ233" s="2295"/>
      <c r="AR233" s="2295"/>
      <c r="AS233" s="2295"/>
      <c r="AT233" s="2295"/>
      <c r="AU233" s="2295"/>
      <c r="AV233" s="2295"/>
      <c r="AW233" s="2295"/>
      <c r="AX233" s="2295"/>
      <c r="AY233" s="2295"/>
      <c r="AZ233" s="2295"/>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4" t="s">
        <v>1860</v>
      </c>
      <c r="I235" s="2294"/>
      <c r="J235" s="2294"/>
      <c r="K235" s="2294"/>
      <c r="L235" s="2294"/>
      <c r="M235" s="2294"/>
      <c r="N235" s="2294"/>
      <c r="O235" s="2294"/>
      <c r="P235" s="2294"/>
      <c r="Q235" s="2294"/>
      <c r="R235" s="2294"/>
      <c r="S235" s="2294"/>
      <c r="T235" s="2294"/>
      <c r="U235" s="2294"/>
      <c r="V235" s="2294"/>
      <c r="W235" s="2294"/>
      <c r="X235" s="2294"/>
      <c r="Y235" s="2294"/>
      <c r="Z235" s="2294"/>
      <c r="AA235" s="2294"/>
      <c r="AB235" s="2294"/>
      <c r="AC235" s="2294"/>
      <c r="AD235" s="2294"/>
      <c r="AE235" s="2294"/>
      <c r="AF235" s="2294"/>
      <c r="AG235" s="2294"/>
      <c r="AH235" s="2294"/>
      <c r="AI235" s="2294"/>
      <c r="AJ235" s="2294"/>
      <c r="AK235" s="2294"/>
      <c r="AL235" s="2294"/>
      <c r="AM235" s="2294"/>
      <c r="AN235" s="2294"/>
      <c r="AO235" s="2294"/>
      <c r="AP235" s="2294"/>
      <c r="AQ235" s="2294"/>
      <c r="AR235" s="2294"/>
      <c r="AS235" s="2294"/>
      <c r="AT235" s="2294"/>
      <c r="AU235" s="2294"/>
      <c r="AV235" s="2294"/>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0" t="s">
        <v>1861</v>
      </c>
      <c r="I237" s="2270"/>
      <c r="J237" s="2270"/>
      <c r="K237" s="2270"/>
      <c r="L237" s="1211"/>
      <c r="M237" s="1211"/>
      <c r="N237" s="1211"/>
      <c r="O237" s="1211"/>
      <c r="P237" s="1211"/>
      <c r="Q237" s="1211"/>
      <c r="R237" s="1211"/>
      <c r="S237" s="2291"/>
      <c r="T237" s="2292"/>
      <c r="U237" s="2292"/>
      <c r="V237" s="2292"/>
      <c r="W237" s="2292"/>
      <c r="X237" s="2292"/>
      <c r="Y237" s="2292"/>
      <c r="Z237" s="2292"/>
      <c r="AA237" s="2292"/>
      <c r="AB237" s="2292"/>
      <c r="AC237" s="2292"/>
      <c r="AD237" s="2292"/>
      <c r="AE237" s="2292"/>
      <c r="AF237" s="2292"/>
      <c r="AG237" s="2292"/>
      <c r="AH237" s="2292"/>
      <c r="AI237" s="2292"/>
      <c r="AJ237" s="2293"/>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0" t="s">
        <v>1862</v>
      </c>
      <c r="I239" s="2270"/>
      <c r="J239" s="2270"/>
      <c r="K239" s="1213"/>
      <c r="L239" s="1211"/>
      <c r="M239" s="1211"/>
      <c r="N239" s="1211"/>
      <c r="O239" s="1211"/>
      <c r="P239" s="1211"/>
      <c r="Q239" s="1211"/>
      <c r="R239" s="1211"/>
      <c r="S239" s="2288"/>
      <c r="T239" s="2289"/>
      <c r="U239" s="2289"/>
      <c r="V239" s="2289"/>
      <c r="W239" s="2289"/>
      <c r="X239" s="2289"/>
      <c r="Y239" s="2289"/>
      <c r="Z239" s="2289"/>
      <c r="AA239" s="2289"/>
      <c r="AB239" s="2289"/>
      <c r="AC239" s="2289"/>
      <c r="AD239" s="2289"/>
      <c r="AE239" s="2289"/>
      <c r="AF239" s="2289"/>
      <c r="AG239" s="2289"/>
      <c r="AH239" s="2289"/>
      <c r="AI239" s="2289"/>
      <c r="AJ239" s="2290"/>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0" t="s">
        <v>443</v>
      </c>
      <c r="I241" s="2270"/>
      <c r="J241" s="1213"/>
      <c r="K241" s="1213"/>
      <c r="L241" s="1211"/>
      <c r="M241" s="1211"/>
      <c r="N241" s="1211"/>
      <c r="O241" s="1211"/>
      <c r="P241" s="1211"/>
      <c r="Q241" s="1211"/>
      <c r="R241" s="1211"/>
      <c r="S241" s="2288"/>
      <c r="T241" s="2289"/>
      <c r="U241" s="2289"/>
      <c r="V241" s="2289"/>
      <c r="W241" s="2289"/>
      <c r="X241" s="2289"/>
      <c r="Y241" s="2289"/>
      <c r="Z241" s="2289"/>
      <c r="AA241" s="2289"/>
      <c r="AB241" s="2289"/>
      <c r="AC241" s="2289"/>
      <c r="AD241" s="2289"/>
      <c r="AE241" s="2289"/>
      <c r="AF241" s="2289"/>
      <c r="AG241" s="2289"/>
      <c r="AH241" s="2289"/>
      <c r="AI241" s="2289"/>
      <c r="AJ241" s="2290"/>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1" t="s">
        <v>1863</v>
      </c>
      <c r="I243" s="2271"/>
      <c r="J243" s="2271"/>
      <c r="K243" s="2271"/>
      <c r="L243" s="2271"/>
      <c r="M243" s="2271"/>
      <c r="N243" s="2271"/>
      <c r="O243" s="2271"/>
      <c r="P243" s="1211"/>
      <c r="Q243" s="1211"/>
      <c r="R243" s="1211"/>
      <c r="S243" s="2288"/>
      <c r="T243" s="2289"/>
      <c r="U243" s="2289"/>
      <c r="V243" s="2289"/>
      <c r="W243" s="2289"/>
      <c r="X243" s="2289"/>
      <c r="Y243" s="2289"/>
      <c r="Z243" s="2289"/>
      <c r="AA243" s="2289"/>
      <c r="AB243" s="2289"/>
      <c r="AC243" s="2289"/>
      <c r="AD243" s="2289"/>
      <c r="AE243" s="2289"/>
      <c r="AF243" s="2289"/>
      <c r="AG243" s="2289"/>
      <c r="AH243" s="2289"/>
      <c r="AI243" s="2289"/>
      <c r="AJ243" s="2290"/>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2" t="s">
        <v>1864</v>
      </c>
      <c r="I245" s="2272"/>
      <c r="J245" s="1211"/>
      <c r="K245" s="1211"/>
      <c r="L245" s="1211"/>
      <c r="M245" s="1211"/>
      <c r="N245" s="1211"/>
      <c r="O245" s="1211"/>
      <c r="P245" s="1211"/>
      <c r="Q245" s="1211"/>
      <c r="R245" s="1211"/>
      <c r="S245" s="2285"/>
      <c r="T245" s="2286"/>
      <c r="U245" s="2286"/>
      <c r="V245" s="2286"/>
      <c r="W245" s="2286"/>
      <c r="X245" s="2286"/>
      <c r="Y245" s="2286"/>
      <c r="Z245" s="2286"/>
      <c r="AA245" s="2286"/>
      <c r="AB245" s="2286"/>
      <c r="AC245" s="2286"/>
      <c r="AD245" s="2286"/>
      <c r="AE245" s="2286"/>
      <c r="AF245" s="2286"/>
      <c r="AG245" s="2286"/>
      <c r="AH245" s="2286"/>
      <c r="AI245" s="2286"/>
      <c r="AJ245" s="2287"/>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3" workbookViewId="0">
      <selection activeCell="AB73" sqref="AB73"/>
    </sheetView>
  </sheetViews>
  <sheetFormatPr defaultColWidth="0" defaultRowHeight="12.95" customHeight="1"/>
  <cols>
    <col min="1" max="1" width="1.42578125" style="433" customWidth="1"/>
    <col min="2" max="2" width="0.855468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38" t="s">
        <v>1390</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row>
    <row r="2" spans="1:40" ht="12.95" customHeight="1" thickBo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19" t="s">
        <v>376</v>
      </c>
      <c r="C11" s="2620"/>
      <c r="D11" s="2620"/>
      <c r="E11" s="2620"/>
      <c r="F11" s="2620"/>
      <c r="G11" s="2620"/>
      <c r="H11" s="2620"/>
      <c r="I11" s="2620"/>
      <c r="J11" s="2620"/>
      <c r="K11" s="2620"/>
      <c r="L11" s="2620"/>
      <c r="M11" s="2620"/>
      <c r="N11" s="2620"/>
      <c r="O11" s="2620"/>
      <c r="P11" s="2620"/>
      <c r="Q11" s="2620"/>
      <c r="R11" s="2620"/>
      <c r="S11" s="2621"/>
      <c r="T11" s="2641">
        <f>IF('Sources and Basis Breakdown'!F107=0,'Sources and Basis Breakdown'!E107,'Sources and Basis Breakdown'!F107)</f>
        <v>40200150</v>
      </c>
      <c r="U11" s="2642"/>
      <c r="V11" s="2642"/>
      <c r="W11" s="2642"/>
      <c r="X11" s="2642"/>
      <c r="Y11" s="2641">
        <f>IF(Y7="",0,IF('Sources and Basis Breakdown'!G107+'Sources and Basis Breakdown'!F107='Sources and Basis Breakdown'!E107,'Sources and Basis Breakdown'!G107,0))</f>
        <v>0</v>
      </c>
      <c r="Z11" s="2642"/>
      <c r="AA11" s="2642"/>
      <c r="AB11" s="2642"/>
      <c r="AC11" s="2642"/>
      <c r="AD11" s="2642">
        <f>IF('Sources and Basis Breakdown'!I107=0,'Sources and Basis Breakdown'!H107,'Sources and Basis Breakdown'!I107)</f>
        <v>33924124</v>
      </c>
      <c r="AE11" s="2642"/>
      <c r="AF11" s="2642"/>
      <c r="AG11" s="2642"/>
      <c r="AH11" s="2642"/>
      <c r="AI11" s="2642">
        <f>IF(Y7="",0,IF('Sources and Basis Breakdown'!I107+'Sources and Basis Breakdown'!J107='Sources and Basis Breakdown'!H107,'Sources and Basis Breakdown'!J107,0))</f>
        <v>0</v>
      </c>
      <c r="AJ11" s="2642"/>
      <c r="AK11" s="2642"/>
      <c r="AL11" s="2642"/>
      <c r="AM11" s="2642"/>
    </row>
    <row r="12" spans="1:40" ht="12.95" customHeight="1">
      <c r="B12" s="2634" t="s">
        <v>505</v>
      </c>
      <c r="C12" s="1287"/>
      <c r="D12" s="1287"/>
      <c r="E12" s="1287"/>
      <c r="F12" s="1287"/>
      <c r="G12" s="1287"/>
      <c r="H12" s="1287"/>
      <c r="I12" s="1287"/>
      <c r="J12" s="1287"/>
      <c r="K12" s="1287"/>
      <c r="L12" s="1287"/>
      <c r="M12" s="1287"/>
      <c r="N12" s="1287"/>
      <c r="O12" s="1287"/>
      <c r="P12" s="1287"/>
      <c r="Q12" s="1287"/>
      <c r="R12" s="1287"/>
      <c r="S12" s="2635"/>
      <c r="T12" s="2607"/>
      <c r="U12" s="2608"/>
      <c r="V12" s="2608"/>
      <c r="W12" s="2608"/>
      <c r="X12" s="2609"/>
      <c r="Y12" s="2607"/>
      <c r="Z12" s="2608"/>
      <c r="AA12" s="2608"/>
      <c r="AB12" s="2608"/>
      <c r="AC12" s="2609"/>
      <c r="AD12" s="2607"/>
      <c r="AE12" s="2608"/>
      <c r="AF12" s="2608"/>
      <c r="AG12" s="2608"/>
      <c r="AH12" s="2609"/>
      <c r="AI12" s="2607"/>
      <c r="AJ12" s="2608"/>
      <c r="AK12" s="2608"/>
      <c r="AL12" s="2608"/>
      <c r="AM12" s="2609"/>
    </row>
    <row r="13" spans="1:40" ht="12.95" customHeight="1">
      <c r="B13" s="467"/>
      <c r="C13" s="2636" t="s">
        <v>506</v>
      </c>
      <c r="D13" s="2636"/>
      <c r="E13" s="2636"/>
      <c r="F13" s="2636"/>
      <c r="G13" s="2636"/>
      <c r="H13" s="2636"/>
      <c r="I13" s="2636"/>
      <c r="J13" s="2636"/>
      <c r="K13" s="2636"/>
      <c r="L13" s="2636"/>
      <c r="M13" s="2636"/>
      <c r="N13" s="2636"/>
      <c r="O13" s="2636"/>
      <c r="P13" s="2636"/>
      <c r="Q13" s="2636"/>
      <c r="R13" s="2636"/>
      <c r="S13" s="2637"/>
      <c r="T13" s="2643"/>
      <c r="U13" s="2644"/>
      <c r="V13" s="2644"/>
      <c r="W13" s="2644"/>
      <c r="X13" s="2644"/>
      <c r="Y13" s="2643"/>
      <c r="Z13" s="2644"/>
      <c r="AA13" s="2644"/>
      <c r="AB13" s="2644"/>
      <c r="AC13" s="2644"/>
      <c r="AD13" s="2644"/>
      <c r="AE13" s="2644"/>
      <c r="AF13" s="2644"/>
      <c r="AG13" s="2644"/>
      <c r="AH13" s="2644"/>
      <c r="AI13" s="2644"/>
      <c r="AJ13" s="2644"/>
      <c r="AK13" s="2644"/>
      <c r="AL13" s="2644"/>
      <c r="AM13" s="2644"/>
    </row>
    <row r="14" spans="1:40" ht="12.95" customHeight="1">
      <c r="B14" s="467"/>
      <c r="C14" s="2636" t="s">
        <v>507</v>
      </c>
      <c r="D14" s="2636"/>
      <c r="E14" s="2636"/>
      <c r="F14" s="2636"/>
      <c r="G14" s="2636"/>
      <c r="H14" s="2636"/>
      <c r="I14" s="2636"/>
      <c r="J14" s="2636"/>
      <c r="K14" s="2636"/>
      <c r="L14" s="2636"/>
      <c r="M14" s="2636"/>
      <c r="N14" s="2636"/>
      <c r="O14" s="2636"/>
      <c r="P14" s="2636"/>
      <c r="Q14" s="2636"/>
      <c r="R14" s="2636"/>
      <c r="S14" s="2637"/>
      <c r="T14" s="2610"/>
      <c r="U14" s="2611"/>
      <c r="V14" s="2611"/>
      <c r="W14" s="2611"/>
      <c r="X14" s="2611"/>
      <c r="Y14" s="2610"/>
      <c r="Z14" s="2611"/>
      <c r="AA14" s="2611"/>
      <c r="AB14" s="2611"/>
      <c r="AC14" s="2611"/>
      <c r="AD14" s="2611"/>
      <c r="AE14" s="2611"/>
      <c r="AF14" s="2611"/>
      <c r="AG14" s="2611"/>
      <c r="AH14" s="2611"/>
      <c r="AI14" s="2611"/>
      <c r="AJ14" s="2611"/>
      <c r="AK14" s="2611"/>
      <c r="AL14" s="2611"/>
      <c r="AM14" s="2611"/>
    </row>
    <row r="15" spans="1:40" ht="12.95" customHeight="1">
      <c r="B15" s="467"/>
      <c r="C15" s="2636" t="s">
        <v>508</v>
      </c>
      <c r="D15" s="2636"/>
      <c r="E15" s="2636"/>
      <c r="F15" s="2636"/>
      <c r="G15" s="2636"/>
      <c r="H15" s="2636"/>
      <c r="I15" s="2636"/>
      <c r="J15" s="2636"/>
      <c r="K15" s="2636"/>
      <c r="L15" s="2636"/>
      <c r="M15" s="2636"/>
      <c r="N15" s="2636"/>
      <c r="O15" s="2636"/>
      <c r="P15" s="2636"/>
      <c r="Q15" s="2636"/>
      <c r="R15" s="2636"/>
      <c r="S15" s="2637"/>
      <c r="T15" s="2610"/>
      <c r="U15" s="2611"/>
      <c r="V15" s="2611"/>
      <c r="W15" s="2611"/>
      <c r="X15" s="2611"/>
      <c r="Y15" s="2610"/>
      <c r="Z15" s="2611"/>
      <c r="AA15" s="2611"/>
      <c r="AB15" s="2611"/>
      <c r="AC15" s="2611"/>
      <c r="AD15" s="2611"/>
      <c r="AE15" s="2611"/>
      <c r="AF15" s="2611"/>
      <c r="AG15" s="2611"/>
      <c r="AH15" s="2611"/>
      <c r="AI15" s="2611"/>
      <c r="AJ15" s="2611"/>
      <c r="AK15" s="2611"/>
      <c r="AL15" s="2611"/>
      <c r="AM15" s="2611"/>
    </row>
    <row r="16" spans="1:40" ht="12.95" customHeight="1">
      <c r="B16" s="467"/>
      <c r="C16" s="2636" t="s">
        <v>814</v>
      </c>
      <c r="D16" s="2636"/>
      <c r="E16" s="2636"/>
      <c r="F16" s="2636"/>
      <c r="G16" s="2636"/>
      <c r="H16" s="2636"/>
      <c r="I16" s="2636"/>
      <c r="J16" s="2636"/>
      <c r="K16" s="2636"/>
      <c r="L16" s="2636"/>
      <c r="M16" s="2636"/>
      <c r="N16" s="2636"/>
      <c r="O16" s="2636"/>
      <c r="P16" s="2636"/>
      <c r="Q16" s="2636"/>
      <c r="R16" s="2636"/>
      <c r="S16" s="2637"/>
      <c r="T16" s="2610"/>
      <c r="U16" s="2611"/>
      <c r="V16" s="2611"/>
      <c r="W16" s="2611"/>
      <c r="X16" s="2611"/>
      <c r="Y16" s="2610"/>
      <c r="Z16" s="2611"/>
      <c r="AA16" s="2611"/>
      <c r="AB16" s="2611"/>
      <c r="AC16" s="2611"/>
      <c r="AD16" s="2611"/>
      <c r="AE16" s="2611"/>
      <c r="AF16" s="2611"/>
      <c r="AG16" s="2611"/>
      <c r="AH16" s="2611"/>
      <c r="AI16" s="2611"/>
      <c r="AJ16" s="2611"/>
      <c r="AK16" s="2611"/>
      <c r="AL16" s="2611"/>
      <c r="AM16" s="2611"/>
    </row>
    <row r="17" spans="1:40" ht="12.95" customHeight="1">
      <c r="B17" s="467"/>
      <c r="C17" s="2636" t="s">
        <v>509</v>
      </c>
      <c r="D17" s="2636"/>
      <c r="E17" s="2636"/>
      <c r="F17" s="2636"/>
      <c r="G17" s="2636"/>
      <c r="H17" s="2636"/>
      <c r="I17" s="2636"/>
      <c r="J17" s="2636"/>
      <c r="K17" s="2636"/>
      <c r="L17" s="2636"/>
      <c r="M17" s="2636"/>
      <c r="N17" s="2636"/>
      <c r="O17" s="2636"/>
      <c r="P17" s="2636"/>
      <c r="Q17" s="2636"/>
      <c r="R17" s="2636"/>
      <c r="S17" s="2637"/>
      <c r="T17" s="2610"/>
      <c r="U17" s="2611"/>
      <c r="V17" s="2611"/>
      <c r="W17" s="2611"/>
      <c r="X17" s="2611"/>
      <c r="Y17" s="2610"/>
      <c r="Z17" s="2611"/>
      <c r="AA17" s="2611"/>
      <c r="AB17" s="2611"/>
      <c r="AC17" s="2611"/>
      <c r="AD17" s="2611"/>
      <c r="AE17" s="2611"/>
      <c r="AF17" s="2611"/>
      <c r="AG17" s="2611"/>
      <c r="AH17" s="2611"/>
      <c r="AI17" s="2611"/>
      <c r="AJ17" s="2611"/>
      <c r="AK17" s="2611"/>
      <c r="AL17" s="2611"/>
      <c r="AM17" s="2611"/>
    </row>
    <row r="18" spans="1:40" ht="12.95" customHeight="1">
      <c r="A18"/>
      <c r="B18" s="1194"/>
      <c r="C18" s="1747" t="s">
        <v>979</v>
      </c>
      <c r="D18" s="1747"/>
      <c r="E18" s="1747"/>
      <c r="F18" s="1747"/>
      <c r="G18" s="1747"/>
      <c r="H18" s="1747"/>
      <c r="I18" s="1747"/>
      <c r="J18" s="1747"/>
      <c r="K18" s="1747"/>
      <c r="L18" s="1747"/>
      <c r="M18" s="1747"/>
      <c r="N18" s="1747"/>
      <c r="O18" s="1747"/>
      <c r="P18" s="1747"/>
      <c r="Q18" s="1747"/>
      <c r="R18" s="1747"/>
      <c r="S18" s="1748"/>
      <c r="T18" s="2610"/>
      <c r="U18" s="2611"/>
      <c r="V18" s="2611"/>
      <c r="W18" s="2611"/>
      <c r="X18" s="2611"/>
      <c r="Y18" s="2610"/>
      <c r="Z18" s="2611"/>
      <c r="AA18" s="2611"/>
      <c r="AB18" s="2611"/>
      <c r="AC18" s="2611"/>
      <c r="AD18" s="2611"/>
      <c r="AE18" s="2611"/>
      <c r="AF18" s="2611"/>
      <c r="AG18" s="2611"/>
      <c r="AH18" s="2611"/>
      <c r="AI18" s="2611"/>
      <c r="AJ18" s="2611"/>
      <c r="AK18" s="2611"/>
      <c r="AL18" s="2611"/>
      <c r="AM18" s="2611"/>
    </row>
    <row r="19" spans="1:40" ht="12.95" customHeight="1">
      <c r="B19" s="1194"/>
      <c r="C19" s="1747" t="s">
        <v>979</v>
      </c>
      <c r="D19" s="1747"/>
      <c r="E19" s="1747"/>
      <c r="F19" s="1747"/>
      <c r="G19" s="1747"/>
      <c r="H19" s="1747"/>
      <c r="I19" s="1747"/>
      <c r="J19" s="1747"/>
      <c r="K19" s="1747"/>
      <c r="L19" s="1747"/>
      <c r="M19" s="1747"/>
      <c r="N19" s="1747"/>
      <c r="O19" s="1747"/>
      <c r="P19" s="1747"/>
      <c r="Q19" s="1747"/>
      <c r="R19" s="1747"/>
      <c r="S19" s="1748"/>
      <c r="T19" s="2610"/>
      <c r="U19" s="2611"/>
      <c r="V19" s="2611"/>
      <c r="W19" s="2611"/>
      <c r="X19" s="2611"/>
      <c r="Y19" s="2610"/>
      <c r="Z19" s="2611"/>
      <c r="AA19" s="2611"/>
      <c r="AB19" s="2611"/>
      <c r="AC19" s="2611"/>
      <c r="AD19" s="2611"/>
      <c r="AE19" s="2611"/>
      <c r="AF19" s="2611"/>
      <c r="AG19" s="2611"/>
      <c r="AH19" s="2611"/>
      <c r="AI19" s="2611"/>
      <c r="AJ19" s="2611"/>
      <c r="AK19" s="2611"/>
      <c r="AL19" s="2611"/>
      <c r="AM19" s="2611"/>
    </row>
    <row r="20" spans="1:40" ht="12.95" customHeight="1">
      <c r="B20" s="2619" t="s">
        <v>510</v>
      </c>
      <c r="C20" s="2620"/>
      <c r="D20" s="2620"/>
      <c r="E20" s="2620"/>
      <c r="F20" s="2620"/>
      <c r="G20" s="2620"/>
      <c r="H20" s="2620"/>
      <c r="I20" s="2620"/>
      <c r="J20" s="2620"/>
      <c r="K20" s="2620"/>
      <c r="L20" s="2620"/>
      <c r="M20" s="2620"/>
      <c r="N20" s="2620"/>
      <c r="O20" s="2620"/>
      <c r="P20" s="2620"/>
      <c r="Q20" s="2620"/>
      <c r="R20" s="2620"/>
      <c r="S20" s="2621"/>
      <c r="T20" s="2612">
        <f>SUM(T13:X19)</f>
        <v>0</v>
      </c>
      <c r="U20" s="2613"/>
      <c r="V20" s="2613"/>
      <c r="W20" s="2613"/>
      <c r="X20" s="2613"/>
      <c r="Y20" s="2612">
        <f>SUM(Y13:AC19)</f>
        <v>0</v>
      </c>
      <c r="Z20" s="2613"/>
      <c r="AA20" s="2613"/>
      <c r="AB20" s="2613"/>
      <c r="AC20" s="2613"/>
      <c r="AD20" s="2614">
        <f>SUM(AD13:AH19)</f>
        <v>0</v>
      </c>
      <c r="AE20" s="2615"/>
      <c r="AF20" s="2615"/>
      <c r="AG20" s="2615"/>
      <c r="AH20" s="2612"/>
      <c r="AI20" s="2614">
        <f>SUM(AI13:AM19)</f>
        <v>0</v>
      </c>
      <c r="AJ20" s="2615"/>
      <c r="AK20" s="2615"/>
      <c r="AL20" s="2615"/>
      <c r="AM20" s="2612"/>
    </row>
    <row r="21" spans="1:40" ht="12.95" customHeight="1">
      <c r="B21" s="2619" t="s">
        <v>1373</v>
      </c>
      <c r="C21" s="2620"/>
      <c r="D21" s="2620"/>
      <c r="E21" s="2620"/>
      <c r="F21" s="2620"/>
      <c r="G21" s="2620"/>
      <c r="H21" s="2620"/>
      <c r="I21" s="2620"/>
      <c r="J21" s="2620"/>
      <c r="K21" s="2620"/>
      <c r="L21" s="2620"/>
      <c r="M21" s="2620"/>
      <c r="N21" s="2620"/>
      <c r="O21" s="2620"/>
      <c r="P21" s="2620"/>
      <c r="Q21" s="2620"/>
      <c r="R21" s="2620"/>
      <c r="S21" s="2621"/>
      <c r="T21" s="2610"/>
      <c r="U21" s="2611"/>
      <c r="V21" s="2611"/>
      <c r="W21" s="2611"/>
      <c r="X21" s="2611"/>
      <c r="Y21" s="2610"/>
      <c r="Z21" s="2611"/>
      <c r="AA21" s="2611"/>
      <c r="AB21" s="2611"/>
      <c r="AC21" s="2611"/>
      <c r="AD21" s="2607"/>
      <c r="AE21" s="2608"/>
      <c r="AF21" s="2608"/>
      <c r="AG21" s="2608"/>
      <c r="AH21" s="2609"/>
      <c r="AI21" s="2607"/>
      <c r="AJ21" s="2608"/>
      <c r="AK21" s="2608"/>
      <c r="AL21" s="2608"/>
      <c r="AM21" s="2609"/>
    </row>
    <row r="22" spans="1:40" ht="12.95" customHeight="1">
      <c r="B22" s="2619" t="s">
        <v>511</v>
      </c>
      <c r="C22" s="2620"/>
      <c r="D22" s="2620"/>
      <c r="E22" s="2620"/>
      <c r="F22" s="2620"/>
      <c r="G22" s="2620"/>
      <c r="H22" s="2620"/>
      <c r="I22" s="2620"/>
      <c r="J22" s="2620"/>
      <c r="K22" s="2620"/>
      <c r="L22" s="2620"/>
      <c r="M22" s="2620"/>
      <c r="N22" s="2620"/>
      <c r="O22" s="2620"/>
      <c r="P22" s="2620"/>
      <c r="Q22" s="2620"/>
      <c r="R22" s="2620"/>
      <c r="S22" s="2621"/>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2.95" customHeight="1">
      <c r="B23" s="2619" t="s">
        <v>512</v>
      </c>
      <c r="C23" s="2620"/>
      <c r="D23" s="2620"/>
      <c r="E23" s="2620"/>
      <c r="F23" s="2620"/>
      <c r="G23" s="2620"/>
      <c r="H23" s="2620"/>
      <c r="I23" s="2620"/>
      <c r="J23" s="2620"/>
      <c r="K23" s="2620"/>
      <c r="L23" s="2620"/>
      <c r="M23" s="2620"/>
      <c r="N23" s="2620"/>
      <c r="O23" s="2620"/>
      <c r="P23" s="2620"/>
      <c r="Q23" s="2620"/>
      <c r="R23" s="2620"/>
      <c r="S23" s="2621"/>
      <c r="T23" s="2612">
        <f>T11+T22</f>
        <v>40200150</v>
      </c>
      <c r="U23" s="2613"/>
      <c r="V23" s="2613"/>
      <c r="W23" s="2613"/>
      <c r="X23" s="2613"/>
      <c r="Y23" s="2612">
        <f>Y11+Y22</f>
        <v>0</v>
      </c>
      <c r="Z23" s="2613"/>
      <c r="AA23" s="2613"/>
      <c r="AB23" s="2613"/>
      <c r="AC23" s="2613"/>
      <c r="AD23" s="2612">
        <f>AD11+AD22</f>
        <v>33924124</v>
      </c>
      <c r="AE23" s="2613"/>
      <c r="AF23" s="2613"/>
      <c r="AG23" s="2613"/>
      <c r="AH23" s="2613"/>
      <c r="AI23" s="2612">
        <f>AI11+AI22</f>
        <v>0</v>
      </c>
      <c r="AJ23" s="2613"/>
      <c r="AK23" s="2613"/>
      <c r="AL23" s="2613"/>
      <c r="AM23" s="2613"/>
    </row>
    <row r="24" spans="1:40" ht="12.95" customHeight="1">
      <c r="B24" s="2619" t="s">
        <v>980</v>
      </c>
      <c r="C24" s="2620"/>
      <c r="D24" s="2620"/>
      <c r="E24" s="2620"/>
      <c r="F24" s="2620"/>
      <c r="G24" s="2620"/>
      <c r="H24" s="2620"/>
      <c r="I24" s="2620"/>
      <c r="J24" s="2620"/>
      <c r="K24" s="2620"/>
      <c r="L24" s="2620"/>
      <c r="M24" s="2620"/>
      <c r="N24" s="2620"/>
      <c r="O24" s="2620"/>
      <c r="P24" s="2620"/>
      <c r="Q24" s="2620"/>
      <c r="R24" s="2620"/>
      <c r="S24" s="2621"/>
      <c r="T24" s="2614">
        <f>Application!AJ1052</f>
        <v>165816848.72</v>
      </c>
      <c r="U24" s="2615"/>
      <c r="V24" s="2615"/>
      <c r="W24" s="2615"/>
      <c r="X24" s="2615"/>
      <c r="Y24" s="2615"/>
      <c r="Z24" s="2615"/>
      <c r="AA24" s="2615"/>
      <c r="AB24" s="2615"/>
      <c r="AC24" s="2615"/>
      <c r="AD24" s="2615"/>
      <c r="AE24" s="2615"/>
      <c r="AF24" s="2615"/>
      <c r="AG24" s="2615"/>
      <c r="AH24" s="2615"/>
      <c r="AI24" s="2615"/>
      <c r="AJ24" s="2615"/>
      <c r="AK24" s="2615"/>
      <c r="AL24" s="2615"/>
      <c r="AM24" s="2612"/>
    </row>
    <row r="25" spans="1:40" ht="12.95" customHeight="1">
      <c r="B25" s="2623" t="s">
        <v>1374</v>
      </c>
      <c r="C25" s="2624"/>
      <c r="D25" s="2624"/>
      <c r="E25" s="2624"/>
      <c r="F25" s="2624"/>
      <c r="G25" s="2624"/>
      <c r="H25" s="2624"/>
      <c r="I25" s="2624"/>
      <c r="J25" s="2624"/>
      <c r="K25" s="2624"/>
      <c r="L25" s="2624"/>
      <c r="M25" s="2624"/>
      <c r="N25" s="2624"/>
      <c r="O25" s="2624"/>
      <c r="P25" s="2624"/>
      <c r="Q25" s="2624"/>
      <c r="R25" s="2624"/>
      <c r="S25" s="2625"/>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19" t="s">
        <v>513</v>
      </c>
      <c r="C26" s="2620"/>
      <c r="D26" s="2620"/>
      <c r="E26" s="2620"/>
      <c r="F26" s="2620"/>
      <c r="G26" s="2620"/>
      <c r="H26" s="2620"/>
      <c r="I26" s="2620"/>
      <c r="J26" s="2620"/>
      <c r="K26" s="2620"/>
      <c r="L26" s="2620"/>
      <c r="M26" s="2620"/>
      <c r="N26" s="2620"/>
      <c r="O26" s="2620"/>
      <c r="P26" s="2620"/>
      <c r="Q26" s="2620"/>
      <c r="R26" s="2620"/>
      <c r="S26" s="2621"/>
      <c r="T26" s="2612">
        <f>T23*T25</f>
        <v>52260195</v>
      </c>
      <c r="U26" s="2613"/>
      <c r="V26" s="2613"/>
      <c r="W26" s="2613"/>
      <c r="X26" s="2613"/>
      <c r="Y26" s="2612">
        <f>Y23*Y25</f>
        <v>0</v>
      </c>
      <c r="Z26" s="2613"/>
      <c r="AA26" s="2613"/>
      <c r="AB26" s="2613"/>
      <c r="AC26" s="2613"/>
      <c r="AD26" s="2612">
        <f>AD23*AD25</f>
        <v>33924124</v>
      </c>
      <c r="AE26" s="2613"/>
      <c r="AF26" s="2613"/>
      <c r="AG26" s="2613"/>
      <c r="AH26" s="2613"/>
      <c r="AI26" s="2612">
        <f>AI23*AI25</f>
        <v>0</v>
      </c>
      <c r="AJ26" s="2613"/>
      <c r="AK26" s="2613"/>
      <c r="AL26" s="2613"/>
      <c r="AM26" s="2613"/>
    </row>
    <row r="27" spans="1:40" ht="12.95" customHeight="1">
      <c r="A27" s="441"/>
      <c r="B27" s="2626" t="s">
        <v>427</v>
      </c>
      <c r="C27" s="2627"/>
      <c r="D27" s="2627"/>
      <c r="E27" s="2627"/>
      <c r="F27" s="2627"/>
      <c r="G27" s="2627"/>
      <c r="H27" s="2627"/>
      <c r="I27" s="2627"/>
      <c r="J27" s="2627"/>
      <c r="K27" s="2627"/>
      <c r="L27" s="2627"/>
      <c r="M27" s="2627"/>
      <c r="N27" s="2627"/>
      <c r="O27" s="2627"/>
      <c r="P27" s="2627"/>
      <c r="Q27" s="2627"/>
      <c r="R27" s="2627"/>
      <c r="S27" s="2628"/>
      <c r="T27" s="2632">
        <f>Application!$AG$445</f>
        <v>1</v>
      </c>
      <c r="U27" s="2633"/>
      <c r="V27" s="2633"/>
      <c r="W27" s="2633"/>
      <c r="X27" s="2633"/>
      <c r="Y27" s="2632">
        <f>Application!$AG$445</f>
        <v>1</v>
      </c>
      <c r="Z27" s="2633"/>
      <c r="AA27" s="2633"/>
      <c r="AB27" s="2633"/>
      <c r="AC27" s="2633"/>
      <c r="AD27" s="2632">
        <f>Application!$AG$445</f>
        <v>1</v>
      </c>
      <c r="AE27" s="2633"/>
      <c r="AF27" s="2633"/>
      <c r="AG27" s="2633"/>
      <c r="AH27" s="2633"/>
      <c r="AI27" s="2632">
        <f>Application!$AG$445</f>
        <v>1</v>
      </c>
      <c r="AJ27" s="2633"/>
      <c r="AK27" s="2633"/>
      <c r="AL27" s="2633"/>
      <c r="AM27" s="2633"/>
    </row>
    <row r="28" spans="1:40" ht="12.95" customHeight="1">
      <c r="A28" s="435"/>
      <c r="B28" s="2619" t="s">
        <v>514</v>
      </c>
      <c r="C28" s="2620"/>
      <c r="D28" s="2620"/>
      <c r="E28" s="2620"/>
      <c r="F28" s="2620"/>
      <c r="G28" s="2620"/>
      <c r="H28" s="2620"/>
      <c r="I28" s="2620"/>
      <c r="J28" s="2620"/>
      <c r="K28" s="2620"/>
      <c r="L28" s="2620"/>
      <c r="M28" s="2620"/>
      <c r="N28" s="2620"/>
      <c r="O28" s="2620"/>
      <c r="P28" s="2620"/>
      <c r="Q28" s="2620"/>
      <c r="R28" s="2620"/>
      <c r="S28" s="2621"/>
      <c r="T28" s="2612">
        <f>IF(ISERROR((T26*T27)),0,(T26*T27))</f>
        <v>52260195</v>
      </c>
      <c r="U28" s="2613"/>
      <c r="V28" s="2613"/>
      <c r="W28" s="2613"/>
      <c r="X28" s="2613"/>
      <c r="Y28" s="2612">
        <f>IF(ISERROR((Y26*Y27)),0,(Y26*Y27))</f>
        <v>0</v>
      </c>
      <c r="Z28" s="2613"/>
      <c r="AA28" s="2613"/>
      <c r="AB28" s="2613"/>
      <c r="AC28" s="2613"/>
      <c r="AD28" s="2612">
        <f>IF(ISERROR((AD26*AD27)),0,(AD26*AD27))</f>
        <v>33924124</v>
      </c>
      <c r="AE28" s="2613"/>
      <c r="AF28" s="2613"/>
      <c r="AG28" s="2613"/>
      <c r="AH28" s="2613"/>
      <c r="AI28" s="2612">
        <f>IF(ISERROR((AI26*AI27)),0,(AI26*AI27))</f>
        <v>0</v>
      </c>
      <c r="AJ28" s="2613"/>
      <c r="AK28" s="2613"/>
      <c r="AL28" s="2613"/>
      <c r="AM28" s="2613"/>
    </row>
    <row r="29" spans="1:40" ht="12.95" customHeight="1">
      <c r="B29" s="2619" t="s">
        <v>531</v>
      </c>
      <c r="C29" s="2620"/>
      <c r="D29" s="2620"/>
      <c r="E29" s="2620"/>
      <c r="F29" s="2620"/>
      <c r="G29" s="2620"/>
      <c r="H29" s="2620"/>
      <c r="I29" s="2620"/>
      <c r="J29" s="2620"/>
      <c r="K29" s="2620"/>
      <c r="L29" s="2620"/>
      <c r="M29" s="2620"/>
      <c r="N29" s="2620"/>
      <c r="O29" s="2620"/>
      <c r="P29" s="2620"/>
      <c r="Q29" s="2620"/>
      <c r="R29" s="2620"/>
      <c r="S29" s="2621"/>
      <c r="T29" s="2614">
        <f>T28+Y28+AD28+AI28</f>
        <v>86184319</v>
      </c>
      <c r="U29" s="2615"/>
      <c r="V29" s="2615"/>
      <c r="W29" s="2615"/>
      <c r="X29" s="2615"/>
      <c r="Y29" s="2615"/>
      <c r="Z29" s="2615"/>
      <c r="AA29" s="2615"/>
      <c r="AB29" s="2615"/>
      <c r="AC29" s="2615"/>
      <c r="AD29" s="2615"/>
      <c r="AE29" s="2615"/>
      <c r="AF29" s="2615"/>
      <c r="AG29" s="2615"/>
      <c r="AH29" s="2615"/>
      <c r="AI29" s="2615"/>
      <c r="AJ29" s="2615"/>
      <c r="AK29" s="2615"/>
      <c r="AL29" s="2615"/>
      <c r="AM29" s="2612"/>
    </row>
    <row r="30" spans="1:40" ht="12.95" customHeight="1">
      <c r="B30" s="2622" t="s">
        <v>1376</v>
      </c>
      <c r="C30" s="2622"/>
      <c r="D30" s="2622"/>
      <c r="E30" s="2622"/>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2"/>
      <c r="AK30" s="2622"/>
      <c r="AL30" s="2622"/>
      <c r="AM30" s="2622"/>
    </row>
    <row r="31" spans="1:40" ht="12.95" customHeight="1">
      <c r="B31" s="2622" t="s">
        <v>1375</v>
      </c>
      <c r="C31" s="2622"/>
      <c r="D31" s="2622"/>
      <c r="E31" s="2622"/>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2"/>
      <c r="AK31" s="2622"/>
      <c r="AL31" s="2622"/>
      <c r="AM31" s="2622"/>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1256</v>
      </c>
      <c r="Z35" s="2640"/>
      <c r="AA35" s="2640"/>
      <c r="AB35" s="2640"/>
      <c r="AC35" s="2640"/>
      <c r="AD35" s="2663" t="s">
        <v>370</v>
      </c>
      <c r="AE35" s="2663"/>
      <c r="AF35" s="2663"/>
      <c r="AG35" s="2663"/>
      <c r="AH35" s="2663"/>
    </row>
    <row r="36" spans="1:76" ht="12.95" customHeight="1">
      <c r="B36" s="438"/>
      <c r="X36" s="443"/>
      <c r="Y36" s="2640"/>
      <c r="Z36" s="2640"/>
      <c r="AA36" s="2640"/>
      <c r="AB36" s="2640"/>
      <c r="AC36" s="2640"/>
      <c r="AD36" s="2663"/>
      <c r="AE36" s="2663"/>
      <c r="AF36" s="2663"/>
      <c r="AG36" s="2663"/>
      <c r="AH36" s="2663"/>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63"/>
      <c r="AE37" s="2663"/>
      <c r="AF37" s="2663"/>
      <c r="AG37" s="2663"/>
      <c r="AH37" s="2663"/>
    </row>
    <row r="38" spans="1:76" ht="12.95" customHeight="1">
      <c r="A38" s="435"/>
      <c r="B38" s="2619" t="s">
        <v>514</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52260195</v>
      </c>
      <c r="Z38" s="2613"/>
      <c r="AA38" s="2613"/>
      <c r="AB38" s="2613"/>
      <c r="AC38" s="2613"/>
      <c r="AD38" s="2613">
        <f>IF(T24&gt;=(T23+Y23+AD23+AI23),AD28+AI28,0)</f>
        <v>33924124</v>
      </c>
      <c r="AE38" s="2613"/>
      <c r="AF38" s="2613"/>
      <c r="AG38" s="2613"/>
      <c r="AH38" s="2613"/>
    </row>
    <row r="39" spans="1:76" ht="12.95" customHeight="1">
      <c r="B39" s="2619" t="s">
        <v>1881</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64">
        <v>0.04</v>
      </c>
      <c r="Z39" s="2664"/>
      <c r="AA39" s="2664"/>
      <c r="AB39" s="2664"/>
      <c r="AC39" s="2664"/>
      <c r="AD39" s="2664">
        <v>0.04</v>
      </c>
      <c r="AE39" s="2664"/>
      <c r="AF39" s="2664"/>
      <c r="AG39" s="2664"/>
      <c r="AH39" s="2664"/>
    </row>
    <row r="40" spans="1:76" ht="12.95" customHeight="1">
      <c r="A40" s="435"/>
      <c r="B40" s="2619" t="s">
        <v>650</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2090408</v>
      </c>
      <c r="Z40" s="2613"/>
      <c r="AA40" s="2613"/>
      <c r="AB40" s="2613"/>
      <c r="AC40" s="2613"/>
      <c r="AD40" s="2612">
        <f>ROUND(AD38*AD39,0)</f>
        <v>1356965</v>
      </c>
      <c r="AE40" s="2613"/>
      <c r="AF40" s="2613"/>
      <c r="AG40" s="2613"/>
      <c r="AH40" s="2613"/>
    </row>
    <row r="41" spans="1:76" ht="12.95" customHeight="1">
      <c r="B41" s="2619" t="s">
        <v>651</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14">
        <f>Y40+AD40</f>
        <v>3447373</v>
      </c>
      <c r="Z41" s="2615"/>
      <c r="AA41" s="2615"/>
      <c r="AB41" s="2615"/>
      <c r="AC41" s="2615"/>
      <c r="AD41" s="2615"/>
      <c r="AE41" s="2615"/>
      <c r="AF41" s="2615"/>
      <c r="AG41" s="2615"/>
      <c r="AH41" s="2612"/>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7" t="s">
        <v>1386</v>
      </c>
      <c r="B44" s="2617"/>
      <c r="C44" s="2617"/>
      <c r="D44" s="2617"/>
      <c r="E44" s="2617"/>
      <c r="F44" s="2617"/>
      <c r="G44" s="2617"/>
      <c r="H44" s="2617"/>
      <c r="I44" s="2617"/>
      <c r="J44" s="2617"/>
      <c r="K44" s="2617"/>
      <c r="L44" s="2617"/>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c r="BA44" s="2617"/>
      <c r="BB44" s="2617"/>
      <c r="BC44" s="2617"/>
      <c r="BD44" s="2617"/>
      <c r="BE44" s="2617"/>
      <c r="BF44" s="2617"/>
      <c r="BG44" s="2617"/>
      <c r="BH44" s="2617"/>
      <c r="BI44" s="2617"/>
      <c r="BJ44" s="2617"/>
      <c r="BK44" s="2617"/>
      <c r="BL44" s="2617"/>
      <c r="BM44" s="2617"/>
      <c r="BN44" s="2617"/>
      <c r="BO44" s="2617"/>
      <c r="BP44" s="2617"/>
      <c r="BQ44" s="2617"/>
      <c r="BR44" s="2617"/>
      <c r="BS44" s="2617"/>
      <c r="BT44" s="2617"/>
      <c r="BU44" s="2617"/>
      <c r="BV44" s="2617"/>
      <c r="BW44" s="2617"/>
      <c r="BX44" s="2617"/>
    </row>
    <row r="45" spans="1:76" s="218" customFormat="1" ht="12.95" customHeight="1" thickTop="1"/>
    <row r="46" spans="1:76" ht="12.95" customHeight="1">
      <c r="A46" s="435" t="s">
        <v>594</v>
      </c>
      <c r="C46" s="435" t="s">
        <v>283</v>
      </c>
    </row>
    <row r="47" spans="1:76" ht="12.95" customHeight="1">
      <c r="D47" s="435" t="s">
        <v>284</v>
      </c>
      <c r="AB47" s="2629">
        <f>'Sources and Uses Budget'!B105-MAX(IF('Sources and Uses Budget'!B15="",0,'Sources and Uses Budget'!B15),IF(Application!AG394="",0,Application!AG394))</f>
        <v>91405707</v>
      </c>
      <c r="AC47" s="2630"/>
      <c r="AD47" s="2630"/>
      <c r="AE47" s="2630"/>
      <c r="AF47" s="2631"/>
    </row>
    <row r="48" spans="1:76" ht="12.95" customHeight="1">
      <c r="D48" s="435" t="s">
        <v>21</v>
      </c>
      <c r="AB48" s="2629">
        <f>Application!AO639-MAX(IF('Sources and Uses Budget'!B15="",0,'Sources and Uses Budget'!B15),IF(Application!AG394="",0,Application!AG394))</f>
        <v>51266346</v>
      </c>
      <c r="AC48" s="2630"/>
      <c r="AD48" s="2630"/>
      <c r="AE48" s="2630"/>
      <c r="AF48" s="2631"/>
    </row>
    <row r="49" spans="1:76" ht="12.95" customHeight="1">
      <c r="D49" s="435" t="s">
        <v>91</v>
      </c>
      <c r="AB49" s="2629">
        <f>AB47-AB48</f>
        <v>40139361</v>
      </c>
      <c r="AC49" s="2630"/>
      <c r="AD49" s="2630"/>
      <c r="AE49" s="2630"/>
      <c r="AF49" s="2631"/>
    </row>
    <row r="50" spans="1:76" ht="12.95" customHeight="1">
      <c r="D50" s="435" t="s">
        <v>689</v>
      </c>
      <c r="AA50" s="446"/>
      <c r="AB50" s="2656">
        <v>0.91605060000000005</v>
      </c>
      <c r="AC50" s="2657"/>
      <c r="AD50" s="2657"/>
      <c r="AE50" s="2657"/>
      <c r="AF50" s="2658"/>
    </row>
    <row r="51" spans="1:76" s="448" customFormat="1" ht="12.95" customHeight="1">
      <c r="A51" s="433"/>
      <c r="B51" s="433"/>
      <c r="C51" s="433"/>
      <c r="D51" s="433"/>
      <c r="E51" s="2659" t="s">
        <v>2041</v>
      </c>
      <c r="F51" s="2659"/>
      <c r="G51" s="2659"/>
      <c r="H51" s="2659"/>
      <c r="I51" s="2659"/>
      <c r="J51" s="2659"/>
      <c r="K51" s="2659"/>
      <c r="L51" s="2659"/>
      <c r="M51" s="2659"/>
      <c r="N51" s="2659"/>
      <c r="O51" s="2659"/>
      <c r="P51" s="2659"/>
      <c r="Q51" s="2659"/>
      <c r="R51" s="2659"/>
      <c r="S51" s="2659"/>
      <c r="T51" s="2659"/>
      <c r="U51" s="2659"/>
      <c r="V51" s="2659"/>
      <c r="W51" s="2659"/>
      <c r="X51" s="2659"/>
      <c r="Y51" s="2659"/>
      <c r="Z51" s="265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9"/>
      <c r="F52" s="2659"/>
      <c r="G52" s="2659"/>
      <c r="H52" s="2659"/>
      <c r="I52" s="2659"/>
      <c r="J52" s="2659"/>
      <c r="K52" s="2659"/>
      <c r="L52" s="2659"/>
      <c r="M52" s="2659"/>
      <c r="N52" s="2659"/>
      <c r="O52" s="2659"/>
      <c r="P52" s="2659"/>
      <c r="Q52" s="2659"/>
      <c r="R52" s="2659"/>
      <c r="S52" s="2659"/>
      <c r="T52" s="2659"/>
      <c r="U52" s="2659"/>
      <c r="V52" s="2659"/>
      <c r="W52" s="2659"/>
      <c r="X52" s="2659"/>
      <c r="Y52" s="2659"/>
      <c r="Z52" s="265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9">
        <f>ROUND(IF(ISERROR((AB49/AB50)),0,(AB49/AB50)),0)</f>
        <v>43817843</v>
      </c>
      <c r="AC54" s="2630"/>
      <c r="AD54" s="2630"/>
      <c r="AE54" s="2630"/>
      <c r="AF54" s="2631"/>
    </row>
    <row r="55" spans="1:76" ht="12.95" customHeight="1">
      <c r="D55" s="435" t="s">
        <v>334</v>
      </c>
      <c r="AB55" s="2629">
        <f>(AB54/10)</f>
        <v>4381784.3</v>
      </c>
      <c r="AC55" s="2630"/>
      <c r="AD55" s="2630"/>
      <c r="AE55" s="2630"/>
      <c r="AF55" s="2631"/>
    </row>
    <row r="56" spans="1:76" ht="12.95" customHeight="1">
      <c r="D56" s="435" t="s">
        <v>765</v>
      </c>
      <c r="AB56" s="2660">
        <f>(IF((Y41&lt;AB55),Y41,AB55))</f>
        <v>3447373</v>
      </c>
      <c r="AC56" s="2661"/>
      <c r="AD56" s="2661"/>
      <c r="AE56" s="2661"/>
      <c r="AF56" s="2662"/>
    </row>
    <row r="57" spans="1:76" ht="12.95" customHeight="1">
      <c r="D57" s="435" t="s">
        <v>764</v>
      </c>
      <c r="AB57" s="2629">
        <f>ROUND((10*AB56*AB50),0)</f>
        <v>31579681</v>
      </c>
      <c r="AC57" s="2630"/>
      <c r="AD57" s="2630"/>
      <c r="AE57" s="2630"/>
      <c r="AF57" s="2631"/>
    </row>
    <row r="58" spans="1:76" ht="12.95" customHeight="1">
      <c r="D58" s="435"/>
      <c r="AB58" s="454"/>
      <c r="AC58" s="454"/>
      <c r="AD58" s="454"/>
      <c r="AE58" s="454"/>
      <c r="AF58" s="454"/>
    </row>
    <row r="59" spans="1:76" ht="12.95" customHeight="1">
      <c r="D59" s="435" t="s">
        <v>763</v>
      </c>
      <c r="AB59" s="2652">
        <f>AB49-AB57</f>
        <v>8559680</v>
      </c>
      <c r="AC59" s="2652"/>
      <c r="AD59" s="2652"/>
      <c r="AE59" s="2652"/>
      <c r="AF59" s="2652"/>
    </row>
    <row r="60" spans="1:76" ht="12.95" customHeight="1">
      <c r="D60" s="435"/>
      <c r="AB60" s="454"/>
      <c r="AC60" s="454"/>
      <c r="AD60" s="454"/>
      <c r="AE60" s="454"/>
      <c r="AF60" s="454"/>
    </row>
    <row r="61" spans="1:76" s="218" customFormat="1" ht="12.95" customHeight="1" thickBot="1">
      <c r="A61" s="2617" t="str">
        <f>IF(Application!AP205="yes","Farmworker State Credit", "State Credit" )</f>
        <v>State Credit</v>
      </c>
      <c r="B61" s="2617"/>
      <c r="C61" s="2617"/>
      <c r="D61" s="2617"/>
      <c r="E61" s="2617"/>
      <c r="F61" s="2617"/>
      <c r="G61" s="2617"/>
      <c r="H61" s="2617"/>
      <c r="I61" s="2617"/>
      <c r="J61" s="2617"/>
      <c r="K61" s="2617"/>
      <c r="L61" s="2617"/>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c r="BA61" s="2617"/>
      <c r="BB61" s="2617"/>
      <c r="BC61" s="2617"/>
      <c r="BD61" s="2617"/>
      <c r="BE61" s="2617"/>
      <c r="BF61" s="2617"/>
      <c r="BG61" s="2617"/>
      <c r="BH61" s="2617"/>
      <c r="BI61" s="2617"/>
      <c r="BJ61" s="2617"/>
      <c r="BK61" s="2617"/>
      <c r="BL61" s="2617"/>
      <c r="BM61" s="2617"/>
      <c r="BN61" s="2617"/>
      <c r="BO61" s="2617"/>
      <c r="BP61" s="2617"/>
      <c r="BQ61" s="2617"/>
      <c r="BR61" s="2617"/>
      <c r="BS61" s="2617"/>
      <c r="BT61" s="2617"/>
      <c r="BU61" s="2617"/>
      <c r="BV61" s="2617"/>
      <c r="BW61" s="2617"/>
      <c r="BX61" s="2617"/>
    </row>
    <row r="62" spans="1:76" s="218" customFormat="1" ht="12.95" customHeight="1" thickTop="1"/>
    <row r="63" spans="1:76" ht="12.95" customHeight="1">
      <c r="A63" s="435" t="s">
        <v>597</v>
      </c>
      <c r="C63" s="219" t="s">
        <v>1357</v>
      </c>
      <c r="Y63" s="2653" t="s">
        <v>1003</v>
      </c>
      <c r="Z63" s="2653"/>
      <c r="AA63" s="2653"/>
      <c r="AB63" s="2653"/>
      <c r="AC63" s="2653"/>
      <c r="AD63" s="2653" t="s">
        <v>370</v>
      </c>
      <c r="AE63" s="2653"/>
      <c r="AF63" s="2653"/>
      <c r="AG63" s="2653"/>
      <c r="AH63" s="2653"/>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4">
        <f>IF(Application!Z205="(select)",0,((T23*T27)+Y28))</f>
        <v>40200150</v>
      </c>
      <c r="Z64" s="2654"/>
      <c r="AA64" s="2654"/>
      <c r="AB64" s="2654"/>
      <c r="AC64" s="2655"/>
      <c r="AD64" s="2614">
        <f>IF(AND(OR(Application!D211="At-Risk",Application!D211="At-Risk and Special Needs"),Application!M358="yes"),AD28+AI28,0)</f>
        <v>0</v>
      </c>
      <c r="AE64" s="2654"/>
      <c r="AF64" s="2654"/>
      <c r="AG64" s="2654"/>
      <c r="AH64" s="2655"/>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0">
        <f>IF(Application!AP205="yes",0.75,IF(Application!Z204="15% set-aside",0.13,IF(Application!Z204="15% set-aside with qualifying low value rehab",0.95,0.3)))</f>
        <v>0.3</v>
      </c>
      <c r="Z67" s="2670"/>
      <c r="AA67" s="2670"/>
      <c r="AB67" s="2670"/>
      <c r="AC67" s="2670"/>
      <c r="AD67" s="2670">
        <f>IF(Application!Z204="15% set-aside with qualifying low value rehab", 0.95,0.13)</f>
        <v>0.13</v>
      </c>
      <c r="AE67" s="2670"/>
      <c r="AF67" s="2670"/>
      <c r="AG67" s="2670"/>
      <c r="AH67" s="2670"/>
    </row>
    <row r="68" spans="1:36" ht="12.95" customHeight="1">
      <c r="C68" s="435"/>
      <c r="D68" s="219" t="s">
        <v>1359</v>
      </c>
      <c r="Y68" s="2613">
        <f>ROUND(Y64*Y67,0)</f>
        <v>12060045</v>
      </c>
      <c r="Z68" s="2671"/>
      <c r="AA68" s="2671"/>
      <c r="AB68" s="2671"/>
      <c r="AC68" s="2671"/>
      <c r="AD68" s="2613">
        <f>ROUND(AD64*AD67,0)</f>
        <v>0</v>
      </c>
      <c r="AE68" s="2671"/>
      <c r="AF68" s="2671"/>
      <c r="AG68" s="2671"/>
      <c r="AH68" s="2671"/>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1360</v>
      </c>
      <c r="AB71" s="2656">
        <f>8559680/10108886</f>
        <v>0.84674809865300682</v>
      </c>
      <c r="AC71" s="2657"/>
      <c r="AD71" s="2657"/>
      <c r="AE71" s="2657"/>
      <c r="AF71" s="2658"/>
    </row>
    <row r="72" spans="1:36" ht="12.95" customHeight="1">
      <c r="A72" s="435"/>
      <c r="C72" s="435"/>
      <c r="D72" s="435"/>
      <c r="E72" s="2672" t="s">
        <v>1361</v>
      </c>
      <c r="F72" s="2672"/>
      <c r="G72" s="2672"/>
      <c r="H72" s="2672"/>
      <c r="I72" s="2672"/>
      <c r="J72" s="2672"/>
      <c r="K72" s="2672"/>
      <c r="L72" s="2672"/>
      <c r="M72" s="2672"/>
      <c r="N72" s="2672"/>
      <c r="O72" s="2672"/>
      <c r="P72" s="2672"/>
      <c r="Q72" s="2672"/>
      <c r="R72" s="2672"/>
      <c r="S72" s="2672"/>
      <c r="T72" s="2672"/>
      <c r="U72" s="2672"/>
      <c r="V72" s="2672"/>
      <c r="W72" s="2672"/>
      <c r="X72" s="2672"/>
      <c r="Y72" s="2672"/>
      <c r="Z72" s="2672"/>
      <c r="AA72" s="2672"/>
      <c r="AB72" s="471"/>
      <c r="AC72" s="471"/>
    </row>
    <row r="73" spans="1:36" ht="12.95" customHeight="1">
      <c r="A73" s="435"/>
      <c r="C73" s="435"/>
      <c r="D73" s="435"/>
      <c r="E73" s="2672"/>
      <c r="F73" s="2672"/>
      <c r="G73" s="2672"/>
      <c r="H73" s="2672"/>
      <c r="I73" s="2672"/>
      <c r="J73" s="2672"/>
      <c r="K73" s="2672"/>
      <c r="L73" s="2672"/>
      <c r="M73" s="2672"/>
      <c r="N73" s="2672"/>
      <c r="O73" s="2672"/>
      <c r="P73" s="2672"/>
      <c r="Q73" s="2672"/>
      <c r="R73" s="2672"/>
      <c r="S73" s="2672"/>
      <c r="T73" s="2672"/>
      <c r="U73" s="2672"/>
      <c r="V73" s="2672"/>
      <c r="W73" s="2672"/>
      <c r="X73" s="2672"/>
      <c r="Y73" s="2672"/>
      <c r="Z73" s="2672"/>
      <c r="AA73" s="2672"/>
      <c r="AB73" s="471"/>
      <c r="AC73" s="471"/>
    </row>
    <row r="74" spans="1:36" ht="12.95" customHeight="1">
      <c r="A74" s="435"/>
      <c r="C74" s="435"/>
      <c r="D74" s="435"/>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65">
        <f>ROUND(IF(ISERROR((AB59/AB71)),0,(AB59/AB71)),0)</f>
        <v>10108886</v>
      </c>
      <c r="AC76" s="2665"/>
      <c r="AD76" s="2665"/>
      <c r="AE76" s="2665"/>
      <c r="AF76" s="2665"/>
    </row>
    <row r="77" spans="1:36" ht="12.95" customHeight="1">
      <c r="C77" s="435"/>
      <c r="D77" s="219" t="s">
        <v>1363</v>
      </c>
      <c r="AB77" s="2666">
        <f>IF((Y68+AD68&lt;AB76),Y68+AD68,AB76)</f>
        <v>10108886</v>
      </c>
      <c r="AC77" s="2667"/>
      <c r="AD77" s="2667"/>
      <c r="AE77" s="2667"/>
      <c r="AF77" s="2668"/>
    </row>
    <row r="78" spans="1:36" ht="12.95" customHeight="1">
      <c r="C78" s="435"/>
      <c r="D78" s="219" t="s">
        <v>1364</v>
      </c>
      <c r="AB78" s="2669">
        <f>AB77*AB71</f>
        <v>8559680</v>
      </c>
      <c r="AC78" s="2669"/>
      <c r="AD78" s="2669"/>
      <c r="AE78" s="2669"/>
      <c r="AF78" s="2669"/>
    </row>
    <row r="79" spans="1:36" ht="12.95" customHeight="1">
      <c r="C79" s="435"/>
      <c r="D79" s="435"/>
      <c r="AB79" s="456"/>
      <c r="AC79" s="456"/>
      <c r="AD79" s="456"/>
      <c r="AE79" s="456"/>
      <c r="AF79" s="456"/>
    </row>
    <row r="80" spans="1:36" ht="12.95" customHeight="1">
      <c r="D80" s="435" t="s">
        <v>763</v>
      </c>
      <c r="AB80" s="2652">
        <f>AB49-(AB57+AB78)</f>
        <v>0</v>
      </c>
      <c r="AC80" s="2652"/>
      <c r="AD80" s="2652"/>
      <c r="AE80" s="2652"/>
      <c r="AF80" s="2652"/>
    </row>
    <row r="81" spans="1:78" ht="12.95" customHeight="1">
      <c r="F81" s="556"/>
      <c r="J81" s="556" t="str">
        <f>IF(AB80&gt;0,"FUNDING GAP MUST NOT EXCEED ZERO","")</f>
        <v/>
      </c>
    </row>
    <row r="82" spans="1:78" ht="12.95" customHeight="1">
      <c r="D82" s="557"/>
    </row>
    <row r="83" spans="1:78" ht="12.95" customHeight="1" thickBot="1">
      <c r="A83" s="2617"/>
      <c r="B83" s="2617"/>
      <c r="C83" s="2617"/>
      <c r="D83" s="2617"/>
      <c r="E83" s="2617"/>
      <c r="F83" s="2617"/>
      <c r="G83" s="2617"/>
      <c r="H83" s="2617"/>
      <c r="I83" s="2617"/>
      <c r="J83" s="2617"/>
      <c r="K83" s="2617"/>
      <c r="L83" s="2617"/>
      <c r="M83" s="2617"/>
      <c r="N83" s="2617"/>
      <c r="O83" s="2617"/>
      <c r="P83" s="2617"/>
      <c r="Q83" s="2617"/>
      <c r="R83" s="2617"/>
      <c r="S83" s="2617"/>
      <c r="T83" s="2617"/>
      <c r="U83" s="2617"/>
      <c r="V83" s="2617"/>
      <c r="W83" s="2617"/>
      <c r="X83" s="2617"/>
      <c r="Y83" s="2617"/>
      <c r="Z83" s="2617"/>
      <c r="AA83" s="2617"/>
      <c r="AB83" s="2617"/>
      <c r="AC83" s="2617"/>
      <c r="AD83" s="2617"/>
      <c r="AE83" s="2617"/>
      <c r="AF83" s="2617"/>
      <c r="AG83" s="2617"/>
      <c r="AH83" s="2617"/>
      <c r="AI83" s="2617"/>
      <c r="AJ83" s="2617"/>
      <c r="AK83" s="2617"/>
      <c r="AL83" s="2617"/>
      <c r="AM83" s="2617"/>
      <c r="AN83" s="2617"/>
      <c r="AO83" s="2617"/>
      <c r="AP83" s="2617"/>
      <c r="AQ83" s="2617"/>
      <c r="AR83" s="2617"/>
      <c r="AS83" s="2617"/>
      <c r="AT83" s="2617"/>
      <c r="AU83" s="2617"/>
      <c r="AV83" s="2617"/>
      <c r="AW83" s="2617"/>
      <c r="AX83" s="2617"/>
      <c r="AY83" s="2617"/>
      <c r="AZ83" s="2617"/>
      <c r="BA83" s="2617"/>
      <c r="BB83" s="2617"/>
      <c r="BC83" s="2617"/>
      <c r="BD83" s="2617"/>
      <c r="BE83" s="2617"/>
      <c r="BF83" s="2617"/>
      <c r="BG83" s="2617"/>
      <c r="BH83" s="2617"/>
      <c r="BI83" s="2617"/>
      <c r="BJ83" s="2617"/>
      <c r="BK83" s="2617"/>
      <c r="BL83" s="2617"/>
      <c r="BM83" s="2617"/>
      <c r="BN83" s="2617"/>
      <c r="BO83" s="2617"/>
      <c r="BP83" s="2617"/>
      <c r="BQ83" s="2617"/>
      <c r="BR83" s="2617"/>
      <c r="BS83" s="2617"/>
      <c r="BT83" s="2617"/>
      <c r="BU83" s="2617"/>
      <c r="BV83" s="2617"/>
      <c r="BW83" s="2617"/>
      <c r="BX83" s="2617"/>
    </row>
    <row r="84" spans="1:78" ht="12.95" customHeight="1" thickTop="1"/>
    <row r="85" spans="1:78" ht="12.95" customHeight="1">
      <c r="A85" s="435"/>
      <c r="C85" s="219"/>
    </row>
    <row r="86" spans="1:78" ht="12.95" customHeight="1">
      <c r="D86" s="219"/>
      <c r="AB86" s="2618"/>
      <c r="AC86" s="2618"/>
      <c r="AD86" s="2618"/>
      <c r="AE86" s="2618"/>
      <c r="AF86" s="2618"/>
    </row>
    <row r="87" spans="1:78" ht="12.95" customHeight="1" thickBot="1">
      <c r="D87" s="219"/>
      <c r="AB87" s="2616"/>
      <c r="AC87" s="2616"/>
      <c r="AD87" s="2616"/>
      <c r="AE87" s="2616"/>
      <c r="AF87" s="2616"/>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9" sqref="C9"/>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3" t="s">
        <v>924</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SRO/Studio</v>
      </c>
      <c r="B4" s="1121">
        <f>Application!G718</f>
        <v>34</v>
      </c>
      <c r="C4" s="1122" t="s">
        <v>386</v>
      </c>
      <c r="D4" s="459">
        <f>Application!O718</f>
        <v>1162</v>
      </c>
      <c r="E4" s="460"/>
      <c r="F4" s="1123">
        <v>1897</v>
      </c>
      <c r="G4" s="459">
        <f>F4*B4</f>
        <v>64498</v>
      </c>
      <c r="H4" s="460"/>
      <c r="I4" s="459">
        <f t="shared" ref="I4:I27" si="0">IF(F4=0,"",(F4-D4))</f>
        <v>735</v>
      </c>
      <c r="J4" s="459">
        <f t="shared" ref="J4:J27" si="1">IF(F4=0,"",(I4*B4))</f>
        <v>24990</v>
      </c>
      <c r="K4" s="218"/>
      <c r="L4" s="328"/>
    </row>
    <row r="5" spans="1:12">
      <c r="A5" s="459" t="str">
        <f>Application!B719</f>
        <v>SRO/Studio</v>
      </c>
      <c r="B5" s="1121">
        <f>Application!G719</f>
        <v>3</v>
      </c>
      <c r="C5" s="1122" t="s">
        <v>386</v>
      </c>
      <c r="D5" s="459">
        <f>Application!O719</f>
        <v>929.6</v>
      </c>
      <c r="E5" s="460"/>
      <c r="F5" s="1123">
        <v>1897</v>
      </c>
      <c r="G5" s="459">
        <f t="shared" ref="G5:G38" si="2">F5*B5</f>
        <v>5691</v>
      </c>
      <c r="H5" s="460"/>
      <c r="I5" s="459">
        <f t="shared" si="0"/>
        <v>967.4</v>
      </c>
      <c r="J5" s="459">
        <f t="shared" si="1"/>
        <v>2902.2</v>
      </c>
      <c r="K5" s="218"/>
      <c r="L5" s="328"/>
    </row>
    <row r="6" spans="1:12">
      <c r="A6" s="459" t="str">
        <f>Application!B720</f>
        <v>SRO/Studio</v>
      </c>
      <c r="B6" s="1121">
        <f>Application!G720</f>
        <v>17</v>
      </c>
      <c r="C6" s="1122" t="s">
        <v>386</v>
      </c>
      <c r="D6" s="459">
        <f>Application!O720</f>
        <v>697</v>
      </c>
      <c r="E6" s="460"/>
      <c r="F6" s="1123">
        <v>1897</v>
      </c>
      <c r="G6" s="459">
        <f t="shared" si="2"/>
        <v>32249</v>
      </c>
      <c r="H6" s="460"/>
      <c r="I6" s="459">
        <f t="shared" si="0"/>
        <v>1200</v>
      </c>
      <c r="J6" s="459">
        <f t="shared" si="1"/>
        <v>20400</v>
      </c>
      <c r="K6" s="218"/>
      <c r="L6" s="328"/>
    </row>
    <row r="7" spans="1:12">
      <c r="A7" s="459" t="str">
        <f>Application!B721</f>
        <v>SRO/Studio</v>
      </c>
      <c r="B7" s="1121">
        <f>Application!G721</f>
        <v>6</v>
      </c>
      <c r="C7" s="1122" t="s">
        <v>386</v>
      </c>
      <c r="D7" s="459">
        <f>Application!O721</f>
        <v>609</v>
      </c>
      <c r="E7" s="460"/>
      <c r="F7" s="1123">
        <v>609</v>
      </c>
      <c r="G7" s="459">
        <f t="shared" si="2"/>
        <v>3654</v>
      </c>
      <c r="H7" s="460"/>
      <c r="I7" s="459">
        <f t="shared" si="0"/>
        <v>0</v>
      </c>
      <c r="J7" s="459">
        <f t="shared" si="1"/>
        <v>0</v>
      </c>
      <c r="K7" s="218"/>
      <c r="L7" s="328"/>
    </row>
    <row r="8" spans="1:12">
      <c r="A8" s="459" t="str">
        <f>Application!B722</f>
        <v>SRO/Studio</v>
      </c>
      <c r="B8" s="1121">
        <f>Application!G722</f>
        <v>10</v>
      </c>
      <c r="C8" s="1122"/>
      <c r="D8" s="459">
        <f>Application!O722</f>
        <v>355</v>
      </c>
      <c r="E8" s="460"/>
      <c r="F8" s="1123"/>
      <c r="G8" s="459">
        <f t="shared" si="2"/>
        <v>0</v>
      </c>
      <c r="H8" s="460"/>
      <c r="I8" s="459" t="str">
        <f t="shared" si="0"/>
        <v/>
      </c>
      <c r="J8" s="459" t="str">
        <f t="shared" si="1"/>
        <v/>
      </c>
      <c r="K8" s="218"/>
      <c r="L8" s="328"/>
    </row>
    <row r="9" spans="1:12">
      <c r="A9" s="459" t="str">
        <f>Application!B723</f>
        <v>1 Bedroom</v>
      </c>
      <c r="B9" s="1121">
        <f>Application!G723</f>
        <v>1</v>
      </c>
      <c r="C9" s="1122" t="s">
        <v>386</v>
      </c>
      <c r="D9" s="459">
        <f>Application!O723</f>
        <v>747</v>
      </c>
      <c r="E9" s="460"/>
      <c r="F9" s="1123">
        <v>2212</v>
      </c>
      <c r="G9" s="459">
        <f t="shared" si="2"/>
        <v>2212</v>
      </c>
      <c r="H9" s="460"/>
      <c r="I9" s="459">
        <f t="shared" si="0"/>
        <v>1465</v>
      </c>
      <c r="J9" s="459">
        <f t="shared" si="1"/>
        <v>1465</v>
      </c>
      <c r="K9" s="218"/>
      <c r="L9" s="328"/>
    </row>
    <row r="10" spans="1:12">
      <c r="A10" s="459" t="str">
        <f>Application!B724</f>
        <v>SRO/Studio</v>
      </c>
      <c r="B10" s="1121">
        <f>Application!G724</f>
        <v>30</v>
      </c>
      <c r="C10" s="1122"/>
      <c r="D10" s="459">
        <f>Application!O724</f>
        <v>355</v>
      </c>
      <c r="E10" s="460"/>
      <c r="F10" s="1123"/>
      <c r="G10" s="459">
        <f t="shared" si="2"/>
        <v>0</v>
      </c>
      <c r="H10" s="460"/>
      <c r="I10" s="459" t="str">
        <f t="shared" si="0"/>
        <v/>
      </c>
      <c r="J10" s="459" t="str">
        <f t="shared" si="1"/>
        <v/>
      </c>
      <c r="K10" s="218"/>
      <c r="L10" s="328"/>
    </row>
    <row r="11" spans="1:12">
      <c r="A11" s="459" t="str">
        <f>Application!B725</f>
        <v>SRO/Studio</v>
      </c>
      <c r="B11" s="1121">
        <f>Application!G725</f>
        <v>33</v>
      </c>
      <c r="C11" s="1122"/>
      <c r="D11" s="459">
        <f>Application!O725</f>
        <v>465</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88091.8</v>
      </c>
      <c r="E40" s="460"/>
      <c r="F40" s="460"/>
      <c r="G40" s="463">
        <f>SUM(G4:G38)*12</f>
        <v>1299648</v>
      </c>
      <c r="H40" s="464"/>
      <c r="I40" s="462"/>
      <c r="J40" s="463">
        <f>SUM(J4:J38)*12</f>
        <v>597086.39999999991</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B23" zoomScaleNormal="100" workbookViewId="0">
      <selection activeCell="AG12" sqref="AG12"/>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1057101.6000000001</v>
      </c>
      <c r="G4" s="235">
        <f>E4*$C$4</f>
        <v>1083529.1399999999</v>
      </c>
      <c r="I4" s="235">
        <f>G4*$C$4</f>
        <v>1110617.3684999999</v>
      </c>
      <c r="K4" s="235">
        <f>I4*$C$4</f>
        <v>1138382.8027124999</v>
      </c>
      <c r="M4" s="235">
        <f>K4*$C$4</f>
        <v>1166842.3727803123</v>
      </c>
      <c r="O4" s="235">
        <f>M4*$C$4</f>
        <v>1196013.4320998201</v>
      </c>
      <c r="Q4" s="235">
        <f>O4*$C$4</f>
        <v>1225913.7679023156</v>
      </c>
      <c r="S4" s="235">
        <f>Q4*$C$4</f>
        <v>1256561.6120998734</v>
      </c>
      <c r="U4" s="235">
        <f>S4*$C$4</f>
        <v>1287975.65240237</v>
      </c>
      <c r="W4" s="235">
        <f>U4*$C$4</f>
        <v>1320175.0437124292</v>
      </c>
      <c r="Y4" s="235">
        <f>W4*$C$4</f>
        <v>1353179.4198052399</v>
      </c>
      <c r="AA4" s="235">
        <f>Y4*$C$4</f>
        <v>1387008.9053003707</v>
      </c>
      <c r="AC4" s="235">
        <f>AA4*$C$4</f>
        <v>1421684.1279328798</v>
      </c>
      <c r="AE4" s="235">
        <f>AC4*$C$4</f>
        <v>1457226.2311312016</v>
      </c>
      <c r="AG4" s="235">
        <f>AE4*$C$4</f>
        <v>1493656.8869094816</v>
      </c>
    </row>
    <row r="5" spans="1:34" s="225" customFormat="1" ht="14.25">
      <c r="B5" s="225" t="s">
        <v>849</v>
      </c>
      <c r="C5" s="254">
        <f>IF(Application!$D$211="Special Needs",0.1,0.05)</f>
        <v>0.1</v>
      </c>
      <c r="E5" s="237">
        <f>-E4*$C$5</f>
        <v>-105710.16000000002</v>
      </c>
      <c r="F5" s="237"/>
      <c r="G5" s="237">
        <f>-G4*$C$5</f>
        <v>-108352.91399999999</v>
      </c>
      <c r="H5" s="237"/>
      <c r="I5" s="237">
        <f>-I4*$C$5</f>
        <v>-111061.73684999999</v>
      </c>
      <c r="J5" s="237"/>
      <c r="K5" s="237">
        <f>-K4*$C$5</f>
        <v>-113838.28027125</v>
      </c>
      <c r="L5" s="237"/>
      <c r="M5" s="237">
        <f>-M4*$C$5</f>
        <v>-116684.23727803124</v>
      </c>
      <c r="N5" s="237"/>
      <c r="O5" s="237">
        <f>-O4*$C$5</f>
        <v>-119601.34320998202</v>
      </c>
      <c r="P5" s="237"/>
      <c r="Q5" s="237">
        <f>-Q4*$C$5</f>
        <v>-122591.37679023156</v>
      </c>
      <c r="R5" s="237"/>
      <c r="S5" s="237">
        <f>-S4*$C$5</f>
        <v>-125656.16120998735</v>
      </c>
      <c r="T5" s="237"/>
      <c r="U5" s="237">
        <f>-U4*$C$5</f>
        <v>-128797.565240237</v>
      </c>
      <c r="V5" s="237"/>
      <c r="W5" s="237">
        <f>-W4*$C$5</f>
        <v>-132017.50437124292</v>
      </c>
      <c r="X5" s="237"/>
      <c r="Y5" s="237">
        <f>-Y4*$C$5</f>
        <v>-135317.94198052399</v>
      </c>
      <c r="Z5" s="237"/>
      <c r="AA5" s="237">
        <f>-AA4*$C$5</f>
        <v>-138700.89053003708</v>
      </c>
      <c r="AB5" s="237"/>
      <c r="AC5" s="237">
        <f>-AC4*$C$5</f>
        <v>-142168.41279328798</v>
      </c>
      <c r="AD5" s="237"/>
      <c r="AE5" s="237">
        <f>-AE4*$C$5</f>
        <v>-145722.62311312018</v>
      </c>
      <c r="AF5" s="237"/>
      <c r="AG5" s="237">
        <f>-AG4*$C$5</f>
        <v>-149365.68869094815</v>
      </c>
    </row>
    <row r="6" spans="1:34" s="225" customFormat="1" ht="14.25">
      <c r="A6" s="225" t="s">
        <v>847</v>
      </c>
      <c r="C6" s="253">
        <v>1.0249999999999999</v>
      </c>
      <c r="E6" s="238">
        <f>Application!Z809</f>
        <v>597086.39999999991</v>
      </c>
      <c r="F6" s="238"/>
      <c r="G6" s="238">
        <f>E6*$C$6</f>
        <v>612013.55999999982</v>
      </c>
      <c r="H6" s="238"/>
      <c r="I6" s="238">
        <f>G6*$C$6</f>
        <v>627313.89899999974</v>
      </c>
      <c r="J6" s="238"/>
      <c r="K6" s="238">
        <f>I6*$C$6</f>
        <v>642996.7464749997</v>
      </c>
      <c r="L6" s="238"/>
      <c r="M6" s="238">
        <f>K6*$C$6</f>
        <v>659071.66513687465</v>
      </c>
      <c r="N6" s="238"/>
      <c r="O6" s="238">
        <f>M6*$C$6</f>
        <v>675548.4567652964</v>
      </c>
      <c r="P6" s="238"/>
      <c r="Q6" s="238">
        <f>O6*$C$6</f>
        <v>692437.16818442871</v>
      </c>
      <c r="R6" s="238"/>
      <c r="S6" s="238">
        <f>Q6*$C$6</f>
        <v>709748.09738903935</v>
      </c>
      <c r="T6" s="238"/>
      <c r="U6" s="238">
        <f>S6*$C$6</f>
        <v>727491.79982376529</v>
      </c>
      <c r="V6" s="238"/>
      <c r="W6" s="238">
        <f>U6*$C$6</f>
        <v>745679.09481935936</v>
      </c>
      <c r="X6" s="238"/>
      <c r="Y6" s="238">
        <f>W6*$C$6</f>
        <v>764321.07218984328</v>
      </c>
      <c r="Z6" s="238"/>
      <c r="AA6" s="238">
        <f>Y6*$C$6</f>
        <v>783429.09899458929</v>
      </c>
      <c r="AB6" s="238"/>
      <c r="AC6" s="238">
        <f>AA6*$C$6</f>
        <v>803014.82646945398</v>
      </c>
      <c r="AD6" s="238"/>
      <c r="AE6" s="238">
        <f>AC6*$C$6</f>
        <v>823090.19713119022</v>
      </c>
      <c r="AF6" s="238"/>
      <c r="AG6" s="238">
        <f>AE6*$C$6</f>
        <v>843667.45205946988</v>
      </c>
    </row>
    <row r="7" spans="1:34" s="225" customFormat="1" ht="14.25">
      <c r="B7" s="225" t="s">
        <v>849</v>
      </c>
      <c r="C7" s="254">
        <f>IF(Application!$D$211="Special Needs",0.1,0.05)</f>
        <v>0.1</v>
      </c>
      <c r="E7" s="237">
        <f>-E6*$C$7</f>
        <v>-59708.639999999992</v>
      </c>
      <c r="F7" s="237"/>
      <c r="G7" s="237">
        <f>-G6*$C$7</f>
        <v>-61201.355999999985</v>
      </c>
      <c r="H7" s="237"/>
      <c r="I7" s="237">
        <f>-I6*$C$7</f>
        <v>-62731.38989999998</v>
      </c>
      <c r="J7" s="237"/>
      <c r="K7" s="237">
        <f>-K6*$C$7</f>
        <v>-64299.674647499975</v>
      </c>
      <c r="L7" s="237"/>
      <c r="M7" s="237">
        <f>-M6*$C$7</f>
        <v>-65907.166513687465</v>
      </c>
      <c r="N7" s="237"/>
      <c r="O7" s="237">
        <f>-O6*$C$7</f>
        <v>-67554.845676529643</v>
      </c>
      <c r="P7" s="237"/>
      <c r="Q7" s="237">
        <f>-Q6*$C$7</f>
        <v>-69243.716818442874</v>
      </c>
      <c r="R7" s="237"/>
      <c r="S7" s="237">
        <f>-S6*$C$7</f>
        <v>-70974.809738903932</v>
      </c>
      <c r="T7" s="237"/>
      <c r="U7" s="237">
        <f>-U6*$C$7</f>
        <v>-72749.179982376532</v>
      </c>
      <c r="V7" s="237"/>
      <c r="W7" s="237">
        <f>-W6*$C$7</f>
        <v>-74567.909481935945</v>
      </c>
      <c r="X7" s="237"/>
      <c r="Y7" s="237">
        <f>-Y6*$C$7</f>
        <v>-76432.107218984325</v>
      </c>
      <c r="Z7" s="237"/>
      <c r="AA7" s="237">
        <f>-AA6*$C$7</f>
        <v>-78342.909899458929</v>
      </c>
      <c r="AB7" s="237"/>
      <c r="AC7" s="237">
        <f>-AC6*$C$7</f>
        <v>-80301.482646945398</v>
      </c>
      <c r="AD7" s="237"/>
      <c r="AE7" s="237">
        <f>-AE6*$C$7</f>
        <v>-82309.019713119022</v>
      </c>
      <c r="AF7" s="237"/>
      <c r="AG7" s="237">
        <f>-AG6*$C$7</f>
        <v>-84366.745205946994</v>
      </c>
    </row>
    <row r="8" spans="1:34" s="225" customFormat="1" ht="14.25">
      <c r="A8" s="225" t="s">
        <v>289</v>
      </c>
      <c r="C8" s="253">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849</v>
      </c>
      <c r="C9" s="254">
        <f>IF(Application!$D$211="Special Needs",0.1,0.05)</f>
        <v>0.1</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87" t="s">
        <v>2779</v>
      </c>
      <c r="B10" s="1187"/>
      <c r="C10" s="254"/>
      <c r="E10" s="1188">
        <f>266934+100</f>
        <v>267034</v>
      </c>
      <c r="F10" s="238"/>
      <c r="G10" s="1188">
        <f>288784+100</f>
        <v>288884</v>
      </c>
      <c r="H10" s="238"/>
      <c r="I10" s="1188">
        <f>311772+100</f>
        <v>311872</v>
      </c>
      <c r="J10" s="238"/>
      <c r="K10" s="1188">
        <f>335945+100</f>
        <v>336045</v>
      </c>
      <c r="L10" s="238"/>
      <c r="M10" s="1188">
        <f>361355+100</f>
        <v>361455</v>
      </c>
      <c r="N10" s="238"/>
      <c r="O10" s="1188">
        <f>388056+100</f>
        <v>388156</v>
      </c>
      <c r="P10" s="238"/>
      <c r="Q10" s="1188">
        <f>416102+100</f>
        <v>416202</v>
      </c>
      <c r="R10" s="238"/>
      <c r="S10" s="1188">
        <f>445551+100</f>
        <v>445651</v>
      </c>
      <c r="T10" s="238"/>
      <c r="U10" s="1188">
        <f>476462+100</f>
        <v>476562</v>
      </c>
      <c r="V10" s="238"/>
      <c r="W10" s="1188">
        <f>508897+100</f>
        <v>508997</v>
      </c>
      <c r="X10" s="238"/>
      <c r="Y10" s="1188">
        <f>542921+100</f>
        <v>543021</v>
      </c>
      <c r="Z10" s="238"/>
      <c r="AA10" s="1188">
        <f>578601+100</f>
        <v>578701</v>
      </c>
      <c r="AB10" s="238"/>
      <c r="AC10" s="1188">
        <f>616006+100</f>
        <v>616106</v>
      </c>
      <c r="AD10" s="238"/>
      <c r="AE10" s="1188">
        <f>655209+100</f>
        <v>655309</v>
      </c>
      <c r="AF10" s="238"/>
      <c r="AG10" s="1188">
        <f>696284+100</f>
        <v>696384</v>
      </c>
    </row>
    <row r="11" spans="1:34" s="239" customFormat="1" ht="15">
      <c r="A11" s="239" t="s">
        <v>870</v>
      </c>
      <c r="C11" s="231"/>
      <c r="E11" s="239">
        <f>SUM(E4:E10)</f>
        <v>1755803.2</v>
      </c>
      <c r="G11" s="239">
        <f>SUM(G4:G10)</f>
        <v>1814872.43</v>
      </c>
      <c r="I11" s="239">
        <f>SUM(I4:I10)</f>
        <v>1876010.1407499996</v>
      </c>
      <c r="K11" s="239">
        <f>SUM(K4:K10)</f>
        <v>1939286.5942687495</v>
      </c>
      <c r="M11" s="239">
        <f>SUM(M4:M10)</f>
        <v>2004777.6341254683</v>
      </c>
      <c r="O11" s="239">
        <f>SUM(O4:O10)</f>
        <v>2072561.6999786049</v>
      </c>
      <c r="Q11" s="239">
        <f>SUM(Q4:Q10)</f>
        <v>2142717.8424780699</v>
      </c>
      <c r="S11" s="239">
        <f>SUM(S4:S10)</f>
        <v>2215329.7385400217</v>
      </c>
      <c r="U11" s="239">
        <f>SUM(U4:U10)</f>
        <v>2290482.7070035217</v>
      </c>
      <c r="W11" s="239">
        <f>SUM(W4:W10)</f>
        <v>2368265.7246786095</v>
      </c>
      <c r="Y11" s="239">
        <f>SUM(Y4:Y10)</f>
        <v>2448771.4427955747</v>
      </c>
      <c r="AA11" s="239">
        <f>SUM(AA4:AA10)</f>
        <v>2532095.2038654638</v>
      </c>
      <c r="AC11" s="239">
        <f>SUM(AC4:AC10)</f>
        <v>2618335.0589621002</v>
      </c>
      <c r="AE11" s="239">
        <f>SUM(AE4:AE10)</f>
        <v>2707593.7854361525</v>
      </c>
      <c r="AG11" s="239">
        <f>SUM(AG4:AG10)</f>
        <v>2799975.9050720562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122460</v>
      </c>
      <c r="G15" s="235">
        <f>E15*$C$14</f>
        <v>126746.09999999999</v>
      </c>
      <c r="I15" s="235">
        <f>G15*$C$14</f>
        <v>131182.21349999998</v>
      </c>
      <c r="K15" s="235">
        <f>I15*$C$14</f>
        <v>135773.59097249998</v>
      </c>
      <c r="M15" s="235">
        <f>K15*$C$14</f>
        <v>140525.66665653748</v>
      </c>
      <c r="O15" s="235">
        <f>M15*$C$14</f>
        <v>145444.06498951628</v>
      </c>
      <c r="Q15" s="235">
        <f>O15*$C$14</f>
        <v>150534.60726414932</v>
      </c>
      <c r="S15" s="235">
        <f>Q15*$C$14</f>
        <v>155803.31851839455</v>
      </c>
      <c r="U15" s="235">
        <f>S15*$C$14</f>
        <v>161256.43466653835</v>
      </c>
      <c r="W15" s="235">
        <f>U15*$C$14</f>
        <v>166900.40987986719</v>
      </c>
      <c r="Y15" s="235">
        <f>W15*$C$14</f>
        <v>172741.92422566254</v>
      </c>
      <c r="AA15" s="235">
        <f>Y15*$C$14</f>
        <v>178787.89157356072</v>
      </c>
      <c r="AC15" s="235">
        <f>AA15*$C$14</f>
        <v>185045.46777863533</v>
      </c>
      <c r="AE15" s="235">
        <f>AC15*$C$14</f>
        <v>191522.05915088754</v>
      </c>
      <c r="AG15" s="235">
        <f>AE15*$C$14</f>
        <v>198225.3312211686</v>
      </c>
    </row>
    <row r="16" spans="1:34" s="225" customFormat="1" ht="14.25">
      <c r="A16" s="225" t="s">
        <v>345</v>
      </c>
      <c r="C16" s="249"/>
      <c r="E16" s="238">
        <f>Application!W849</f>
        <v>130248</v>
      </c>
      <c r="F16" s="238"/>
      <c r="G16" s="238">
        <f t="shared" ref="G16:AG21" si="0">E16*$C$14</f>
        <v>134806.68</v>
      </c>
      <c r="H16" s="238"/>
      <c r="I16" s="238">
        <f t="shared" si="0"/>
        <v>139524.91379999998</v>
      </c>
      <c r="J16" s="238"/>
      <c r="K16" s="238">
        <f t="shared" si="0"/>
        <v>144408.28578299997</v>
      </c>
      <c r="L16" s="238"/>
      <c r="M16" s="238">
        <f t="shared" si="0"/>
        <v>149462.57578540494</v>
      </c>
      <c r="N16" s="238"/>
      <c r="O16" s="238">
        <f t="shared" si="0"/>
        <v>154693.76593789412</v>
      </c>
      <c r="P16" s="238"/>
      <c r="Q16" s="238">
        <f t="shared" si="0"/>
        <v>160108.0477457204</v>
      </c>
      <c r="R16" s="238"/>
      <c r="S16" s="238">
        <f t="shared" si="0"/>
        <v>165711.8294168206</v>
      </c>
      <c r="T16" s="238"/>
      <c r="U16" s="238">
        <f t="shared" si="0"/>
        <v>171511.74344640932</v>
      </c>
      <c r="V16" s="238"/>
      <c r="W16" s="238">
        <f t="shared" si="0"/>
        <v>177514.65446703363</v>
      </c>
      <c r="X16" s="238"/>
      <c r="Y16" s="238">
        <f t="shared" si="0"/>
        <v>183727.66737337978</v>
      </c>
      <c r="Z16" s="238"/>
      <c r="AA16" s="238">
        <f t="shared" si="0"/>
        <v>190158.13573144807</v>
      </c>
      <c r="AB16" s="238"/>
      <c r="AC16" s="238">
        <f t="shared" si="0"/>
        <v>196813.67048204874</v>
      </c>
      <c r="AD16" s="238"/>
      <c r="AE16" s="238">
        <f t="shared" si="0"/>
        <v>203702.14894892043</v>
      </c>
      <c r="AF16" s="238"/>
      <c r="AG16" s="238">
        <f t="shared" si="0"/>
        <v>210831.72416213262</v>
      </c>
    </row>
    <row r="17" spans="1:33" s="225" customFormat="1" ht="14.25">
      <c r="A17" s="225" t="s">
        <v>569</v>
      </c>
      <c r="C17" s="249"/>
      <c r="E17" s="238">
        <f>Application!W855</f>
        <v>222000</v>
      </c>
      <c r="F17" s="238"/>
      <c r="G17" s="238">
        <f t="shared" si="0"/>
        <v>229769.99999999997</v>
      </c>
      <c r="H17" s="238"/>
      <c r="I17" s="238">
        <f t="shared" si="0"/>
        <v>237811.94999999995</v>
      </c>
      <c r="J17" s="238"/>
      <c r="K17" s="238">
        <f t="shared" si="0"/>
        <v>246135.36824999994</v>
      </c>
      <c r="L17" s="238"/>
      <c r="M17" s="238">
        <f t="shared" si="0"/>
        <v>254750.10613874992</v>
      </c>
      <c r="N17" s="238"/>
      <c r="O17" s="238">
        <f t="shared" si="0"/>
        <v>263666.35985360615</v>
      </c>
      <c r="P17" s="238"/>
      <c r="Q17" s="238">
        <f t="shared" si="0"/>
        <v>272894.68244848232</v>
      </c>
      <c r="R17" s="238"/>
      <c r="S17" s="238">
        <f t="shared" si="0"/>
        <v>282445.99633417919</v>
      </c>
      <c r="T17" s="238"/>
      <c r="U17" s="238">
        <f t="shared" si="0"/>
        <v>292331.60620587546</v>
      </c>
      <c r="V17" s="238"/>
      <c r="W17" s="238">
        <f t="shared" si="0"/>
        <v>302563.2124230811</v>
      </c>
      <c r="X17" s="238"/>
      <c r="Y17" s="238">
        <f t="shared" si="0"/>
        <v>313152.92485788889</v>
      </c>
      <c r="Z17" s="238"/>
      <c r="AA17" s="238">
        <f t="shared" si="0"/>
        <v>324113.27722791501</v>
      </c>
      <c r="AB17" s="238"/>
      <c r="AC17" s="238">
        <f t="shared" si="0"/>
        <v>335457.24193089199</v>
      </c>
      <c r="AD17" s="238"/>
      <c r="AE17" s="238">
        <f t="shared" si="0"/>
        <v>347198.24539847317</v>
      </c>
      <c r="AF17" s="238"/>
      <c r="AG17" s="238">
        <f t="shared" si="0"/>
        <v>359350.1839874197</v>
      </c>
    </row>
    <row r="18" spans="1:33" s="225" customFormat="1" ht="14.25">
      <c r="A18" s="225" t="s">
        <v>853</v>
      </c>
      <c r="C18" s="249"/>
      <c r="E18" s="238">
        <f>Application!W862</f>
        <v>908298</v>
      </c>
      <c r="F18" s="238"/>
      <c r="G18" s="238">
        <f t="shared" si="0"/>
        <v>940088.42999999993</v>
      </c>
      <c r="H18" s="238"/>
      <c r="I18" s="238">
        <f t="shared" si="0"/>
        <v>972991.52504999982</v>
      </c>
      <c r="J18" s="238"/>
      <c r="K18" s="238">
        <f t="shared" si="0"/>
        <v>1007046.2284267497</v>
      </c>
      <c r="L18" s="238"/>
      <c r="M18" s="238">
        <f t="shared" si="0"/>
        <v>1042292.8464216859</v>
      </c>
      <c r="N18" s="238"/>
      <c r="O18" s="238">
        <f t="shared" si="0"/>
        <v>1078773.0960464447</v>
      </c>
      <c r="P18" s="238"/>
      <c r="Q18" s="238">
        <f t="shared" si="0"/>
        <v>1116530.1544080703</v>
      </c>
      <c r="R18" s="238"/>
      <c r="S18" s="238">
        <f t="shared" si="0"/>
        <v>1155608.7098123527</v>
      </c>
      <c r="T18" s="238"/>
      <c r="U18" s="238">
        <f t="shared" si="0"/>
        <v>1196055.0146557849</v>
      </c>
      <c r="V18" s="238"/>
      <c r="W18" s="238">
        <f t="shared" si="0"/>
        <v>1237916.9401687372</v>
      </c>
      <c r="X18" s="238"/>
      <c r="Y18" s="238">
        <f t="shared" si="0"/>
        <v>1281244.033074643</v>
      </c>
      <c r="Z18" s="238"/>
      <c r="AA18" s="238">
        <f t="shared" si="0"/>
        <v>1326087.5742322553</v>
      </c>
      <c r="AB18" s="238"/>
      <c r="AC18" s="238">
        <f t="shared" si="0"/>
        <v>1372500.6393303841</v>
      </c>
      <c r="AD18" s="238"/>
      <c r="AE18" s="238">
        <f t="shared" si="0"/>
        <v>1420538.1617069475</v>
      </c>
      <c r="AF18" s="238"/>
      <c r="AG18" s="238">
        <f t="shared" si="0"/>
        <v>1470256.9973666905</v>
      </c>
    </row>
    <row r="19" spans="1:33" s="225" customFormat="1" ht="14.25">
      <c r="A19" s="225" t="s">
        <v>155</v>
      </c>
      <c r="C19" s="249"/>
      <c r="E19" s="238">
        <f>Application!W863</f>
        <v>67419</v>
      </c>
      <c r="F19" s="238"/>
      <c r="G19" s="238">
        <f t="shared" si="0"/>
        <v>69778.664999999994</v>
      </c>
      <c r="H19" s="238"/>
      <c r="I19" s="238">
        <f t="shared" si="0"/>
        <v>72220.918274999989</v>
      </c>
      <c r="J19" s="238"/>
      <c r="K19" s="238">
        <f t="shared" si="0"/>
        <v>74748.650414624979</v>
      </c>
      <c r="L19" s="238"/>
      <c r="M19" s="238">
        <f t="shared" si="0"/>
        <v>77364.853179136844</v>
      </c>
      <c r="N19" s="238"/>
      <c r="O19" s="238">
        <f t="shared" si="0"/>
        <v>80072.62304040663</v>
      </c>
      <c r="P19" s="238"/>
      <c r="Q19" s="238">
        <f t="shared" si="0"/>
        <v>82875.164846820859</v>
      </c>
      <c r="R19" s="238"/>
      <c r="S19" s="238">
        <f t="shared" si="0"/>
        <v>85775.795616459582</v>
      </c>
      <c r="T19" s="238"/>
      <c r="U19" s="238">
        <f t="shared" si="0"/>
        <v>88777.94846303566</v>
      </c>
      <c r="V19" s="238"/>
      <c r="W19" s="238">
        <f t="shared" si="0"/>
        <v>91885.176659241901</v>
      </c>
      <c r="X19" s="238"/>
      <c r="Y19" s="238">
        <f t="shared" si="0"/>
        <v>95101.157842315355</v>
      </c>
      <c r="Z19" s="238"/>
      <c r="AA19" s="238">
        <f t="shared" si="0"/>
        <v>98429.69836679638</v>
      </c>
      <c r="AB19" s="238"/>
      <c r="AC19" s="238">
        <f t="shared" si="0"/>
        <v>101874.73780963424</v>
      </c>
      <c r="AD19" s="238"/>
      <c r="AE19" s="238">
        <f t="shared" si="0"/>
        <v>105440.35363297144</v>
      </c>
      <c r="AF19" s="238"/>
      <c r="AG19" s="238">
        <f t="shared" si="0"/>
        <v>109130.76601012543</v>
      </c>
    </row>
    <row r="20" spans="1:33" s="225" customFormat="1" ht="14.25">
      <c r="A20" s="225" t="s">
        <v>391</v>
      </c>
      <c r="C20" s="249"/>
      <c r="E20" s="238">
        <f>Application!W872</f>
        <v>131700</v>
      </c>
      <c r="F20" s="238"/>
      <c r="G20" s="238">
        <f t="shared" si="0"/>
        <v>136309.5</v>
      </c>
      <c r="H20" s="238"/>
      <c r="I20" s="238">
        <f t="shared" si="0"/>
        <v>141080.33249999999</v>
      </c>
      <c r="J20" s="238"/>
      <c r="K20" s="238">
        <f t="shared" si="0"/>
        <v>146018.14413749997</v>
      </c>
      <c r="L20" s="238"/>
      <c r="M20" s="238">
        <f t="shared" si="0"/>
        <v>151128.77918231246</v>
      </c>
      <c r="N20" s="238"/>
      <c r="O20" s="238">
        <f t="shared" si="0"/>
        <v>156418.28645369338</v>
      </c>
      <c r="P20" s="238"/>
      <c r="Q20" s="238">
        <f t="shared" si="0"/>
        <v>161892.92647957263</v>
      </c>
      <c r="R20" s="238"/>
      <c r="S20" s="238">
        <f t="shared" si="0"/>
        <v>167559.17890635767</v>
      </c>
      <c r="T20" s="238"/>
      <c r="U20" s="238">
        <f t="shared" si="0"/>
        <v>173423.75016808018</v>
      </c>
      <c r="V20" s="238"/>
      <c r="W20" s="238">
        <f t="shared" si="0"/>
        <v>179493.58142396298</v>
      </c>
      <c r="X20" s="238"/>
      <c r="Y20" s="238">
        <f t="shared" si="0"/>
        <v>185775.85677380167</v>
      </c>
      <c r="Z20" s="238"/>
      <c r="AA20" s="238">
        <f t="shared" si="0"/>
        <v>192278.01176088472</v>
      </c>
      <c r="AB20" s="238"/>
      <c r="AC20" s="238">
        <f t="shared" si="0"/>
        <v>199007.74217251566</v>
      </c>
      <c r="AD20" s="238"/>
      <c r="AE20" s="238">
        <f t="shared" si="0"/>
        <v>205973.0131485537</v>
      </c>
      <c r="AF20" s="238"/>
      <c r="AG20" s="238">
        <f t="shared" si="0"/>
        <v>213182.06860875306</v>
      </c>
    </row>
    <row r="21" spans="1:33" s="225" customFormat="1" ht="14.25">
      <c r="A21" s="242" t="s">
        <v>981</v>
      </c>
      <c r="B21" s="242"/>
      <c r="C21" s="249"/>
      <c r="E21" s="248">
        <f>Application!W879</f>
        <v>800</v>
      </c>
      <c r="F21" s="238"/>
      <c r="G21" s="248">
        <f t="shared" si="0"/>
        <v>827.99999999999989</v>
      </c>
      <c r="H21" s="238"/>
      <c r="I21" s="248">
        <f t="shared" si="0"/>
        <v>856.97999999999979</v>
      </c>
      <c r="J21" s="238"/>
      <c r="K21" s="248">
        <f t="shared" si="0"/>
        <v>886.97429999999974</v>
      </c>
      <c r="L21" s="238"/>
      <c r="M21" s="248">
        <f t="shared" si="0"/>
        <v>918.01840049999964</v>
      </c>
      <c r="N21" s="238"/>
      <c r="O21" s="248">
        <f t="shared" si="0"/>
        <v>950.14904451749953</v>
      </c>
      <c r="P21" s="238"/>
      <c r="Q21" s="248">
        <f t="shared" si="0"/>
        <v>983.40426107561188</v>
      </c>
      <c r="R21" s="238"/>
      <c r="S21" s="248">
        <f t="shared" si="0"/>
        <v>1017.8234102132582</v>
      </c>
      <c r="T21" s="238"/>
      <c r="U21" s="248">
        <f t="shared" si="0"/>
        <v>1053.4472295707221</v>
      </c>
      <c r="V21" s="238"/>
      <c r="W21" s="248">
        <f t="shared" si="0"/>
        <v>1090.3178826056974</v>
      </c>
      <c r="X21" s="238"/>
      <c r="Y21" s="248">
        <f t="shared" si="0"/>
        <v>1128.4790084968968</v>
      </c>
      <c r="Z21" s="238"/>
      <c r="AA21" s="248">
        <f t="shared" si="0"/>
        <v>1167.975773794288</v>
      </c>
      <c r="AB21" s="238"/>
      <c r="AC21" s="248">
        <f t="shared" si="0"/>
        <v>1208.8549258770879</v>
      </c>
      <c r="AD21" s="238"/>
      <c r="AE21" s="248">
        <f t="shared" si="0"/>
        <v>1251.1648482827859</v>
      </c>
      <c r="AF21" s="238"/>
      <c r="AG21" s="248">
        <f t="shared" si="0"/>
        <v>1294.9556179726833</v>
      </c>
    </row>
    <row r="22" spans="1:33" s="239" customFormat="1" ht="15">
      <c r="A22" s="239" t="s">
        <v>854</v>
      </c>
      <c r="C22" s="249"/>
      <c r="E22" s="239">
        <f>SUM(E15:E21)</f>
        <v>1582925</v>
      </c>
      <c r="G22" s="239">
        <f>SUM(G15:G21)</f>
        <v>1638327.375</v>
      </c>
      <c r="I22" s="239">
        <f>SUM(I15:I21)</f>
        <v>1695668.8331249999</v>
      </c>
      <c r="K22" s="239">
        <f>SUM(K15:K21)</f>
        <v>1755017.2422843743</v>
      </c>
      <c r="M22" s="239">
        <f>SUM(M15:M21)</f>
        <v>1816442.8457643278</v>
      </c>
      <c r="O22" s="239">
        <f>SUM(O15:O21)</f>
        <v>1880018.3453660789</v>
      </c>
      <c r="Q22" s="239">
        <f>SUM(Q15:Q21)</f>
        <v>1945818.9874538914</v>
      </c>
      <c r="S22" s="239">
        <f>SUM(S15:S21)</f>
        <v>2013922.6520147775</v>
      </c>
      <c r="U22" s="239">
        <f>SUM(U15:U21)</f>
        <v>2084409.9448352947</v>
      </c>
      <c r="W22" s="239">
        <f>SUM(W15:W21)</f>
        <v>2157364.2929045297</v>
      </c>
      <c r="Y22" s="239">
        <f>SUM(Y15:Y21)</f>
        <v>2232872.043156188</v>
      </c>
      <c r="AA22" s="239">
        <f>SUM(AA15:AA21)</f>
        <v>2311022.5646666544</v>
      </c>
      <c r="AC22" s="239">
        <f>SUM(AC15:AC21)</f>
        <v>2391908.3544299868</v>
      </c>
      <c r="AE22" s="239">
        <f>SUM(AE15:AE21)</f>
        <v>2475625.1468350366</v>
      </c>
      <c r="AG22" s="239">
        <f>SUM(AG15:AG21)</f>
        <v>2562272.0269742627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104778</v>
      </c>
      <c r="F27" s="238"/>
      <c r="G27" s="238">
        <f>E27*$C$27</f>
        <v>108445.23</v>
      </c>
      <c r="H27" s="238"/>
      <c r="I27" s="238">
        <f>G27*$C$27</f>
        <v>112240.81304999998</v>
      </c>
      <c r="J27" s="238"/>
      <c r="K27" s="238">
        <f>I27*$C$27</f>
        <v>116169.24150674997</v>
      </c>
      <c r="L27" s="238"/>
      <c r="M27" s="238">
        <f>K27*$C$27</f>
        <v>120235.16495948621</v>
      </c>
      <c r="N27" s="238"/>
      <c r="O27" s="238">
        <f>M27*$C$27</f>
        <v>124443.39573306822</v>
      </c>
      <c r="P27" s="238"/>
      <c r="Q27" s="238">
        <f>O27*$C$27</f>
        <v>128798.91458372559</v>
      </c>
      <c r="R27" s="238"/>
      <c r="S27" s="238">
        <f>Q27*$C$27</f>
        <v>133306.87659415597</v>
      </c>
      <c r="T27" s="238"/>
      <c r="U27" s="238">
        <f>S27*$C$27</f>
        <v>137972.61727495142</v>
      </c>
      <c r="V27" s="238"/>
      <c r="W27" s="238">
        <f>U27*$C$27</f>
        <v>142801.65887957471</v>
      </c>
      <c r="X27" s="238"/>
      <c r="Y27" s="238">
        <f>W27*$C$27</f>
        <v>147799.71694035982</v>
      </c>
      <c r="Z27" s="238"/>
      <c r="AA27" s="238">
        <f>Y27*$C$27</f>
        <v>152972.7070332724</v>
      </c>
      <c r="AB27" s="238"/>
      <c r="AC27" s="238">
        <f>AA27*$C$27</f>
        <v>158326.75177943692</v>
      </c>
      <c r="AD27" s="238"/>
      <c r="AE27" s="238">
        <f>AC27*$C$27</f>
        <v>163868.18809171719</v>
      </c>
      <c r="AF27" s="238"/>
      <c r="AG27" s="238">
        <f>AE27*$C$27</f>
        <v>169603.57467492728</v>
      </c>
    </row>
    <row r="28" spans="1:33" s="225" customFormat="1" ht="14.25">
      <c r="A28" s="225" t="s">
        <v>857</v>
      </c>
      <c r="C28" s="253"/>
      <c r="E28" s="238">
        <f>Application!AC889</f>
        <v>68000</v>
      </c>
      <c r="F28" s="238"/>
      <c r="G28" s="238">
        <f>$E$28</f>
        <v>68000</v>
      </c>
      <c r="H28" s="238"/>
      <c r="I28" s="238">
        <f>$E$28</f>
        <v>68000</v>
      </c>
      <c r="J28" s="238"/>
      <c r="K28" s="238">
        <f>$E$28</f>
        <v>68000</v>
      </c>
      <c r="L28" s="238"/>
      <c r="M28" s="238">
        <f>$E$28</f>
        <v>68000</v>
      </c>
      <c r="N28" s="238"/>
      <c r="O28" s="238">
        <f>$E$28</f>
        <v>68000</v>
      </c>
      <c r="P28" s="238"/>
      <c r="Q28" s="238">
        <f>$E$28</f>
        <v>68000</v>
      </c>
      <c r="R28" s="238"/>
      <c r="S28" s="238">
        <f>$E$28</f>
        <v>68000</v>
      </c>
      <c r="T28" s="238"/>
      <c r="U28" s="238">
        <f>$E$28</f>
        <v>68000</v>
      </c>
      <c r="V28" s="238"/>
      <c r="W28" s="238">
        <f>$E$28</f>
        <v>68000</v>
      </c>
      <c r="X28" s="238"/>
      <c r="Y28" s="238">
        <f>$E$28</f>
        <v>68000</v>
      </c>
      <c r="Z28" s="238"/>
      <c r="AA28" s="238">
        <f>$E$28</f>
        <v>68000</v>
      </c>
      <c r="AB28" s="238"/>
      <c r="AC28" s="238">
        <f>$E$28</f>
        <v>68000</v>
      </c>
      <c r="AD28" s="238"/>
      <c r="AE28" s="238">
        <f>$E$28</f>
        <v>68000</v>
      </c>
      <c r="AF28" s="238"/>
      <c r="AG28" s="238">
        <f>$E$28</f>
        <v>68000</v>
      </c>
    </row>
    <row r="29" spans="1:33" s="225" customFormat="1" ht="14.25">
      <c r="A29" s="225" t="s">
        <v>1869</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1755703</v>
      </c>
      <c r="G35" s="239">
        <f>SUM(G22:G33)</f>
        <v>1814772.605</v>
      </c>
      <c r="I35" s="239">
        <f>SUM(I22:I33)</f>
        <v>1875909.6461749999</v>
      </c>
      <c r="K35" s="239">
        <f>SUM(K22:K33)</f>
        <v>1939186.4837911243</v>
      </c>
      <c r="M35" s="239">
        <f>SUM(M22:M33)</f>
        <v>2004678.0107238139</v>
      </c>
      <c r="O35" s="239">
        <f>SUM(O22:O33)</f>
        <v>2072461.7410991471</v>
      </c>
      <c r="Q35" s="239">
        <f>SUM(Q22:Q33)</f>
        <v>2142617.9020376168</v>
      </c>
      <c r="S35" s="239">
        <f>SUM(S22:S33)</f>
        <v>2215229.5286089336</v>
      </c>
      <c r="U35" s="239">
        <f>SUM(U22:U33)</f>
        <v>2290382.5621102462</v>
      </c>
      <c r="W35" s="239">
        <f>SUM(W22:W33)</f>
        <v>2368165.9517841046</v>
      </c>
      <c r="Y35" s="239">
        <f>SUM(Y22:Y33)</f>
        <v>2448671.7600965477</v>
      </c>
      <c r="AA35" s="239">
        <f>SUM(AA22:AA33)</f>
        <v>2531995.2716999268</v>
      </c>
      <c r="AC35" s="239">
        <f>SUM(AC22:AC33)</f>
        <v>2618235.1062094239</v>
      </c>
      <c r="AE35" s="239">
        <f>SUM(AE22:AE33)</f>
        <v>2707493.3349267538</v>
      </c>
      <c r="AG35" s="239">
        <f>SUM(AG22:AG33)</f>
        <v>2799875.6016491898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100.19999999995343</v>
      </c>
      <c r="G37" s="239">
        <f>G11-G35</f>
        <v>99.824999999953434</v>
      </c>
      <c r="I37" s="239">
        <f>I11-I35</f>
        <v>100.49457499966957</v>
      </c>
      <c r="K37" s="239">
        <f>K11-K35</f>
        <v>100.11047762515955</v>
      </c>
      <c r="M37" s="239">
        <f>M11-M35</f>
        <v>99.623401654418558</v>
      </c>
      <c r="O37" s="239">
        <f>O11-O35</f>
        <v>99.958879457786679</v>
      </c>
      <c r="Q37" s="239">
        <f>Q11-Q35</f>
        <v>99.940440453123301</v>
      </c>
      <c r="S37" s="239">
        <f>S11-S35</f>
        <v>100.20993108814582</v>
      </c>
      <c r="U37" s="239">
        <f>U11-U35</f>
        <v>100.14489327557385</v>
      </c>
      <c r="W37" s="239">
        <f>W11-W35</f>
        <v>99.772894504945725</v>
      </c>
      <c r="Y37" s="239">
        <f>Y11-Y35</f>
        <v>99.682699027005583</v>
      </c>
      <c r="AA37" s="239">
        <f>AA11-AA35</f>
        <v>99.932165537029505</v>
      </c>
      <c r="AC37" s="239">
        <f>AC11-AC35</f>
        <v>99.952752676326782</v>
      </c>
      <c r="AE37" s="239">
        <f>AE11-AE35</f>
        <v>100.45050939870998</v>
      </c>
      <c r="AG37" s="239">
        <f>AG11-AG35</f>
        <v>100.30342286638916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Seller Carryback Loan</v>
      </c>
      <c r="B40" s="242"/>
      <c r="C40" s="236"/>
      <c r="E40" s="238">
        <f>Application!AF627</f>
        <v>0</v>
      </c>
      <c r="F40" s="238"/>
      <c r="G40" s="238">
        <f>$E$40</f>
        <v>0</v>
      </c>
      <c r="H40" s="238"/>
      <c r="I40" s="238">
        <f>$E$40</f>
        <v>0</v>
      </c>
      <c r="J40" s="238"/>
      <c r="K40" s="238">
        <f>$E$40</f>
        <v>0</v>
      </c>
      <c r="L40" s="238"/>
      <c r="M40" s="238">
        <f>$E$40</f>
        <v>0</v>
      </c>
      <c r="N40" s="238"/>
      <c r="O40" s="238">
        <f>$E$40</f>
        <v>0</v>
      </c>
      <c r="P40" s="238"/>
      <c r="Q40" s="238">
        <f>$E$40</f>
        <v>0</v>
      </c>
      <c r="R40" s="238"/>
      <c r="S40" s="238">
        <f>$E$40</f>
        <v>0</v>
      </c>
      <c r="T40" s="238"/>
      <c r="U40" s="238">
        <f>$E$40</f>
        <v>0</v>
      </c>
      <c r="V40" s="238"/>
      <c r="W40" s="238">
        <f>$E$40</f>
        <v>0</v>
      </c>
      <c r="X40" s="238"/>
      <c r="Y40" s="238">
        <f>$E$40</f>
        <v>0</v>
      </c>
      <c r="Z40" s="238"/>
      <c r="AA40" s="238">
        <f>$E$40</f>
        <v>0</v>
      </c>
      <c r="AB40" s="238"/>
      <c r="AC40" s="238">
        <f>$E$40</f>
        <v>0</v>
      </c>
      <c r="AD40" s="238"/>
      <c r="AE40" s="238">
        <f>$E$40</f>
        <v>0</v>
      </c>
      <c r="AF40" s="238"/>
      <c r="AG40" s="238">
        <f>$E$40</f>
        <v>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0</v>
      </c>
      <c r="G43" s="239">
        <f>SUM(G40:G42)</f>
        <v>0</v>
      </c>
      <c r="I43" s="239">
        <f>SUM(I40:I42)</f>
        <v>0</v>
      </c>
      <c r="K43" s="239">
        <f>SUM(K40:K42)</f>
        <v>0</v>
      </c>
      <c r="M43" s="239">
        <f>SUM(M40:M42)</f>
        <v>0</v>
      </c>
      <c r="O43" s="239">
        <f>SUM(O40:O42)</f>
        <v>0</v>
      </c>
      <c r="Q43" s="239">
        <f>SUM(Q40:Q42)</f>
        <v>0</v>
      </c>
      <c r="S43" s="239">
        <f>SUM(S40:S42)</f>
        <v>0</v>
      </c>
      <c r="U43" s="239">
        <f>SUM(U40:U42)</f>
        <v>0</v>
      </c>
      <c r="W43" s="239">
        <f>SUM(W40:W42)</f>
        <v>0</v>
      </c>
      <c r="Y43" s="239">
        <f>SUM(Y40:Y42)</f>
        <v>0</v>
      </c>
      <c r="AA43" s="239">
        <f>SUM(AA40:AA42)</f>
        <v>0</v>
      </c>
      <c r="AC43" s="239">
        <f>SUM(AC40:AC42)</f>
        <v>0</v>
      </c>
      <c r="AE43" s="239">
        <f>SUM(AE40:AE42)</f>
        <v>0</v>
      </c>
      <c r="AG43" s="239">
        <f>SUM(AG40:AG42)</f>
        <v>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100.19999999995343</v>
      </c>
      <c r="G45" s="239">
        <f>G37-G43</f>
        <v>99.824999999953434</v>
      </c>
      <c r="I45" s="239">
        <f>I37-I43</f>
        <v>100.49457499966957</v>
      </c>
      <c r="K45" s="239">
        <f>K37-K43</f>
        <v>100.11047762515955</v>
      </c>
      <c r="M45" s="239">
        <f>M37-M43</f>
        <v>99.623401654418558</v>
      </c>
      <c r="O45" s="239">
        <f>O37-O43</f>
        <v>99.958879457786679</v>
      </c>
      <c r="Q45" s="239">
        <f>Q37-Q43</f>
        <v>99.940440453123301</v>
      </c>
      <c r="S45" s="239">
        <f>S37-S43</f>
        <v>100.20993108814582</v>
      </c>
      <c r="U45" s="239">
        <f>U37-U43</f>
        <v>100.14489327557385</v>
      </c>
      <c r="W45" s="239">
        <f>W37-W43</f>
        <v>99.772894504945725</v>
      </c>
      <c r="Y45" s="239">
        <f>Y37-Y43</f>
        <v>99.682699027005583</v>
      </c>
      <c r="AA45" s="239">
        <f>AA37-AA43</f>
        <v>99.932165537029505</v>
      </c>
      <c r="AC45" s="239">
        <f>AC37-AC43</f>
        <v>99.952752676326782</v>
      </c>
      <c r="AE45" s="239">
        <f>AE37-AE43</f>
        <v>100.45050939870998</v>
      </c>
      <c r="AG45" s="239">
        <f>AG37-AG43</f>
        <v>100.30342286638916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6.0573526104622592E-5</v>
      </c>
      <c r="G47" s="243">
        <f>G45/(G4+G6+G8)</f>
        <v>5.8874954903791834E-5</v>
      </c>
      <c r="I47" s="243">
        <f>I45/(I4+I6+I8)</f>
        <v>5.7824251671488839E-5</v>
      </c>
      <c r="K47" s="243">
        <f>K45/(K4+K6+K8)</f>
        <v>5.6198286137741213E-5</v>
      </c>
      <c r="M47" s="243">
        <f>M45/(M4+M6+M8)</f>
        <v>5.4560838892535481E-5</v>
      </c>
      <c r="O47" s="243">
        <f>O45/(O4+O6+O8)</f>
        <v>5.3409336903307033E-5</v>
      </c>
      <c r="Q47" s="243">
        <f>Q45/(Q4+Q6+Q8)</f>
        <v>5.2097058245762068E-5</v>
      </c>
      <c r="S47" s="243">
        <f>S45/(S4+S6+S8)</f>
        <v>5.096345230080392E-5</v>
      </c>
      <c r="U47" s="243">
        <f>U45/(U4+U6+U8)</f>
        <v>4.9688171925059492E-5</v>
      </c>
      <c r="W47" s="243">
        <f>W45/(W4+W6+W8)</f>
        <v>4.8296195091418579E-5</v>
      </c>
      <c r="Y47" s="243">
        <f>Y45/(Y4+Y6+Y8)</f>
        <v>4.7075643856444044E-5</v>
      </c>
      <c r="AA47" s="243">
        <f>AA45/(AA4+AA6+AA8)</f>
        <v>4.6042395746517185E-5</v>
      </c>
      <c r="AC47" s="243">
        <f>AC45/(AC4+AC6+AC8)</f>
        <v>4.4928664383347593E-5</v>
      </c>
      <c r="AE47" s="243">
        <f>AE45/(AE4+AE6+AE8)</f>
        <v>4.4051127358343675E-5</v>
      </c>
      <c r="AG47" s="243">
        <f>AG45/(AG4+AG6+AG8)</f>
        <v>4.2913780169095126E-5</v>
      </c>
    </row>
    <row r="48" spans="1:33" s="243" customFormat="1" ht="14.25">
      <c r="A48" s="243" t="s">
        <v>863</v>
      </c>
      <c r="C48" s="236"/>
      <c r="E48" s="243" t="e">
        <f>E45/E43</f>
        <v>#DIV/0!</v>
      </c>
      <c r="G48" s="243" t="e">
        <f>G45/G43</f>
        <v>#DIV/0!</v>
      </c>
      <c r="I48" s="243" t="e">
        <f>I45/I43</f>
        <v>#DIV/0!</v>
      </c>
      <c r="K48" s="243" t="e">
        <f>K45/K43</f>
        <v>#DIV/0!</v>
      </c>
      <c r="M48" s="243" t="e">
        <f>M45/M43</f>
        <v>#DIV/0!</v>
      </c>
      <c r="O48" s="243" t="e">
        <f>O45/O43</f>
        <v>#DIV/0!</v>
      </c>
      <c r="Q48" s="243" t="e">
        <f>Q45/Q43</f>
        <v>#DIV/0!</v>
      </c>
      <c r="S48" s="243" t="e">
        <f>S45/S43</f>
        <v>#DIV/0!</v>
      </c>
      <c r="U48" s="243" t="e">
        <f>U45/U43</f>
        <v>#DIV/0!</v>
      </c>
      <c r="W48" s="243" t="e">
        <f>W45/W43</f>
        <v>#DIV/0!</v>
      </c>
      <c r="Y48" s="243" t="e">
        <f>Y45/Y43</f>
        <v>#DIV/0!</v>
      </c>
      <c r="AA48" s="243" t="e">
        <f>AA45/AA43</f>
        <v>#DIV/0!</v>
      </c>
      <c r="AC48" s="243" t="e">
        <f>AC45/AC43</f>
        <v>#DIV/0!</v>
      </c>
      <c r="AE48" s="243" t="e">
        <f>AE45/AE43</f>
        <v>#DIV/0!</v>
      </c>
      <c r="AG48" s="243" t="e">
        <f>AG45/AG43</f>
        <v>#DIV/0!</v>
      </c>
    </row>
    <row r="49" spans="1:35" s="244" customFormat="1" ht="14.25">
      <c r="A49" s="244" t="s">
        <v>861</v>
      </c>
      <c r="C49" s="245"/>
      <c r="E49" s="244" t="e">
        <f>E37/E43</f>
        <v>#DIV/0!</v>
      </c>
      <c r="G49" s="244" t="e">
        <f>G37/G43</f>
        <v>#DIV/0!</v>
      </c>
      <c r="I49" s="244" t="e">
        <f>I37/I43</f>
        <v>#DIV/0!</v>
      </c>
      <c r="K49" s="244" t="e">
        <f>K37/K43</f>
        <v>#DIV/0!</v>
      </c>
      <c r="M49" s="244" t="e">
        <f>M37/M43</f>
        <v>#DIV/0!</v>
      </c>
      <c r="O49" s="244" t="e">
        <f>O37/O43</f>
        <v>#DIV/0!</v>
      </c>
      <c r="Q49" s="244" t="e">
        <f>Q37/Q43</f>
        <v>#DIV/0!</v>
      </c>
      <c r="S49" s="244" t="e">
        <f>S37/S43</f>
        <v>#DIV/0!</v>
      </c>
      <c r="U49" s="244" t="e">
        <f>U37/U43</f>
        <v>#DIV/0!</v>
      </c>
      <c r="W49" s="244" t="e">
        <f>W37/W43</f>
        <v>#DIV/0!</v>
      </c>
      <c r="Y49" s="244" t="e">
        <f>Y37/Y43</f>
        <v>#DIV/0!</v>
      </c>
      <c r="AA49" s="244" t="e">
        <f>AA37/AA43</f>
        <v>#DIV/0!</v>
      </c>
      <c r="AC49" s="244" t="e">
        <f>AC37/AC43</f>
        <v>#DIV/0!</v>
      </c>
      <c r="AE49" s="244" t="e">
        <f>AE37/AE43</f>
        <v>#DIV/0!</v>
      </c>
      <c r="AG49" s="244" t="e">
        <f>AG37/AG43</f>
        <v>#DIV/0!</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1290</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100.19999999995343</v>
      </c>
      <c r="G60" s="997">
        <f>G45-G58</f>
        <v>99.824999999953434</v>
      </c>
      <c r="I60" s="997">
        <f>I45-I58</f>
        <v>100.49457499966957</v>
      </c>
      <c r="K60" s="997">
        <f>K45-K58</f>
        <v>100.11047762515955</v>
      </c>
      <c r="M60" s="997">
        <f>M45-M58</f>
        <v>99.623401654418558</v>
      </c>
      <c r="O60" s="997">
        <f>O45-O58</f>
        <v>99.958879457786679</v>
      </c>
      <c r="Q60" s="997">
        <f>Q45-Q58</f>
        <v>99.940440453123301</v>
      </c>
      <c r="S60" s="997">
        <f>S45-S58</f>
        <v>100.20993108814582</v>
      </c>
      <c r="U60" s="997">
        <f>U45-U58</f>
        <v>100.14489327557385</v>
      </c>
      <c r="W60" s="997">
        <f>W45-W58</f>
        <v>99.772894504945725</v>
      </c>
      <c r="Y60" s="997">
        <f>Y45-Y58</f>
        <v>99.682699027005583</v>
      </c>
      <c r="AA60" s="997">
        <f>AA45-AA58</f>
        <v>99.932165537029505</v>
      </c>
      <c r="AC60" s="997">
        <f>AC45-AC58</f>
        <v>99.952752676326782</v>
      </c>
      <c r="AE60" s="997">
        <f>AE45-AE58</f>
        <v>100.45050939870998</v>
      </c>
      <c r="AG60" s="997">
        <f>AG45-AG58</f>
        <v>100.30342286638916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50.099999999976717</v>
      </c>
      <c r="G62" s="997">
        <f>G60*$C$62</f>
        <v>49.912499999976717</v>
      </c>
      <c r="I62" s="997">
        <f>I60*$C$62</f>
        <v>50.247287499834783</v>
      </c>
      <c r="K62" s="997">
        <f>K60*$C$62</f>
        <v>50.055238812579773</v>
      </c>
      <c r="M62" s="997">
        <f>M60*$C$62</f>
        <v>49.811700827209279</v>
      </c>
      <c r="O62" s="997">
        <f>O60*$C$62</f>
        <v>49.97943972889334</v>
      </c>
      <c r="Q62" s="997">
        <f>Q60*$C$62</f>
        <v>49.970220226561651</v>
      </c>
      <c r="S62" s="997">
        <f>S60*$C$62</f>
        <v>50.104965544072911</v>
      </c>
      <c r="U62" s="997">
        <f>U60*$C$62</f>
        <v>50.072446637786925</v>
      </c>
      <c r="W62" s="997">
        <f>W60*$C$62</f>
        <v>49.886447252472863</v>
      </c>
      <c r="Y62" s="997">
        <f>Y60*$C$62</f>
        <v>49.841349513502792</v>
      </c>
      <c r="AA62" s="997">
        <f>AA60*$C$62</f>
        <v>49.966082768514752</v>
      </c>
      <c r="AC62" s="997">
        <f>AC60*$C$62</f>
        <v>49.976376338163391</v>
      </c>
      <c r="AE62" s="997">
        <f>AE60*$C$62</f>
        <v>50.225254699354991</v>
      </c>
      <c r="AG62" s="997">
        <f>AG60*$C$62</f>
        <v>50.151711433194578</v>
      </c>
    </row>
    <row r="63" spans="1:35" s="997" customFormat="1">
      <c r="A63" s="2676" t="s">
        <v>1290</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25.049999999988358</v>
      </c>
      <c r="G66" s="995">
        <f>G60*$C$65</f>
        <v>24.956249999988358</v>
      </c>
      <c r="I66" s="995">
        <f>I60*$C$65</f>
        <v>25.123643749917392</v>
      </c>
      <c r="K66" s="995">
        <f>K60*$C$65</f>
        <v>25.027619406289887</v>
      </c>
      <c r="M66" s="995">
        <f>M60*$C$65</f>
        <v>24.905850413604639</v>
      </c>
      <c r="O66" s="995">
        <f>O60*$C$65</f>
        <v>24.98971986444667</v>
      </c>
      <c r="Q66" s="995">
        <f>Q60*$C$65</f>
        <v>24.985110113280825</v>
      </c>
      <c r="S66" s="995">
        <f>S60*$C$65</f>
        <v>25.052482772036456</v>
      </c>
      <c r="U66" s="995">
        <f>U60*$C$65</f>
        <v>25.036223318893462</v>
      </c>
      <c r="W66" s="995">
        <f>W60*$C$65</f>
        <v>24.943223626236431</v>
      </c>
      <c r="Y66" s="995">
        <f>Y60*$C$65</f>
        <v>24.920674756751396</v>
      </c>
      <c r="AA66" s="995">
        <f>AA60*$C$65</f>
        <v>24.983041384257376</v>
      </c>
      <c r="AC66" s="995">
        <f>AC60*$C$65</f>
        <v>24.988188169081695</v>
      </c>
      <c r="AE66" s="995">
        <f>AE60*$C$65</f>
        <v>25.112627349677496</v>
      </c>
      <c r="AG66" s="995">
        <f>AG60*$C$65</f>
        <v>25.075855716597289</v>
      </c>
    </row>
    <row r="67" spans="1:35" s="995" customFormat="1">
      <c r="A67" s="1000"/>
      <c r="B67" s="1000"/>
      <c r="C67" s="1005"/>
      <c r="E67" s="999">
        <f>$E60*$C$65</f>
        <v>25.049999999988358</v>
      </c>
      <c r="G67" s="995">
        <f>G60*$C$65</f>
        <v>24.956249999988358</v>
      </c>
      <c r="I67" s="995">
        <f>I60*$C$65</f>
        <v>25.123643749917392</v>
      </c>
      <c r="K67" s="995">
        <f>K60*$C$65</f>
        <v>25.027619406289887</v>
      </c>
      <c r="M67" s="995">
        <f>M60*$C$65</f>
        <v>24.905850413604639</v>
      </c>
      <c r="O67" s="995">
        <f>O60*$C$65</f>
        <v>24.98971986444667</v>
      </c>
      <c r="Q67" s="995">
        <f>Q60*$C$65</f>
        <v>24.985110113280825</v>
      </c>
      <c r="S67" s="995">
        <f>S60*$C$65</f>
        <v>25.052482772036456</v>
      </c>
      <c r="U67" s="995">
        <f>U60*$C$65</f>
        <v>25.036223318893462</v>
      </c>
      <c r="W67" s="995">
        <f>W60*$C$65</f>
        <v>24.943223626236431</v>
      </c>
      <c r="Y67" s="995">
        <f>Y60*$C$65</f>
        <v>24.920674756751396</v>
      </c>
      <c r="AA67" s="995">
        <f>AA60*$C$65</f>
        <v>24.983041384257376</v>
      </c>
      <c r="AC67" s="995">
        <f>AC60*$C$65</f>
        <v>24.988188169081695</v>
      </c>
      <c r="AE67" s="995">
        <f>AE60*$C$65</f>
        <v>25.112627349677496</v>
      </c>
      <c r="AG67" s="995">
        <f>AG60*$C$65</f>
        <v>25.075855716597289</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50.099999999976717</v>
      </c>
      <c r="G70" s="995">
        <f>SUM(G66:G69)</f>
        <v>49.912499999976717</v>
      </c>
      <c r="I70" s="995">
        <f>SUM(I66:I69)</f>
        <v>50.247287499834783</v>
      </c>
      <c r="K70" s="995">
        <f>SUM(K66:K69)</f>
        <v>50.055238812579773</v>
      </c>
      <c r="M70" s="995">
        <f>SUM(M66:M69)</f>
        <v>49.811700827209279</v>
      </c>
      <c r="O70" s="995">
        <f>SUM(O66:O69)</f>
        <v>49.97943972889334</v>
      </c>
      <c r="Q70" s="995">
        <f>SUM(Q66:Q69)</f>
        <v>49.970220226561651</v>
      </c>
      <c r="S70" s="995">
        <f>SUM(S66:S69)</f>
        <v>50.104965544072911</v>
      </c>
      <c r="U70" s="995">
        <f>SUM(U66:U69)</f>
        <v>50.072446637786925</v>
      </c>
      <c r="W70" s="995">
        <f>SUM(W66:W69)</f>
        <v>49.886447252472863</v>
      </c>
      <c r="Y70" s="995">
        <f>SUM(Y66:Y69)</f>
        <v>49.841349513502792</v>
      </c>
      <c r="AA70" s="995">
        <f>SUM(AA66:AA69)</f>
        <v>49.966082768514752</v>
      </c>
      <c r="AC70" s="995">
        <f>SUM(AC66:AC69)</f>
        <v>49.976376338163391</v>
      </c>
      <c r="AE70" s="995">
        <f>SUM(AE66:AE69)</f>
        <v>50.225254699354991</v>
      </c>
      <c r="AG70" s="995">
        <f>SUM(AG66:AG69)</f>
        <v>50.151711433194578</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4" t="s">
        <v>1911</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5689647</v>
      </c>
      <c r="C5" s="286">
        <f>'Sources and Uses Budget'!$C4</f>
        <v>5689647</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5689647</v>
      </c>
      <c r="C9" s="290">
        <f>SUM(C5:C8)</f>
        <v>5689647</v>
      </c>
      <c r="D9" s="290">
        <f t="shared" si="0"/>
        <v>0</v>
      </c>
      <c r="E9" s="288"/>
      <c r="F9" s="287"/>
      <c r="G9" s="383"/>
    </row>
    <row r="10" spans="1:7" s="380" customFormat="1">
      <c r="A10" s="395" t="s">
        <v>602</v>
      </c>
      <c r="B10" s="286">
        <f>'Sources and Uses Budget'!$C9</f>
        <v>29390353</v>
      </c>
      <c r="C10" s="286">
        <f>'Sources and Uses Budget'!$C9</f>
        <v>29390353</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29390353</v>
      </c>
      <c r="C12" s="290">
        <f>SUM(C10:C11)</f>
        <v>29390353</v>
      </c>
      <c r="D12" s="290">
        <f t="shared" si="0"/>
        <v>0</v>
      </c>
      <c r="E12" s="288"/>
      <c r="F12" s="287"/>
      <c r="G12" s="383"/>
    </row>
    <row r="13" spans="1:7" s="380" customFormat="1">
      <c r="A13" s="396" t="s">
        <v>84</v>
      </c>
      <c r="B13" s="290">
        <f>SUM(B9+B12)</f>
        <v>35080000</v>
      </c>
      <c r="C13" s="290">
        <f>SUM(C9+C12)</f>
        <v>35080000</v>
      </c>
      <c r="D13" s="290">
        <f t="shared" si="0"/>
        <v>0</v>
      </c>
      <c r="E13" s="288"/>
      <c r="F13" s="287"/>
      <c r="G13" s="383"/>
    </row>
    <row r="14" spans="1:7" s="380" customFormat="1">
      <c r="A14" s="397" t="s">
        <v>917</v>
      </c>
      <c r="B14" s="286">
        <f>'Sources and Uses Budget'!$C13</f>
        <v>330000</v>
      </c>
      <c r="C14" s="286">
        <f>'Sources and Uses Budget'!$C13</f>
        <v>330000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90000</v>
      </c>
      <c r="C28" s="286">
        <f>'Sources and Uses Budget'!$C$27</f>
        <v>90000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4569444.444444445</v>
      </c>
      <c r="C30" s="286">
        <f>'Sources and Uses Budget'!$C29</f>
        <v>4569444.444444445</v>
      </c>
      <c r="D30" s="290">
        <f t="shared" si="0"/>
        <v>0</v>
      </c>
      <c r="E30" s="288"/>
      <c r="F30" s="287"/>
      <c r="G30" s="383"/>
    </row>
    <row r="31" spans="1:7" s="380" customFormat="1">
      <c r="A31" s="145" t="s">
        <v>607</v>
      </c>
      <c r="B31" s="286">
        <f>'Sources and Uses Budget'!$C30</f>
        <v>14718888.888888888</v>
      </c>
      <c r="C31" s="286">
        <f>'Sources and Uses Budget'!$C30</f>
        <v>14718888.888888888</v>
      </c>
      <c r="D31" s="290">
        <f t="shared" si="0"/>
        <v>0</v>
      </c>
      <c r="E31" s="288"/>
      <c r="F31" s="287"/>
      <c r="G31" s="383"/>
    </row>
    <row r="32" spans="1:7" s="380" customFormat="1">
      <c r="A32" s="145" t="s">
        <v>608</v>
      </c>
      <c r="B32" s="286">
        <f>'Sources and Uses Budget'!$C31</f>
        <v>1253333.3333333335</v>
      </c>
      <c r="C32" s="286">
        <f>'Sources and Uses Budget'!$C31</f>
        <v>1253333.3333333335</v>
      </c>
      <c r="D32" s="290">
        <f t="shared" si="0"/>
        <v>0</v>
      </c>
      <c r="E32" s="288"/>
      <c r="F32" s="287"/>
      <c r="G32" s="383"/>
    </row>
    <row r="33" spans="1:7" s="380" customFormat="1">
      <c r="A33" s="145" t="s">
        <v>137</v>
      </c>
      <c r="B33" s="286">
        <f>'Sources and Uses Budget'!$C32</f>
        <v>822500.00000000012</v>
      </c>
      <c r="C33" s="286">
        <f>'Sources and Uses Budget'!$C32</f>
        <v>822500.00000000012</v>
      </c>
      <c r="D33" s="290">
        <f t="shared" si="0"/>
        <v>0</v>
      </c>
      <c r="E33" s="288"/>
      <c r="F33" s="287"/>
      <c r="G33" s="383"/>
    </row>
    <row r="34" spans="1:7" s="380" customFormat="1">
      <c r="A34" s="145" t="s">
        <v>138</v>
      </c>
      <c r="B34" s="286">
        <f>'Sources and Uses Budget'!$C33</f>
        <v>822500.00000000012</v>
      </c>
      <c r="C34" s="286">
        <f>'Sources and Uses Budget'!$C33</f>
        <v>822500.00000000012</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313333.33333333337</v>
      </c>
      <c r="C36" s="286">
        <f>'Sources and Uses Budget'!$C35</f>
        <v>313333.33333333337</v>
      </c>
      <c r="D36" s="290">
        <f t="shared" si="0"/>
        <v>0</v>
      </c>
      <c r="E36" s="288"/>
      <c r="F36" s="287"/>
      <c r="G36" s="383"/>
    </row>
    <row r="37" spans="1:7" s="380" customFormat="1">
      <c r="A37" s="304" t="s">
        <v>1753</v>
      </c>
      <c r="B37" s="286">
        <f>'Sources and Uses Budget'!$C36</f>
        <v>210000</v>
      </c>
      <c r="C37" s="286">
        <f>'Sources and Uses Budget'!$C36</f>
        <v>210000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22709999.999999996</v>
      </c>
      <c r="C39" s="290">
        <f>SUM(C30:C38)</f>
        <v>22709999.999999996</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1281108</v>
      </c>
      <c r="C41" s="286">
        <f>'Sources and Uses Budget'!$C40</f>
        <v>1281108</v>
      </c>
      <c r="D41" s="290">
        <f t="shared" si="0"/>
        <v>0</v>
      </c>
      <c r="E41" s="288"/>
      <c r="F41" s="287"/>
      <c r="G41" s="383"/>
    </row>
    <row r="42" spans="1:7" s="380" customFormat="1">
      <c r="A42" s="289" t="s">
        <v>146</v>
      </c>
      <c r="B42" s="286">
        <f>'Sources and Uses Budget'!$C41</f>
        <v>226078</v>
      </c>
      <c r="C42" s="286">
        <f>'Sources and Uses Budget'!$C41</f>
        <v>226078</v>
      </c>
      <c r="D42" s="290">
        <f t="shared" si="0"/>
        <v>0</v>
      </c>
      <c r="E42" s="288"/>
      <c r="F42" s="287"/>
      <c r="G42" s="383"/>
    </row>
    <row r="43" spans="1:7" s="380" customFormat="1">
      <c r="A43" s="291" t="s">
        <v>147</v>
      </c>
      <c r="B43" s="290">
        <f>SUM(B41:B42)</f>
        <v>1507186</v>
      </c>
      <c r="C43" s="290">
        <f>SUM(C41:C42)</f>
        <v>1507186</v>
      </c>
      <c r="D43" s="290">
        <f t="shared" si="0"/>
        <v>0</v>
      </c>
      <c r="E43" s="288"/>
      <c r="F43" s="287"/>
      <c r="G43" s="383"/>
    </row>
    <row r="44" spans="1:7" s="380" customFormat="1">
      <c r="A44" s="291" t="s">
        <v>148</v>
      </c>
      <c r="B44" s="286">
        <f>'Sources and Uses Budget'!$C43</f>
        <v>185000</v>
      </c>
      <c r="C44" s="286">
        <f>'Sources and Uses Budget'!$C43</f>
        <v>185000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4744736</v>
      </c>
      <c r="C46" s="286">
        <f>'Sources and Uses Budget'!$C45</f>
        <v>4744736</v>
      </c>
      <c r="D46" s="290">
        <f t="shared" si="0"/>
        <v>0</v>
      </c>
      <c r="E46" s="288"/>
      <c r="F46" s="287"/>
      <c r="G46" s="383"/>
    </row>
    <row r="47" spans="1:7" s="380" customFormat="1">
      <c r="A47" s="145" t="s">
        <v>151</v>
      </c>
      <c r="B47" s="286">
        <f>'Sources and Uses Budget'!$C46</f>
        <v>329320</v>
      </c>
      <c r="C47" s="286">
        <f>'Sources and Uses Budget'!$C46</f>
        <v>329320</v>
      </c>
      <c r="D47" s="290">
        <f t="shared" si="0"/>
        <v>0</v>
      </c>
      <c r="E47" s="288"/>
      <c r="F47" s="287"/>
      <c r="G47" s="383"/>
    </row>
    <row r="48" spans="1:7" s="380" customFormat="1" ht="12" customHeight="1">
      <c r="A48" s="198" t="s">
        <v>152</v>
      </c>
      <c r="B48" s="286">
        <f>'Sources and Uses Budget'!$C47</f>
        <v>45000</v>
      </c>
      <c r="C48" s="286">
        <f>'Sources and Uses Budget'!$C47</f>
        <v>45000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41058</v>
      </c>
      <c r="C50" s="286">
        <f>'Sources and Uses Budget'!$C49</f>
        <v>41058</v>
      </c>
      <c r="D50" s="290">
        <f t="shared" si="0"/>
        <v>0</v>
      </c>
      <c r="E50" s="288"/>
      <c r="F50" s="287"/>
      <c r="G50" s="383"/>
    </row>
    <row r="51" spans="1:7" s="380" customFormat="1">
      <c r="A51" s="145" t="s">
        <v>156</v>
      </c>
      <c r="B51" s="286">
        <f>'Sources and Uses Budget'!$C50</f>
        <v>0</v>
      </c>
      <c r="C51" s="286">
        <f>'Sources and Uses Budget'!$C50</f>
        <v>0</v>
      </c>
      <c r="D51" s="290">
        <f t="shared" si="0"/>
        <v>0</v>
      </c>
      <c r="E51" s="288"/>
      <c r="F51" s="287"/>
      <c r="G51" s="383"/>
    </row>
    <row r="52" spans="1:7" s="380" customFormat="1">
      <c r="A52" s="304" t="s">
        <v>154</v>
      </c>
      <c r="B52" s="286">
        <f>'Sources and Uses Budget'!$C51</f>
        <v>197529</v>
      </c>
      <c r="C52" s="286">
        <f>'Sources and Uses Budget'!$C51</f>
        <v>197529</v>
      </c>
      <c r="D52" s="290">
        <f t="shared" si="0"/>
        <v>0</v>
      </c>
      <c r="E52" s="288"/>
      <c r="F52" s="287"/>
      <c r="G52" s="383"/>
    </row>
    <row r="53" spans="1:7" s="380" customFormat="1">
      <c r="A53" s="145" t="s">
        <v>155</v>
      </c>
      <c r="B53" s="286">
        <f>'Sources and Uses Budget'!$C52</f>
        <v>500000</v>
      </c>
      <c r="C53" s="286">
        <f>'Sources and Uses Budget'!$C52</f>
        <v>500000</v>
      </c>
      <c r="D53" s="290">
        <f t="shared" si="0"/>
        <v>0</v>
      </c>
      <c r="E53" s="288"/>
      <c r="F53" s="287"/>
      <c r="G53" s="383"/>
    </row>
    <row r="54" spans="1:7" s="380" customFormat="1">
      <c r="A54" s="155" t="str">
        <f>'Sources and Uses Budget'!A53</f>
        <v>Accrued/Deferred Interest</v>
      </c>
      <c r="B54" s="286">
        <f>'Sources and Uses Budget'!$C53</f>
        <v>1948170</v>
      </c>
      <c r="C54" s="286">
        <f>'Sources and Uses Budget'!$C53</f>
        <v>1948170</v>
      </c>
      <c r="D54" s="290">
        <f t="shared" si="0"/>
        <v>0</v>
      </c>
      <c r="E54" s="288"/>
      <c r="F54" s="287"/>
      <c r="G54" s="383"/>
    </row>
    <row r="55" spans="1:7" s="381" customFormat="1">
      <c r="A55" s="291" t="s">
        <v>157</v>
      </c>
      <c r="B55" s="293">
        <f>SUM(B46:B54)</f>
        <v>7805813</v>
      </c>
      <c r="C55" s="293">
        <f>SUM(C46:C54)</f>
        <v>7805813</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Sponsor Legal</v>
      </c>
      <c r="B62" s="286">
        <f>'Sources and Uses Budget'!$C61</f>
        <v>30000</v>
      </c>
      <c r="C62" s="286">
        <f>'Sources and Uses Budget'!$C61</f>
        <v>30000</v>
      </c>
      <c r="D62" s="290">
        <f t="shared" si="0"/>
        <v>0</v>
      </c>
      <c r="E62" s="288"/>
      <c r="F62" s="287"/>
      <c r="G62" s="383"/>
    </row>
    <row r="63" spans="1:7" s="380" customFormat="1" ht="13.7" customHeight="1">
      <c r="A63" s="291" t="s">
        <v>302</v>
      </c>
      <c r="B63" s="290">
        <f>SUM(B57:B62)</f>
        <v>30000</v>
      </c>
      <c r="C63" s="290">
        <f>SUM(C57:C62)</f>
        <v>30000</v>
      </c>
      <c r="D63" s="290">
        <f t="shared" si="0"/>
        <v>0</v>
      </c>
      <c r="E63" s="288"/>
      <c r="F63" s="287"/>
      <c r="G63" s="383"/>
    </row>
    <row r="64" spans="1:7" s="380" customFormat="1">
      <c r="A64" s="294" t="s">
        <v>303</v>
      </c>
      <c r="B64" s="290">
        <f>SUM(B9+B12+B14+B15+B17+B26+B28+B39+B43+B44+B55+B63)</f>
        <v>67737999</v>
      </c>
      <c r="C64" s="290">
        <f>SUM(C9+C12+C14+C15+C17+C26+C28+C39+C43+C44+C55+C63)</f>
        <v>67737999</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55000</v>
      </c>
      <c r="C66" s="286">
        <f>'Sources and Uses Budget'!$C65</f>
        <v>55000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Sponsor Legal</v>
      </c>
      <c r="B70" s="286">
        <f>'Sources and Uses Budget'!$C69</f>
        <v>220979</v>
      </c>
      <c r="C70" s="286">
        <f>'Sources and Uses Budget'!$C69</f>
        <v>220979</v>
      </c>
      <c r="D70" s="290">
        <f t="shared" si="0"/>
        <v>0</v>
      </c>
      <c r="E70" s="288"/>
      <c r="F70" s="287"/>
      <c r="G70" s="383"/>
    </row>
    <row r="71" spans="1:7" s="380" customFormat="1">
      <c r="A71" s="149" t="s">
        <v>1758</v>
      </c>
      <c r="B71" s="290">
        <f>SUM(B66:B70)</f>
        <v>275979</v>
      </c>
      <c r="C71" s="290">
        <f>SUM(C66:C70)</f>
        <v>275979</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860352</v>
      </c>
      <c r="C76" s="286">
        <f>'Sources and Uses Budget'!$C75</f>
        <v>860352</v>
      </c>
      <c r="D76" s="290">
        <f t="shared" si="0"/>
        <v>0</v>
      </c>
      <c r="E76" s="288"/>
      <c r="F76" s="287"/>
      <c r="G76" s="383"/>
    </row>
    <row r="77" spans="1:7" s="380" customFormat="1">
      <c r="A77" s="292" t="s">
        <v>34</v>
      </c>
      <c r="B77" s="286">
        <f>'Sources and Uses Budget'!$C76</f>
        <v>6890379</v>
      </c>
      <c r="C77" s="286">
        <f>'Sources and Uses Budget'!$C76</f>
        <v>6890379</v>
      </c>
      <c r="D77" s="290">
        <f t="shared" si="0"/>
        <v>0</v>
      </c>
      <c r="E77" s="288"/>
      <c r="F77" s="287"/>
      <c r="G77" s="383"/>
    </row>
    <row r="78" spans="1:7" s="380" customFormat="1">
      <c r="A78" s="291" t="s">
        <v>614</v>
      </c>
      <c r="B78" s="290">
        <f>SUM(B73:B77)</f>
        <v>7750731</v>
      </c>
      <c r="C78" s="290">
        <f>SUM(C73:C77)</f>
        <v>7750731</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2250000</v>
      </c>
      <c r="C80" s="286">
        <f>'Sources and Uses Budget'!$C79</f>
        <v>2250000</v>
      </c>
      <c r="D80" s="290">
        <f t="shared" si="1"/>
        <v>0</v>
      </c>
      <c r="E80" s="288"/>
      <c r="F80" s="287"/>
      <c r="G80" s="383"/>
    </row>
    <row r="81" spans="1:7" s="380" customFormat="1">
      <c r="A81" s="544" t="s">
        <v>58</v>
      </c>
      <c r="B81" s="286">
        <f>'Sources and Uses Budget'!$C80</f>
        <v>609196</v>
      </c>
      <c r="C81" s="286">
        <f>'Sources and Uses Budget'!$C80</f>
        <v>609196</v>
      </c>
      <c r="D81" s="290">
        <f>C81-B81</f>
        <v>0</v>
      </c>
      <c r="E81" s="288"/>
      <c r="F81" s="287"/>
      <c r="G81" s="383"/>
    </row>
    <row r="82" spans="1:7" s="380" customFormat="1">
      <c r="A82" s="291" t="s">
        <v>1315</v>
      </c>
      <c r="B82" s="290">
        <f>SUM(B80:B81)</f>
        <v>2859196</v>
      </c>
      <c r="C82" s="290">
        <f>SUM(C80:C81)</f>
        <v>2859196</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131174</v>
      </c>
      <c r="C84" s="286">
        <f>'Sources and Uses Budget'!$C83</f>
        <v>131174</v>
      </c>
      <c r="D84" s="290">
        <f t="shared" si="1"/>
        <v>0</v>
      </c>
      <c r="E84" s="288"/>
      <c r="F84" s="287"/>
      <c r="G84" s="383"/>
    </row>
    <row r="85" spans="1:7" s="380" customFormat="1">
      <c r="A85" s="289" t="s">
        <v>776</v>
      </c>
      <c r="B85" s="286">
        <f>'Sources and Uses Budget'!$C84</f>
        <v>65000</v>
      </c>
      <c r="C85" s="286">
        <f>'Sources and Uses Budget'!$C84</f>
        <v>65000</v>
      </c>
      <c r="D85" s="290">
        <f t="shared" si="1"/>
        <v>0</v>
      </c>
      <c r="E85" s="288"/>
      <c r="F85" s="287"/>
      <c r="G85" s="383"/>
    </row>
    <row r="86" spans="1:7" s="380" customFormat="1">
      <c r="A86" s="289" t="s">
        <v>777</v>
      </c>
      <c r="B86" s="286">
        <f>'Sources and Uses Budget'!$C85</f>
        <v>1532244</v>
      </c>
      <c r="C86" s="286">
        <f>'Sources and Uses Budget'!$C85</f>
        <v>1532244</v>
      </c>
      <c r="D86" s="290">
        <f t="shared" si="1"/>
        <v>0</v>
      </c>
      <c r="E86" s="288"/>
      <c r="F86" s="287"/>
      <c r="G86" s="383"/>
    </row>
    <row r="87" spans="1:7" s="380" customFormat="1">
      <c r="A87" s="289" t="s">
        <v>778</v>
      </c>
      <c r="B87" s="286">
        <f>'Sources and Uses Budget'!$C86</f>
        <v>230000</v>
      </c>
      <c r="C87" s="286">
        <f>'Sources and Uses Budget'!$C86</f>
        <v>230000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146000</v>
      </c>
      <c r="C89" s="286">
        <f>'Sources and Uses Budget'!$C88</f>
        <v>146000</v>
      </c>
      <c r="D89" s="290">
        <f t="shared" si="1"/>
        <v>0</v>
      </c>
      <c r="E89" s="288"/>
      <c r="F89" s="287"/>
      <c r="G89" s="383"/>
    </row>
    <row r="90" spans="1:7" s="380" customFormat="1">
      <c r="A90" s="289" t="s">
        <v>781</v>
      </c>
      <c r="B90" s="286">
        <f>'Sources and Uses Budget'!$C89</f>
        <v>324000</v>
      </c>
      <c r="C90" s="286">
        <f>'Sources and Uses Budget'!$C89</f>
        <v>324000</v>
      </c>
      <c r="D90" s="290">
        <f t="shared" si="1"/>
        <v>0</v>
      </c>
      <c r="E90" s="288"/>
      <c r="F90" s="287"/>
      <c r="G90" s="383"/>
    </row>
    <row r="91" spans="1:7" s="380" customFormat="1">
      <c r="A91" s="289" t="s">
        <v>782</v>
      </c>
      <c r="B91" s="286">
        <f>'Sources and Uses Budget'!$C90</f>
        <v>15000</v>
      </c>
      <c r="C91" s="286">
        <f>'Sources and Uses Budget'!$C90</f>
        <v>15000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1317</v>
      </c>
      <c r="B93" s="286">
        <f>'Sources and Uses Budget'!$C92</f>
        <v>25000</v>
      </c>
      <c r="C93" s="286">
        <f>'Sources and Uses Budget'!$C92</f>
        <v>25000</v>
      </c>
      <c r="D93" s="290">
        <f t="shared" si="1"/>
        <v>0</v>
      </c>
      <c r="E93" s="288"/>
      <c r="F93" s="287"/>
      <c r="G93" s="383"/>
    </row>
    <row r="94" spans="1:7" s="380" customFormat="1">
      <c r="A94" s="292" t="s">
        <v>34</v>
      </c>
      <c r="B94" s="286">
        <f>'Sources and Uses Budget'!$C93</f>
        <v>125000</v>
      </c>
      <c r="C94" s="286">
        <f>'Sources and Uses Budget'!$C93</f>
        <v>125000</v>
      </c>
      <c r="D94" s="290">
        <f t="shared" si="1"/>
        <v>0</v>
      </c>
      <c r="E94" s="288"/>
      <c r="F94" s="287"/>
      <c r="G94" s="383"/>
    </row>
    <row r="95" spans="1:7" s="380" customFormat="1">
      <c r="A95" s="292" t="s">
        <v>34</v>
      </c>
      <c r="B95" s="286">
        <f>'Sources and Uses Budget'!$C94</f>
        <v>120000</v>
      </c>
      <c r="C95" s="286">
        <f>'Sources and Uses Budget'!$C94</f>
        <v>120000</v>
      </c>
      <c r="D95" s="290">
        <f t="shared" si="1"/>
        <v>0</v>
      </c>
      <c r="E95" s="288"/>
      <c r="F95" s="287"/>
      <c r="G95" s="383"/>
    </row>
    <row r="96" spans="1:7" s="380" customFormat="1">
      <c r="A96" s="292" t="s">
        <v>34</v>
      </c>
      <c r="B96" s="286">
        <f>'Sources and Uses Budget'!$C95</f>
        <v>400000</v>
      </c>
      <c r="C96" s="286">
        <f>'Sources and Uses Budget'!$C95</f>
        <v>400000</v>
      </c>
      <c r="D96" s="290">
        <f t="shared" si="1"/>
        <v>0</v>
      </c>
      <c r="E96" s="288"/>
      <c r="F96" s="287"/>
      <c r="G96" s="383"/>
    </row>
    <row r="97" spans="1:7" s="380" customFormat="1">
      <c r="A97" s="291" t="s">
        <v>783</v>
      </c>
      <c r="B97" s="290">
        <f>SUM(B84:B96)</f>
        <v>3113418</v>
      </c>
      <c r="C97" s="290">
        <f>SUM(C84:C96)</f>
        <v>3113418</v>
      </c>
      <c r="D97" s="290">
        <f t="shared" si="1"/>
        <v>0</v>
      </c>
      <c r="E97" s="288"/>
      <c r="F97" s="287"/>
      <c r="G97" s="383"/>
    </row>
    <row r="98" spans="1:7" s="380" customFormat="1">
      <c r="A98" s="291" t="s">
        <v>784</v>
      </c>
      <c r="B98" s="290">
        <f>SUM(B64+B71+B78+B82+B97)</f>
        <v>81737323</v>
      </c>
      <c r="C98" s="290">
        <f>SUM(C64+C71+C78+C82+C97)</f>
        <v>81737323</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9668384</v>
      </c>
      <c r="C100" s="286">
        <f>'Sources and Uses Budget'!$C99</f>
        <v>9668384</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9668384</v>
      </c>
      <c r="C105" s="290">
        <f>SUM(C100:C104)</f>
        <v>9668384</v>
      </c>
      <c r="D105" s="290">
        <f t="shared" si="1"/>
        <v>0</v>
      </c>
      <c r="E105" s="288"/>
      <c r="F105" s="287"/>
      <c r="G105" s="383"/>
    </row>
    <row r="106" spans="1:7" s="380" customFormat="1">
      <c r="A106" s="291" t="s">
        <v>789</v>
      </c>
      <c r="B106" s="293">
        <f>SUM(B98+B105)</f>
        <v>91405707</v>
      </c>
      <c r="C106" s="293">
        <f>SUM(C98+C105)</f>
        <v>91405707</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1068</v>
      </c>
      <c r="B2" s="1304"/>
      <c r="C2" s="1268"/>
      <c r="D2" s="1268"/>
      <c r="E2" s="1268"/>
      <c r="F2" s="1268"/>
      <c r="G2" s="1268"/>
    </row>
    <row r="3" spans="1:9" s="173" customFormat="1">
      <c r="A3" s="1304" t="s">
        <v>1009</v>
      </c>
      <c r="B3" s="1304"/>
      <c r="C3" s="1268"/>
      <c r="D3" s="1268"/>
      <c r="E3" s="1268"/>
      <c r="F3" s="1268"/>
      <c r="G3" s="1268"/>
      <c r="I3" t="s">
        <v>308</v>
      </c>
    </row>
    <row r="4" spans="1:9">
      <c r="I4" s="3" t="s">
        <v>1069</v>
      </c>
    </row>
    <row r="5" spans="1:9">
      <c r="A5" s="1306" t="s">
        <v>1010</v>
      </c>
      <c r="B5" s="1306"/>
      <c r="C5" s="1268"/>
      <c r="D5" s="1268"/>
      <c r="E5" s="1268"/>
      <c r="F5" s="1268"/>
      <c r="G5" s="1268"/>
      <c r="I5" s="3" t="s">
        <v>1070</v>
      </c>
    </row>
    <row r="6" spans="1:9">
      <c r="A6" s="1306" t="s">
        <v>828</v>
      </c>
      <c r="B6" s="1306"/>
      <c r="C6" s="1268"/>
      <c r="D6" s="1268"/>
      <c r="E6" s="1268"/>
      <c r="F6" s="1268"/>
      <c r="G6" s="1268"/>
      <c r="I6" t="s">
        <v>599</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7" t="s">
        <v>1168</v>
      </c>
      <c r="B11" s="1287"/>
      <c r="C11" s="1287"/>
      <c r="D11" s="1287"/>
      <c r="E11" s="1287"/>
      <c r="F11" s="1287"/>
      <c r="G11" s="1287"/>
    </row>
    <row r="12" spans="1:9">
      <c r="A12" s="172"/>
      <c r="B12" s="172"/>
      <c r="E12" s="2"/>
    </row>
    <row r="13" spans="1:9" ht="13.35" customHeight="1">
      <c r="C13" s="172"/>
      <c r="D13" s="1289" t="s">
        <v>1167</v>
      </c>
      <c r="E13" s="1289"/>
      <c r="F13" s="1289"/>
    </row>
    <row r="14" spans="1:9">
      <c r="C14" s="172"/>
      <c r="D14" s="1289"/>
      <c r="E14" s="1289"/>
      <c r="F14" s="1289"/>
    </row>
    <row r="15" spans="1:9">
      <c r="A15" s="175"/>
      <c r="B15" s="175"/>
      <c r="C15" s="175"/>
      <c r="D15" s="1286" t="s">
        <v>1150</v>
      </c>
      <c r="E15" s="1286"/>
      <c r="F15" s="1286"/>
    </row>
    <row r="16" spans="1:9">
      <c r="A16" s="175"/>
      <c r="B16" s="175"/>
      <c r="C16" s="175"/>
      <c r="D16" s="218"/>
    </row>
    <row r="17" spans="1:6" ht="14.25">
      <c r="A17" s="176"/>
      <c r="B17" s="468" t="s">
        <v>308</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1152</v>
      </c>
      <c r="E21" s="1290"/>
      <c r="F21" s="1290"/>
    </row>
    <row r="22" spans="1:6" ht="14.25">
      <c r="A22" s="176"/>
      <c r="B22" s="176"/>
      <c r="D22" s="35"/>
    </row>
    <row r="23" spans="1:6" ht="14.25">
      <c r="A23" s="176"/>
      <c r="B23" s="468" t="s">
        <v>308</v>
      </c>
      <c r="D23" s="1266" t="s">
        <v>1153</v>
      </c>
      <c r="E23" s="1266"/>
      <c r="F23" s="1266"/>
    </row>
    <row r="24" spans="1:6" ht="14.25">
      <c r="A24" s="176"/>
      <c r="B24" s="176"/>
      <c r="D24" s="1266"/>
      <c r="E24" s="1266"/>
      <c r="F24" s="1266"/>
    </row>
    <row r="25" spans="1:6"/>
    <row r="26" spans="1:6" ht="14.25">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4.25">
      <c r="A34" s="176"/>
      <c r="B34" s="176"/>
      <c r="D34" s="220"/>
    </row>
    <row r="35" spans="1:6" ht="14.45" customHeight="1">
      <c r="A35" s="176"/>
      <c r="B35" s="468" t="s">
        <v>308</v>
      </c>
      <c r="D35" s="1266" t="s">
        <v>1156</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1157</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1158</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1159</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1160</v>
      </c>
      <c r="E54" s="1266"/>
      <c r="F54" s="1266"/>
      <c r="G54" s="3"/>
    </row>
    <row r="55" spans="1:7" ht="14.25">
      <c r="A55" s="176"/>
      <c r="B55" s="176"/>
      <c r="C55" s="385"/>
      <c r="D55" s="1266"/>
      <c r="E55" s="1266"/>
      <c r="F55" s="1266"/>
      <c r="G55" s="3"/>
    </row>
    <row r="56" spans="1:7">
      <c r="D56" s="220"/>
    </row>
    <row r="57" spans="1:7" ht="14.25">
      <c r="A57" s="176"/>
      <c r="B57" s="468" t="s">
        <v>308</v>
      </c>
      <c r="D57" s="1266" t="s">
        <v>1161</v>
      </c>
      <c r="E57" s="1266"/>
      <c r="F57" s="1266"/>
    </row>
    <row r="58" spans="1:7">
      <c r="D58" s="1266"/>
      <c r="E58" s="1266"/>
      <c r="F58" s="1266"/>
    </row>
    <row r="59" spans="1:7">
      <c r="D59" s="1266"/>
      <c r="E59" s="1266"/>
      <c r="F59" s="1266"/>
    </row>
    <row r="60" spans="1:7">
      <c r="D60" s="3"/>
    </row>
    <row r="61" spans="1:7" ht="14.25">
      <c r="A61" s="176"/>
      <c r="B61" s="468" t="s">
        <v>308</v>
      </c>
      <c r="D61" s="1266" t="s">
        <v>1162</v>
      </c>
      <c r="E61" s="1266"/>
      <c r="F61" s="1266"/>
    </row>
    <row r="62" spans="1:7">
      <c r="D62" s="1266"/>
      <c r="E62" s="1266"/>
      <c r="F62" s="1266"/>
    </row>
    <row r="63" spans="1:7"/>
    <row r="64" spans="1:7" ht="14.25">
      <c r="A64" s="176"/>
      <c r="B64" s="468" t="s">
        <v>308</v>
      </c>
      <c r="D64" s="1266" t="s">
        <v>1163</v>
      </c>
      <c r="E64" s="1266"/>
      <c r="F64" s="1266"/>
    </row>
    <row r="65" spans="1:7">
      <c r="D65" s="1266"/>
      <c r="E65" s="1266"/>
      <c r="F65" s="1266"/>
    </row>
    <row r="66" spans="1:7">
      <c r="D66" s="1266"/>
      <c r="E66" s="1266"/>
      <c r="F66" s="1266"/>
    </row>
    <row r="67" spans="1:7">
      <c r="D67"/>
    </row>
    <row r="68" spans="1:7" ht="14.25">
      <c r="A68" s="176"/>
      <c r="B68" s="468" t="s">
        <v>308</v>
      </c>
      <c r="D68" s="1266" t="s">
        <v>1164</v>
      </c>
      <c r="E68" s="1266"/>
      <c r="F68" s="1266"/>
    </row>
    <row r="69" spans="1:7">
      <c r="D69" s="1266"/>
      <c r="E69" s="1266"/>
      <c r="F69" s="1266"/>
    </row>
    <row r="70" spans="1:7" ht="14.25">
      <c r="A70" s="176"/>
      <c r="B70" s="176"/>
      <c r="D70" s="35"/>
    </row>
    <row r="71" spans="1:7">
      <c r="A71" s="1287" t="s">
        <v>1071</v>
      </c>
      <c r="B71" s="1287"/>
      <c r="C71" s="1287"/>
      <c r="D71" s="1287"/>
      <c r="E71" s="1287"/>
      <c r="F71" s="1287"/>
      <c r="G71" s="1287"/>
    </row>
    <row r="72" spans="1:7"/>
    <row r="73" spans="1:7">
      <c r="C73" s="177"/>
      <c r="D73" s="1298" t="s">
        <v>1169</v>
      </c>
      <c r="E73" s="1298"/>
      <c r="F73" s="1298"/>
    </row>
    <row r="74" spans="1:7">
      <c r="A74" s="35"/>
      <c r="B74" s="35"/>
      <c r="D74" s="1266" t="s">
        <v>1196</v>
      </c>
      <c r="E74" s="1266"/>
      <c r="F74" s="1266"/>
    </row>
    <row r="75" spans="1:7">
      <c r="A75" s="35"/>
      <c r="B75" s="35"/>
    </row>
    <row r="76" spans="1:7" ht="14.25">
      <c r="A76" s="176"/>
      <c r="B76" s="468" t="s">
        <v>308</v>
      </c>
      <c r="D76" s="1266" t="s">
        <v>1170</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1269</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1171</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1172</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1173</v>
      </c>
      <c r="E114" s="1308"/>
      <c r="F114" s="1308"/>
      <c r="G114"/>
    </row>
    <row r="115" spans="1:7" ht="14.25">
      <c r="A115" s="176"/>
      <c r="B115" s="176"/>
      <c r="C115"/>
      <c r="D115" s="1308"/>
      <c r="E115" s="1308"/>
      <c r="F115" s="1308"/>
      <c r="G115"/>
    </row>
    <row r="116" spans="1:7"/>
    <row r="117" spans="1:7" ht="14.25">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1176</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1177</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1178</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1072</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c r="A172" s="1287" t="s">
        <v>1073</v>
      </c>
      <c r="B172" s="1287"/>
      <c r="C172" s="1287"/>
      <c r="D172" s="1287"/>
      <c r="E172" s="1287"/>
      <c r="F172" s="1287"/>
      <c r="G172" s="1287"/>
    </row>
    <row r="173" spans="1:7" ht="12" customHeight="1">
      <c r="A173" s="2"/>
      <c r="B173" s="2"/>
      <c r="E173" s="2"/>
    </row>
    <row r="174" spans="1:7" ht="13.35" customHeight="1">
      <c r="A174" s="2"/>
      <c r="B174" s="2"/>
      <c r="D174" s="1309" t="s">
        <v>1181</v>
      </c>
      <c r="E174" s="1309"/>
      <c r="F174" s="1309"/>
    </row>
    <row r="175" spans="1:7">
      <c r="A175" s="2"/>
      <c r="B175" s="2"/>
      <c r="D175" s="1309"/>
      <c r="E175" s="1309"/>
      <c r="F175" s="1309"/>
    </row>
    <row r="176" spans="1:7">
      <c r="A176" s="2"/>
      <c r="B176" s="2"/>
      <c r="D176" s="1296" t="s">
        <v>1182</v>
      </c>
      <c r="E176" s="1296"/>
      <c r="F176" s="1296"/>
    </row>
    <row r="177" spans="1:7" ht="12" customHeight="1">
      <c r="A177" s="2"/>
      <c r="B177" s="2"/>
      <c r="E177" s="2"/>
    </row>
    <row r="178" spans="1:7" ht="14.25">
      <c r="A178" s="176"/>
      <c r="B178" s="468" t="s">
        <v>308</v>
      </c>
      <c r="D178" s="1281" t="s">
        <v>1180</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5"/>
      <c r="E185" s="475"/>
      <c r="F185" s="475"/>
    </row>
    <row r="186" spans="1:7" ht="14.25">
      <c r="A186" s="176"/>
      <c r="B186" s="468" t="s">
        <v>308</v>
      </c>
      <c r="C186" s="385"/>
      <c r="D186" s="1266" t="s">
        <v>1179</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1074</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1203</v>
      </c>
      <c r="E194" s="1292"/>
      <c r="F194" s="1292"/>
    </row>
    <row r="195" spans="1:6" ht="12" customHeight="1">
      <c r="A195" s="13"/>
      <c r="B195" s="13"/>
      <c r="C195" s="13"/>
    </row>
    <row r="196" spans="1:6" ht="13.35" customHeight="1">
      <c r="A196" s="13"/>
      <c r="C196" s="13"/>
      <c r="D196" s="1285" t="s">
        <v>554</v>
      </c>
      <c r="E196" s="1285"/>
      <c r="F196" s="1285"/>
    </row>
    <row r="197" spans="1:6" ht="14.25">
      <c r="A197" s="176"/>
      <c r="B197" s="468" t="s">
        <v>308</v>
      </c>
      <c r="D197" s="1266" t="s">
        <v>1197</v>
      </c>
      <c r="E197" s="1266"/>
      <c r="F197" s="1266"/>
    </row>
    <row r="198" spans="1:6" ht="14.25">
      <c r="A198" s="176"/>
      <c r="B198" s="176"/>
      <c r="D198" s="1266"/>
      <c r="E198" s="1266"/>
      <c r="F198" s="1266"/>
    </row>
    <row r="199" spans="1:6"/>
    <row r="200" spans="1:6" ht="14.25">
      <c r="A200" s="176"/>
      <c r="B200" s="468" t="s">
        <v>308</v>
      </c>
      <c r="D200" s="1266" t="s">
        <v>1198</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1199</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1200</v>
      </c>
      <c r="E210" s="1266"/>
      <c r="F210" s="1266"/>
    </row>
    <row r="211" spans="1:7" ht="14.25">
      <c r="A211" s="176"/>
      <c r="B211" s="176"/>
      <c r="D211" s="1266"/>
      <c r="E211" s="1266"/>
      <c r="F211" s="1266"/>
    </row>
    <row r="212" spans="1:7" ht="14.25">
      <c r="A212" s="176"/>
      <c r="B212" s="176"/>
      <c r="D212" s="1284" t="s">
        <v>909</v>
      </c>
      <c r="E212" s="1284"/>
      <c r="F212" s="1284"/>
    </row>
    <row r="213" spans="1:7" ht="14.25">
      <c r="A213" s="176"/>
      <c r="B213" s="176"/>
      <c r="D213" s="35"/>
      <c r="E213" s="35"/>
      <c r="F213" s="35"/>
    </row>
    <row r="214" spans="1:7" ht="14.45" customHeight="1">
      <c r="A214" s="176"/>
      <c r="B214" s="468" t="s">
        <v>308</v>
      </c>
      <c r="D214" s="1266" t="s">
        <v>1202</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1201</v>
      </c>
      <c r="E220" s="1266"/>
      <c r="F220" s="1266"/>
    </row>
    <row r="221" spans="1:7" ht="14.25">
      <c r="A221" s="176"/>
      <c r="B221" s="176"/>
      <c r="D221" s="1266"/>
      <c r="E221" s="1266"/>
      <c r="F221" s="1266"/>
    </row>
    <row r="222" spans="1:7">
      <c r="D222" s="19"/>
    </row>
    <row r="223" spans="1:7">
      <c r="A223" s="1287" t="s">
        <v>1075</v>
      </c>
      <c r="B223" s="1287"/>
      <c r="C223" s="1287"/>
      <c r="D223" s="1287"/>
      <c r="E223" s="1287"/>
      <c r="F223" s="1287"/>
      <c r="G223" s="1287"/>
    </row>
    <row r="224" spans="1:7">
      <c r="D224" s="19"/>
    </row>
    <row r="225" spans="1:6">
      <c r="C225" s="177"/>
      <c r="D225" s="1285" t="s">
        <v>1204</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1205</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1206</v>
      </c>
      <c r="E231" s="1266"/>
      <c r="F231" s="1266"/>
    </row>
    <row r="232" spans="1:6">
      <c r="D232" s="1266"/>
      <c r="E232" s="1266"/>
      <c r="F232" s="1266"/>
    </row>
    <row r="233" spans="1:6">
      <c r="D233" s="1292" t="s">
        <v>901</v>
      </c>
      <c r="E233" s="1292"/>
      <c r="F233" s="1292"/>
    </row>
    <row r="234" spans="1:6">
      <c r="D234" s="35"/>
      <c r="E234" s="35"/>
      <c r="F234" s="35"/>
    </row>
    <row r="235" spans="1:6" ht="14.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c r="A245" s="1287" t="s">
        <v>1076</v>
      </c>
      <c r="B245" s="1287"/>
      <c r="C245" s="1287"/>
      <c r="D245" s="1287"/>
      <c r="E245" s="1287"/>
      <c r="F245" s="1287"/>
      <c r="G245" s="1287"/>
    </row>
    <row r="246" spans="1:7">
      <c r="D246" s="178"/>
      <c r="E246" s="35"/>
      <c r="F246" s="35"/>
    </row>
    <row r="247" spans="1:7">
      <c r="C247" s="172"/>
      <c r="D247" s="1298" t="s">
        <v>1209</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1210</v>
      </c>
      <c r="E251" s="1291"/>
      <c r="F251" s="1291"/>
    </row>
    <row r="252" spans="1:7">
      <c r="E252" s="35"/>
      <c r="F252" s="35"/>
    </row>
    <row r="253" spans="1:7" ht="14.25">
      <c r="A253" s="176"/>
      <c r="B253" s="468" t="s">
        <v>308</v>
      </c>
      <c r="D253" s="1266" t="s">
        <v>1211</v>
      </c>
      <c r="E253" s="1266"/>
      <c r="F253" s="1266"/>
    </row>
    <row r="254" spans="1:7" ht="14.25">
      <c r="A254" s="176"/>
      <c r="B254" s="176"/>
      <c r="D254" s="1266"/>
      <c r="E254" s="1266"/>
      <c r="F254" s="1266"/>
    </row>
    <row r="255" spans="1:7">
      <c r="D255" s="35"/>
      <c r="E255" s="35"/>
      <c r="F255" s="35"/>
    </row>
    <row r="256" spans="1:7" ht="14.25">
      <c r="A256" s="176"/>
      <c r="B256" s="468" t="s">
        <v>308</v>
      </c>
      <c r="D256" s="1266" t="s">
        <v>1212</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1213</v>
      </c>
      <c r="E260" s="1266"/>
      <c r="F260" s="1266"/>
    </row>
    <row r="261" spans="1:7" ht="14.25">
      <c r="A261" s="176"/>
      <c r="B261" s="176"/>
      <c r="D261" s="1266"/>
      <c r="E261" s="1266"/>
      <c r="F261" s="1266"/>
    </row>
    <row r="262" spans="1:7">
      <c r="A262" s="13"/>
      <c r="B262" s="13"/>
      <c r="E262" s="35"/>
      <c r="F262" s="35"/>
    </row>
    <row r="263" spans="1:7">
      <c r="A263" s="1287" t="s">
        <v>1077</v>
      </c>
      <c r="B263" s="1287"/>
      <c r="C263" s="1287"/>
      <c r="D263" s="1287"/>
      <c r="E263" s="1287"/>
      <c r="F263" s="1287"/>
      <c r="G263" s="1287"/>
    </row>
    <row r="264" spans="1:7">
      <c r="A264" s="13"/>
      <c r="B264" s="13"/>
      <c r="D264" s="35"/>
      <c r="E264" s="35"/>
      <c r="F264" s="35"/>
    </row>
    <row r="265" spans="1:7">
      <c r="C265" s="13"/>
      <c r="D265" s="1285" t="s">
        <v>690</v>
      </c>
      <c r="E265" s="1285"/>
      <c r="F265" s="1285"/>
    </row>
    <row r="266" spans="1:7">
      <c r="C266" s="13"/>
      <c r="D266" s="1286" t="s">
        <v>1214</v>
      </c>
      <c r="E266" s="1286"/>
      <c r="F266" s="1286"/>
    </row>
    <row r="267" spans="1:7">
      <c r="C267" s="13"/>
      <c r="D267" s="173"/>
    </row>
    <row r="268" spans="1:7">
      <c r="B268" s="468" t="s">
        <v>308</v>
      </c>
      <c r="D268" s="1286" t="s">
        <v>1215</v>
      </c>
      <c r="E268" s="1286"/>
      <c r="F268" s="1286"/>
    </row>
    <row r="269" spans="1:7" ht="14.25">
      <c r="A269" s="176"/>
      <c r="B269" s="176"/>
      <c r="D269" s="341"/>
      <c r="E269" s="342"/>
      <c r="F269" s="342"/>
    </row>
    <row r="270" spans="1:7" ht="13.35" customHeight="1">
      <c r="B270" s="468" t="s">
        <v>308</v>
      </c>
      <c r="D270" s="1316" t="s">
        <v>1216</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35" customHeight="1">
      <c r="B276" s="468" t="s">
        <v>308</v>
      </c>
      <c r="D276" s="1316" t="s">
        <v>1217</v>
      </c>
      <c r="E276" s="1316"/>
      <c r="F276" s="1316"/>
    </row>
    <row r="277" spans="1:6">
      <c r="D277" s="1316"/>
      <c r="E277" s="1316"/>
      <c r="F277" s="1316"/>
    </row>
    <row r="278" spans="1:6" ht="14.25">
      <c r="A278" s="176"/>
      <c r="B278" s="176"/>
      <c r="D278" s="341"/>
      <c r="E278" s="342"/>
      <c r="F278" s="342"/>
    </row>
    <row r="279" spans="1:6">
      <c r="B279" s="468" t="s">
        <v>308</v>
      </c>
      <c r="D279" s="1286" t="s">
        <v>1218</v>
      </c>
      <c r="E279" s="1286"/>
      <c r="F279" s="1286"/>
    </row>
    <row r="280" spans="1:6">
      <c r="E280" s="35"/>
      <c r="F280" s="35"/>
    </row>
    <row r="281" spans="1:6" ht="14.25">
      <c r="A281" s="176"/>
      <c r="B281" s="468" t="s">
        <v>308</v>
      </c>
      <c r="D281" s="1266" t="s">
        <v>1219</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998</v>
      </c>
      <c r="E314" s="1312"/>
      <c r="F314" s="1312"/>
      <c r="G314"/>
    </row>
    <row r="315" spans="1:7" ht="13.5" thickTop="1">
      <c r="D315" s="1313" t="s">
        <v>1222</v>
      </c>
      <c r="E315" s="1313"/>
      <c r="F315" s="1313"/>
      <c r="G315"/>
    </row>
    <row r="316" spans="1:7">
      <c r="A316" s="218"/>
      <c r="B316" s="218"/>
      <c r="C316" s="218"/>
      <c r="D316" s="220"/>
      <c r="E316" s="220"/>
      <c r="F316" s="35"/>
      <c r="G316"/>
    </row>
    <row r="317" spans="1:7" ht="14.25">
      <c r="A317" s="176"/>
      <c r="B317" s="468" t="s">
        <v>308</v>
      </c>
      <c r="C317" s="218"/>
      <c r="D317" s="1314" t="s">
        <v>1223</v>
      </c>
      <c r="E317" s="1314"/>
      <c r="F317" s="1314"/>
      <c r="G317"/>
    </row>
    <row r="318" spans="1:7">
      <c r="A318" s="218"/>
      <c r="B318" s="218"/>
      <c r="C318" s="218"/>
      <c r="D318" s="220"/>
      <c r="E318" s="220"/>
      <c r="F318" s="35"/>
      <c r="G318"/>
    </row>
    <row r="319" spans="1:7">
      <c r="A319" s="218"/>
      <c r="B319" s="468" t="s">
        <v>308</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35"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1229</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1230</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1234</v>
      </c>
      <c r="E416" s="1266"/>
      <c r="F416" s="1266"/>
      <c r="G416"/>
    </row>
    <row r="417" spans="1:7">
      <c r="D417" s="1266"/>
      <c r="E417" s="1266"/>
      <c r="F417" s="1266"/>
      <c r="G417"/>
    </row>
    <row r="418" spans="1:7">
      <c r="D418" s="35"/>
      <c r="E418" s="35"/>
      <c r="F418" s="35"/>
      <c r="G418"/>
    </row>
    <row r="419" spans="1:7" ht="14.25">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1237</v>
      </c>
      <c r="E440" s="1286"/>
      <c r="F440" s="1286"/>
    </row>
    <row r="441" spans="1:7">
      <c r="A441" s="35"/>
      <c r="B441" s="35"/>
    </row>
    <row r="442" spans="1:7">
      <c r="A442" s="1287" t="s">
        <v>1078</v>
      </c>
      <c r="B442" s="1287"/>
      <c r="C442" s="1287"/>
      <c r="D442" s="1287"/>
      <c r="E442" s="1287"/>
      <c r="F442" s="1287"/>
      <c r="G442" s="1287"/>
    </row>
    <row r="443" spans="1:7">
      <c r="A443" s="35"/>
      <c r="B443" s="35"/>
    </row>
    <row r="444" spans="1:7">
      <c r="D444" s="1317" t="s">
        <v>895</v>
      </c>
      <c r="E444" s="1317"/>
      <c r="F444" s="1317"/>
    </row>
    <row r="445" spans="1:7" ht="14.25">
      <c r="A445" s="176"/>
      <c r="B445" s="176"/>
      <c r="D445" s="1314" t="s">
        <v>1238</v>
      </c>
      <c r="E445" s="1314"/>
      <c r="F445" s="1314"/>
    </row>
    <row r="446" spans="1:7" ht="14.25">
      <c r="A446" s="176"/>
      <c r="B446" s="176"/>
      <c r="D446" s="481"/>
      <c r="E446" s="3"/>
      <c r="F446" s="3"/>
    </row>
    <row r="447" spans="1:7" ht="14.25">
      <c r="A447" s="176"/>
      <c r="B447" s="468" t="s">
        <v>308</v>
      </c>
      <c r="D447" s="1269" t="s">
        <v>1239</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1240</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1241</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1242</v>
      </c>
      <c r="E459" s="1286"/>
      <c r="F459" s="1286"/>
      <c r="G459"/>
    </row>
    <row r="460" spans="1:7" ht="14.25">
      <c r="A460" s="176"/>
      <c r="B460" s="176"/>
      <c r="D460" s="118"/>
      <c r="E460" s="3"/>
      <c r="F460" s="3"/>
      <c r="G460"/>
    </row>
    <row r="461" spans="1:7" ht="14.25">
      <c r="A461" s="176"/>
      <c r="B461" s="468" t="s">
        <v>308</v>
      </c>
      <c r="D461" s="1266" t="s">
        <v>1243</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1244</v>
      </c>
      <c r="E464" s="1286"/>
      <c r="F464" s="1286"/>
      <c r="G464"/>
    </row>
    <row r="465" spans="1:7" ht="14.25">
      <c r="A465" s="176"/>
      <c r="B465" s="176"/>
      <c r="D465" s="35"/>
    </row>
    <row r="466" spans="1:7">
      <c r="A466" s="1287" t="s">
        <v>1079</v>
      </c>
      <c r="B466" s="1287"/>
      <c r="C466" s="1287"/>
      <c r="D466" s="1287"/>
      <c r="E466" s="1287"/>
      <c r="F466" s="1287"/>
      <c r="G466" s="1287"/>
    </row>
    <row r="467" spans="1:7" ht="12" customHeight="1">
      <c r="A467" s="176"/>
      <c r="B467" s="176"/>
      <c r="D467" s="35"/>
    </row>
    <row r="468" spans="1:7">
      <c r="C468" s="172"/>
      <c r="D468" s="1285" t="s">
        <v>802</v>
      </c>
      <c r="E468" s="1285"/>
      <c r="F468" s="1285"/>
    </row>
    <row r="469" spans="1:7" ht="13.35" customHeight="1">
      <c r="A469" s="175"/>
      <c r="B469" s="175"/>
      <c r="C469" s="175"/>
      <c r="D469" s="1318" t="s">
        <v>1122</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1113</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1116</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1114</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1115</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35" customHeight="1">
      <c r="A500" s="175"/>
      <c r="B500" s="468" t="s">
        <v>308</v>
      </c>
      <c r="C500" s="175"/>
      <c r="D500" s="1269" t="s">
        <v>1259</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1080</v>
      </c>
      <c r="B510" s="1287"/>
      <c r="C510" s="1287"/>
      <c r="D510" s="1287"/>
      <c r="E510" s="1287"/>
      <c r="F510" s="1287"/>
      <c r="G510" s="1287"/>
    </row>
    <row r="511" spans="1:7">
      <c r="A511" s="35"/>
      <c r="B511" s="35"/>
      <c r="C511" s="179"/>
      <c r="F511" s="57"/>
    </row>
    <row r="512" spans="1:7">
      <c r="B512" s="1284" t="s">
        <v>448</v>
      </c>
      <c r="C512" s="1284"/>
      <c r="D512" s="1284"/>
      <c r="E512" s="1284"/>
      <c r="F512" s="1284"/>
    </row>
    <row r="513" spans="1:7">
      <c r="A513" s="35"/>
      <c r="B513" s="35"/>
      <c r="C513" s="179"/>
      <c r="D513" s="35"/>
      <c r="F513" s="35"/>
    </row>
    <row r="514" spans="1:7">
      <c r="A514" s="1288" t="s">
        <v>1081</v>
      </c>
      <c r="B514" s="1288"/>
      <c r="C514" s="1288"/>
      <c r="D514" s="1288"/>
      <c r="E514" s="1288"/>
      <c r="F514" s="1288"/>
      <c r="G514" s="1288"/>
    </row>
    <row r="515" spans="1:7">
      <c r="A515" s="35"/>
      <c r="B515" s="35"/>
      <c r="C515" s="179"/>
      <c r="D515" s="35"/>
      <c r="F515" s="35"/>
    </row>
    <row r="516" spans="1:7">
      <c r="C516" s="179"/>
      <c r="D516" s="1285" t="s">
        <v>691</v>
      </c>
      <c r="E516" s="1285"/>
      <c r="F516" s="1285"/>
    </row>
    <row r="517" spans="1:7">
      <c r="C517" s="179"/>
      <c r="D517" s="1286" t="s">
        <v>1138</v>
      </c>
      <c r="E517" s="1286"/>
      <c r="F517" s="1286"/>
    </row>
    <row r="518" spans="1:7">
      <c r="C518" s="179"/>
      <c r="D518" s="118"/>
      <c r="E518" s="118"/>
      <c r="F518" s="118"/>
    </row>
    <row r="519" spans="1:7" ht="13.35" customHeight="1">
      <c r="A519" s="176"/>
      <c r="B519" s="468" t="s">
        <v>308</v>
      </c>
      <c r="C519" s="179"/>
      <c r="D519" s="1286" t="s">
        <v>896</v>
      </c>
      <c r="E519" s="1286"/>
      <c r="F519" s="1286"/>
      <c r="G519"/>
    </row>
    <row r="520" spans="1:7" ht="13.35" customHeight="1">
      <c r="A520" s="179"/>
      <c r="B520" s="179"/>
      <c r="C520" s="179"/>
      <c r="D520" s="118"/>
      <c r="E520"/>
      <c r="F520"/>
      <c r="G520"/>
    </row>
    <row r="521" spans="1:7" ht="14.25">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1145</v>
      </c>
      <c r="E543" s="1286"/>
      <c r="F543" s="1286"/>
    </row>
    <row r="544" spans="1:7">
      <c r="A544" s="13"/>
      <c r="B544" s="13"/>
      <c r="C544" s="179"/>
      <c r="D544" s="1286" t="s">
        <v>829</v>
      </c>
      <c r="E544" s="1286"/>
      <c r="F544" s="1286"/>
    </row>
    <row r="545" spans="1:7">
      <c r="A545" s="13"/>
      <c r="B545" s="13"/>
      <c r="C545" s="179"/>
      <c r="D545" s="3"/>
      <c r="E545" s="1291" t="s">
        <v>1146</v>
      </c>
      <c r="F545" s="1291"/>
    </row>
    <row r="546" spans="1:7" ht="14.25">
      <c r="A546" s="176"/>
      <c r="B546" s="176"/>
      <c r="C546" s="179"/>
      <c r="E546" s="35"/>
      <c r="F546" s="35"/>
    </row>
    <row r="547" spans="1:7" ht="14.25">
      <c r="A547" s="176"/>
      <c r="B547" s="468" t="s">
        <v>308</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1149</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1082</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1098</v>
      </c>
      <c r="E560" s="1303"/>
      <c r="F560" s="1303"/>
    </row>
    <row r="561" spans="1:6">
      <c r="A561"/>
      <c r="B561"/>
      <c r="C561" s="175"/>
      <c r="D561" s="255"/>
    </row>
    <row r="562" spans="1:6">
      <c r="A562" s="175"/>
      <c r="B562" s="468" t="s">
        <v>308</v>
      </c>
      <c r="D562" s="1303" t="s">
        <v>902</v>
      </c>
      <c r="E562" s="1303"/>
      <c r="F562" s="1303"/>
    </row>
    <row r="563" spans="1:6">
      <c r="A563" s="13"/>
      <c r="B563" s="13"/>
      <c r="D563" s="218"/>
    </row>
    <row r="564" spans="1:6">
      <c r="A564" s="13"/>
      <c r="B564" s="468" t="s">
        <v>308</v>
      </c>
      <c r="D564" s="1303" t="s">
        <v>1099</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1100</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1101</v>
      </c>
      <c r="E573" s="1303"/>
      <c r="F573" s="1303"/>
    </row>
    <row r="574" spans="1:6">
      <c r="A574" s="13"/>
      <c r="B574" s="13"/>
      <c r="D574" s="1303"/>
      <c r="E574" s="1303"/>
      <c r="F574" s="1303"/>
    </row>
    <row r="575" spans="1:6">
      <c r="A575" s="13"/>
      <c r="B575" s="13"/>
      <c r="D575" s="255"/>
    </row>
    <row r="576" spans="1:6">
      <c r="A576" s="13"/>
      <c r="B576" s="468" t="s">
        <v>308</v>
      </c>
      <c r="D576" s="1303" t="s">
        <v>1102</v>
      </c>
      <c r="E576" s="1303"/>
      <c r="F576" s="1303"/>
    </row>
    <row r="577" spans="1:7">
      <c r="A577" s="13"/>
      <c r="B577" s="13"/>
      <c r="D577" s="1303"/>
      <c r="E577" s="1303"/>
      <c r="F577" s="1303"/>
    </row>
    <row r="578" spans="1:7">
      <c r="A578" s="13"/>
      <c r="B578" s="13"/>
      <c r="D578" s="255"/>
    </row>
    <row r="579" spans="1:7" ht="14.25">
      <c r="A579" s="176"/>
      <c r="B579" s="468" t="s">
        <v>308</v>
      </c>
      <c r="D579" s="1303" t="s">
        <v>897</v>
      </c>
      <c r="E579" s="1303"/>
      <c r="F579" s="1303"/>
    </row>
    <row r="580" spans="1:7" ht="14.25">
      <c r="A580" s="176"/>
      <c r="B580" s="176"/>
      <c r="D580" s="255"/>
    </row>
    <row r="581" spans="1:7" ht="14.25">
      <c r="A581" s="176"/>
      <c r="B581" s="468" t="s">
        <v>308</v>
      </c>
      <c r="D581" s="1303" t="s">
        <v>1103</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1083</v>
      </c>
      <c r="B588" s="1287"/>
      <c r="C588" s="1287"/>
      <c r="D588" s="1287"/>
      <c r="E588" s="1287"/>
      <c r="F588" s="1287"/>
      <c r="G588" s="1287"/>
    </row>
    <row r="589" spans="1:7"/>
    <row r="590" spans="1:7">
      <c r="D590" s="1279" t="s">
        <v>1183</v>
      </c>
      <c r="E590" s="1279"/>
      <c r="F590" s="1279"/>
    </row>
    <row r="591" spans="1:7">
      <c r="D591" s="1280" t="s">
        <v>1184</v>
      </c>
      <c r="E591" s="1280"/>
      <c r="F591" s="1280"/>
    </row>
    <row r="592" spans="1:7">
      <c r="D592" s="478"/>
      <c r="E592" s="433"/>
      <c r="F592" s="433"/>
    </row>
    <row r="593" spans="1:7" ht="14.25">
      <c r="A593" s="176"/>
      <c r="B593" s="468" t="s">
        <v>308</v>
      </c>
      <c r="D593" s="1281" t="s">
        <v>1185</v>
      </c>
      <c r="E593" s="1281"/>
      <c r="F593" s="1281"/>
    </row>
    <row r="594" spans="1:7">
      <c r="D594" s="1281"/>
      <c r="E594" s="1281"/>
      <c r="F594" s="1281"/>
    </row>
    <row r="595" spans="1:7">
      <c r="D595" s="1281"/>
      <c r="E595" s="1281"/>
      <c r="F595" s="1281"/>
    </row>
    <row r="596" spans="1:7"/>
    <row r="597" spans="1:7">
      <c r="A597" s="1287" t="s">
        <v>1084</v>
      </c>
      <c r="B597" s="1287"/>
      <c r="C597" s="1287"/>
      <c r="D597" s="1287"/>
      <c r="E597" s="1287"/>
      <c r="F597" s="1287"/>
      <c r="G597" s="1287"/>
    </row>
    <row r="598" spans="1:7">
      <c r="A598" s="35"/>
      <c r="B598" s="35"/>
    </row>
    <row r="599" spans="1:7">
      <c r="A599" s="172"/>
      <c r="B599" s="172"/>
      <c r="C599" s="172"/>
      <c r="D599" s="1282" t="s">
        <v>1186</v>
      </c>
      <c r="E599" s="1282"/>
      <c r="F599" s="1282"/>
    </row>
    <row r="600" spans="1:7">
      <c r="A600" s="172"/>
      <c r="B600" s="172"/>
      <c r="C600" s="172"/>
      <c r="D600" s="1282"/>
      <c r="E600" s="1282"/>
      <c r="F600" s="1282"/>
    </row>
    <row r="601" spans="1:7">
      <c r="C601" s="175"/>
      <c r="D601" s="1280" t="s">
        <v>1187</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1188</v>
      </c>
      <c r="E605" s="1283"/>
      <c r="F605" s="1283"/>
    </row>
    <row r="606" spans="1:7">
      <c r="D606" s="1283"/>
      <c r="E606" s="1283"/>
      <c r="F606" s="1283"/>
    </row>
    <row r="607" spans="1:7">
      <c r="D607"/>
    </row>
    <row r="608" spans="1:7">
      <c r="B608" s="468" t="s">
        <v>308</v>
      </c>
      <c r="D608" s="1283" t="s">
        <v>1189</v>
      </c>
      <c r="E608" s="1283"/>
      <c r="F608" s="1283"/>
    </row>
    <row r="609" spans="1:7">
      <c r="C609" s="180"/>
      <c r="D609" s="1283"/>
      <c r="E609" s="1283"/>
      <c r="F609" s="1283"/>
    </row>
    <row r="610" spans="1:7">
      <c r="C610" s="180"/>
    </row>
    <row r="611" spans="1:7">
      <c r="B611" s="468" t="s">
        <v>308</v>
      </c>
      <c r="C611" s="180"/>
      <c r="D611" s="1283" t="s">
        <v>1190</v>
      </c>
      <c r="E611" s="1283"/>
      <c r="F611" s="1283"/>
    </row>
    <row r="612" spans="1:7">
      <c r="C612" s="180"/>
      <c r="D612" s="1283"/>
      <c r="E612" s="1283"/>
      <c r="F612" s="1283"/>
    </row>
    <row r="613" spans="1:7">
      <c r="C613" s="180"/>
    </row>
    <row r="614" spans="1:7">
      <c r="A614" s="1287" t="s">
        <v>1085</v>
      </c>
      <c r="B614" s="1287"/>
      <c r="C614" s="1287"/>
      <c r="D614" s="1287"/>
      <c r="E614" s="1287"/>
      <c r="F614" s="1287"/>
      <c r="G614" s="1287"/>
    </row>
    <row r="615" spans="1:7">
      <c r="A615" s="172"/>
      <c r="B615" s="172"/>
      <c r="C615" s="172"/>
    </row>
    <row r="616" spans="1:7">
      <c r="C616" s="13"/>
      <c r="D616" s="1279" t="s">
        <v>1191</v>
      </c>
      <c r="E616" s="1279"/>
      <c r="F616" s="1279"/>
    </row>
    <row r="617" spans="1:7">
      <c r="A617" s="13"/>
      <c r="B617" s="13"/>
      <c r="D617" s="2"/>
    </row>
    <row r="618" spans="1:7" ht="14.25">
      <c r="A618" s="176"/>
      <c r="B618" s="468" t="s">
        <v>308</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1193</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1194</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1195</v>
      </c>
      <c r="E633" s="1310"/>
      <c r="F633" s="1310"/>
    </row>
    <row r="634" spans="1:7">
      <c r="A634" s="179"/>
      <c r="B634" s="179"/>
      <c r="C634" s="179"/>
      <c r="D634" s="480"/>
      <c r="E634" s="480"/>
      <c r="F634" s="480"/>
    </row>
    <row r="635" spans="1:7">
      <c r="A635" s="1287" t="s">
        <v>1086</v>
      </c>
      <c r="B635" s="1287"/>
      <c r="C635" s="1287"/>
      <c r="D635" s="1287"/>
      <c r="E635" s="1287"/>
      <c r="F635" s="1287"/>
      <c r="G635" s="1287"/>
    </row>
    <row r="636" spans="1:7">
      <c r="A636" s="35"/>
      <c r="B636" s="35"/>
      <c r="C636" s="179"/>
      <c r="D636" s="35"/>
      <c r="E636" s="35"/>
      <c r="F636" s="35"/>
    </row>
    <row r="637" spans="1:7">
      <c r="C637" s="172"/>
      <c r="D637" s="1285" t="s">
        <v>1245</v>
      </c>
      <c r="E637" s="1285"/>
      <c r="F637" s="1285"/>
    </row>
    <row r="638" spans="1:7">
      <c r="A638" s="175"/>
      <c r="B638" s="175"/>
      <c r="C638" s="175"/>
      <c r="D638" s="1286" t="s">
        <v>1246</v>
      </c>
      <c r="E638" s="1286"/>
      <c r="F638" s="1286"/>
    </row>
    <row r="639" spans="1:7">
      <c r="A639" s="175"/>
      <c r="B639" s="175"/>
      <c r="C639" s="175"/>
      <c r="D639" s="118"/>
      <c r="E639" s="118"/>
      <c r="F639" s="118"/>
    </row>
    <row r="640" spans="1:7" ht="14.45" customHeight="1">
      <c r="A640" s="176"/>
      <c r="B640" s="468" t="s">
        <v>308</v>
      </c>
      <c r="C640" s="179"/>
      <c r="D640" s="1266" t="s">
        <v>1247</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1097</v>
      </c>
      <c r="E646" s="1300"/>
      <c r="F646" s="1300"/>
    </row>
    <row r="647" spans="1:11" ht="14.25">
      <c r="A647" s="176"/>
      <c r="B647" s="176"/>
      <c r="C647" s="179"/>
      <c r="D647" s="1299" t="s">
        <v>1248</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1249</v>
      </c>
      <c r="E652" s="1301"/>
      <c r="F652" s="1301"/>
    </row>
    <row r="653" spans="1:11">
      <c r="A653" s="179"/>
      <c r="B653" s="179"/>
      <c r="C653" s="179"/>
      <c r="D653" s="35"/>
      <c r="E653" s="35"/>
      <c r="F653" s="35"/>
    </row>
    <row r="654" spans="1:11">
      <c r="A654" s="1287" t="s">
        <v>1087</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1123</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898</v>
      </c>
      <c r="E660" s="1286"/>
      <c r="F660" s="1286"/>
      <c r="H660" s="181"/>
      <c r="I660" s="181"/>
      <c r="J660" s="181"/>
      <c r="K660" s="181"/>
    </row>
    <row r="661" spans="1:11">
      <c r="A661" s="175"/>
      <c r="B661" s="175"/>
      <c r="C661" s="175"/>
      <c r="D661" s="1286" t="s">
        <v>908</v>
      </c>
      <c r="E661" s="1286"/>
      <c r="F661" s="1286"/>
      <c r="H661" s="181"/>
      <c r="I661" s="181"/>
      <c r="J661" s="181"/>
      <c r="K661" s="181"/>
    </row>
    <row r="662" spans="1:11">
      <c r="A662" s="175"/>
      <c r="B662" s="175"/>
      <c r="C662" s="175"/>
      <c r="D662" s="3"/>
      <c r="E662" s="1270" t="s">
        <v>1124</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936</v>
      </c>
      <c r="E669" s="1286"/>
      <c r="F669" s="1286"/>
      <c r="H669" s="181"/>
      <c r="I669" s="181"/>
      <c r="J669" s="181"/>
      <c r="K669" s="181"/>
    </row>
    <row r="670" spans="1:11" ht="14.25">
      <c r="A670" s="176"/>
      <c r="B670" s="176"/>
      <c r="C670" s="175"/>
      <c r="D670" s="1286" t="s">
        <v>908</v>
      </c>
      <c r="E670" s="1286"/>
      <c r="F670" s="1286"/>
      <c r="H670" s="181"/>
      <c r="I670" s="181"/>
      <c r="J670" s="181"/>
      <c r="K670" s="181"/>
    </row>
    <row r="671" spans="1:11">
      <c r="A671" s="175"/>
      <c r="B671" s="175"/>
      <c r="C671" s="175"/>
      <c r="D671" s="3"/>
      <c r="E671" s="1291" t="s">
        <v>1126</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1131</v>
      </c>
      <c r="E724" s="1293"/>
      <c r="F724" s="1293"/>
      <c r="H724" s="181"/>
      <c r="I724" s="181"/>
      <c r="J724" s="181"/>
      <c r="K724" s="181"/>
    </row>
    <row r="725" spans="1:11">
      <c r="A725" s="175"/>
      <c r="B725" s="175"/>
      <c r="C725" s="175"/>
      <c r="D725" s="369"/>
      <c r="H725" s="181"/>
      <c r="I725" s="181"/>
      <c r="J725" s="181"/>
      <c r="K725" s="181"/>
    </row>
    <row r="726" spans="1:11">
      <c r="A726" s="1288" t="s">
        <v>1088</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35" customHeight="1">
      <c r="C728" s="175"/>
      <c r="D728" s="1298" t="s">
        <v>1104</v>
      </c>
      <c r="E728" s="1298"/>
      <c r="F728" s="1298"/>
      <c r="G728" s="183"/>
      <c r="H728" s="181"/>
      <c r="I728" s="181"/>
      <c r="J728" s="181"/>
      <c r="K728" s="181"/>
    </row>
    <row r="729" spans="1:11">
      <c r="A729" s="175"/>
      <c r="B729" s="175"/>
      <c r="C729" s="175"/>
      <c r="D729" s="1290" t="s">
        <v>1105</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1108</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1111</v>
      </c>
      <c r="B754" s="1287"/>
      <c r="C754" s="1287"/>
      <c r="D754" s="1287"/>
      <c r="E754" s="1287"/>
      <c r="F754" s="1287"/>
      <c r="G754" s="1287"/>
    </row>
    <row r="755" spans="1:11">
      <c r="A755" s="175"/>
      <c r="B755" s="175"/>
      <c r="C755" s="175"/>
      <c r="D755" s="184"/>
      <c r="F755" s="35"/>
      <c r="G755" s="183"/>
    </row>
    <row r="756" spans="1:11">
      <c r="D756" s="1295" t="s">
        <v>1095</v>
      </c>
      <c r="E756" s="1295"/>
      <c r="F756" s="1295"/>
      <c r="G756" s="183"/>
    </row>
    <row r="757" spans="1:11">
      <c r="A757" s="345"/>
      <c r="B757" s="345"/>
      <c r="C757" s="345"/>
      <c r="D757" s="1296" t="s">
        <v>1112</v>
      </c>
      <c r="E757" s="1296"/>
      <c r="F757" s="1296"/>
      <c r="G757" s="183"/>
    </row>
    <row r="758" spans="1:11">
      <c r="D758" s="433"/>
      <c r="E758" s="433"/>
      <c r="F758" s="433"/>
      <c r="G758" s="183"/>
    </row>
    <row r="759" spans="1:11" ht="14.25">
      <c r="A759" s="176"/>
      <c r="B759" s="468" t="s">
        <v>308</v>
      </c>
      <c r="D759" s="1296" t="s">
        <v>1005</v>
      </c>
      <c r="E759" s="1296"/>
      <c r="F759" s="1296"/>
      <c r="G759" s="183"/>
    </row>
    <row r="760" spans="1:11">
      <c r="D760" s="433"/>
      <c r="E760" s="1297" t="s">
        <v>1096</v>
      </c>
      <c r="F760" s="1297"/>
      <c r="G760" s="183"/>
    </row>
    <row r="761" spans="1:11">
      <c r="A761" s="172"/>
      <c r="B761" s="172"/>
      <c r="C761" s="172"/>
      <c r="D761" s="35"/>
      <c r="G761" s="183"/>
    </row>
    <row r="762" spans="1:11">
      <c r="A762" s="1294" t="s">
        <v>449</v>
      </c>
      <c r="B762" s="1294"/>
      <c r="C762" s="1294"/>
      <c r="D762" s="1294"/>
      <c r="E762" s="1294"/>
      <c r="F762" s="1294"/>
      <c r="G762" s="1294"/>
    </row>
    <row r="763" spans="1:11">
      <c r="A763" s="172"/>
      <c r="B763" s="172"/>
      <c r="C763" s="179"/>
      <c r="D763" s="183"/>
      <c r="E763" s="183"/>
      <c r="F763" s="183"/>
      <c r="G763" s="183"/>
    </row>
    <row r="764" spans="1:11">
      <c r="A764" s="35"/>
      <c r="B764" s="1290" t="s">
        <v>1004</v>
      </c>
      <c r="C764" s="1290"/>
      <c r="D764" s="1290"/>
      <c r="E764" s="1290"/>
      <c r="F764" s="1290"/>
      <c r="G764" s="183"/>
    </row>
    <row r="765" spans="1:11">
      <c r="A765" s="13"/>
      <c r="B765" s="13"/>
      <c r="G765" s="183"/>
    </row>
    <row r="766" spans="1:11">
      <c r="A766" s="1294" t="s">
        <v>450</v>
      </c>
      <c r="B766" s="1294"/>
      <c r="C766" s="1294"/>
      <c r="D766" s="1294"/>
      <c r="E766" s="1294"/>
      <c r="F766" s="1294"/>
      <c r="G766" s="1294"/>
    </row>
    <row r="767" spans="1:11">
      <c r="A767" s="172"/>
      <c r="B767" s="172"/>
      <c r="C767" s="172"/>
      <c r="D767" s="178"/>
      <c r="G767" s="183"/>
    </row>
    <row r="768" spans="1:11">
      <c r="A768" s="35"/>
      <c r="B768" s="1286" t="s">
        <v>448</v>
      </c>
      <c r="C768" s="1286"/>
      <c r="D768" s="1286"/>
      <c r="E768" s="1286"/>
      <c r="F768" s="1286"/>
      <c r="G768" s="183"/>
    </row>
    <row r="769" spans="1:7" ht="14.25">
      <c r="A769" s="176"/>
      <c r="B769" s="176"/>
      <c r="D769" s="35"/>
      <c r="E769" s="35"/>
      <c r="F769" s="183"/>
      <c r="G769" s="183"/>
    </row>
    <row r="770" spans="1:7">
      <c r="A770" s="1294" t="s">
        <v>451</v>
      </c>
      <c r="B770" s="1294"/>
      <c r="C770" s="1294"/>
      <c r="D770" s="1294"/>
      <c r="E770" s="1294"/>
      <c r="F770" s="1294"/>
      <c r="G770" s="1294"/>
    </row>
    <row r="771" spans="1:7">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c r="A777" s="179"/>
      <c r="B777" s="179"/>
      <c r="C777" s="179"/>
      <c r="D777" s="174"/>
      <c r="F777" s="183"/>
    </row>
    <row r="778" spans="1:7">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c r="A781" s="179"/>
      <c r="B781" s="179"/>
      <c r="C781" s="179"/>
      <c r="D781" s="174"/>
      <c r="F781" s="183"/>
    </row>
    <row r="782" spans="1:7">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448</v>
      </c>
      <c r="C788" s="1286"/>
      <c r="D788" s="1286"/>
      <c r="E788" s="1286"/>
      <c r="F788" s="1286"/>
    </row>
    <row r="789" spans="1:7">
      <c r="A789" s="35"/>
      <c r="B789" s="35"/>
      <c r="D789" s="174"/>
    </row>
    <row r="790" spans="1:7">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8" workbookViewId="0">
      <selection activeCell="A2" sqref="A2:J2"/>
    </sheetView>
  </sheetViews>
  <sheetFormatPr defaultColWidth="0" defaultRowHeight="12.6" customHeight="1" zeroHeight="1"/>
  <cols>
    <col min="1" max="10" width="10.7109375" style="433" customWidth="1"/>
    <col min="11" max="16384" width="8.85546875" style="433" hidden="1"/>
  </cols>
  <sheetData>
    <row r="1" spans="1:10" ht="14.25" customHeight="1"/>
    <row r="2" spans="1:10" ht="15.75">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2361</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5" t="s">
        <v>2065</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2061</v>
      </c>
      <c r="B72" s="1322"/>
      <c r="C72" s="1322"/>
      <c r="D72" s="1322"/>
      <c r="E72" s="1322"/>
      <c r="F72" s="1322"/>
      <c r="G72" s="1322"/>
      <c r="H72" s="1322"/>
      <c r="I72" s="1322"/>
    </row>
    <row r="73" spans="1:9" ht="12.75">
      <c r="A73" s="1273" t="s">
        <v>2359</v>
      </c>
      <c r="B73" s="1273"/>
      <c r="C73" s="1273"/>
      <c r="D73" s="1273"/>
      <c r="E73" s="1273"/>
    </row>
    <row r="74" spans="1:9" ht="12.75">
      <c r="A74" s="1273" t="s">
        <v>2360</v>
      </c>
      <c r="B74" s="1273"/>
      <c r="C74" s="1273"/>
      <c r="D74" s="1273"/>
      <c r="E74" s="1273"/>
    </row>
    <row r="75" spans="1:9" ht="12.75">
      <c r="A75" s="1273" t="s">
        <v>2062</v>
      </c>
      <c r="B75" s="1273"/>
      <c r="C75" s="1273"/>
      <c r="D75" s="1273"/>
      <c r="E75" s="1273"/>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02"/>
  <sheetViews>
    <sheetView showGridLines="0" tabSelected="1" topLeftCell="A1100" workbookViewId="0">
      <selection activeCell="F1121" sqref="F1121"/>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26" t="s">
        <v>2583</v>
      </c>
      <c r="B2" s="1326"/>
      <c r="C2" s="1326"/>
      <c r="D2" s="1326"/>
      <c r="E2" s="1326"/>
      <c r="F2" s="1326"/>
      <c r="G2" s="1326"/>
      <c r="H2" s="1326"/>
      <c r="I2" s="1326"/>
    </row>
    <row r="3" spans="1:13">
      <c r="A3" s="1327" t="s">
        <v>2629</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2628</v>
      </c>
      <c r="B6" s="1341"/>
      <c r="C6" s="1341"/>
      <c r="D6" s="1341"/>
      <c r="E6" s="1341"/>
      <c r="F6" s="1341"/>
      <c r="G6" s="1341"/>
      <c r="I6" s="524" t="s">
        <v>2071</v>
      </c>
    </row>
    <row r="7" spans="1:13">
      <c r="A7" s="1341"/>
      <c r="B7" s="1341"/>
      <c r="C7" s="1341"/>
      <c r="D7" s="1341"/>
      <c r="E7" s="1341"/>
      <c r="F7" s="1341"/>
      <c r="G7" s="1341"/>
      <c r="I7" s="524" t="s">
        <v>2072</v>
      </c>
    </row>
    <row r="8" spans="1:13">
      <c r="A8" s="515"/>
      <c r="B8" s="515"/>
      <c r="C8" s="516"/>
      <c r="D8" s="516"/>
      <c r="E8" s="516"/>
      <c r="F8" s="516"/>
    </row>
    <row r="9" spans="1:13">
      <c r="A9" s="1287" t="s">
        <v>1168</v>
      </c>
      <c r="B9" s="1287"/>
      <c r="C9" s="1287"/>
      <c r="D9" s="1287"/>
      <c r="E9" s="1287"/>
      <c r="F9" s="1287"/>
      <c r="G9" s="1287"/>
      <c r="H9" s="1063"/>
      <c r="I9" s="1064"/>
    </row>
    <row r="10" spans="1:13">
      <c r="A10" s="516"/>
      <c r="B10" s="516"/>
      <c r="E10" s="435"/>
    </row>
    <row r="11" spans="1:13" ht="13.7" customHeight="1">
      <c r="C11" s="516"/>
      <c r="D11" s="1340" t="s">
        <v>1167</v>
      </c>
      <c r="E11" s="1340"/>
      <c r="F11" s="1340"/>
    </row>
    <row r="12" spans="1:13">
      <c r="C12" s="516"/>
      <c r="D12" s="1340"/>
      <c r="E12" s="1340"/>
      <c r="F12" s="1340"/>
    </row>
    <row r="13" spans="1:13">
      <c r="A13" s="517"/>
      <c r="B13" s="517"/>
      <c r="C13" s="517"/>
      <c r="D13" s="1310" t="s">
        <v>1150</v>
      </c>
      <c r="E13" s="1310"/>
      <c r="F13" s="1310"/>
      <c r="M13" s="96"/>
    </row>
    <row r="14" spans="1:13">
      <c r="A14" s="517"/>
      <c r="B14" s="517"/>
      <c r="C14" s="517"/>
      <c r="D14" s="510"/>
      <c r="L14" s="336"/>
    </row>
    <row r="15" spans="1:13" ht="14.25">
      <c r="A15" s="518"/>
      <c r="B15" s="519" t="s">
        <v>2783</v>
      </c>
      <c r="C15" s="517"/>
      <c r="D15" s="1281" t="s">
        <v>2222</v>
      </c>
      <c r="E15" s="1281"/>
      <c r="F15" s="1281"/>
      <c r="I15" s="524" t="s">
        <v>2073</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2220</v>
      </c>
      <c r="F18" s="479"/>
      <c r="I18" s="524"/>
    </row>
    <row r="19" spans="1:9">
      <c r="A19" s="517"/>
      <c r="B19" s="517"/>
      <c r="C19" s="517"/>
      <c r="I19" s="524"/>
    </row>
    <row r="20" spans="1:9" ht="14.25">
      <c r="A20" s="518"/>
      <c r="B20" s="519" t="s">
        <v>2783</v>
      </c>
      <c r="D20" s="1281" t="s">
        <v>2223</v>
      </c>
      <c r="E20" s="1281"/>
      <c r="F20" s="1281"/>
      <c r="I20" s="524" t="s">
        <v>2074</v>
      </c>
    </row>
    <row r="21" spans="1:9" ht="14.25">
      <c r="A21" s="518"/>
      <c r="D21" s="1281"/>
      <c r="E21" s="1281"/>
      <c r="F21" s="1281"/>
      <c r="I21" s="524"/>
    </row>
    <row r="22" spans="1:9" ht="14.25">
      <c r="A22" s="518"/>
      <c r="D22" s="423"/>
      <c r="E22" s="96" t="s">
        <v>2219</v>
      </c>
      <c r="F22" s="423"/>
      <c r="I22" s="524"/>
    </row>
    <row r="23" spans="1:9" ht="14.25">
      <c r="A23" s="518"/>
      <c r="B23" s="518"/>
      <c r="D23" s="480"/>
      <c r="I23" s="524"/>
    </row>
    <row r="24" spans="1:9" ht="14.25">
      <c r="A24" s="518"/>
      <c r="B24" s="519" t="s">
        <v>2784</v>
      </c>
      <c r="D24" s="1281" t="s">
        <v>1153</v>
      </c>
      <c r="E24" s="1281"/>
      <c r="F24" s="1281"/>
      <c r="I24" s="524" t="s">
        <v>2074</v>
      </c>
    </row>
    <row r="25" spans="1:9" ht="14.25">
      <c r="A25" s="518"/>
      <c r="B25" s="518"/>
      <c r="D25" s="1281"/>
      <c r="E25" s="1281"/>
      <c r="F25" s="1281"/>
      <c r="I25" s="524"/>
    </row>
    <row r="26" spans="1:9">
      <c r="I26" s="524"/>
    </row>
    <row r="27" spans="1:9" ht="14.25">
      <c r="A27" s="518"/>
      <c r="B27" s="519" t="s">
        <v>2783</v>
      </c>
      <c r="D27" s="1281" t="s">
        <v>2362</v>
      </c>
      <c r="E27" s="1281"/>
      <c r="F27" s="1281"/>
      <c r="I27" s="524" t="s">
        <v>2077</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2784</v>
      </c>
      <c r="D33" s="1281" t="s">
        <v>2363</v>
      </c>
      <c r="E33" s="1281"/>
      <c r="F33" s="1281"/>
      <c r="I33" s="524" t="s">
        <v>2073</v>
      </c>
    </row>
    <row r="34" spans="1:9">
      <c r="D34" s="1281"/>
      <c r="E34" s="1281"/>
      <c r="F34" s="1281"/>
      <c r="I34" s="524"/>
    </row>
    <row r="35" spans="1:9" ht="14.25">
      <c r="A35" s="518"/>
      <c r="B35" s="518"/>
      <c r="D35" s="481"/>
      <c r="I35" s="524"/>
    </row>
    <row r="36" spans="1:9" ht="14.45" customHeight="1">
      <c r="A36" s="518"/>
      <c r="B36" s="519" t="s">
        <v>2783</v>
      </c>
      <c r="D36" s="1281" t="s">
        <v>1320</v>
      </c>
      <c r="E36" s="1281"/>
      <c r="F36" s="1281"/>
      <c r="I36" s="524" t="s">
        <v>2144</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2784</v>
      </c>
      <c r="D41" s="1281" t="s">
        <v>1157</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2783</v>
      </c>
      <c r="D47" s="1281" t="s">
        <v>1158</v>
      </c>
      <c r="E47" s="1281"/>
      <c r="F47" s="1281"/>
      <c r="I47" s="524" t="s">
        <v>2144</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2784</v>
      </c>
      <c r="D52" s="1281" t="s">
        <v>1159</v>
      </c>
      <c r="E52" s="1281"/>
      <c r="F52" s="1281"/>
      <c r="I52" s="524" t="s">
        <v>2144</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2783</v>
      </c>
      <c r="D56" s="1337" t="s">
        <v>1160</v>
      </c>
      <c r="E56" s="1337"/>
      <c r="F56" s="1337"/>
      <c r="I56" s="524"/>
    </row>
    <row r="57" spans="1:9" ht="14.25">
      <c r="A57" s="518"/>
      <c r="B57" s="518"/>
      <c r="D57" s="1337"/>
      <c r="E57" s="1337"/>
      <c r="F57" s="1337"/>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2784</v>
      </c>
      <c r="D61" s="1281" t="s">
        <v>1161</v>
      </c>
      <c r="E61" s="1281"/>
      <c r="F61" s="1281"/>
      <c r="I61" s="524" t="s">
        <v>2075</v>
      </c>
    </row>
    <row r="62" spans="1:9">
      <c r="D62" s="1281"/>
      <c r="E62" s="1281"/>
      <c r="F62" s="1281"/>
      <c r="I62" s="524"/>
    </row>
    <row r="63" spans="1:9">
      <c r="D63" s="1281"/>
      <c r="E63" s="1281"/>
      <c r="F63" s="1281"/>
      <c r="I63" s="524"/>
    </row>
    <row r="64" spans="1:9">
      <c r="I64" s="524"/>
    </row>
    <row r="65" spans="1:9" ht="14.25">
      <c r="A65" s="518"/>
      <c r="B65" s="519" t="s">
        <v>2784</v>
      </c>
      <c r="D65" s="1281" t="s">
        <v>1162</v>
      </c>
      <c r="E65" s="1281"/>
      <c r="F65" s="1281"/>
      <c r="I65" s="524" t="s">
        <v>2076</v>
      </c>
    </row>
    <row r="66" spans="1:9">
      <c r="D66" s="1281"/>
      <c r="E66" s="1281"/>
      <c r="F66" s="1281"/>
      <c r="I66" s="524"/>
    </row>
    <row r="67" spans="1:9">
      <c r="I67" s="524"/>
    </row>
    <row r="68" spans="1:9" ht="14.25">
      <c r="A68" s="518"/>
      <c r="B68" s="519" t="s">
        <v>2783</v>
      </c>
      <c r="D68" s="1281" t="s">
        <v>1163</v>
      </c>
      <c r="E68" s="1281"/>
      <c r="F68" s="1281"/>
      <c r="I68" s="524"/>
    </row>
    <row r="69" spans="1:9">
      <c r="D69" s="1281"/>
      <c r="E69" s="1281"/>
      <c r="F69" s="1281"/>
      <c r="I69" s="524" t="s">
        <v>2077</v>
      </c>
    </row>
    <row r="70" spans="1:9">
      <c r="D70" s="1281"/>
      <c r="E70" s="1281"/>
      <c r="F70" s="1281"/>
      <c r="I70" s="524"/>
    </row>
    <row r="71" spans="1:9">
      <c r="I71" s="524"/>
    </row>
    <row r="72" spans="1:9" ht="14.25">
      <c r="A72" s="518"/>
      <c r="B72" s="519" t="s">
        <v>2783</v>
      </c>
      <c r="D72" s="1281" t="s">
        <v>1164</v>
      </c>
      <c r="E72" s="1281"/>
      <c r="F72" s="1281"/>
      <c r="I72" s="524" t="s">
        <v>2077</v>
      </c>
    </row>
    <row r="73" spans="1:9">
      <c r="D73" s="1281"/>
      <c r="E73" s="1281"/>
      <c r="F73" s="1281"/>
      <c r="I73" s="524"/>
    </row>
    <row r="74" spans="1:9" ht="14.25">
      <c r="A74" s="518"/>
      <c r="B74" s="518"/>
      <c r="D74" s="480"/>
      <c r="I74" s="524"/>
    </row>
    <row r="75" spans="1:9">
      <c r="A75" s="1287" t="s">
        <v>1071</v>
      </c>
      <c r="B75" s="1287"/>
      <c r="C75" s="1287"/>
      <c r="D75" s="1287"/>
      <c r="E75" s="1287"/>
      <c r="F75" s="1287"/>
      <c r="G75" s="1287"/>
      <c r="H75" s="1063"/>
      <c r="I75" s="1259"/>
    </row>
    <row r="76" spans="1:9">
      <c r="I76" s="524"/>
    </row>
    <row r="77" spans="1:9">
      <c r="C77" s="520"/>
      <c r="D77" s="1309" t="s">
        <v>1169</v>
      </c>
      <c r="E77" s="1309"/>
      <c r="F77" s="1309"/>
      <c r="I77" s="524"/>
    </row>
    <row r="78" spans="1:9">
      <c r="A78" s="480"/>
      <c r="B78" s="480"/>
      <c r="D78" s="1281" t="s">
        <v>1196</v>
      </c>
      <c r="E78" s="1281"/>
      <c r="F78" s="1281"/>
      <c r="I78" s="524"/>
    </row>
    <row r="79" spans="1:9">
      <c r="A79" s="480"/>
      <c r="B79" s="480"/>
      <c r="I79" s="524"/>
    </row>
    <row r="80" spans="1:9" ht="13.7" customHeight="1">
      <c r="A80" s="518"/>
      <c r="B80" s="519" t="s">
        <v>2783</v>
      </c>
      <c r="D80" s="1281" t="s">
        <v>1353</v>
      </c>
      <c r="E80" s="1281"/>
      <c r="F80" s="1281"/>
      <c r="I80" s="524" t="s">
        <v>2078</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2783</v>
      </c>
      <c r="D89" s="1281" t="s">
        <v>1932</v>
      </c>
      <c r="E89" s="1281"/>
      <c r="F89" s="1281"/>
      <c r="I89" s="524" t="s">
        <v>2079</v>
      </c>
    </row>
    <row r="90" spans="1:9" ht="14.25">
      <c r="A90" s="518"/>
      <c r="B90" s="518"/>
      <c r="D90" s="1281"/>
      <c r="E90" s="1281"/>
      <c r="F90" s="1281"/>
      <c r="I90" s="524"/>
    </row>
    <row r="91" spans="1:9" ht="14.25">
      <c r="A91" s="518"/>
      <c r="B91" s="518"/>
      <c r="D91" s="479"/>
      <c r="E91" s="479"/>
      <c r="F91" s="479"/>
      <c r="I91" s="524"/>
    </row>
    <row r="92" spans="1:9" ht="14.25">
      <c r="A92" s="518"/>
      <c r="B92" s="519" t="s">
        <v>2783</v>
      </c>
      <c r="D92" s="1281" t="s">
        <v>1935</v>
      </c>
      <c r="E92" s="1281"/>
      <c r="F92" s="1281"/>
      <c r="I92" s="524" t="s">
        <v>2080</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2783</v>
      </c>
      <c r="D96" s="1281" t="s">
        <v>1934</v>
      </c>
      <c r="E96" s="1281"/>
      <c r="F96" s="1281"/>
      <c r="I96" s="524" t="s">
        <v>2125</v>
      </c>
    </row>
    <row r="97" spans="1:9" s="1022" customFormat="1" ht="14.25">
      <c r="A97" s="1020"/>
      <c r="B97" s="1020"/>
      <c r="C97" s="1021"/>
      <c r="D97" s="1281"/>
      <c r="E97" s="1281"/>
      <c r="F97" s="1281"/>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2784</v>
      </c>
      <c r="D100" s="1281" t="s">
        <v>1933</v>
      </c>
      <c r="E100" s="1281"/>
      <c r="F100" s="1281"/>
      <c r="I100" s="524" t="s">
        <v>2081</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2784</v>
      </c>
      <c r="D103" s="1281" t="s">
        <v>1300</v>
      </c>
      <c r="E103" s="1281"/>
      <c r="F103" s="1281"/>
      <c r="I103" s="524" t="s">
        <v>2082</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2784</v>
      </c>
      <c r="D119" s="1308" t="s">
        <v>1171</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2783</v>
      </c>
      <c r="C128" s="433"/>
      <c r="D128" s="1308" t="s">
        <v>2364</v>
      </c>
      <c r="E128" s="1308"/>
      <c r="F128" s="1308"/>
      <c r="I128" s="524" t="s">
        <v>2083</v>
      </c>
    </row>
    <row r="129" spans="1:9" ht="14.25">
      <c r="A129" s="518"/>
      <c r="B129" s="518"/>
      <c r="C129" s="433"/>
      <c r="D129" s="1308"/>
      <c r="E129" s="1308"/>
      <c r="F129" s="1308"/>
      <c r="I129" s="524"/>
    </row>
    <row r="130" spans="1:9">
      <c r="I130" s="524"/>
    </row>
    <row r="131" spans="1:9" ht="14.25">
      <c r="A131" s="518"/>
      <c r="B131" s="519" t="s">
        <v>2783</v>
      </c>
      <c r="D131" s="1281" t="s">
        <v>1174</v>
      </c>
      <c r="E131" s="1281"/>
      <c r="F131" s="1281"/>
      <c r="I131" s="524" t="s">
        <v>2083</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2783</v>
      </c>
      <c r="D137" s="1281" t="s">
        <v>1175</v>
      </c>
      <c r="E137" s="1281"/>
      <c r="F137" s="1281"/>
      <c r="I137" s="524" t="s">
        <v>2084</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2784</v>
      </c>
      <c r="D151" s="1281" t="s">
        <v>1283</v>
      </c>
      <c r="E151" s="1281"/>
      <c r="F151" s="1281"/>
      <c r="I151" s="524" t="s">
        <v>2085</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2388</v>
      </c>
      <c r="E169" s="1339"/>
      <c r="F169" s="1339"/>
      <c r="G169" s="541"/>
      <c r="I169" s="524"/>
    </row>
    <row r="170" spans="1:9" ht="13.7" customHeight="1">
      <c r="D170" s="1314"/>
      <c r="E170" s="1314"/>
      <c r="F170" s="1314"/>
      <c r="G170" s="1314"/>
      <c r="I170" s="524"/>
    </row>
    <row r="171" spans="1:9" ht="14.45" customHeight="1">
      <c r="A171" s="523"/>
      <c r="B171" s="519" t="s">
        <v>2784</v>
      </c>
      <c r="C171" s="510"/>
      <c r="D171" s="1269" t="s">
        <v>2578</v>
      </c>
      <c r="E171" s="1269"/>
      <c r="F171" s="1269"/>
      <c r="G171" s="510"/>
      <c r="I171" s="524" t="s">
        <v>2080</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2784</v>
      </c>
      <c r="C177" s="510"/>
      <c r="D177" s="1269" t="s">
        <v>1177</v>
      </c>
      <c r="E177" s="1269"/>
      <c r="F177" s="1269"/>
      <c r="G177" s="510"/>
      <c r="I177" s="524" t="s">
        <v>2086</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2784</v>
      </c>
      <c r="D182" s="1303" t="s">
        <v>2365</v>
      </c>
      <c r="E182" s="1303"/>
      <c r="F182" s="1303"/>
      <c r="I182" s="524" t="s">
        <v>2087</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2366</v>
      </c>
      <c r="B186" s="1287"/>
      <c r="C186" s="1287"/>
      <c r="D186" s="1287"/>
      <c r="E186" s="1287"/>
      <c r="F186" s="1287"/>
      <c r="G186" s="1287"/>
      <c r="H186" s="1063"/>
      <c r="I186" s="1259"/>
    </row>
    <row r="187" spans="1:9" ht="12" customHeight="1">
      <c r="D187" s="480"/>
      <c r="E187" s="480"/>
      <c r="F187" s="480"/>
      <c r="I187" s="524"/>
    </row>
    <row r="188" spans="1:9">
      <c r="B188" s="1296" t="s">
        <v>448</v>
      </c>
      <c r="C188" s="1296"/>
      <c r="D188" s="1296"/>
      <c r="E188" s="1296"/>
      <c r="F188" s="1296"/>
      <c r="I188" s="524"/>
    </row>
    <row r="189" spans="1:9">
      <c r="B189" s="423" t="s">
        <v>2066</v>
      </c>
      <c r="C189" s="423"/>
      <c r="D189" s="423"/>
      <c r="E189" s="423"/>
      <c r="F189" s="423"/>
      <c r="I189" s="524"/>
    </row>
    <row r="190" spans="1:9" ht="12" customHeight="1">
      <c r="A190" s="516"/>
      <c r="B190" s="516"/>
      <c r="C190" s="516"/>
      <c r="I190" s="524"/>
    </row>
    <row r="191" spans="1:9">
      <c r="A191" s="1287" t="s">
        <v>1073</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1936</v>
      </c>
      <c r="E193" s="1309"/>
      <c r="F193" s="1309"/>
      <c r="I193" s="524"/>
    </row>
    <row r="194" spans="1:9">
      <c r="A194" s="435"/>
      <c r="B194" s="435"/>
      <c r="D194" s="1309"/>
      <c r="E194" s="1309"/>
      <c r="F194" s="1309"/>
      <c r="I194" s="524"/>
    </row>
    <row r="195" spans="1:9">
      <c r="A195" s="435"/>
      <c r="B195" s="435"/>
      <c r="D195" s="1296" t="s">
        <v>1301</v>
      </c>
      <c r="E195" s="1296"/>
      <c r="F195" s="1296"/>
      <c r="I195" s="524"/>
    </row>
    <row r="196" spans="1:9">
      <c r="A196" s="435"/>
      <c r="B196" s="435"/>
      <c r="D196" s="423"/>
      <c r="E196" s="423"/>
      <c r="F196" s="423"/>
      <c r="I196" s="524"/>
    </row>
    <row r="197" spans="1:9">
      <c r="A197" s="435"/>
      <c r="B197" s="519" t="s">
        <v>2784</v>
      </c>
      <c r="D197" s="1286" t="s">
        <v>1937</v>
      </c>
      <c r="E197" s="1286"/>
      <c r="F197" s="1286"/>
      <c r="I197" s="524" t="s">
        <v>2136</v>
      </c>
    </row>
    <row r="198" spans="1:9">
      <c r="A198" s="435"/>
      <c r="B198" s="435"/>
      <c r="D198" s="1290" t="s">
        <v>2202</v>
      </c>
      <c r="E198" s="1290"/>
      <c r="F198" s="1290"/>
      <c r="I198" s="524"/>
    </row>
    <row r="199" spans="1:9">
      <c r="A199" s="435"/>
      <c r="B199" s="435"/>
      <c r="D199" s="96" t="s">
        <v>1938</v>
      </c>
      <c r="E199" s="1338" t="s">
        <v>2225</v>
      </c>
      <c r="F199" s="1338"/>
      <c r="I199" s="524"/>
    </row>
    <row r="200" spans="1:9">
      <c r="A200" s="435"/>
      <c r="B200" s="435"/>
      <c r="D200" s="3"/>
      <c r="E200" s="3"/>
      <c r="F200" s="3"/>
      <c r="I200" s="524"/>
    </row>
    <row r="201" spans="1:9">
      <c r="A201" s="435"/>
      <c r="B201" s="519" t="s">
        <v>2784</v>
      </c>
      <c r="D201" s="1290" t="s">
        <v>1939</v>
      </c>
      <c r="E201" s="1290"/>
      <c r="F201" s="1290"/>
      <c r="I201" s="524" t="s">
        <v>2137</v>
      </c>
    </row>
    <row r="202" spans="1:9">
      <c r="A202" s="435"/>
      <c r="B202" s="435"/>
      <c r="D202" s="1286" t="s">
        <v>2202</v>
      </c>
      <c r="E202" s="1286"/>
      <c r="F202" s="1286"/>
      <c r="I202" s="524"/>
    </row>
    <row r="203" spans="1:9">
      <c r="A203" s="435"/>
      <c r="B203" s="435"/>
      <c r="D203" s="57" t="s">
        <v>1940</v>
      </c>
      <c r="E203" s="1338" t="s">
        <v>2226</v>
      </c>
      <c r="F203" s="1338"/>
      <c r="I203" s="524"/>
    </row>
    <row r="204" spans="1:9">
      <c r="A204" s="435"/>
      <c r="B204" s="435"/>
      <c r="D204" s="3"/>
      <c r="E204" s="3"/>
      <c r="F204" s="3"/>
      <c r="I204" s="524"/>
    </row>
    <row r="205" spans="1:9">
      <c r="A205" s="435"/>
      <c r="B205" s="519" t="s">
        <v>2783</v>
      </c>
      <c r="D205" s="1290" t="s">
        <v>1941</v>
      </c>
      <c r="E205" s="1290"/>
      <c r="F205" s="1290"/>
      <c r="I205" s="524" t="s">
        <v>2138</v>
      </c>
    </row>
    <row r="206" spans="1:9">
      <c r="A206" s="435"/>
      <c r="B206" s="435"/>
      <c r="D206" s="1286" t="s">
        <v>2202</v>
      </c>
      <c r="E206" s="1286"/>
      <c r="F206" s="1286"/>
      <c r="I206" s="524"/>
    </row>
    <row r="207" spans="1:9">
      <c r="A207" s="435"/>
      <c r="B207" s="435"/>
      <c r="D207" s="57" t="s">
        <v>1938</v>
      </c>
      <c r="E207" s="1338" t="s">
        <v>2227</v>
      </c>
      <c r="F207" s="1338"/>
      <c r="I207" s="524"/>
    </row>
    <row r="208" spans="1:9">
      <c r="A208" s="435"/>
      <c r="B208" s="435"/>
      <c r="D208" s="423"/>
      <c r="E208" s="423"/>
      <c r="F208" s="423"/>
      <c r="I208" s="524"/>
    </row>
    <row r="209" spans="1:9" ht="14.25" customHeight="1">
      <c r="A209" s="518"/>
      <c r="B209" s="519" t="s">
        <v>2784</v>
      </c>
      <c r="D209" s="417" t="s">
        <v>2195</v>
      </c>
      <c r="E209" s="416"/>
      <c r="F209" s="416"/>
      <c r="I209" s="524" t="s">
        <v>2139</v>
      </c>
    </row>
    <row r="210" spans="1:9" ht="14.25">
      <c r="A210" s="518"/>
      <c r="B210" s="518"/>
      <c r="D210" s="1286" t="s">
        <v>2202</v>
      </c>
      <c r="E210" s="1286"/>
      <c r="F210" s="1286"/>
      <c r="I210" s="524"/>
    </row>
    <row r="211" spans="1:9">
      <c r="D211" s="416"/>
      <c r="E211" s="1338" t="s">
        <v>2228</v>
      </c>
      <c r="F211" s="1338"/>
      <c r="I211" s="524"/>
    </row>
    <row r="212" spans="1:9">
      <c r="D212" s="481"/>
      <c r="I212" s="524"/>
    </row>
    <row r="213" spans="1:9">
      <c r="B213" s="519" t="s">
        <v>2783</v>
      </c>
      <c r="D213" s="1290" t="s">
        <v>1942</v>
      </c>
      <c r="E213" s="1290"/>
      <c r="F213" s="1290"/>
      <c r="I213" s="524" t="s">
        <v>2140</v>
      </c>
    </row>
    <row r="214" spans="1:9">
      <c r="D214" s="1286" t="s">
        <v>2202</v>
      </c>
      <c r="E214" s="1286"/>
      <c r="F214" s="1286"/>
      <c r="I214" s="524"/>
    </row>
    <row r="215" spans="1:9">
      <c r="D215" s="57" t="s">
        <v>1938</v>
      </c>
      <c r="E215" s="1338" t="s">
        <v>2229</v>
      </c>
      <c r="F215" s="1338"/>
      <c r="I215" s="524"/>
    </row>
    <row r="216" spans="1:9">
      <c r="D216" s="485"/>
      <c r="E216" s="485"/>
      <c r="F216" s="485"/>
      <c r="I216" s="524"/>
    </row>
    <row r="217" spans="1:9" ht="14.25">
      <c r="A217" s="518"/>
      <c r="B217" s="519" t="s">
        <v>2784</v>
      </c>
      <c r="D217" s="1281" t="s">
        <v>1322</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1074</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1203</v>
      </c>
      <c r="E225" s="1310"/>
      <c r="F225" s="1310"/>
      <c r="I225" s="524"/>
    </row>
    <row r="226" spans="1:9" ht="12" customHeight="1">
      <c r="A226" s="524"/>
      <c r="B226" s="524"/>
      <c r="C226" s="524"/>
      <c r="I226" s="524"/>
    </row>
    <row r="227" spans="1:9" ht="13.7" customHeight="1">
      <c r="A227" s="524"/>
      <c r="C227" s="524"/>
      <c r="D227" s="1279" t="s">
        <v>554</v>
      </c>
      <c r="E227" s="1279"/>
      <c r="F227" s="1279"/>
      <c r="I227" s="524" t="s">
        <v>2088</v>
      </c>
    </row>
    <row r="228" spans="1:9" ht="14.25">
      <c r="A228" s="518"/>
      <c r="B228" s="519" t="s">
        <v>2783</v>
      </c>
      <c r="D228" s="1281" t="s">
        <v>1943</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2783</v>
      </c>
      <c r="D233" s="1281" t="s">
        <v>1944</v>
      </c>
      <c r="E233" s="1281"/>
      <c r="F233" s="1281"/>
      <c r="I233" s="524" t="s">
        <v>2089</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1199</v>
      </c>
      <c r="E239" s="1281"/>
      <c r="F239" s="1281"/>
      <c r="I239" s="524" t="s">
        <v>2088</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2783</v>
      </c>
      <c r="D245" s="1281" t="s">
        <v>2367</v>
      </c>
      <c r="E245" s="1281"/>
      <c r="F245" s="1281"/>
      <c r="I245" s="524" t="s">
        <v>2127</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2784</v>
      </c>
      <c r="D250" s="1281" t="s">
        <v>2368</v>
      </c>
      <c r="E250" s="1281"/>
      <c r="F250" s="1281"/>
      <c r="I250" s="524" t="s">
        <v>2145</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2783</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2783</v>
      </c>
      <c r="D259" s="1281" t="s">
        <v>1201</v>
      </c>
      <c r="E259" s="1281"/>
      <c r="F259" s="1281"/>
      <c r="I259" s="524"/>
    </row>
    <row r="260" spans="1:9" ht="14.25">
      <c r="A260" s="518"/>
      <c r="B260" s="518"/>
      <c r="D260" s="1281"/>
      <c r="E260" s="1281"/>
      <c r="F260" s="1281"/>
      <c r="I260" s="524"/>
    </row>
    <row r="261" spans="1:9">
      <c r="D261" s="525"/>
      <c r="I261" s="524"/>
    </row>
    <row r="262" spans="1:9">
      <c r="A262" s="1287" t="s">
        <v>1075</v>
      </c>
      <c r="B262" s="1287"/>
      <c r="C262" s="1287"/>
      <c r="D262" s="1287"/>
      <c r="E262" s="1287"/>
      <c r="F262" s="1287"/>
      <c r="G262" s="1287"/>
      <c r="H262" s="1063"/>
      <c r="I262" s="1259"/>
    </row>
    <row r="263" spans="1:9">
      <c r="D263" s="525"/>
      <c r="I263" s="524"/>
    </row>
    <row r="264" spans="1:9">
      <c r="C264" s="520"/>
      <c r="D264" s="1279" t="s">
        <v>1204</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2128</v>
      </c>
    </row>
    <row r="267" spans="1:9" ht="14.45" customHeight="1">
      <c r="A267" s="518"/>
      <c r="B267" s="519" t="s">
        <v>2783</v>
      </c>
      <c r="D267" s="1281" t="s">
        <v>1302</v>
      </c>
      <c r="E267" s="1281"/>
      <c r="F267" s="1281"/>
      <c r="I267" s="524"/>
    </row>
    <row r="268" spans="1:9">
      <c r="D268" s="1281"/>
      <c r="E268" s="1281"/>
      <c r="F268" s="1281"/>
      <c r="I268" s="524"/>
    </row>
    <row r="269" spans="1:9">
      <c r="E269" s="1071" t="s">
        <v>2198</v>
      </c>
      <c r="I269" s="524"/>
    </row>
    <row r="270" spans="1:9">
      <c r="D270" s="480"/>
      <c r="E270" s="480"/>
      <c r="F270" s="480"/>
      <c r="I270" s="524"/>
    </row>
    <row r="271" spans="1:9" ht="14.45" customHeight="1">
      <c r="A271" s="518"/>
      <c r="B271" s="519" t="s">
        <v>2784</v>
      </c>
      <c r="D271" s="1281" t="s">
        <v>2370</v>
      </c>
      <c r="E271" s="1281"/>
      <c r="F271" s="1281"/>
      <c r="I271" s="524" t="s">
        <v>2146</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2784</v>
      </c>
      <c r="D278" s="1281" t="s">
        <v>1207</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1076</v>
      </c>
      <c r="B282" s="1287"/>
      <c r="C282" s="1287"/>
      <c r="D282" s="1287"/>
      <c r="E282" s="1287"/>
      <c r="F282" s="1287"/>
      <c r="G282" s="1287"/>
      <c r="H282" s="1063"/>
      <c r="I282" s="1259"/>
    </row>
    <row r="283" spans="1:9">
      <c r="D283" s="526"/>
      <c r="E283" s="480"/>
      <c r="F283" s="480"/>
      <c r="I283" s="524"/>
    </row>
    <row r="284" spans="1:9">
      <c r="C284" s="516"/>
      <c r="D284" s="1309" t="s">
        <v>1209</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1210</v>
      </c>
      <c r="E288" s="1334"/>
      <c r="F288" s="1334"/>
      <c r="I288" s="524"/>
    </row>
    <row r="289" spans="1:9">
      <c r="E289" s="480"/>
      <c r="F289" s="480"/>
      <c r="I289" s="524"/>
    </row>
    <row r="290" spans="1:9" ht="14.25">
      <c r="A290" s="518"/>
      <c r="B290" s="519" t="s">
        <v>2783</v>
      </c>
      <c r="D290" s="1281" t="s">
        <v>1211</v>
      </c>
      <c r="E290" s="1281"/>
      <c r="F290" s="1281"/>
      <c r="I290" s="524" t="s">
        <v>2090</v>
      </c>
    </row>
    <row r="291" spans="1:9" ht="14.25">
      <c r="A291" s="518"/>
      <c r="B291" s="518"/>
      <c r="D291" s="1281"/>
      <c r="E291" s="1281"/>
      <c r="F291" s="1281"/>
      <c r="I291" s="524"/>
    </row>
    <row r="292" spans="1:9">
      <c r="D292" s="480"/>
      <c r="E292" s="480"/>
      <c r="F292" s="480"/>
      <c r="I292" s="524"/>
    </row>
    <row r="293" spans="1:9" ht="14.25">
      <c r="A293" s="518"/>
      <c r="B293" s="519" t="s">
        <v>2783</v>
      </c>
      <c r="D293" s="1281" t="s">
        <v>1212</v>
      </c>
      <c r="E293" s="1281"/>
      <c r="F293" s="1281"/>
      <c r="I293" s="524" t="s">
        <v>2090</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2784</v>
      </c>
      <c r="D297" s="1281" t="s">
        <v>1213</v>
      </c>
      <c r="E297" s="1281"/>
      <c r="F297" s="1281"/>
      <c r="I297" s="524" t="s">
        <v>2090</v>
      </c>
    </row>
    <row r="298" spans="1:9" ht="14.25">
      <c r="A298" s="518"/>
      <c r="B298" s="518"/>
      <c r="D298" s="1281"/>
      <c r="E298" s="1281"/>
      <c r="F298" s="1281"/>
      <c r="I298" s="524"/>
    </row>
    <row r="299" spans="1:9">
      <c r="A299" s="524"/>
      <c r="B299" s="524"/>
      <c r="E299" s="480"/>
      <c r="F299" s="480"/>
      <c r="I299" s="524"/>
    </row>
    <row r="300" spans="1:9">
      <c r="A300" s="1287" t="s">
        <v>1077</v>
      </c>
      <c r="B300" s="1287"/>
      <c r="C300" s="1287"/>
      <c r="D300" s="1287"/>
      <c r="E300" s="1287"/>
      <c r="F300" s="1287"/>
      <c r="G300" s="1287"/>
      <c r="H300" s="1063"/>
      <c r="I300" s="1259"/>
    </row>
    <row r="301" spans="1:9">
      <c r="A301" s="524"/>
      <c r="B301" s="524"/>
      <c r="D301" s="480"/>
      <c r="E301" s="480"/>
      <c r="F301" s="480"/>
      <c r="I301" s="524"/>
    </row>
    <row r="302" spans="1:9">
      <c r="C302" s="524"/>
      <c r="D302" s="1279" t="s">
        <v>690</v>
      </c>
      <c r="E302" s="1279"/>
      <c r="F302" s="1279"/>
      <c r="I302" s="524"/>
    </row>
    <row r="303" spans="1:9">
      <c r="C303" s="524"/>
      <c r="D303" s="1310" t="s">
        <v>1214</v>
      </c>
      <c r="E303" s="1310"/>
      <c r="F303" s="1310"/>
      <c r="I303" s="524"/>
    </row>
    <row r="304" spans="1:9">
      <c r="C304" s="524"/>
      <c r="D304" s="527"/>
      <c r="I304" s="524"/>
    </row>
    <row r="305" spans="1:9">
      <c r="B305" s="519" t="s">
        <v>2783</v>
      </c>
      <c r="D305" s="1310" t="s">
        <v>1215</v>
      </c>
      <c r="E305" s="1310"/>
      <c r="F305" s="1310"/>
      <c r="I305" s="524" t="s">
        <v>2091</v>
      </c>
    </row>
    <row r="306" spans="1:9" ht="14.25">
      <c r="A306" s="518"/>
      <c r="B306" s="518"/>
      <c r="D306" s="528"/>
      <c r="E306" s="529"/>
      <c r="F306" s="529"/>
      <c r="I306" s="524"/>
    </row>
    <row r="307" spans="1:9" ht="13.7" customHeight="1">
      <c r="B307" s="519" t="s">
        <v>2784</v>
      </c>
      <c r="D307" s="1331" t="s">
        <v>1325</v>
      </c>
      <c r="E307" s="1331"/>
      <c r="F307" s="1331"/>
      <c r="I307" s="524" t="s">
        <v>2091</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2784</v>
      </c>
      <c r="D313" s="1331" t="s">
        <v>1217</v>
      </c>
      <c r="E313" s="1331"/>
      <c r="F313" s="1331"/>
      <c r="I313" s="524" t="s">
        <v>2091</v>
      </c>
    </row>
    <row r="314" spans="1:9">
      <c r="D314" s="1331"/>
      <c r="E314" s="1331"/>
      <c r="F314" s="1331"/>
      <c r="I314" s="524"/>
    </row>
    <row r="315" spans="1:9" ht="14.25">
      <c r="A315" s="518"/>
      <c r="B315" s="518"/>
      <c r="D315" s="528"/>
      <c r="E315" s="529"/>
      <c r="F315" s="529"/>
      <c r="I315" s="524"/>
    </row>
    <row r="316" spans="1:9">
      <c r="B316" s="519" t="s">
        <v>2784</v>
      </c>
      <c r="D316" s="1310" t="s">
        <v>1218</v>
      </c>
      <c r="E316" s="1310"/>
      <c r="F316" s="1310"/>
      <c r="I316" s="524" t="s">
        <v>2077</v>
      </c>
    </row>
    <row r="317" spans="1:9">
      <c r="E317" s="480"/>
      <c r="F317" s="480"/>
      <c r="I317" s="524"/>
    </row>
    <row r="318" spans="1:9" ht="14.25">
      <c r="A318" s="518"/>
      <c r="B318" s="519" t="s">
        <v>2784</v>
      </c>
      <c r="D318" s="1281" t="s">
        <v>2389</v>
      </c>
      <c r="E318" s="1281"/>
      <c r="F318" s="1281"/>
      <c r="I318" s="524" t="s">
        <v>2092</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2784</v>
      </c>
      <c r="D334" s="1281" t="s">
        <v>1220</v>
      </c>
      <c r="E334" s="1281"/>
      <c r="F334" s="1281"/>
      <c r="I334" s="524" t="s">
        <v>2092</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2784</v>
      </c>
      <c r="D344" s="1281" t="s">
        <v>2203</v>
      </c>
      <c r="E344" s="1281"/>
      <c r="F344" s="1281"/>
      <c r="I344" s="524" t="s">
        <v>2129</v>
      </c>
    </row>
    <row r="345" spans="1:9">
      <c r="D345" s="1281"/>
      <c r="E345" s="1281"/>
      <c r="F345" s="1281"/>
      <c r="I345" s="524"/>
    </row>
    <row r="346" spans="1:9">
      <c r="D346" s="1281"/>
      <c r="E346" s="1281"/>
      <c r="F346" s="1281"/>
      <c r="I346" s="524"/>
    </row>
    <row r="347" spans="1:9">
      <c r="D347" s="1281"/>
      <c r="E347" s="1281"/>
      <c r="F347" s="1281"/>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6" t="s">
        <v>998</v>
      </c>
      <c r="E351" s="1336"/>
      <c r="F351" s="1336"/>
      <c r="G351" s="1062"/>
      <c r="H351" s="1062"/>
      <c r="I351" s="1262"/>
    </row>
    <row r="352" spans="1:9" ht="13.5" thickTop="1">
      <c r="D352" s="1332" t="s">
        <v>1222</v>
      </c>
      <c r="E352" s="1332"/>
      <c r="F352" s="1332"/>
      <c r="I352" s="524"/>
    </row>
    <row r="353" spans="1:9">
      <c r="D353" s="480"/>
      <c r="E353" s="480"/>
      <c r="F353" s="480"/>
      <c r="I353" s="524"/>
    </row>
    <row r="354" spans="1:9">
      <c r="A354" s="510"/>
      <c r="B354" s="510"/>
      <c r="C354" s="510"/>
      <c r="D354" s="481"/>
      <c r="E354" s="481"/>
      <c r="F354" s="480"/>
      <c r="I354" s="524" t="s">
        <v>2093</v>
      </c>
    </row>
    <row r="355" spans="1:9" ht="14.25">
      <c r="A355" s="518"/>
      <c r="B355" s="519" t="s">
        <v>2784</v>
      </c>
      <c r="C355" s="521"/>
      <c r="D355" s="1310" t="s">
        <v>2201</v>
      </c>
      <c r="E355" s="1310"/>
      <c r="F355" s="1310"/>
      <c r="I355" s="1328" t="s">
        <v>2143</v>
      </c>
    </row>
    <row r="356" spans="1:9" ht="12.75" customHeight="1">
      <c r="D356" s="1072"/>
      <c r="E356" s="96" t="s">
        <v>2200</v>
      </c>
      <c r="F356" s="1072"/>
      <c r="I356" s="1329"/>
    </row>
    <row r="357" spans="1:9">
      <c r="D357" s="1281" t="s">
        <v>1346</v>
      </c>
      <c r="E357" s="1281"/>
      <c r="F357" s="1281"/>
      <c r="I357" s="1329"/>
    </row>
    <row r="358" spans="1:9">
      <c r="D358" s="1281"/>
      <c r="E358" s="1281"/>
      <c r="F358" s="1281"/>
      <c r="I358" s="1329"/>
    </row>
    <row r="359" spans="1:9">
      <c r="D359" s="1281"/>
      <c r="E359" s="1281"/>
      <c r="F359" s="1281"/>
      <c r="I359" s="1330"/>
    </row>
    <row r="360" spans="1:9" ht="14.25">
      <c r="A360" s="518"/>
      <c r="B360" s="519" t="s">
        <v>2784</v>
      </c>
      <c r="C360" s="510"/>
      <c r="D360" s="1314" t="s">
        <v>2371</v>
      </c>
      <c r="E360" s="1314"/>
      <c r="F360" s="1314"/>
      <c r="I360" s="514"/>
    </row>
    <row r="361" spans="1:9">
      <c r="A361" s="510"/>
      <c r="B361" s="510"/>
      <c r="C361" s="510"/>
      <c r="D361" s="481"/>
      <c r="E361" s="481"/>
      <c r="F361" s="480"/>
      <c r="I361" s="524"/>
    </row>
    <row r="362" spans="1:9">
      <c r="A362" s="510"/>
      <c r="B362" s="519" t="s">
        <v>2784</v>
      </c>
      <c r="C362" s="510"/>
      <c r="D362" s="1269" t="s">
        <v>2372</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6" customHeight="1">
      <c r="A375" s="510"/>
      <c r="B375" s="519" t="s">
        <v>2784</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2784</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2784</v>
      </c>
      <c r="C387" s="510"/>
      <c r="D387" s="1269" t="s">
        <v>1225</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1226</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1227</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2784</v>
      </c>
      <c r="C420" s="510"/>
      <c r="D420" s="1269" t="s">
        <v>1228</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2784</v>
      </c>
      <c r="D423" s="1269" t="s">
        <v>2130</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2784</v>
      </c>
      <c r="C429" s="510"/>
      <c r="D429" s="1269" t="s">
        <v>1347</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2390</v>
      </c>
      <c r="E433" s="1269"/>
      <c r="F433" s="1269"/>
      <c r="I433" s="524"/>
    </row>
    <row r="434" spans="1:9">
      <c r="D434" s="480"/>
      <c r="E434" s="480"/>
      <c r="F434" s="480"/>
      <c r="I434" s="524"/>
    </row>
    <row r="435" spans="1:9" ht="14.25">
      <c r="A435" s="518"/>
      <c r="B435" s="519" t="s">
        <v>2784</v>
      </c>
      <c r="C435" s="521"/>
      <c r="D435" s="1281" t="s">
        <v>2373</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2784</v>
      </c>
      <c r="C467" s="521"/>
      <c r="D467" s="1281" t="s">
        <v>1233</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2784</v>
      </c>
      <c r="C471" s="518"/>
      <c r="D471" s="1281" t="s">
        <v>1303</v>
      </c>
      <c r="E471" s="1281"/>
      <c r="F471" s="1281"/>
      <c r="I471" s="524"/>
    </row>
    <row r="472" spans="1:9">
      <c r="D472" s="1281"/>
      <c r="E472" s="1281"/>
      <c r="F472" s="1281"/>
      <c r="I472" s="524"/>
    </row>
    <row r="473" spans="1:9">
      <c r="D473" s="480"/>
      <c r="E473" s="480"/>
      <c r="F473" s="480"/>
      <c r="I473" s="524"/>
    </row>
    <row r="474" spans="1:9" ht="14.25">
      <c r="B474" s="519" t="s">
        <v>2784</v>
      </c>
      <c r="C474" s="518"/>
      <c r="D474" s="1281" t="s">
        <v>1235</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2784</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2784</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2784</v>
      </c>
      <c r="C486" s="433"/>
      <c r="D486" s="1281"/>
      <c r="E486" s="1281"/>
      <c r="F486" s="1281"/>
      <c r="I486" s="524"/>
    </row>
    <row r="487" spans="1:9">
      <c r="A487" s="433"/>
      <c r="C487" s="433"/>
      <c r="D487" s="1281"/>
      <c r="E487" s="1281"/>
      <c r="F487" s="1281"/>
      <c r="I487" s="524"/>
    </row>
    <row r="488" spans="1:9">
      <c r="A488" s="433"/>
      <c r="B488" s="519" t="s">
        <v>2784</v>
      </c>
      <c r="C488" s="433"/>
      <c r="D488" s="1281" t="s">
        <v>1236</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2784</v>
      </c>
      <c r="D494" s="1310" t="s">
        <v>1237</v>
      </c>
      <c r="E494" s="1310"/>
      <c r="F494" s="1310"/>
      <c r="I494" s="524"/>
    </row>
    <row r="495" spans="1:9">
      <c r="A495" s="480"/>
      <c r="B495" s="480"/>
      <c r="I495" s="524"/>
    </row>
    <row r="496" spans="1:9">
      <c r="A496" s="1287" t="s">
        <v>1078</v>
      </c>
      <c r="B496" s="1287"/>
      <c r="C496" s="1287"/>
      <c r="D496" s="1287"/>
      <c r="E496" s="1287"/>
      <c r="F496" s="1287"/>
      <c r="G496" s="1287"/>
      <c r="H496" s="1063"/>
      <c r="I496" s="1259"/>
    </row>
    <row r="497" spans="1:9">
      <c r="A497" s="480"/>
      <c r="B497" s="480"/>
      <c r="I497" s="524"/>
    </row>
    <row r="498" spans="1:9">
      <c r="D498" s="1317" t="s">
        <v>895</v>
      </c>
      <c r="E498" s="1317"/>
      <c r="F498" s="1317"/>
      <c r="I498" s="524"/>
    </row>
    <row r="499" spans="1:9" ht="14.25">
      <c r="A499" s="518"/>
      <c r="B499" s="518"/>
      <c r="D499" s="1314" t="s">
        <v>1238</v>
      </c>
      <c r="E499" s="1314"/>
      <c r="F499" s="1314"/>
      <c r="I499" s="524"/>
    </row>
    <row r="500" spans="1:9" ht="14.25">
      <c r="A500" s="518"/>
      <c r="B500" s="518"/>
      <c r="D500" s="481"/>
      <c r="I500" s="524"/>
    </row>
    <row r="501" spans="1:9" ht="14.25">
      <c r="A501" s="518"/>
      <c r="B501" s="519" t="s">
        <v>2783</v>
      </c>
      <c r="D501" s="1269" t="s">
        <v>1239</v>
      </c>
      <c r="E501" s="1269"/>
      <c r="F501" s="1269"/>
      <c r="I501" s="524" t="s">
        <v>2094</v>
      </c>
    </row>
    <row r="502" spans="1:9" ht="14.25">
      <c r="A502" s="518"/>
      <c r="B502" s="518"/>
      <c r="D502" s="1269"/>
      <c r="E502" s="1269"/>
      <c r="F502" s="1269"/>
      <c r="I502" s="524"/>
    </row>
    <row r="503" spans="1:9" ht="14.25">
      <c r="A503" s="518"/>
      <c r="B503" s="518"/>
      <c r="D503" s="480"/>
      <c r="I503" s="524"/>
    </row>
    <row r="504" spans="1:9" ht="12.75" customHeight="1">
      <c r="B504" s="519" t="s">
        <v>2783</v>
      </c>
      <c r="D504" s="1303" t="s">
        <v>1383</v>
      </c>
      <c r="E504" s="1303"/>
      <c r="F504" s="1303"/>
      <c r="I504" s="524" t="s">
        <v>2095</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2783</v>
      </c>
      <c r="D509" s="1310" t="s">
        <v>1242</v>
      </c>
      <c r="E509" s="1310"/>
      <c r="F509" s="1310"/>
      <c r="I509" s="524" t="s">
        <v>2096</v>
      </c>
    </row>
    <row r="510" spans="1:9" ht="14.25">
      <c r="A510" s="518"/>
      <c r="B510" s="518"/>
      <c r="D510" s="480"/>
      <c r="I510" s="524"/>
    </row>
    <row r="511" spans="1:9" ht="14.25">
      <c r="A511" s="518"/>
      <c r="B511" s="519" t="s">
        <v>2783</v>
      </c>
      <c r="D511" s="1281" t="s">
        <v>1243</v>
      </c>
      <c r="E511" s="1281"/>
      <c r="F511" s="1281"/>
      <c r="I511" s="524" t="s">
        <v>2096</v>
      </c>
    </row>
    <row r="512" spans="1:9" ht="14.25">
      <c r="A512" s="518"/>
      <c r="D512" s="1281"/>
      <c r="E512" s="1281"/>
      <c r="F512" s="1281"/>
      <c r="I512" s="524"/>
    </row>
    <row r="513" spans="1:9">
      <c r="A513" s="524"/>
      <c r="B513" s="524"/>
      <c r="D513" s="481"/>
      <c r="I513" s="524"/>
    </row>
    <row r="514" spans="1:9">
      <c r="A514" s="524"/>
      <c r="B514" s="519" t="s">
        <v>2784</v>
      </c>
      <c r="D514" s="1310" t="s">
        <v>1244</v>
      </c>
      <c r="E514" s="1310"/>
      <c r="F514" s="1310"/>
      <c r="I514" s="524" t="s">
        <v>2149</v>
      </c>
    </row>
    <row r="515" spans="1:9" ht="14.25">
      <c r="A515" s="518"/>
      <c r="B515" s="518"/>
      <c r="D515" s="480"/>
      <c r="I515" s="524"/>
    </row>
    <row r="516" spans="1:9">
      <c r="A516" s="1287" t="s">
        <v>1079</v>
      </c>
      <c r="B516" s="1287"/>
      <c r="C516" s="1287"/>
      <c r="D516" s="1287"/>
      <c r="E516" s="1287"/>
      <c r="F516" s="1287"/>
      <c r="G516" s="1287"/>
      <c r="H516" s="1063"/>
      <c r="I516" s="1259"/>
    </row>
    <row r="517" spans="1:9" ht="12" customHeight="1">
      <c r="A517" s="518"/>
      <c r="B517" s="518"/>
      <c r="D517" s="480"/>
      <c r="I517" s="524"/>
    </row>
    <row r="518" spans="1:9">
      <c r="C518" s="516"/>
      <c r="D518" s="1279" t="s">
        <v>802</v>
      </c>
      <c r="E518" s="1279"/>
      <c r="F518" s="1279"/>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2783</v>
      </c>
      <c r="C522" s="517"/>
      <c r="D522" s="1269" t="s">
        <v>2374</v>
      </c>
      <c r="E522" s="1269"/>
      <c r="F522" s="1269"/>
      <c r="I522" s="524" t="s">
        <v>2131</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2784</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35" customHeight="1">
      <c r="A531" s="517"/>
      <c r="B531" s="519" t="s">
        <v>2784</v>
      </c>
      <c r="C531" s="517"/>
      <c r="D531" s="1281" t="s">
        <v>2376</v>
      </c>
      <c r="E531" s="1281"/>
      <c r="F531" s="1281"/>
      <c r="I531" s="524" t="s">
        <v>2097</v>
      </c>
    </row>
    <row r="532" spans="1:9">
      <c r="A532" s="517"/>
      <c r="B532" s="517"/>
      <c r="C532" s="517"/>
      <c r="D532" s="1281"/>
      <c r="E532" s="1281"/>
      <c r="F532" s="1281"/>
      <c r="I532" s="524"/>
    </row>
    <row r="533" spans="1:9" ht="12" customHeight="1">
      <c r="A533" s="480"/>
      <c r="B533" s="480"/>
      <c r="C533" s="521"/>
      <c r="D533" s="480"/>
      <c r="F533" s="482"/>
      <c r="I533" s="524"/>
    </row>
    <row r="534" spans="1:9">
      <c r="A534" s="1287" t="s">
        <v>1080</v>
      </c>
      <c r="B534" s="1287"/>
      <c r="C534" s="1287"/>
      <c r="D534" s="1287"/>
      <c r="E534" s="1287"/>
      <c r="F534" s="1287"/>
      <c r="G534" s="1287"/>
      <c r="H534" s="1063"/>
      <c r="I534" s="1259"/>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1081</v>
      </c>
      <c r="B538" s="1288"/>
      <c r="C538" s="1288"/>
      <c r="D538" s="1288"/>
      <c r="E538" s="1288"/>
      <c r="F538" s="1288"/>
      <c r="G538" s="1288"/>
      <c r="H538" s="1063"/>
      <c r="I538" s="1259"/>
    </row>
    <row r="539" spans="1:9">
      <c r="A539" s="480"/>
      <c r="B539" s="480"/>
      <c r="C539" s="521"/>
      <c r="D539" s="480"/>
      <c r="F539" s="480"/>
      <c r="I539" s="524"/>
    </row>
    <row r="540" spans="1:9">
      <c r="C540" s="521"/>
      <c r="D540" s="1279" t="s">
        <v>691</v>
      </c>
      <c r="E540" s="1279"/>
      <c r="F540" s="1279"/>
      <c r="I540" s="524"/>
    </row>
    <row r="541" spans="1:9">
      <c r="C541" s="521"/>
      <c r="D541" s="1310" t="s">
        <v>1138</v>
      </c>
      <c r="E541" s="1310"/>
      <c r="F541" s="1310"/>
      <c r="I541" s="524"/>
    </row>
    <row r="542" spans="1:9">
      <c r="C542" s="521"/>
      <c r="D542" s="480"/>
      <c r="E542" s="480"/>
      <c r="F542" s="480"/>
      <c r="I542" s="524"/>
    </row>
    <row r="543" spans="1:9" ht="13.7" customHeight="1">
      <c r="A543" s="518"/>
      <c r="B543" s="519" t="s">
        <v>2783</v>
      </c>
      <c r="C543" s="521"/>
      <c r="D543" s="1310" t="s">
        <v>896</v>
      </c>
      <c r="E543" s="1310"/>
      <c r="F543" s="1310"/>
      <c r="I543" s="524" t="s">
        <v>2147</v>
      </c>
    </row>
    <row r="544" spans="1:9" ht="13.7" customHeight="1">
      <c r="A544" s="521"/>
      <c r="B544" s="521"/>
      <c r="C544" s="521"/>
      <c r="D544" s="480"/>
      <c r="I544" s="524"/>
    </row>
    <row r="545" spans="1:9" ht="14.25">
      <c r="A545" s="518"/>
      <c r="B545" s="519" t="s">
        <v>2783</v>
      </c>
      <c r="C545" s="521"/>
      <c r="D545" s="1281" t="s">
        <v>1139</v>
      </c>
      <c r="E545" s="1281"/>
      <c r="F545" s="1281"/>
      <c r="I545" s="524" t="s">
        <v>2147</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2783</v>
      </c>
      <c r="C548" s="521"/>
      <c r="D548" s="1281" t="s">
        <v>1140</v>
      </c>
      <c r="E548" s="1281"/>
      <c r="F548" s="1281"/>
      <c r="I548" s="524" t="s">
        <v>2098</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2783</v>
      </c>
      <c r="C551" s="521"/>
      <c r="D551" s="1281" t="s">
        <v>1141</v>
      </c>
      <c r="E551" s="1281"/>
      <c r="F551" s="1281"/>
      <c r="I551" s="524" t="s">
        <v>2099</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2783</v>
      </c>
      <c r="C554" s="521"/>
      <c r="D554" s="1281" t="s">
        <v>1142</v>
      </c>
      <c r="E554" s="1281"/>
      <c r="F554" s="1281"/>
      <c r="I554" s="524" t="s">
        <v>2148</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2784</v>
      </c>
      <c r="C558" s="521"/>
      <c r="D558" s="1281" t="s">
        <v>1260</v>
      </c>
      <c r="E558" s="1281"/>
      <c r="F558" s="1281"/>
      <c r="I558" s="524" t="s">
        <v>2147</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2783</v>
      </c>
      <c r="C561" s="521"/>
      <c r="D561" s="1281" t="s">
        <v>1144</v>
      </c>
      <c r="E561" s="1281"/>
      <c r="F561" s="1281"/>
      <c r="I561" s="524" t="s">
        <v>2147</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2783</v>
      </c>
      <c r="C564" s="521"/>
      <c r="D564" s="1310" t="s">
        <v>1145</v>
      </c>
      <c r="E564" s="1310"/>
      <c r="F564" s="1310"/>
      <c r="I564" s="524" t="s">
        <v>2150</v>
      </c>
    </row>
    <row r="565" spans="1:9">
      <c r="A565" s="524"/>
      <c r="B565" s="524"/>
      <c r="C565" s="521"/>
      <c r="D565" s="1310" t="s">
        <v>2207</v>
      </c>
      <c r="E565" s="1310"/>
      <c r="F565" s="1310"/>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2783</v>
      </c>
      <c r="C568" s="521"/>
      <c r="D568" s="1310" t="s">
        <v>1147</v>
      </c>
      <c r="E568" s="1310"/>
      <c r="F568" s="1310"/>
      <c r="I568" s="524" t="s">
        <v>2100</v>
      </c>
    </row>
    <row r="569" spans="1:9">
      <c r="C569" s="521"/>
      <c r="D569" s="1281" t="s">
        <v>1148</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2783</v>
      </c>
      <c r="C573" s="521"/>
      <c r="D573" s="1281" t="s">
        <v>2377</v>
      </c>
      <c r="E573" s="1281"/>
      <c r="F573" s="1281"/>
      <c r="I573" s="524" t="s">
        <v>2101</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1082</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1098</v>
      </c>
      <c r="E581" s="1303"/>
      <c r="F581" s="1303"/>
      <c r="I581" s="524"/>
    </row>
    <row r="582" spans="1:9">
      <c r="A582" s="433"/>
      <c r="B582" s="433"/>
      <c r="C582" s="517"/>
      <c r="D582" s="533"/>
      <c r="I582" s="524" t="s">
        <v>2102</v>
      </c>
    </row>
    <row r="583" spans="1:9">
      <c r="A583" s="517"/>
      <c r="B583" s="519" t="s">
        <v>2783</v>
      </c>
      <c r="D583" s="1303" t="s">
        <v>902</v>
      </c>
      <c r="E583" s="1303"/>
      <c r="F583" s="1303"/>
      <c r="I583" s="524"/>
    </row>
    <row r="584" spans="1:9">
      <c r="A584" s="524"/>
      <c r="B584" s="524"/>
      <c r="D584" s="510"/>
      <c r="I584" s="524"/>
    </row>
    <row r="585" spans="1:9">
      <c r="A585" s="524"/>
      <c r="B585" s="519" t="s">
        <v>2783</v>
      </c>
      <c r="D585" s="1303" t="s">
        <v>2378</v>
      </c>
      <c r="E585" s="1303"/>
      <c r="F585" s="1303"/>
      <c r="I585" s="524" t="s">
        <v>2104</v>
      </c>
    </row>
    <row r="586" spans="1:9">
      <c r="A586" s="524"/>
      <c r="B586" s="524"/>
      <c r="D586" s="1303"/>
      <c r="E586" s="1303"/>
      <c r="F586" s="1303"/>
      <c r="I586" s="524" t="s">
        <v>2103</v>
      </c>
    </row>
    <row r="587" spans="1:9">
      <c r="A587" s="524"/>
      <c r="B587" s="524"/>
      <c r="D587" s="1303"/>
      <c r="E587" s="1303"/>
      <c r="F587" s="1303"/>
      <c r="I587" s="524"/>
    </row>
    <row r="588" spans="1:9">
      <c r="A588" s="524"/>
      <c r="B588" s="524"/>
      <c r="D588" s="1303"/>
      <c r="E588" s="1303"/>
      <c r="F588" s="1303"/>
      <c r="I588" s="524"/>
    </row>
    <row r="589" spans="1:9">
      <c r="A589" s="524"/>
      <c r="B589" s="519" t="s">
        <v>2784</v>
      </c>
      <c r="D589" s="1303" t="s">
        <v>1100</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2783</v>
      </c>
      <c r="D594" s="1303" t="s">
        <v>2379</v>
      </c>
      <c r="E594" s="1303"/>
      <c r="F594" s="1303"/>
      <c r="I594" s="524"/>
    </row>
    <row r="595" spans="1:9">
      <c r="A595" s="524"/>
      <c r="B595" s="524"/>
      <c r="D595" s="1303"/>
      <c r="E595" s="1303"/>
      <c r="F595" s="1303"/>
      <c r="I595" s="524"/>
    </row>
    <row r="596" spans="1:9">
      <c r="A596" s="524"/>
      <c r="B596" s="524"/>
      <c r="D596" s="533"/>
      <c r="I596" s="524"/>
    </row>
    <row r="597" spans="1:9">
      <c r="A597" s="524"/>
      <c r="B597" s="519" t="s">
        <v>2784</v>
      </c>
      <c r="D597" s="1303" t="s">
        <v>1102</v>
      </c>
      <c r="E597" s="1303"/>
      <c r="F597" s="1303"/>
      <c r="I597" s="524" t="s">
        <v>2151</v>
      </c>
    </row>
    <row r="598" spans="1:9">
      <c r="A598" s="524"/>
      <c r="B598" s="524"/>
      <c r="D598" s="1303"/>
      <c r="E598" s="1303"/>
      <c r="F598" s="1303"/>
      <c r="I598" s="524"/>
    </row>
    <row r="599" spans="1:9" ht="14.25">
      <c r="A599" s="518"/>
      <c r="B599" s="518"/>
      <c r="D599" s="533"/>
      <c r="I599" s="524"/>
    </row>
    <row r="600" spans="1:9">
      <c r="A600" s="1287" t="s">
        <v>1083</v>
      </c>
      <c r="B600" s="1287"/>
      <c r="C600" s="1287"/>
      <c r="D600" s="1287"/>
      <c r="E600" s="1287"/>
      <c r="F600" s="1287"/>
      <c r="G600" s="1287"/>
      <c r="H600" s="1063"/>
      <c r="I600" s="1259"/>
    </row>
    <row r="601" spans="1:9">
      <c r="I601" s="524"/>
    </row>
    <row r="602" spans="1:9">
      <c r="D602" s="1279" t="s">
        <v>1183</v>
      </c>
      <c r="E602" s="1279"/>
      <c r="F602" s="1279"/>
      <c r="I602" s="524"/>
    </row>
    <row r="603" spans="1:9">
      <c r="D603" s="1280" t="s">
        <v>1184</v>
      </c>
      <c r="E603" s="1280"/>
      <c r="F603" s="1280"/>
      <c r="I603" s="524"/>
    </row>
    <row r="604" spans="1:9">
      <c r="D604" s="478"/>
      <c r="I604" s="524"/>
    </row>
    <row r="605" spans="1:9" ht="14.25" customHeight="1">
      <c r="A605" s="518"/>
      <c r="B605" s="519" t="s">
        <v>2783</v>
      </c>
      <c r="D605" s="1344" t="s">
        <v>2208</v>
      </c>
      <c r="E605" s="1344"/>
      <c r="F605" s="1344"/>
      <c r="I605" s="524" t="s">
        <v>2132</v>
      </c>
    </row>
    <row r="606" spans="1:9">
      <c r="D606" s="1344"/>
      <c r="E606" s="1344"/>
      <c r="F606" s="1344"/>
      <c r="I606" s="524"/>
    </row>
    <row r="607" spans="1:9">
      <c r="D607" s="416"/>
      <c r="E607" s="1071" t="s">
        <v>2209</v>
      </c>
      <c r="F607" s="416"/>
      <c r="I607" s="524"/>
    </row>
    <row r="608" spans="1:9">
      <c r="I608" s="524"/>
    </row>
    <row r="609" spans="1:9">
      <c r="A609" s="1287" t="s">
        <v>1084</v>
      </c>
      <c r="B609" s="1287"/>
      <c r="C609" s="1287"/>
      <c r="D609" s="1287"/>
      <c r="E609" s="1287"/>
      <c r="F609" s="1287"/>
      <c r="G609" s="1287"/>
      <c r="H609" s="1063"/>
      <c r="I609" s="1259"/>
    </row>
    <row r="610" spans="1:9">
      <c r="A610" s="480"/>
      <c r="B610" s="480"/>
      <c r="I610" s="524"/>
    </row>
    <row r="611" spans="1:9">
      <c r="A611" s="516"/>
      <c r="B611" s="516"/>
      <c r="C611" s="516"/>
      <c r="D611" s="1282" t="s">
        <v>1186</v>
      </c>
      <c r="E611" s="1282"/>
      <c r="F611" s="1282"/>
      <c r="I611" s="524"/>
    </row>
    <row r="612" spans="1:9">
      <c r="A612" s="516"/>
      <c r="B612" s="516"/>
      <c r="C612" s="516"/>
      <c r="D612" s="1282"/>
      <c r="E612" s="1282"/>
      <c r="F612" s="1282"/>
      <c r="I612" s="524"/>
    </row>
    <row r="613" spans="1:9">
      <c r="C613" s="517"/>
      <c r="D613" s="1280" t="s">
        <v>1187</v>
      </c>
      <c r="E613" s="1280"/>
      <c r="F613" s="1280"/>
      <c r="I613" s="524"/>
    </row>
    <row r="614" spans="1:9">
      <c r="C614" s="517"/>
      <c r="D614" s="478"/>
      <c r="E614" s="478"/>
      <c r="F614" s="478"/>
      <c r="I614" s="524"/>
    </row>
    <row r="615" spans="1:9" ht="12.75" customHeight="1">
      <c r="A615" s="524"/>
      <c r="B615" s="519" t="s">
        <v>2783</v>
      </c>
      <c r="D615" s="1283" t="s">
        <v>1188</v>
      </c>
      <c r="E615" s="1283"/>
      <c r="F615" s="1283"/>
      <c r="I615" s="524" t="s">
        <v>2152</v>
      </c>
    </row>
    <row r="616" spans="1:9">
      <c r="D616" s="1283"/>
      <c r="E616" s="1283"/>
      <c r="F616" s="1283"/>
      <c r="I616" s="524"/>
    </row>
    <row r="617" spans="1:9">
      <c r="I617" s="524"/>
    </row>
    <row r="618" spans="1:9">
      <c r="B618" s="519" t="s">
        <v>2783</v>
      </c>
      <c r="D618" s="1283" t="s">
        <v>1189</v>
      </c>
      <c r="E618" s="1283"/>
      <c r="F618" s="1283"/>
      <c r="I618" s="524" t="s">
        <v>2105</v>
      </c>
    </row>
    <row r="619" spans="1:9">
      <c r="C619" s="534"/>
      <c r="D619" s="1283"/>
      <c r="E619" s="1283"/>
      <c r="F619" s="1283"/>
      <c r="I619" s="524"/>
    </row>
    <row r="620" spans="1:9">
      <c r="C620" s="534"/>
      <c r="I620" s="524"/>
    </row>
    <row r="621" spans="1:9">
      <c r="B621" s="519" t="s">
        <v>2784</v>
      </c>
      <c r="C621" s="534"/>
      <c r="D621" s="1283" t="s">
        <v>1190</v>
      </c>
      <c r="E621" s="1283"/>
      <c r="F621" s="1283"/>
      <c r="I621" s="524" t="s">
        <v>2153</v>
      </c>
    </row>
    <row r="622" spans="1:9">
      <c r="C622" s="534"/>
      <c r="D622" s="1283"/>
      <c r="E622" s="1283"/>
      <c r="F622" s="1283"/>
      <c r="I622" s="534" t="s">
        <v>2154</v>
      </c>
    </row>
    <row r="623" spans="1:9">
      <c r="C623" s="534"/>
      <c r="I623" s="524"/>
    </row>
    <row r="624" spans="1:9">
      <c r="A624" s="1287" t="s">
        <v>1085</v>
      </c>
      <c r="B624" s="1287"/>
      <c r="C624" s="1287"/>
      <c r="D624" s="1287"/>
      <c r="E624" s="1287"/>
      <c r="F624" s="1287"/>
      <c r="G624" s="1287"/>
      <c r="H624" s="1063"/>
      <c r="I624" s="1259"/>
    </row>
    <row r="625" spans="1:9">
      <c r="A625" s="516"/>
      <c r="B625" s="516"/>
      <c r="C625" s="516"/>
      <c r="I625" s="524"/>
    </row>
    <row r="626" spans="1:9">
      <c r="C626" s="524"/>
      <c r="D626" s="1279" t="s">
        <v>1191</v>
      </c>
      <c r="E626" s="1279"/>
      <c r="F626" s="1279"/>
      <c r="I626" s="524"/>
    </row>
    <row r="627" spans="1:9">
      <c r="A627" s="524"/>
      <c r="B627" s="524"/>
      <c r="D627" s="435"/>
      <c r="I627" s="524"/>
    </row>
    <row r="628" spans="1:9" ht="14.25" customHeight="1">
      <c r="A628" s="518"/>
      <c r="B628" s="519" t="s">
        <v>2783</v>
      </c>
      <c r="D628" s="1344" t="s">
        <v>2380</v>
      </c>
      <c r="E628" s="1344"/>
      <c r="F628" s="1344"/>
      <c r="I628" s="524" t="s">
        <v>2133</v>
      </c>
    </row>
    <row r="629" spans="1:9">
      <c r="D629" s="1344"/>
      <c r="E629" s="1344"/>
      <c r="F629" s="1344"/>
      <c r="I629" s="524"/>
    </row>
    <row r="630" spans="1:9">
      <c r="D630" s="416"/>
      <c r="E630" s="1071" t="s">
        <v>2211</v>
      </c>
      <c r="F630" s="416"/>
      <c r="I630" s="524"/>
    </row>
    <row r="631" spans="1:9">
      <c r="D631" s="1281" t="s">
        <v>2210</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2784</v>
      </c>
      <c r="D635" s="1281" t="s">
        <v>1193</v>
      </c>
      <c r="E635" s="1281"/>
      <c r="F635" s="1281"/>
      <c r="I635" s="524" t="s">
        <v>2155</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2784</v>
      </c>
      <c r="C638" s="521"/>
      <c r="D638" s="1281" t="s">
        <v>1332</v>
      </c>
      <c r="E638" s="1281"/>
      <c r="F638" s="1281"/>
      <c r="I638" s="524" t="s">
        <v>2106</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2784</v>
      </c>
      <c r="C641" s="521"/>
      <c r="D641" s="1310" t="s">
        <v>1195</v>
      </c>
      <c r="E641" s="1310"/>
      <c r="F641" s="1310"/>
      <c r="I641" s="524" t="s">
        <v>2106</v>
      </c>
    </row>
    <row r="642" spans="1:9">
      <c r="A642" s="521"/>
      <c r="B642" s="521"/>
      <c r="C642" s="521"/>
      <c r="D642" s="480"/>
      <c r="E642" s="480"/>
      <c r="F642" s="480"/>
      <c r="I642" s="524"/>
    </row>
    <row r="643" spans="1:9">
      <c r="A643" s="1287" t="s">
        <v>1086</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1245</v>
      </c>
      <c r="E645" s="1279"/>
      <c r="F645" s="1279"/>
      <c r="I645" s="524"/>
    </row>
    <row r="646" spans="1:9">
      <c r="A646" s="517"/>
      <c r="B646" s="517"/>
      <c r="C646" s="517"/>
      <c r="D646" s="1310" t="s">
        <v>1246</v>
      </c>
      <c r="E646" s="1310"/>
      <c r="F646" s="1310"/>
      <c r="I646" s="524"/>
    </row>
    <row r="647" spans="1:9">
      <c r="A647" s="517"/>
      <c r="B647" s="517"/>
      <c r="C647" s="517"/>
      <c r="D647" s="480"/>
      <c r="E647" s="480"/>
      <c r="F647" s="480"/>
      <c r="I647" s="524"/>
    </row>
    <row r="648" spans="1:9" ht="12.75" customHeight="1">
      <c r="B648" s="519" t="s">
        <v>2783</v>
      </c>
      <c r="C648" s="521"/>
      <c r="D648" s="1281" t="s">
        <v>1391</v>
      </c>
      <c r="E648" s="1281"/>
      <c r="F648" s="1281"/>
      <c r="I648" s="524" t="s">
        <v>2158</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2783</v>
      </c>
      <c r="C653" s="521"/>
      <c r="D653" s="1281" t="s">
        <v>1393</v>
      </c>
      <c r="E653" s="1281"/>
      <c r="F653" s="1281"/>
      <c r="I653" s="524" t="s">
        <v>2158</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2783</v>
      </c>
      <c r="C659" s="521"/>
      <c r="D659" s="1281" t="s">
        <v>1392</v>
      </c>
      <c r="E659" s="1281"/>
      <c r="F659" s="1281"/>
      <c r="I659" s="524" t="s">
        <v>2158</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2783</v>
      </c>
      <c r="C664" s="521"/>
      <c r="D664" s="1281" t="s">
        <v>2381</v>
      </c>
      <c r="E664" s="1281"/>
      <c r="F664" s="1281"/>
      <c r="I664" s="524" t="s">
        <v>2158</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1087</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1123</v>
      </c>
      <c r="E678" s="1310"/>
      <c r="F678" s="1310"/>
      <c r="H678" s="535"/>
      <c r="I678" s="517"/>
      <c r="J678" s="535"/>
      <c r="K678" s="535"/>
    </row>
    <row r="679" spans="1:11">
      <c r="A679" s="517"/>
      <c r="B679" s="517"/>
      <c r="C679" s="517"/>
      <c r="H679" s="535"/>
      <c r="I679" s="517"/>
      <c r="J679" s="535"/>
      <c r="K679" s="535"/>
    </row>
    <row r="680" spans="1:11" ht="14.25">
      <c r="A680" s="518"/>
      <c r="B680" s="519" t="s">
        <v>2783</v>
      </c>
      <c r="C680" s="517"/>
      <c r="D680" s="1310" t="s">
        <v>898</v>
      </c>
      <c r="E680" s="1310"/>
      <c r="F680" s="1310"/>
      <c r="H680" s="535"/>
      <c r="I680" s="517" t="s">
        <v>2134</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2784</v>
      </c>
      <c r="C685" s="517"/>
      <c r="D685" s="1281" t="s">
        <v>2382</v>
      </c>
      <c r="E685" s="1281"/>
      <c r="F685" s="1281"/>
      <c r="H685" s="535"/>
      <c r="I685" s="517" t="s">
        <v>2156</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2135</v>
      </c>
      <c r="J688" s="535"/>
      <c r="K688" s="535"/>
    </row>
    <row r="689" spans="1:11" ht="14.25">
      <c r="A689" s="518"/>
      <c r="B689" s="519" t="s">
        <v>2783</v>
      </c>
      <c r="C689" s="517"/>
      <c r="D689" s="1310" t="s">
        <v>936</v>
      </c>
      <c r="E689" s="1310"/>
      <c r="F689" s="1310"/>
      <c r="H689" s="535"/>
      <c r="I689" s="517"/>
      <c r="J689" s="535"/>
      <c r="K689" s="535"/>
    </row>
    <row r="690" spans="1:11" ht="14.25">
      <c r="A690" s="518"/>
      <c r="B690" s="518"/>
      <c r="C690" s="517"/>
      <c r="D690" s="1310" t="s">
        <v>908</v>
      </c>
      <c r="E690" s="1310"/>
      <c r="F690" s="1310"/>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2783</v>
      </c>
      <c r="C693" s="517"/>
      <c r="D693" s="1281" t="s">
        <v>1136</v>
      </c>
      <c r="E693" s="1281"/>
      <c r="F693" s="1281"/>
      <c r="H693" s="535"/>
      <c r="I693" s="517" t="s">
        <v>2107</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2783</v>
      </c>
      <c r="C700" s="517"/>
      <c r="D700" s="1281" t="s">
        <v>1307</v>
      </c>
      <c r="E700" s="1281"/>
      <c r="F700" s="1281"/>
      <c r="H700" s="535"/>
      <c r="I700" s="517" t="s">
        <v>2107</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2784</v>
      </c>
      <c r="C703" s="517"/>
      <c r="D703" s="1281" t="s">
        <v>1127</v>
      </c>
      <c r="E703" s="1281"/>
      <c r="F703" s="1281"/>
      <c r="H703" s="535"/>
      <c r="I703" s="517" t="s">
        <v>2107</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2784</v>
      </c>
      <c r="C716" s="517"/>
      <c r="D716" s="1281" t="s">
        <v>1134</v>
      </c>
      <c r="E716" s="1281"/>
      <c r="F716" s="1281"/>
      <c r="H716" s="535"/>
      <c r="I716" s="517" t="s">
        <v>2157</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2784</v>
      </c>
      <c r="C719" s="517"/>
      <c r="D719" s="1281" t="s">
        <v>1128</v>
      </c>
      <c r="E719" s="1281"/>
      <c r="F719" s="1281"/>
      <c r="H719" s="535"/>
      <c r="I719" s="517" t="s">
        <v>2157</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2784</v>
      </c>
      <c r="C723" s="517"/>
      <c r="D723" s="1281" t="s">
        <v>1129</v>
      </c>
      <c r="E723" s="1281"/>
      <c r="F723" s="1281"/>
      <c r="H723" s="535"/>
      <c r="I723" s="517" t="s">
        <v>2157</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2784</v>
      </c>
      <c r="C727" s="517"/>
      <c r="D727" s="1281" t="s">
        <v>1130</v>
      </c>
      <c r="E727" s="1281"/>
      <c r="F727" s="1281"/>
      <c r="H727" s="535"/>
      <c r="I727" s="517" t="s">
        <v>2108</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2784</v>
      </c>
      <c r="C732" s="517"/>
      <c r="D732" s="1281" t="s">
        <v>2505</v>
      </c>
      <c r="E732" s="1281"/>
      <c r="F732" s="1281"/>
      <c r="H732" s="535"/>
      <c r="I732" s="517" t="s">
        <v>2124</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2391</v>
      </c>
      <c r="E739" s="1293"/>
      <c r="F739" s="1293"/>
      <c r="H739" s="535"/>
      <c r="I739" s="517"/>
      <c r="J739" s="535"/>
      <c r="K739" s="535"/>
    </row>
    <row r="740" spans="1:11">
      <c r="A740" s="517"/>
      <c r="B740" s="517"/>
      <c r="C740" s="517"/>
      <c r="D740" s="369"/>
      <c r="H740" s="535"/>
      <c r="I740" s="517"/>
      <c r="J740" s="535"/>
      <c r="K740" s="535"/>
    </row>
    <row r="741" spans="1:11">
      <c r="A741" s="1288" t="s">
        <v>1088</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1104</v>
      </c>
      <c r="E743" s="1309"/>
      <c r="F743" s="1309"/>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2783</v>
      </c>
      <c r="D746" s="1281" t="s">
        <v>1106</v>
      </c>
      <c r="E746" s="1281"/>
      <c r="F746" s="1281"/>
      <c r="G746" s="535"/>
      <c r="H746" s="535"/>
      <c r="I746" s="517" t="s">
        <v>2109</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2783</v>
      </c>
      <c r="C753" s="538"/>
      <c r="D753" s="1281" t="s">
        <v>1348</v>
      </c>
      <c r="E753" s="1281"/>
      <c r="F753" s="1281"/>
      <c r="I753" s="1264" t="s">
        <v>2109</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2784</v>
      </c>
      <c r="C758" s="538"/>
      <c r="D758" s="1283" t="s">
        <v>1349</v>
      </c>
      <c r="E758" s="1283"/>
      <c r="F758" s="1283"/>
      <c r="I758" s="1264" t="s">
        <v>2110</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2784</v>
      </c>
      <c r="D762" s="1281" t="s">
        <v>1304</v>
      </c>
      <c r="E762" s="1281"/>
      <c r="F762" s="1281"/>
      <c r="G762" s="535"/>
      <c r="H762" s="535"/>
      <c r="I762" s="517" t="s">
        <v>2109</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2784</v>
      </c>
      <c r="D765" s="1281" t="s">
        <v>1321</v>
      </c>
      <c r="E765" s="1281"/>
      <c r="F765" s="1281"/>
      <c r="G765" s="535"/>
      <c r="H765" s="535"/>
      <c r="I765" s="517" t="s">
        <v>2109</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1992</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2046</v>
      </c>
      <c r="E771" s="1345"/>
      <c r="F771" s="1345"/>
      <c r="G771" s="3"/>
      <c r="I771" s="524"/>
    </row>
    <row r="772" spans="1:9">
      <c r="A772" s="57"/>
      <c r="B772" s="57"/>
      <c r="C772" s="385"/>
      <c r="D772" s="1314" t="s">
        <v>1945</v>
      </c>
      <c r="E772" s="1314"/>
      <c r="F772" s="1314"/>
      <c r="G772" s="3"/>
      <c r="I772" s="524"/>
    </row>
    <row r="773" spans="1:9">
      <c r="A773" s="57"/>
      <c r="B773" s="57"/>
      <c r="C773" s="385"/>
      <c r="D773" s="481"/>
      <c r="E773" s="481"/>
      <c r="F773" s="481"/>
      <c r="G773" s="3"/>
      <c r="I773" s="524"/>
    </row>
    <row r="774" spans="1:9">
      <c r="A774" s="57"/>
      <c r="B774" s="519" t="s">
        <v>2783</v>
      </c>
      <c r="C774" s="385"/>
      <c r="D774" s="1299" t="s">
        <v>1946</v>
      </c>
      <c r="E774" s="1299"/>
      <c r="F774" s="1299"/>
      <c r="G774" s="3"/>
      <c r="I774" s="517" t="s">
        <v>2159</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2784</v>
      </c>
      <c r="C778" s="172"/>
      <c r="D778" s="1299" t="s">
        <v>1947</v>
      </c>
      <c r="E778" s="1299"/>
      <c r="F778" s="1299"/>
      <c r="G778" s="3"/>
      <c r="I778" s="517" t="s">
        <v>2159</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2783</v>
      </c>
      <c r="C782" s="1024"/>
      <c r="D782" s="1299" t="s">
        <v>1948</v>
      </c>
      <c r="E782" s="1299"/>
      <c r="F782" s="1299"/>
      <c r="G782" s="1023"/>
      <c r="I782" s="517" t="s">
        <v>2159</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2784</v>
      </c>
      <c r="C786" s="1024"/>
      <c r="D786" s="1299" t="s">
        <v>1949</v>
      </c>
      <c r="E786" s="1299"/>
      <c r="F786" s="1299"/>
      <c r="G786" s="1023"/>
      <c r="I786" s="517" t="s">
        <v>2159</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1993</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2784</v>
      </c>
      <c r="C796" s="1024"/>
      <c r="D796" s="1299" t="s">
        <v>1950</v>
      </c>
      <c r="E796" s="1299"/>
      <c r="F796" s="1299"/>
      <c r="G796" s="1023"/>
      <c r="I796" s="517" t="s">
        <v>2159</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2783</v>
      </c>
      <c r="C803" s="1024"/>
      <c r="D803" s="1299" t="s">
        <v>1951</v>
      </c>
      <c r="E803" s="1299"/>
      <c r="F803" s="1299"/>
      <c r="G803" s="1023"/>
      <c r="I803" s="517" t="s">
        <v>2159</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2784</v>
      </c>
      <c r="C810" s="1024"/>
      <c r="D810" s="1307" t="s">
        <v>1952</v>
      </c>
      <c r="E810" s="1307"/>
      <c r="F810" s="1307"/>
      <c r="G810" s="1023"/>
      <c r="I810" s="517" t="s">
        <v>2159</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1953</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1994</v>
      </c>
      <c r="E819" s="1298"/>
      <c r="F819" s="1298"/>
      <c r="G819" s="3"/>
      <c r="I819" s="524"/>
    </row>
    <row r="820" spans="1:9" ht="14.25" customHeight="1">
      <c r="A820" s="176"/>
      <c r="B820" s="176"/>
      <c r="C820" s="385"/>
      <c r="D820" s="1266" t="s">
        <v>1954</v>
      </c>
      <c r="E820" s="1266"/>
      <c r="F820" s="1266"/>
      <c r="G820" s="3"/>
      <c r="I820" s="524"/>
    </row>
    <row r="821" spans="1:9" ht="12.75" customHeight="1">
      <c r="A821" s="176"/>
      <c r="B821" s="176"/>
      <c r="C821" s="385"/>
      <c r="D821" s="474"/>
      <c r="E821" s="474"/>
      <c r="F821" s="474"/>
      <c r="G821" s="3"/>
      <c r="I821" s="524"/>
    </row>
    <row r="822" spans="1:9" ht="12.75" customHeight="1">
      <c r="A822" s="385"/>
      <c r="B822" s="519" t="s">
        <v>2783</v>
      </c>
      <c r="C822" s="1024"/>
      <c r="D822" s="1266" t="s">
        <v>1955</v>
      </c>
      <c r="E822" s="1266"/>
      <c r="F822" s="1266"/>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2392</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2783</v>
      </c>
      <c r="C836" s="1024"/>
      <c r="D836" s="1266" t="s">
        <v>1956</v>
      </c>
      <c r="E836" s="1266"/>
      <c r="F836" s="1266"/>
      <c r="G836" s="3"/>
      <c r="I836" s="524" t="s">
        <v>2145</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2784</v>
      </c>
      <c r="C840" s="1024"/>
      <c r="D840" s="1298" t="s">
        <v>1957</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2383</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2783</v>
      </c>
      <c r="C849" s="1024"/>
      <c r="D849" s="1266" t="s">
        <v>1958</v>
      </c>
      <c r="E849" s="1266"/>
      <c r="F849" s="1266"/>
      <c r="G849" s="3"/>
      <c r="I849" s="524" t="s">
        <v>2128</v>
      </c>
    </row>
    <row r="850" spans="1:9" ht="12.75" customHeight="1">
      <c r="A850" s="176"/>
      <c r="B850" s="176"/>
      <c r="C850" s="1024"/>
      <c r="D850" s="1266" t="s">
        <v>1959</v>
      </c>
      <c r="E850" s="1266"/>
      <c r="F850" s="1266"/>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2784</v>
      </c>
      <c r="C853" s="1024"/>
      <c r="D853" s="1266" t="s">
        <v>1960</v>
      </c>
      <c r="E853" s="1266"/>
      <c r="F853" s="1266"/>
      <c r="G853" s="3"/>
      <c r="I853" s="524" t="s">
        <v>2146</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1995</v>
      </c>
      <c r="E860" s="1285"/>
      <c r="F860" s="1285"/>
      <c r="G860" s="1023"/>
      <c r="I860" s="524"/>
    </row>
    <row r="861" spans="1:9" ht="12.75" customHeight="1">
      <c r="A861" s="385"/>
      <c r="B861" s="385"/>
      <c r="C861" s="175"/>
      <c r="D861" s="1342" t="s">
        <v>1962</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2783</v>
      </c>
      <c r="C863" s="385"/>
      <c r="D863" s="1286" t="s">
        <v>1963</v>
      </c>
      <c r="E863" s="1286"/>
      <c r="F863" s="1286"/>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2783</v>
      </c>
      <c r="C866" s="385"/>
      <c r="D866" s="1266" t="s">
        <v>1964</v>
      </c>
      <c r="E866" s="1315"/>
      <c r="F866" s="1315"/>
      <c r="G866" s="3"/>
      <c r="I866" s="524" t="s">
        <v>2146</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2784</v>
      </c>
      <c r="C869" s="385"/>
      <c r="D869" s="1346" t="s">
        <v>1965</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2383</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2784</v>
      </c>
      <c r="C878" s="385"/>
      <c r="D878" s="1290" t="s">
        <v>1958</v>
      </c>
      <c r="E878" s="1290"/>
      <c r="F878" s="1290"/>
      <c r="G878" s="1023"/>
      <c r="I878" s="524" t="s">
        <v>2128</v>
      </c>
    </row>
    <row r="879" spans="1:9" ht="12.75" customHeight="1">
      <c r="A879" s="176"/>
      <c r="B879" s="176"/>
      <c r="C879" s="385"/>
      <c r="D879" s="1290" t="s">
        <v>1959</v>
      </c>
      <c r="E879" s="1290"/>
      <c r="F879" s="1290"/>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2784</v>
      </c>
      <c r="C882" s="385"/>
      <c r="D882" s="1266" t="s">
        <v>1960</v>
      </c>
      <c r="E882" s="1266"/>
      <c r="F882" s="1266"/>
      <c r="G882" s="1023"/>
      <c r="I882" s="524" t="s">
        <v>2146</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1996</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2002</v>
      </c>
      <c r="E889" s="1300"/>
      <c r="F889" s="1300"/>
      <c r="G889" s="57"/>
      <c r="I889" s="524"/>
    </row>
    <row r="890" spans="1:9" ht="12.75" customHeight="1">
      <c r="A890" s="57"/>
      <c r="B890" s="57"/>
      <c r="C890" s="57"/>
      <c r="D890" s="1016"/>
      <c r="E890" s="1016"/>
      <c r="F890" s="1016"/>
      <c r="G890" s="57"/>
      <c r="I890" s="524"/>
    </row>
    <row r="891" spans="1:9" ht="12.75" customHeight="1">
      <c r="A891" s="57"/>
      <c r="B891" s="519" t="s">
        <v>2783</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0" t="s">
        <v>1997</v>
      </c>
      <c r="E893" s="1300"/>
      <c r="F893" s="1300"/>
      <c r="G893" s="1023"/>
      <c r="I893" s="524"/>
    </row>
    <row r="894" spans="1:9" ht="12.75" customHeight="1">
      <c r="A894" s="172"/>
      <c r="B894" s="172"/>
      <c r="C894" s="172"/>
      <c r="D894" s="1286" t="s">
        <v>1966</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2783</v>
      </c>
      <c r="C896" s="385"/>
      <c r="D896" s="1266" t="s">
        <v>1970</v>
      </c>
      <c r="E896" s="1266"/>
      <c r="F896" s="1266"/>
      <c r="G896" s="3"/>
      <c r="I896" s="524" t="s">
        <v>2112</v>
      </c>
    </row>
    <row r="897" spans="1:9" ht="12.75" customHeight="1">
      <c r="A897" s="385"/>
      <c r="B897" s="385"/>
      <c r="C897" s="385"/>
      <c r="D897" s="1266"/>
      <c r="E897" s="1266"/>
      <c r="F897" s="1266"/>
      <c r="G897" s="3"/>
      <c r="I897" s="524"/>
    </row>
    <row r="898" spans="1:9" ht="12.75" customHeight="1">
      <c r="A898" s="172"/>
      <c r="B898" s="172"/>
      <c r="C898" s="172"/>
      <c r="D898" s="1266" t="s">
        <v>1969</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2783</v>
      </c>
      <c r="C901" s="175"/>
      <c r="D901" s="1270" t="s">
        <v>1967</v>
      </c>
      <c r="E901" s="1270"/>
      <c r="F901" s="1270"/>
      <c r="G901" s="1023"/>
      <c r="I901" s="524" t="s">
        <v>2111</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2784</v>
      </c>
      <c r="C910" s="1024"/>
      <c r="D910" s="1266" t="s">
        <v>1971</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2784</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2784</v>
      </c>
      <c r="C918" s="1024"/>
      <c r="D918" s="1286" t="s">
        <v>2384</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2784</v>
      </c>
      <c r="C920" s="1024"/>
      <c r="D920" s="1286" t="s">
        <v>2385</v>
      </c>
      <c r="E920" s="1286"/>
      <c r="F920" s="1286"/>
      <c r="G920" s="1023"/>
      <c r="I920" s="524"/>
    </row>
    <row r="921" spans="1:9" ht="12.75" customHeight="1">
      <c r="A921" s="175"/>
      <c r="B921" s="175"/>
      <c r="C921" s="175"/>
      <c r="D921" s="2"/>
      <c r="E921" s="3"/>
      <c r="F921" s="1023"/>
      <c r="G921" s="1023"/>
      <c r="I921" s="524"/>
    </row>
    <row r="922" spans="1:9" ht="12.75" customHeight="1">
      <c r="A922" s="1032"/>
      <c r="B922" s="519" t="s">
        <v>2783</v>
      </c>
      <c r="C922" s="1033"/>
      <c r="D922" s="1270" t="s">
        <v>1968</v>
      </c>
      <c r="E922" s="1270"/>
      <c r="F922" s="1270"/>
      <c r="G922" s="1034"/>
      <c r="I922" s="524" t="s">
        <v>2161</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2783</v>
      </c>
      <c r="C932" s="175"/>
      <c r="D932" s="1347" t="s">
        <v>2163</v>
      </c>
      <c r="E932" s="1347"/>
      <c r="F932" s="1347"/>
      <c r="G932" s="1023"/>
      <c r="I932" s="524" t="s">
        <v>2161</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2783</v>
      </c>
      <c r="C940" s="175"/>
      <c r="D940" s="1269" t="s">
        <v>2457</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2784</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2784</v>
      </c>
      <c r="C952" s="175"/>
      <c r="D952" s="1270" t="s">
        <v>2162</v>
      </c>
      <c r="E952" s="1270"/>
      <c r="F952" s="1270"/>
      <c r="G952" s="1023"/>
      <c r="I952" s="524" t="s">
        <v>2161</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1974</v>
      </c>
      <c r="E957" s="1285"/>
      <c r="F957" s="1285"/>
      <c r="G957" s="3"/>
      <c r="I957" s="524"/>
    </row>
    <row r="958" spans="1:9" ht="12.75" customHeight="1">
      <c r="A958" s="176"/>
      <c r="B958" s="519" t="s">
        <v>2784</v>
      </c>
      <c r="C958" s="385"/>
      <c r="D958" s="1286" t="s">
        <v>1998</v>
      </c>
      <c r="E958" s="1286"/>
      <c r="F958" s="1286"/>
      <c r="G958" s="3"/>
      <c r="I958" s="524" t="s">
        <v>2161</v>
      </c>
    </row>
    <row r="959" spans="1:9" ht="12.75" customHeight="1">
      <c r="A959" s="385"/>
      <c r="B959" s="385"/>
      <c r="C959" s="385"/>
      <c r="D959" s="3"/>
      <c r="E959" s="3"/>
      <c r="F959" s="3"/>
      <c r="G959" s="3"/>
      <c r="I959" s="524"/>
    </row>
    <row r="960" spans="1:9" ht="12.75" customHeight="1">
      <c r="A960" s="385"/>
      <c r="B960" s="385"/>
      <c r="C960" s="385"/>
      <c r="D960" s="1285" t="s">
        <v>1975</v>
      </c>
      <c r="E960" s="1285"/>
      <c r="F960" s="1285"/>
      <c r="G960"/>
      <c r="I960" s="524"/>
    </row>
    <row r="961" spans="1:9" ht="12.75" customHeight="1">
      <c r="A961" s="176"/>
      <c r="B961" s="519" t="s">
        <v>2784</v>
      </c>
      <c r="C961" s="385"/>
      <c r="D961" s="1266" t="s">
        <v>2386</v>
      </c>
      <c r="E961" s="1266"/>
      <c r="F961" s="1266"/>
      <c r="G961"/>
      <c r="I961" s="524" t="s">
        <v>2161</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1976</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1999</v>
      </c>
      <c r="E979" s="1285"/>
      <c r="F979" s="1285"/>
      <c r="G979" s="3"/>
      <c r="I979" s="524"/>
    </row>
    <row r="980" spans="1:9" ht="12.75" customHeight="1">
      <c r="A980" s="172"/>
      <c r="B980" s="172"/>
      <c r="C980" s="172"/>
      <c r="D980" s="1286" t="s">
        <v>1977</v>
      </c>
      <c r="E980" s="1286"/>
      <c r="F980" s="1286"/>
      <c r="G980" s="3"/>
      <c r="I980" s="524"/>
    </row>
    <row r="981" spans="1:9" ht="12.75" customHeight="1">
      <c r="A981" s="172"/>
      <c r="B981" s="172"/>
      <c r="C981" s="172"/>
      <c r="D981" s="3"/>
      <c r="E981" s="3"/>
      <c r="F981" s="1023"/>
      <c r="G981"/>
      <c r="I981" s="524"/>
    </row>
    <row r="982" spans="1:9" ht="12.75" customHeight="1">
      <c r="A982" s="385"/>
      <c r="B982" s="519" t="s">
        <v>2783</v>
      </c>
      <c r="C982" s="385"/>
      <c r="D982" s="1349" t="s">
        <v>2216</v>
      </c>
      <c r="E982" s="1349"/>
      <c r="F982" s="1349"/>
      <c r="G982"/>
      <c r="I982" s="524" t="s">
        <v>2141</v>
      </c>
    </row>
    <row r="983" spans="1:9" ht="12.75" customHeight="1">
      <c r="A983" s="385"/>
      <c r="B983" s="385"/>
      <c r="C983" s="385"/>
      <c r="D983" s="1349"/>
      <c r="E983" s="1349"/>
      <c r="F983" s="1349"/>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2783</v>
      </c>
      <c r="C990" s="175"/>
      <c r="D990" s="1266" t="s">
        <v>1978</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2784</v>
      </c>
      <c r="C995" s="175"/>
      <c r="D995" s="1266" t="s">
        <v>1979</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2783</v>
      </c>
      <c r="C998" s="385"/>
      <c r="D998" s="1286" t="s">
        <v>1980</v>
      </c>
      <c r="E998" s="1286"/>
      <c r="F998" s="1286"/>
      <c r="G998"/>
      <c r="I998" s="524"/>
    </row>
    <row r="999" spans="1:9" ht="12.75" customHeight="1">
      <c r="A999" s="385"/>
      <c r="B999" s="385"/>
      <c r="C999" s="385"/>
      <c r="D999" s="3"/>
      <c r="E999" s="3"/>
      <c r="F999" s="3"/>
      <c r="G999"/>
      <c r="I999" s="524"/>
    </row>
    <row r="1000" spans="1:9" ht="12.75" customHeight="1">
      <c r="A1000" s="176"/>
      <c r="B1000" s="519" t="s">
        <v>2783</v>
      </c>
      <c r="C1000" s="385"/>
      <c r="D1000" s="1286" t="s">
        <v>1981</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2783</v>
      </c>
      <c r="C1002" s="385"/>
      <c r="D1002" s="1286" t="s">
        <v>1982</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2784</v>
      </c>
      <c r="C1004" s="385"/>
      <c r="D1004" s="1266" t="s">
        <v>1983</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2784</v>
      </c>
      <c r="C1007" s="1035"/>
      <c r="D1007" s="1299" t="s">
        <v>1984</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2784</v>
      </c>
      <c r="C1010" s="1035"/>
      <c r="D1010" s="1348" t="s">
        <v>1985</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2783</v>
      </c>
      <c r="C1012" s="385"/>
      <c r="D1012" s="1286" t="s">
        <v>1986</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2784</v>
      </c>
      <c r="C1014" s="385"/>
      <c r="D1014" s="1266" t="s">
        <v>1987</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1988</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1989</v>
      </c>
      <c r="E1019" s="1300"/>
      <c r="F1019" s="1300"/>
      <c r="G1019" s="3"/>
      <c r="I1019" s="524"/>
    </row>
    <row r="1020" spans="1:9" ht="12.75" customHeight="1">
      <c r="A1020" s="385"/>
      <c r="B1020" s="385"/>
      <c r="C1020" s="385"/>
      <c r="D1020" s="1348" t="s">
        <v>1990</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2004</v>
      </c>
      <c r="E1022" s="1300"/>
      <c r="F1022" s="1300"/>
      <c r="G1022" s="3"/>
      <c r="I1022" s="524" t="s">
        <v>2113</v>
      </c>
    </row>
    <row r="1023" spans="1:9" ht="12.75" customHeight="1">
      <c r="A1023" s="385"/>
      <c r="B1023" s="519" t="s">
        <v>2783</v>
      </c>
      <c r="C1023" s="385"/>
      <c r="D1023" s="1348" t="s">
        <v>1381</v>
      </c>
      <c r="E1023" s="1348"/>
      <c r="F1023" s="1348"/>
      <c r="G1023" s="3"/>
      <c r="I1023" s="524"/>
    </row>
    <row r="1024" spans="1:9" ht="12.75" customHeight="1">
      <c r="A1024" s="385"/>
      <c r="B1024" s="176"/>
      <c r="C1024" s="385"/>
      <c r="D1024" s="1348" t="s">
        <v>1991</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2000</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1382</v>
      </c>
      <c r="E1028" s="1295"/>
      <c r="F1028" s="1295"/>
      <c r="G1028" s="3"/>
      <c r="I1028" s="524"/>
    </row>
    <row r="1029" spans="1:9" ht="12.75" hidden="1" customHeight="1">
      <c r="A1029" s="118"/>
      <c r="B1029" s="519" t="s">
        <v>308</v>
      </c>
      <c r="D1029" s="1280" t="s">
        <v>1381</v>
      </c>
      <c r="E1029" s="1280"/>
      <c r="F1029" s="1280"/>
      <c r="G1029" s="3"/>
      <c r="I1029" s="524"/>
    </row>
    <row r="1030" spans="1:9" ht="12.75" hidden="1" customHeight="1">
      <c r="A1030" s="118"/>
      <c r="B1030" s="433"/>
      <c r="D1030" s="1280" t="s">
        <v>2001</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1095</v>
      </c>
      <c r="E1032" s="1354"/>
      <c r="F1032" s="1354"/>
      <c r="G1032" s="3"/>
      <c r="I1032" s="524" t="s">
        <v>2142</v>
      </c>
    </row>
    <row r="1033" spans="1:9" ht="12.75" customHeight="1">
      <c r="A1033" s="345"/>
      <c r="B1033" s="345"/>
      <c r="C1033" s="345"/>
      <c r="D1033" s="1290" t="s">
        <v>1112</v>
      </c>
      <c r="E1033" s="1290"/>
      <c r="F1033" s="1290"/>
      <c r="G1033" s="98"/>
      <c r="I1033" s="524"/>
    </row>
    <row r="1034" spans="1:9" ht="12.75" customHeight="1">
      <c r="A1034" s="176"/>
      <c r="B1034" s="519" t="s">
        <v>2784</v>
      </c>
      <c r="C1034" s="385"/>
      <c r="D1034" s="1290" t="s">
        <v>1005</v>
      </c>
      <c r="E1034" s="1290"/>
      <c r="F1034" s="1290"/>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4" t="s">
        <v>2021</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2784</v>
      </c>
      <c r="C1042" s="433"/>
      <c r="D1042" s="1351" t="s">
        <v>2005</v>
      </c>
      <c r="E1042" s="1351"/>
      <c r="F1042" s="1351"/>
      <c r="I1042" s="524" t="s">
        <v>2114</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2783</v>
      </c>
      <c r="C1050" s="433"/>
      <c r="D1050" s="433" t="s">
        <v>2003</v>
      </c>
      <c r="I1050" s="524" t="s">
        <v>2115</v>
      </c>
    </row>
    <row r="1051" spans="1:9">
      <c r="A1051" s="433"/>
      <c r="B1051" s="433"/>
      <c r="C1051" s="433"/>
      <c r="I1051" s="524"/>
    </row>
    <row r="1052" spans="1:9">
      <c r="A1052" s="433"/>
      <c r="B1052" s="519" t="s">
        <v>2783</v>
      </c>
      <c r="C1052" s="433"/>
      <c r="D1052" s="1351" t="s">
        <v>2009</v>
      </c>
      <c r="E1052" s="1351"/>
      <c r="F1052" s="1351"/>
      <c r="I1052" s="524" t="s">
        <v>2116</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2010</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2783</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2783</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2784</v>
      </c>
      <c r="C1067" s="433"/>
      <c r="D1067" s="119" t="s">
        <v>2019</v>
      </c>
      <c r="I1067" s="524" t="s">
        <v>2119</v>
      </c>
    </row>
    <row r="1068" spans="1:9">
      <c r="A1068" s="433"/>
      <c r="B1068" s="433"/>
      <c r="C1068" s="433"/>
      <c r="D1068" s="1266" t="s">
        <v>2020</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2784</v>
      </c>
      <c r="C1075" s="433"/>
      <c r="D1075" s="1350" t="s">
        <v>2012</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2017</v>
      </c>
      <c r="I1080" s="524"/>
    </row>
    <row r="1081" spans="1:9">
      <c r="A1081" s="433"/>
      <c r="B1081" s="433"/>
      <c r="C1081" s="433"/>
      <c r="I1081" s="524"/>
    </row>
    <row r="1082" spans="1:9">
      <c r="A1082" s="1294" t="s">
        <v>2022</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2784</v>
      </c>
      <c r="C1085" s="433"/>
      <c r="D1085" s="1352" t="s">
        <v>2230</v>
      </c>
      <c r="E1085" s="1352"/>
      <c r="F1085" s="1352"/>
      <c r="I1085" s="524" t="s">
        <v>2121</v>
      </c>
    </row>
    <row r="1086" spans="1:9">
      <c r="A1086" s="433"/>
      <c r="B1086" s="433"/>
      <c r="C1086" s="433"/>
      <c r="D1086" s="1352"/>
      <c r="E1086" s="1352"/>
      <c r="F1086" s="1352"/>
      <c r="I1086" s="524"/>
    </row>
    <row r="1087" spans="1:9">
      <c r="A1087" s="433"/>
      <c r="B1087" s="433"/>
      <c r="C1087" s="433"/>
      <c r="D1087" s="1353" t="s">
        <v>2503</v>
      </c>
      <c r="E1087" s="1266"/>
      <c r="F1087" s="1266"/>
      <c r="I1087" s="524"/>
    </row>
    <row r="1088" spans="1:9">
      <c r="A1088" s="433"/>
      <c r="B1088" s="433"/>
      <c r="C1088" s="433"/>
      <c r="D1088" s="561"/>
      <c r="I1088" s="524"/>
    </row>
    <row r="1089" spans="1:9">
      <c r="A1089" s="433"/>
      <c r="B1089" s="519" t="s">
        <v>2784</v>
      </c>
      <c r="C1089" s="433"/>
      <c r="D1089" s="1350" t="s">
        <v>2023</v>
      </c>
      <c r="E1089" s="1350"/>
      <c r="F1089" s="1350"/>
      <c r="I1089" s="524" t="s">
        <v>2122</v>
      </c>
    </row>
    <row r="1090" spans="1:9">
      <c r="A1090" s="433"/>
      <c r="B1090" s="433"/>
      <c r="C1090" s="433"/>
      <c r="D1090" s="1350"/>
      <c r="E1090" s="1350"/>
      <c r="F1090" s="1350"/>
      <c r="I1090" s="524"/>
    </row>
    <row r="1091" spans="1:9">
      <c r="A1091" s="433"/>
      <c r="B1091" s="433"/>
      <c r="C1091" s="433"/>
      <c r="D1091" s="561"/>
      <c r="I1091" s="524"/>
    </row>
    <row r="1092" spans="1:9">
      <c r="A1092" s="433"/>
      <c r="B1092" s="519" t="s">
        <v>2784</v>
      </c>
      <c r="C1092" s="433"/>
      <c r="D1092" s="1350" t="s">
        <v>2166</v>
      </c>
      <c r="E1092" s="1350"/>
      <c r="F1092" s="1350"/>
      <c r="I1092" s="524" t="s">
        <v>2164</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2165</v>
      </c>
      <c r="I1098" s="514"/>
    </row>
    <row r="1099" spans="1:9">
      <c r="A1099" s="433"/>
      <c r="B1099" s="519" t="s">
        <v>2784</v>
      </c>
      <c r="C1099" s="433"/>
      <c r="D1099" s="1350" t="s">
        <v>2024</v>
      </c>
      <c r="E1099" s="1350"/>
      <c r="F1099" s="1350"/>
      <c r="I1099" s="524" t="s">
        <v>2123</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2783</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2783</v>
      </c>
      <c r="C1107" s="433"/>
      <c r="D1107" s="1266" t="s">
        <v>2169</v>
      </c>
      <c r="E1107" s="1266"/>
      <c r="F1107" s="1266"/>
      <c r="I1107" s="524" t="s">
        <v>2168</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6" fitToHeight="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90" zoomScaleNormal="100" workbookViewId="0">
      <selection activeCell="C561" sqref="C561:AS564"/>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0" t="s">
        <v>100</v>
      </c>
      <c r="B8" s="1850"/>
      <c r="C8" s="1850"/>
      <c r="D8" s="1850"/>
      <c r="E8" s="1850"/>
      <c r="F8" s="1850"/>
      <c r="G8" s="1850"/>
      <c r="H8" s="1850"/>
      <c r="I8" s="1850"/>
      <c r="J8" s="1850"/>
      <c r="K8" s="1850"/>
      <c r="L8" s="1850"/>
      <c r="M8" s="1850"/>
      <c r="N8" s="1850"/>
      <c r="O8" s="1850"/>
      <c r="P8" s="1850"/>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c r="AT8" s="1850"/>
      <c r="AU8" s="933"/>
      <c r="AV8" s="933"/>
      <c r="AW8" s="933"/>
      <c r="AX8" s="933"/>
      <c r="AY8" s="933"/>
    </row>
    <row r="9" spans="1:51" ht="12.95"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1" t="s">
        <v>2636</v>
      </c>
      <c r="B12" s="1851"/>
      <c r="C12" s="1851"/>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c r="AT12" s="1851"/>
      <c r="AU12" s="6"/>
      <c r="AV12" s="6"/>
      <c r="AW12" s="6"/>
      <c r="AX12" s="6"/>
      <c r="AY12" s="6"/>
    </row>
    <row r="13" spans="1:51" ht="12.95" customHeight="1">
      <c r="A13" s="1276" t="s">
        <v>2394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52" t="s">
        <v>2637</v>
      </c>
      <c r="I16" s="1532"/>
      <c r="J16" s="1532"/>
      <c r="K16" s="1532"/>
      <c r="L16" s="1532"/>
      <c r="M16" s="1532"/>
      <c r="N16" s="1532"/>
      <c r="O16" s="1532"/>
      <c r="P16" s="1532"/>
      <c r="Q16" s="1532"/>
      <c r="R16" s="1532"/>
      <c r="S16" s="1532"/>
      <c r="T16" s="1532"/>
      <c r="U16" s="1532"/>
      <c r="V16" s="1532"/>
      <c r="W16" s="1532"/>
      <c r="X16" s="1532"/>
      <c r="Y16" s="1532"/>
      <c r="Z16" s="1532"/>
      <c r="AA16" s="1532"/>
      <c r="AB16" s="1532"/>
      <c r="AC16" s="1532"/>
      <c r="AD16" s="1532"/>
      <c r="AE16" s="1532"/>
      <c r="AF16" s="1532"/>
      <c r="AG16" s="1532"/>
      <c r="AH16" s="1532"/>
      <c r="AI16" s="1532"/>
      <c r="AJ16" s="1532"/>
    </row>
    <row r="17" spans="1:52" ht="12.95" customHeight="1"/>
    <row r="18" spans="1:52" ht="12.95" customHeight="1">
      <c r="A18" s="57" t="s">
        <v>101</v>
      </c>
      <c r="C18" s="4"/>
      <c r="D18" s="4"/>
      <c r="E18" s="4"/>
      <c r="F18" s="4"/>
      <c r="G18" s="4"/>
      <c r="H18" s="1556" t="s">
        <v>2638</v>
      </c>
      <c r="I18" s="1466"/>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row>
    <row r="19" spans="1:52" ht="12.95" customHeight="1"/>
    <row r="20" spans="1:52" ht="12.95" customHeight="1">
      <c r="A20" s="1852" t="s">
        <v>884</v>
      </c>
      <c r="B20" s="1852"/>
      <c r="C20" s="1852"/>
      <c r="D20" s="1852"/>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c r="AP20" s="1852"/>
      <c r="AQ20" s="1852"/>
      <c r="AR20" s="1852"/>
      <c r="AS20" s="1852"/>
      <c r="AT20" s="1852"/>
      <c r="AU20" s="935"/>
      <c r="AV20" s="935"/>
      <c r="AW20" s="935"/>
      <c r="AX20" s="935"/>
      <c r="AY20" s="935"/>
    </row>
    <row r="21" spans="1:52" ht="12.95" customHeight="1">
      <c r="A21" s="1553" t="s">
        <v>1033</v>
      </c>
      <c r="B21" s="1553"/>
      <c r="C21" s="1553"/>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55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2509</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1">
        <f>'Basis &amp; Credits'!AB56</f>
        <v>3447373</v>
      </c>
      <c r="N26" s="1551"/>
      <c r="O26" s="1551"/>
      <c r="P26" s="1551"/>
      <c r="Q26" s="1551"/>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2">
        <f>'Basis &amp; Credits'!AB77</f>
        <v>10108886</v>
      </c>
      <c r="N27" s="1362"/>
      <c r="O27" s="1362"/>
      <c r="P27" s="1362"/>
      <c r="Q27" s="1362"/>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7" t="s">
        <v>2510</v>
      </c>
      <c r="B29" s="1847"/>
      <c r="C29" s="1847"/>
      <c r="D29" s="184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c r="AL29" s="1847"/>
      <c r="AM29" s="1847"/>
      <c r="AN29" s="1847"/>
      <c r="AO29" s="1847"/>
      <c r="AP29" s="1847"/>
      <c r="AQ29" s="1847"/>
      <c r="AR29" s="1847"/>
      <c r="AS29" s="1847"/>
      <c r="AT29" s="1847"/>
    </row>
    <row r="30" spans="1:52" ht="12.95" customHeight="1">
      <c r="A30" s="1847"/>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7"/>
      <c r="AG30" s="1847"/>
      <c r="AH30" s="1847"/>
      <c r="AI30" s="1847"/>
      <c r="AJ30" s="1847"/>
      <c r="AK30" s="1847"/>
      <c r="AL30" s="1847"/>
      <c r="AM30" s="1847"/>
      <c r="AN30" s="1847"/>
      <c r="AO30" s="1847"/>
      <c r="AP30" s="1847"/>
      <c r="AQ30" s="1847"/>
      <c r="AR30" s="1847"/>
      <c r="AS30" s="1847"/>
      <c r="AT30" s="1847"/>
      <c r="AZ30" s="20"/>
    </row>
    <row r="31" spans="1:52" ht="12.95" customHeight="1">
      <c r="A31" s="1847"/>
      <c r="B31" s="1847"/>
      <c r="C31" s="1847"/>
      <c r="D31" s="1847"/>
      <c r="E31" s="1847"/>
      <c r="F31" s="1847"/>
      <c r="G31" s="1847"/>
      <c r="H31" s="1847"/>
      <c r="I31" s="1847"/>
      <c r="J31" s="1847"/>
      <c r="K31" s="1847"/>
      <c r="L31" s="1847"/>
      <c r="M31" s="1847"/>
      <c r="N31" s="1847"/>
      <c r="O31" s="1847"/>
      <c r="P31" s="1847"/>
      <c r="Q31" s="1847"/>
      <c r="R31" s="1847"/>
      <c r="S31" s="1847"/>
      <c r="T31" s="1847"/>
      <c r="U31" s="1847"/>
      <c r="V31" s="1847"/>
      <c r="W31" s="1847"/>
      <c r="X31" s="1847"/>
      <c r="Y31" s="1847"/>
      <c r="Z31" s="1847"/>
      <c r="AA31" s="1847"/>
      <c r="AB31" s="1847"/>
      <c r="AC31" s="1847"/>
      <c r="AD31" s="1847"/>
      <c r="AE31" s="1847"/>
      <c r="AF31" s="1847"/>
      <c r="AG31" s="1847"/>
      <c r="AH31" s="1847"/>
      <c r="AI31" s="1847"/>
      <c r="AJ31" s="1847"/>
      <c r="AK31" s="1847"/>
      <c r="AL31" s="1847"/>
      <c r="AM31" s="1847"/>
      <c r="AN31" s="1847"/>
      <c r="AO31" s="1847"/>
      <c r="AP31" s="1847"/>
      <c r="AQ31" s="1847"/>
      <c r="AR31" s="1847"/>
      <c r="AS31" s="1847"/>
      <c r="AT31" s="184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435" t="s">
        <v>553</v>
      </c>
      <c r="P33" s="1435"/>
      <c r="Q33" s="1853" t="s">
        <v>2511</v>
      </c>
      <c r="R33" s="1853"/>
      <c r="S33" s="1853"/>
      <c r="T33" s="1853"/>
      <c r="U33" s="1853"/>
      <c r="V33" s="1853"/>
      <c r="W33" s="1853"/>
      <c r="X33" s="1853"/>
      <c r="Y33" s="1853"/>
      <c r="Z33" s="1853"/>
      <c r="AA33" s="1853"/>
      <c r="AB33" s="1853"/>
      <c r="AC33" s="1853"/>
      <c r="AD33" s="1853"/>
      <c r="AE33" s="1853"/>
      <c r="AF33" s="1853"/>
      <c r="AG33" s="1853"/>
      <c r="AH33" s="1853"/>
      <c r="AI33" s="1853"/>
      <c r="AJ33" s="1853"/>
      <c r="AK33" s="1853"/>
      <c r="AL33" s="1853"/>
      <c r="AM33" s="1853"/>
      <c r="AN33" s="1853"/>
      <c r="AO33" s="1853"/>
      <c r="AP33" s="1853"/>
      <c r="AQ33" s="1853"/>
      <c r="AR33" s="1853"/>
      <c r="AS33" s="1853"/>
      <c r="AT33" s="1853"/>
      <c r="AU33" s="20"/>
      <c r="AV33" s="20"/>
      <c r="AW33" s="20"/>
      <c r="AX33" s="20"/>
      <c r="AY33" s="20"/>
    </row>
    <row r="34" spans="1:52" ht="12.95" customHeight="1">
      <c r="A34" s="1847" t="s">
        <v>2512</v>
      </c>
      <c r="B34" s="1847"/>
      <c r="C34" s="1847"/>
      <c r="D34" s="1847"/>
      <c r="E34" s="1847"/>
      <c r="F34" s="1847"/>
      <c r="G34" s="1847"/>
      <c r="H34" s="1847"/>
      <c r="I34" s="1847"/>
      <c r="J34" s="1847"/>
      <c r="K34" s="1847"/>
      <c r="L34" s="1847"/>
      <c r="M34" s="1847"/>
      <c r="N34" s="1847"/>
      <c r="O34" s="1847"/>
      <c r="P34" s="1847"/>
      <c r="Q34" s="1847"/>
      <c r="R34" s="1847"/>
      <c r="S34" s="1847"/>
      <c r="T34" s="1847"/>
      <c r="U34" s="1847"/>
      <c r="V34" s="1847"/>
      <c r="W34" s="1847"/>
      <c r="X34" s="1847"/>
      <c r="Y34" s="1847"/>
      <c r="Z34" s="1847"/>
      <c r="AA34" s="1847"/>
      <c r="AB34" s="1847"/>
      <c r="AC34" s="1847"/>
      <c r="AD34" s="1847"/>
      <c r="AE34" s="1847"/>
      <c r="AF34" s="1847"/>
      <c r="AG34" s="1847"/>
      <c r="AH34" s="1847"/>
      <c r="AI34" s="1847"/>
      <c r="AJ34" s="1847"/>
      <c r="AK34" s="1847"/>
      <c r="AL34" s="1847"/>
      <c r="AM34" s="1847"/>
      <c r="AN34" s="1847"/>
      <c r="AO34" s="1847"/>
      <c r="AP34" s="1847"/>
      <c r="AQ34" s="1847"/>
      <c r="AR34" s="1847"/>
      <c r="AS34" s="1847"/>
      <c r="AT34" s="1847"/>
      <c r="AU34" s="20"/>
      <c r="AV34" s="20"/>
      <c r="AW34" s="20"/>
      <c r="AX34" s="20"/>
      <c r="AY34" s="20"/>
      <c r="AZ34" s="20"/>
    </row>
    <row r="35" spans="1:52" ht="12.95" customHeight="1">
      <c r="A35" s="1847"/>
      <c r="B35" s="1847"/>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c r="AF35" s="1847"/>
      <c r="AG35" s="1847"/>
      <c r="AH35" s="1847"/>
      <c r="AI35" s="1847"/>
      <c r="AJ35" s="1847"/>
      <c r="AK35" s="1847"/>
      <c r="AL35" s="1847"/>
      <c r="AM35" s="1847"/>
      <c r="AN35" s="1847"/>
      <c r="AO35" s="1847"/>
      <c r="AP35" s="1847"/>
      <c r="AQ35" s="1847"/>
      <c r="AR35" s="1847"/>
      <c r="AS35" s="1847"/>
      <c r="AT35" s="1847"/>
      <c r="AU35" s="20"/>
      <c r="AV35" s="20"/>
      <c r="AW35" s="20"/>
      <c r="AX35" s="20"/>
      <c r="AY35" s="20"/>
      <c r="AZ35" s="20"/>
    </row>
    <row r="36" spans="1:52" ht="12.95" customHeight="1">
      <c r="A36" s="1847"/>
      <c r="B36" s="1847"/>
      <c r="C36" s="1847"/>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c r="AC36" s="1847"/>
      <c r="AD36" s="1847"/>
      <c r="AE36" s="1847"/>
      <c r="AF36" s="1847"/>
      <c r="AG36" s="1847"/>
      <c r="AH36" s="1847"/>
      <c r="AI36" s="1847"/>
      <c r="AJ36" s="1847"/>
      <c r="AK36" s="1847"/>
      <c r="AL36" s="1847"/>
      <c r="AM36" s="1847"/>
      <c r="AN36" s="1847"/>
      <c r="AO36" s="1847"/>
      <c r="AP36" s="1847"/>
      <c r="AQ36" s="1847"/>
      <c r="AR36" s="1847"/>
      <c r="AS36" s="1847"/>
      <c r="AT36" s="1847"/>
      <c r="AU36" s="20"/>
      <c r="AV36" s="20"/>
      <c r="AW36" s="20"/>
      <c r="AX36" s="20"/>
      <c r="AY36" s="20"/>
      <c r="AZ36" s="20"/>
    </row>
    <row r="37" spans="1:52" ht="12.95" customHeight="1">
      <c r="A37" s="1847"/>
      <c r="B37" s="1847"/>
      <c r="C37" s="1847"/>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c r="AF37" s="1847"/>
      <c r="AG37" s="1847"/>
      <c r="AH37" s="1847"/>
      <c r="AI37" s="1847"/>
      <c r="AJ37" s="1847"/>
      <c r="AK37" s="1847"/>
      <c r="AL37" s="1847"/>
      <c r="AM37" s="1847"/>
      <c r="AN37" s="1847"/>
      <c r="AO37" s="1847"/>
      <c r="AP37" s="1847"/>
      <c r="AQ37" s="1847"/>
      <c r="AR37" s="1847"/>
      <c r="AS37" s="1847"/>
      <c r="AT37" s="1847"/>
      <c r="AZ37" s="20"/>
    </row>
    <row r="38" spans="1:52" ht="12.95" customHeight="1">
      <c r="A38" s="3"/>
      <c r="AZ38" s="20"/>
    </row>
    <row r="39" spans="1:52" ht="12.95" customHeight="1">
      <c r="A39" s="1266" t="s">
        <v>2513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2514</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2" t="s">
        <v>2519</v>
      </c>
      <c r="B65" s="1542"/>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542"/>
      <c r="AM65" s="1542"/>
      <c r="AN65" s="1542"/>
      <c r="AO65" s="1542"/>
      <c r="AP65" s="1542"/>
      <c r="AQ65" s="1542"/>
      <c r="AR65" s="1542"/>
      <c r="AS65" s="1542"/>
      <c r="AT65" s="1542"/>
      <c r="AU65" s="21"/>
      <c r="AV65" s="21"/>
      <c r="AW65" s="21"/>
      <c r="AX65" s="21"/>
      <c r="AY65" s="21"/>
      <c r="AZ65" s="20"/>
    </row>
    <row r="66" spans="1:52" ht="12.95" customHeight="1">
      <c r="A66" s="1542"/>
      <c r="B66" s="1542"/>
      <c r="C66" s="1542"/>
      <c r="D66" s="1542"/>
      <c r="E66" s="1542"/>
      <c r="F66" s="1542"/>
      <c r="G66" s="1542"/>
      <c r="H66" s="1542"/>
      <c r="I66" s="1542"/>
      <c r="J66" s="1542"/>
      <c r="K66" s="1542"/>
      <c r="L66" s="1542"/>
      <c r="M66" s="1542"/>
      <c r="N66" s="1542"/>
      <c r="O66" s="1542"/>
      <c r="P66" s="1542"/>
      <c r="Q66" s="1542"/>
      <c r="R66" s="1542"/>
      <c r="S66" s="1542"/>
      <c r="T66" s="1542"/>
      <c r="U66" s="1542"/>
      <c r="V66" s="1542"/>
      <c r="W66" s="1542"/>
      <c r="X66" s="1542"/>
      <c r="Y66" s="1542"/>
      <c r="Z66" s="1542"/>
      <c r="AA66" s="1542"/>
      <c r="AB66" s="1542"/>
      <c r="AC66" s="1542"/>
      <c r="AD66" s="1542"/>
      <c r="AE66" s="1542"/>
      <c r="AF66" s="1542"/>
      <c r="AG66" s="1542"/>
      <c r="AH66" s="1542"/>
      <c r="AI66" s="1542"/>
      <c r="AJ66" s="1542"/>
      <c r="AK66" s="1542"/>
      <c r="AL66" s="1542"/>
      <c r="AM66" s="1542"/>
      <c r="AN66" s="1542"/>
      <c r="AO66" s="1542"/>
      <c r="AP66" s="1542"/>
      <c r="AQ66" s="1542"/>
      <c r="AR66" s="1542"/>
      <c r="AS66" s="1542"/>
      <c r="AT66" s="1542"/>
      <c r="AU66" s="21"/>
      <c r="AV66" s="21"/>
      <c r="AW66" s="21"/>
      <c r="AX66" s="21"/>
      <c r="AY66" s="21"/>
      <c r="AZ66" s="20"/>
    </row>
    <row r="67" spans="1:52" ht="12.95" customHeight="1">
      <c r="A67" s="1542"/>
      <c r="B67" s="1542"/>
      <c r="C67" s="1542"/>
      <c r="D67" s="1542"/>
      <c r="E67" s="1542"/>
      <c r="F67" s="1542"/>
      <c r="G67" s="1542"/>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2"/>
      <c r="AI67" s="1542"/>
      <c r="AJ67" s="1542"/>
      <c r="AK67" s="1542"/>
      <c r="AL67" s="1542"/>
      <c r="AM67" s="1542"/>
      <c r="AN67" s="1542"/>
      <c r="AO67" s="1542"/>
      <c r="AP67" s="1542"/>
      <c r="AQ67" s="1542"/>
      <c r="AR67" s="1542"/>
      <c r="AS67" s="1542"/>
      <c r="AT67" s="1542"/>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2" t="s">
        <v>2520</v>
      </c>
      <c r="B69" s="1542"/>
      <c r="C69" s="1542"/>
      <c r="D69" s="1542"/>
      <c r="E69" s="1542"/>
      <c r="F69" s="1542"/>
      <c r="G69" s="1542"/>
      <c r="H69" s="1542"/>
      <c r="I69" s="1542"/>
      <c r="J69" s="1542"/>
      <c r="K69" s="1542"/>
      <c r="L69" s="1542"/>
      <c r="M69" s="1542"/>
      <c r="N69" s="1542"/>
      <c r="O69" s="1542"/>
      <c r="P69" s="1542"/>
      <c r="Q69" s="1542"/>
      <c r="R69" s="1542"/>
      <c r="S69" s="1542"/>
      <c r="T69" s="1542"/>
      <c r="U69" s="1542"/>
      <c r="V69" s="1542"/>
      <c r="W69" s="1542"/>
      <c r="X69" s="1542"/>
      <c r="Y69" s="1542"/>
      <c r="Z69" s="1542"/>
      <c r="AA69" s="1542"/>
      <c r="AB69" s="1542"/>
      <c r="AC69" s="1542"/>
      <c r="AD69" s="1542"/>
      <c r="AE69" s="1542"/>
      <c r="AF69" s="1542"/>
      <c r="AG69" s="1542"/>
      <c r="AH69" s="1542"/>
      <c r="AI69" s="1542"/>
      <c r="AJ69" s="1542"/>
      <c r="AK69" s="1542"/>
      <c r="AL69" s="1542"/>
      <c r="AM69" s="1542"/>
      <c r="AN69" s="1542"/>
      <c r="AO69" s="1542"/>
      <c r="AP69" s="1542"/>
      <c r="AQ69" s="1542"/>
      <c r="AR69" s="1542"/>
      <c r="AS69" s="1542"/>
      <c r="AT69" s="1542"/>
      <c r="AZ69" s="20"/>
    </row>
    <row r="70" spans="1:52" ht="12.95" customHeight="1">
      <c r="A70" s="1542"/>
      <c r="B70" s="1542"/>
      <c r="C70" s="1542"/>
      <c r="D70" s="1542"/>
      <c r="E70" s="1542"/>
      <c r="F70" s="1542"/>
      <c r="G70" s="1542"/>
      <c r="H70" s="1542"/>
      <c r="I70" s="1542"/>
      <c r="J70" s="1542"/>
      <c r="K70" s="1542"/>
      <c r="L70" s="1542"/>
      <c r="M70" s="1542"/>
      <c r="N70" s="1542"/>
      <c r="O70" s="1542"/>
      <c r="P70" s="1542"/>
      <c r="Q70" s="1542"/>
      <c r="R70" s="1542"/>
      <c r="S70" s="1542"/>
      <c r="T70" s="1542"/>
      <c r="U70" s="1542"/>
      <c r="V70" s="1542"/>
      <c r="W70" s="1542"/>
      <c r="X70" s="1542"/>
      <c r="Y70" s="1542"/>
      <c r="Z70" s="1542"/>
      <c r="AA70" s="1542"/>
      <c r="AB70" s="1542"/>
      <c r="AC70" s="1542"/>
      <c r="AD70" s="1542"/>
      <c r="AE70" s="1542"/>
      <c r="AF70" s="1542"/>
      <c r="AG70" s="1542"/>
      <c r="AH70" s="1542"/>
      <c r="AI70" s="1542"/>
      <c r="AJ70" s="1542"/>
      <c r="AK70" s="1542"/>
      <c r="AL70" s="1542"/>
      <c r="AM70" s="1542"/>
      <c r="AN70" s="1542"/>
      <c r="AO70" s="1542"/>
      <c r="AP70" s="1542"/>
      <c r="AQ70" s="1542"/>
      <c r="AR70" s="1542"/>
      <c r="AS70" s="1542"/>
      <c r="AT70" s="1542"/>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7" t="s">
        <v>2521</v>
      </c>
      <c r="B72" s="1847"/>
      <c r="C72" s="1847"/>
      <c r="D72" s="1847"/>
      <c r="E72" s="1847"/>
      <c r="F72" s="1847"/>
      <c r="G72" s="1847"/>
      <c r="H72" s="1847"/>
      <c r="I72" s="1847"/>
      <c r="J72" s="1847"/>
      <c r="K72" s="1847"/>
      <c r="L72" s="1847"/>
      <c r="M72" s="1847"/>
      <c r="N72" s="1847"/>
      <c r="O72" s="1847"/>
      <c r="P72" s="1847"/>
      <c r="Q72" s="1847"/>
      <c r="R72" s="1847"/>
      <c r="S72" s="1847"/>
      <c r="T72" s="1847"/>
      <c r="U72" s="1847"/>
      <c r="V72" s="1847"/>
      <c r="W72" s="1847"/>
      <c r="X72" s="1847"/>
      <c r="Y72" s="1847"/>
      <c r="Z72" s="1847"/>
      <c r="AA72" s="1847"/>
      <c r="AB72" s="1847"/>
      <c r="AC72" s="1847"/>
      <c r="AD72" s="1847"/>
      <c r="AE72" s="1847"/>
      <c r="AF72" s="1847"/>
      <c r="AG72" s="1847"/>
      <c r="AH72" s="1847"/>
      <c r="AI72" s="1847"/>
      <c r="AJ72" s="1847"/>
      <c r="AK72" s="1847"/>
      <c r="AL72" s="1847"/>
      <c r="AM72" s="1847"/>
      <c r="AN72" s="1847"/>
      <c r="AO72" s="1847"/>
      <c r="AP72" s="1847"/>
      <c r="AQ72" s="1847"/>
      <c r="AR72" s="1847"/>
      <c r="AS72" s="1847"/>
      <c r="AT72" s="1847"/>
      <c r="AU72" s="20"/>
      <c r="AV72" s="20"/>
      <c r="AW72" s="20"/>
      <c r="AX72" s="20"/>
      <c r="AY72" s="20"/>
      <c r="AZ72" s="20"/>
    </row>
    <row r="73" spans="1:52" ht="12.95" customHeight="1">
      <c r="A73" s="1847"/>
      <c r="B73" s="1847"/>
      <c r="C73" s="1847"/>
      <c r="D73" s="1847"/>
      <c r="E73" s="1847"/>
      <c r="F73" s="1847"/>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c r="AC73" s="1847"/>
      <c r="AD73" s="1847"/>
      <c r="AE73" s="1847"/>
      <c r="AF73" s="1847"/>
      <c r="AG73" s="1847"/>
      <c r="AH73" s="1847"/>
      <c r="AI73" s="1847"/>
      <c r="AJ73" s="1847"/>
      <c r="AK73" s="1847"/>
      <c r="AL73" s="1847"/>
      <c r="AM73" s="1847"/>
      <c r="AN73" s="1847"/>
      <c r="AO73" s="1847"/>
      <c r="AP73" s="1847"/>
      <c r="AQ73" s="1847"/>
      <c r="AR73" s="1847"/>
      <c r="AS73" s="1847"/>
      <c r="AT73" s="184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0" t="s">
        <v>2522</v>
      </c>
      <c r="B75" s="1540"/>
      <c r="C75" s="1540"/>
      <c r="D75" s="1540"/>
      <c r="E75" s="1540"/>
      <c r="F75" s="1540"/>
      <c r="G75" s="1540"/>
      <c r="H75" s="1540"/>
      <c r="I75" s="1540"/>
      <c r="J75" s="1540"/>
      <c r="K75" s="1540"/>
      <c r="L75" s="1540"/>
      <c r="M75" s="1540"/>
      <c r="N75" s="1540"/>
      <c r="O75" s="1540"/>
      <c r="P75" s="1540"/>
      <c r="Q75" s="1540"/>
      <c r="R75" s="1540"/>
      <c r="S75" s="1540"/>
      <c r="T75" s="1540"/>
      <c r="U75" s="1540"/>
      <c r="V75" s="1540"/>
      <c r="W75" s="1540"/>
      <c r="X75" s="1540"/>
      <c r="Y75" s="1540"/>
      <c r="Z75" s="1540"/>
      <c r="AA75" s="1540"/>
      <c r="AB75" s="1540"/>
      <c r="AC75" s="1540"/>
      <c r="AD75" s="1540"/>
      <c r="AE75" s="1540"/>
      <c r="AF75" s="1540"/>
      <c r="AG75" s="1540"/>
      <c r="AH75" s="1540"/>
      <c r="AI75" s="1540"/>
      <c r="AJ75" s="1540"/>
      <c r="AK75" s="1540"/>
      <c r="AL75" s="1540"/>
      <c r="AM75" s="1540"/>
      <c r="AN75" s="1540"/>
      <c r="AO75" s="1540"/>
      <c r="AP75" s="1540"/>
      <c r="AQ75" s="1540"/>
      <c r="AR75" s="1540"/>
      <c r="AS75" s="1540"/>
      <c r="AT75" s="1540"/>
      <c r="AU75" s="20"/>
      <c r="AV75" s="20"/>
      <c r="AW75" s="20"/>
      <c r="AX75" s="20"/>
      <c r="AY75" s="20"/>
      <c r="AZ75" s="20"/>
    </row>
    <row r="76" spans="1:52" ht="12.95" customHeight="1">
      <c r="A76" s="1540"/>
      <c r="B76" s="1540"/>
      <c r="C76" s="1540"/>
      <c r="D76" s="1540"/>
      <c r="E76" s="1540"/>
      <c r="F76" s="1540"/>
      <c r="G76" s="1540"/>
      <c r="H76" s="1540"/>
      <c r="I76" s="1540"/>
      <c r="J76" s="1540"/>
      <c r="K76" s="1540"/>
      <c r="L76" s="1540"/>
      <c r="M76" s="1540"/>
      <c r="N76" s="1540"/>
      <c r="O76" s="1540"/>
      <c r="P76" s="1540"/>
      <c r="Q76" s="1540"/>
      <c r="R76" s="1540"/>
      <c r="S76" s="1540"/>
      <c r="T76" s="1540"/>
      <c r="U76" s="1540"/>
      <c r="V76" s="1540"/>
      <c r="W76" s="1540"/>
      <c r="X76" s="1540"/>
      <c r="Y76" s="1540"/>
      <c r="Z76" s="1540"/>
      <c r="AA76" s="1540"/>
      <c r="AB76" s="1540"/>
      <c r="AC76" s="1540"/>
      <c r="AD76" s="1540"/>
      <c r="AE76" s="1540"/>
      <c r="AF76" s="1540"/>
      <c r="AG76" s="1540"/>
      <c r="AH76" s="1540"/>
      <c r="AI76" s="1540"/>
      <c r="AJ76" s="1540"/>
      <c r="AK76" s="1540"/>
      <c r="AL76" s="1540"/>
      <c r="AM76" s="1540"/>
      <c r="AN76" s="1540"/>
      <c r="AO76" s="1540"/>
      <c r="AP76" s="1540"/>
      <c r="AQ76" s="1540"/>
      <c r="AR76" s="1540"/>
      <c r="AS76" s="1540"/>
      <c r="AT76" s="1540"/>
      <c r="AU76" s="20"/>
      <c r="AV76" s="20"/>
      <c r="AW76" s="20"/>
      <c r="AX76" s="20"/>
      <c r="AY76" s="20"/>
      <c r="AZ76" s="17"/>
    </row>
    <row r="77" spans="1:52" ht="12.95" customHeight="1">
      <c r="A77" s="1540"/>
      <c r="B77" s="1540"/>
      <c r="C77" s="1540"/>
      <c r="D77" s="1540"/>
      <c r="E77" s="1540"/>
      <c r="F77" s="1540"/>
      <c r="G77" s="1540"/>
      <c r="H77" s="1540"/>
      <c r="I77" s="1540"/>
      <c r="J77" s="1540"/>
      <c r="K77" s="1540"/>
      <c r="L77" s="1540"/>
      <c r="M77" s="1540"/>
      <c r="N77" s="1540"/>
      <c r="O77" s="1540"/>
      <c r="P77" s="1540"/>
      <c r="Q77" s="1540"/>
      <c r="R77" s="1540"/>
      <c r="S77" s="1540"/>
      <c r="T77" s="1540"/>
      <c r="U77" s="1540"/>
      <c r="V77" s="1540"/>
      <c r="W77" s="1540"/>
      <c r="X77" s="1540"/>
      <c r="Y77" s="1540"/>
      <c r="Z77" s="1540"/>
      <c r="AA77" s="1540"/>
      <c r="AB77" s="1540"/>
      <c r="AC77" s="1540"/>
      <c r="AD77" s="1540"/>
      <c r="AE77" s="1540"/>
      <c r="AF77" s="1540"/>
      <c r="AG77" s="1540"/>
      <c r="AH77" s="1540"/>
      <c r="AI77" s="1540"/>
      <c r="AJ77" s="1540"/>
      <c r="AK77" s="1540"/>
      <c r="AL77" s="1540"/>
      <c r="AM77" s="1540"/>
      <c r="AN77" s="1540"/>
      <c r="AO77" s="1540"/>
      <c r="AP77" s="1540"/>
      <c r="AQ77" s="1540"/>
      <c r="AR77" s="1540"/>
      <c r="AS77" s="1540"/>
      <c r="AT77" s="154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2" t="s">
        <v>2523</v>
      </c>
      <c r="B79" s="1542"/>
      <c r="C79" s="1542"/>
      <c r="D79" s="1542"/>
      <c r="E79" s="1542"/>
      <c r="F79" s="1542"/>
      <c r="G79" s="1542"/>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1542"/>
      <c r="AF79" s="1542"/>
      <c r="AG79" s="1542"/>
      <c r="AH79" s="1542"/>
      <c r="AI79" s="1542"/>
      <c r="AJ79" s="1542"/>
      <c r="AK79" s="1542"/>
      <c r="AL79" s="1542"/>
      <c r="AM79" s="1542"/>
      <c r="AN79" s="1542"/>
      <c r="AO79" s="1542"/>
      <c r="AP79" s="1542"/>
      <c r="AQ79" s="1542"/>
      <c r="AR79" s="1542"/>
      <c r="AS79" s="1542"/>
      <c r="AT79" s="1542"/>
      <c r="AU79" s="20"/>
      <c r="AV79" s="20"/>
      <c r="AW79" s="20"/>
      <c r="AX79" s="20"/>
      <c r="AY79" s="20"/>
      <c r="AZ79" s="20"/>
    </row>
    <row r="80" spans="1:52" ht="12.95" customHeight="1">
      <c r="A80" s="1542"/>
      <c r="B80" s="1542"/>
      <c r="C80" s="1542"/>
      <c r="D80" s="1542"/>
      <c r="E80" s="1542"/>
      <c r="F80" s="1542"/>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1542"/>
      <c r="AF80" s="1542"/>
      <c r="AG80" s="1542"/>
      <c r="AH80" s="1542"/>
      <c r="AI80" s="1542"/>
      <c r="AJ80" s="1542"/>
      <c r="AK80" s="1542"/>
      <c r="AL80" s="1542"/>
      <c r="AM80" s="1542"/>
      <c r="AN80" s="1542"/>
      <c r="AO80" s="1542"/>
      <c r="AP80" s="1542"/>
      <c r="AQ80" s="1542"/>
      <c r="AR80" s="1542"/>
      <c r="AS80" s="1542"/>
      <c r="AT80" s="1542"/>
      <c r="AU80" s="20"/>
      <c r="AV80" s="20"/>
      <c r="AW80" s="20"/>
      <c r="AX80" s="20"/>
      <c r="AY80" s="20"/>
      <c r="AZ80" s="20"/>
    </row>
    <row r="81" spans="1:52" ht="12.95" customHeight="1">
      <c r="A81" s="1542"/>
      <c r="B81" s="1542"/>
      <c r="C81" s="1542"/>
      <c r="D81" s="1542"/>
      <c r="E81" s="1542"/>
      <c r="F81" s="1542"/>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1542"/>
      <c r="AF81" s="1542"/>
      <c r="AG81" s="1542"/>
      <c r="AH81" s="1542"/>
      <c r="AI81" s="1542"/>
      <c r="AJ81" s="1542"/>
      <c r="AK81" s="1542"/>
      <c r="AL81" s="1542"/>
      <c r="AM81" s="1542"/>
      <c r="AN81" s="1542"/>
      <c r="AO81" s="1542"/>
      <c r="AP81" s="1542"/>
      <c r="AQ81" s="1542"/>
      <c r="AR81" s="1542"/>
      <c r="AS81" s="1542"/>
      <c r="AT81" s="1542"/>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39" t="s">
        <v>2526</v>
      </c>
      <c r="B89" s="1539"/>
      <c r="C89" s="1539"/>
      <c r="D89" s="1539"/>
      <c r="E89" s="1539"/>
      <c r="F89" s="1539"/>
      <c r="G89" s="1539"/>
      <c r="H89" s="1539"/>
      <c r="I89" s="1539"/>
      <c r="J89" s="1539"/>
      <c r="K89" s="1539"/>
      <c r="L89" s="1539"/>
      <c r="M89" s="1539"/>
      <c r="N89" s="1539"/>
      <c r="O89" s="1539"/>
      <c r="P89" s="1539"/>
      <c r="Q89" s="1539"/>
      <c r="R89" s="1539"/>
      <c r="S89" s="1539"/>
      <c r="T89" s="1539"/>
      <c r="U89" s="1539"/>
      <c r="V89" s="1539"/>
      <c r="W89" s="1539"/>
      <c r="X89" s="1539"/>
      <c r="Y89" s="1539"/>
      <c r="Z89" s="1539"/>
      <c r="AA89" s="1539"/>
      <c r="AB89" s="1539"/>
      <c r="AC89" s="1539"/>
      <c r="AD89" s="1539"/>
      <c r="AE89" s="1539"/>
      <c r="AF89" s="1539"/>
      <c r="AG89" s="1539"/>
      <c r="AH89" s="1539"/>
      <c r="AI89" s="1539"/>
      <c r="AJ89" s="1539"/>
      <c r="AK89" s="1539"/>
      <c r="AL89" s="1539"/>
      <c r="AM89" s="1539"/>
      <c r="AN89" s="1539"/>
      <c r="AO89" s="1539"/>
      <c r="AP89" s="1539"/>
      <c r="AQ89" s="1539"/>
      <c r="AR89" s="1539"/>
      <c r="AS89" s="1539"/>
      <c r="AT89" s="1539"/>
      <c r="AU89" s="17"/>
      <c r="AV89" s="17"/>
      <c r="AW89" s="17"/>
      <c r="AX89" s="17"/>
      <c r="AY89" s="17"/>
      <c r="AZ89" s="20"/>
    </row>
    <row r="90" spans="1:52" ht="12.95" customHeight="1">
      <c r="A90" s="1539"/>
      <c r="B90" s="1539"/>
      <c r="C90" s="1539"/>
      <c r="D90" s="1539"/>
      <c r="E90" s="1539"/>
      <c r="F90" s="1539"/>
      <c r="G90" s="1539"/>
      <c r="H90" s="1539"/>
      <c r="I90" s="1539"/>
      <c r="J90" s="1539"/>
      <c r="K90" s="1539"/>
      <c r="L90" s="1539"/>
      <c r="M90" s="1539"/>
      <c r="N90" s="1539"/>
      <c r="O90" s="1539"/>
      <c r="P90" s="1539"/>
      <c r="Q90" s="1539"/>
      <c r="R90" s="1539"/>
      <c r="S90" s="1539"/>
      <c r="T90" s="1539"/>
      <c r="U90" s="1539"/>
      <c r="V90" s="1539"/>
      <c r="W90" s="1539"/>
      <c r="X90" s="1539"/>
      <c r="Y90" s="1539"/>
      <c r="Z90" s="1539"/>
      <c r="AA90" s="1539"/>
      <c r="AB90" s="1539"/>
      <c r="AC90" s="1539"/>
      <c r="AD90" s="1539"/>
      <c r="AE90" s="1539"/>
      <c r="AF90" s="1539"/>
      <c r="AG90" s="1539"/>
      <c r="AH90" s="1539"/>
      <c r="AI90" s="1539"/>
      <c r="AJ90" s="1539"/>
      <c r="AK90" s="1539"/>
      <c r="AL90" s="1539"/>
      <c r="AM90" s="1539"/>
      <c r="AN90" s="1539"/>
      <c r="AO90" s="1539"/>
      <c r="AP90" s="1539"/>
      <c r="AQ90" s="1539"/>
      <c r="AR90" s="1539"/>
      <c r="AS90" s="1539"/>
      <c r="AT90" s="1539"/>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0" t="s">
        <v>2527</v>
      </c>
      <c r="B92" s="1540"/>
      <c r="C92" s="1540"/>
      <c r="D92" s="1540"/>
      <c r="E92" s="1540"/>
      <c r="F92" s="1540"/>
      <c r="G92" s="1540"/>
      <c r="H92" s="1540"/>
      <c r="I92" s="1540"/>
      <c r="J92" s="1540"/>
      <c r="K92" s="1540"/>
      <c r="L92" s="1540"/>
      <c r="M92" s="1540"/>
      <c r="N92" s="1540"/>
      <c r="O92" s="1540"/>
      <c r="P92" s="1540"/>
      <c r="Q92" s="1540"/>
      <c r="R92" s="1540"/>
      <c r="S92" s="1540"/>
      <c r="T92" s="1540"/>
      <c r="U92" s="1540"/>
      <c r="V92" s="1540"/>
      <c r="W92" s="1540"/>
      <c r="X92" s="1540"/>
      <c r="Y92" s="1540"/>
      <c r="Z92" s="1540"/>
      <c r="AA92" s="1540"/>
      <c r="AB92" s="1540"/>
      <c r="AC92" s="1540"/>
      <c r="AD92" s="1540"/>
      <c r="AE92" s="1540"/>
      <c r="AF92" s="1540"/>
      <c r="AG92" s="1540"/>
      <c r="AH92" s="1540"/>
      <c r="AI92" s="1540"/>
      <c r="AJ92" s="1540"/>
      <c r="AK92" s="1540"/>
      <c r="AL92" s="1540"/>
      <c r="AM92" s="1540"/>
      <c r="AN92" s="1540"/>
      <c r="AO92" s="1540"/>
      <c r="AP92" s="1540"/>
      <c r="AQ92" s="1540"/>
      <c r="AR92" s="1540"/>
      <c r="AS92" s="1540"/>
      <c r="AT92" s="1540"/>
      <c r="AU92" s="20"/>
      <c r="AV92" s="20"/>
      <c r="AW92" s="20"/>
      <c r="AX92" s="20"/>
      <c r="AY92" s="20"/>
      <c r="AZ92" s="20"/>
    </row>
    <row r="93" spans="1:52" ht="12.95" customHeight="1">
      <c r="A93" s="1540"/>
      <c r="B93" s="1540"/>
      <c r="C93" s="1540"/>
      <c r="D93" s="1540"/>
      <c r="E93" s="1540"/>
      <c r="F93" s="1540"/>
      <c r="G93" s="1540"/>
      <c r="H93" s="1540"/>
      <c r="I93" s="1540"/>
      <c r="J93" s="1540"/>
      <c r="K93" s="1540"/>
      <c r="L93" s="1540"/>
      <c r="M93" s="1540"/>
      <c r="N93" s="1540"/>
      <c r="O93" s="1540"/>
      <c r="P93" s="1540"/>
      <c r="Q93" s="1540"/>
      <c r="R93" s="1540"/>
      <c r="S93" s="1540"/>
      <c r="T93" s="1540"/>
      <c r="U93" s="1540"/>
      <c r="V93" s="1540"/>
      <c r="W93" s="1540"/>
      <c r="X93" s="1540"/>
      <c r="Y93" s="1540"/>
      <c r="Z93" s="1540"/>
      <c r="AA93" s="1540"/>
      <c r="AB93" s="1540"/>
      <c r="AC93" s="1540"/>
      <c r="AD93" s="1540"/>
      <c r="AE93" s="1540"/>
      <c r="AF93" s="1540"/>
      <c r="AG93" s="1540"/>
      <c r="AH93" s="1540"/>
      <c r="AI93" s="1540"/>
      <c r="AJ93" s="1540"/>
      <c r="AK93" s="1540"/>
      <c r="AL93" s="1540"/>
      <c r="AM93" s="1540"/>
      <c r="AN93" s="1540"/>
      <c r="AO93" s="1540"/>
      <c r="AP93" s="1540"/>
      <c r="AQ93" s="1540"/>
      <c r="AR93" s="1540"/>
      <c r="AS93" s="1540"/>
      <c r="AT93" s="1540"/>
      <c r="AU93" s="20"/>
      <c r="AV93" s="20"/>
      <c r="AW93" s="20"/>
      <c r="AX93" s="20"/>
      <c r="AY93" s="20"/>
      <c r="AZ93" s="20"/>
    </row>
    <row r="94" spans="1:52" ht="12.95" customHeight="1">
      <c r="A94" s="1540"/>
      <c r="B94" s="1540"/>
      <c r="C94" s="1540"/>
      <c r="D94" s="1540"/>
      <c r="E94" s="1540"/>
      <c r="F94" s="1540"/>
      <c r="G94" s="1540"/>
      <c r="H94" s="1540"/>
      <c r="I94" s="1540"/>
      <c r="J94" s="1540"/>
      <c r="K94" s="1540"/>
      <c r="L94" s="1540"/>
      <c r="M94" s="1540"/>
      <c r="N94" s="1540"/>
      <c r="O94" s="1540"/>
      <c r="P94" s="1540"/>
      <c r="Q94" s="1540"/>
      <c r="R94" s="1540"/>
      <c r="S94" s="1540"/>
      <c r="T94" s="1540"/>
      <c r="U94" s="1540"/>
      <c r="V94" s="1540"/>
      <c r="W94" s="1540"/>
      <c r="X94" s="1540"/>
      <c r="Y94" s="1540"/>
      <c r="Z94" s="1540"/>
      <c r="AA94" s="1540"/>
      <c r="AB94" s="1540"/>
      <c r="AC94" s="1540"/>
      <c r="AD94" s="1540"/>
      <c r="AE94" s="1540"/>
      <c r="AF94" s="1540"/>
      <c r="AG94" s="1540"/>
      <c r="AH94" s="1540"/>
      <c r="AI94" s="1540"/>
      <c r="AJ94" s="1540"/>
      <c r="AK94" s="1540"/>
      <c r="AL94" s="1540"/>
      <c r="AM94" s="1540"/>
      <c r="AN94" s="1540"/>
      <c r="AO94" s="1540"/>
      <c r="AP94" s="1540"/>
      <c r="AQ94" s="1540"/>
      <c r="AR94" s="1540"/>
      <c r="AS94" s="1540"/>
      <c r="AT94" s="1540"/>
      <c r="AU94" s="20"/>
      <c r="AV94" s="20"/>
      <c r="AW94" s="20"/>
      <c r="AX94" s="20"/>
      <c r="AY94" s="20"/>
      <c r="AZ94" s="20"/>
    </row>
    <row r="95" spans="1:52" ht="12.95" customHeight="1">
      <c r="A95" s="1540"/>
      <c r="B95" s="1540"/>
      <c r="C95" s="1540"/>
      <c r="D95" s="1540"/>
      <c r="E95" s="1540"/>
      <c r="F95" s="1540"/>
      <c r="G95" s="1540"/>
      <c r="H95" s="1540"/>
      <c r="I95" s="1540"/>
      <c r="J95" s="1540"/>
      <c r="K95" s="1540"/>
      <c r="L95" s="1540"/>
      <c r="M95" s="1540"/>
      <c r="N95" s="1540"/>
      <c r="O95" s="1540"/>
      <c r="P95" s="1540"/>
      <c r="Q95" s="1540"/>
      <c r="R95" s="1540"/>
      <c r="S95" s="1540"/>
      <c r="T95" s="1540"/>
      <c r="U95" s="1540"/>
      <c r="V95" s="1540"/>
      <c r="W95" s="1540"/>
      <c r="X95" s="1540"/>
      <c r="Y95" s="1540"/>
      <c r="Z95" s="1540"/>
      <c r="AA95" s="1540"/>
      <c r="AB95" s="1540"/>
      <c r="AC95" s="1540"/>
      <c r="AD95" s="1540"/>
      <c r="AE95" s="1540"/>
      <c r="AF95" s="1540"/>
      <c r="AG95" s="1540"/>
      <c r="AH95" s="1540"/>
      <c r="AI95" s="1540"/>
      <c r="AJ95" s="1540"/>
      <c r="AK95" s="1540"/>
      <c r="AL95" s="1540"/>
      <c r="AM95" s="1540"/>
      <c r="AN95" s="1540"/>
      <c r="AO95" s="1540"/>
      <c r="AP95" s="1540"/>
      <c r="AQ95" s="1540"/>
      <c r="AR95" s="1540"/>
      <c r="AS95" s="1540"/>
      <c r="AT95" s="1540"/>
      <c r="AU95" s="20"/>
      <c r="AV95" s="20"/>
      <c r="AW95" s="20"/>
      <c r="AX95" s="20"/>
      <c r="AY95" s="20"/>
      <c r="AZ95" s="20"/>
    </row>
    <row r="96" spans="1:52" ht="12.95" customHeight="1">
      <c r="A96" s="1540"/>
      <c r="B96" s="1540"/>
      <c r="C96" s="1540"/>
      <c r="D96" s="1540"/>
      <c r="E96" s="1540"/>
      <c r="F96" s="1540"/>
      <c r="G96" s="1540"/>
      <c r="H96" s="1540"/>
      <c r="I96" s="1540"/>
      <c r="J96" s="1540"/>
      <c r="K96" s="1540"/>
      <c r="L96" s="1540"/>
      <c r="M96" s="1540"/>
      <c r="N96" s="1540"/>
      <c r="O96" s="1540"/>
      <c r="P96" s="1540"/>
      <c r="Q96" s="1540"/>
      <c r="R96" s="1540"/>
      <c r="S96" s="1540"/>
      <c r="T96" s="1540"/>
      <c r="U96" s="1540"/>
      <c r="V96" s="1540"/>
      <c r="W96" s="1540"/>
      <c r="X96" s="1540"/>
      <c r="Y96" s="1540"/>
      <c r="Z96" s="1540"/>
      <c r="AA96" s="1540"/>
      <c r="AB96" s="1540"/>
      <c r="AC96" s="1540"/>
      <c r="AD96" s="1540"/>
      <c r="AE96" s="1540"/>
      <c r="AF96" s="1540"/>
      <c r="AG96" s="1540"/>
      <c r="AH96" s="1540"/>
      <c r="AI96" s="1540"/>
      <c r="AJ96" s="1540"/>
      <c r="AK96" s="1540"/>
      <c r="AL96" s="1540"/>
      <c r="AM96" s="1540"/>
      <c r="AN96" s="1540"/>
      <c r="AO96" s="1540"/>
      <c r="AP96" s="1540"/>
      <c r="AQ96" s="1540"/>
      <c r="AR96" s="1540"/>
      <c r="AS96" s="1540"/>
      <c r="AT96" s="1540"/>
      <c r="AU96" s="20"/>
      <c r="AV96" s="20"/>
      <c r="AW96" s="20"/>
      <c r="AX96" s="20"/>
      <c r="AY96" s="20"/>
      <c r="AZ96" s="20"/>
    </row>
    <row r="97" spans="1:52" ht="12.95" customHeight="1">
      <c r="A97" s="1540"/>
      <c r="B97" s="1540"/>
      <c r="C97" s="1540"/>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0"/>
      <c r="AJ97" s="1540"/>
      <c r="AK97" s="1540"/>
      <c r="AL97" s="1540"/>
      <c r="AM97" s="1540"/>
      <c r="AN97" s="1540"/>
      <c r="AO97" s="1540"/>
      <c r="AP97" s="1540"/>
      <c r="AQ97" s="1540"/>
      <c r="AR97" s="1540"/>
      <c r="AS97" s="1540"/>
      <c r="AT97" s="1540"/>
      <c r="AU97" s="20"/>
      <c r="AV97" s="20"/>
      <c r="AW97" s="20"/>
      <c r="AX97" s="20"/>
      <c r="AY97" s="20"/>
      <c r="AZ97" s="20"/>
    </row>
    <row r="98" spans="1:52" ht="12.95" customHeight="1">
      <c r="A98" s="1540"/>
      <c r="B98" s="1540"/>
      <c r="C98" s="1540"/>
      <c r="D98" s="1540"/>
      <c r="E98" s="1540"/>
      <c r="F98" s="1540"/>
      <c r="G98" s="1540"/>
      <c r="H98" s="1540"/>
      <c r="I98" s="1540"/>
      <c r="J98" s="1540"/>
      <c r="K98" s="1540"/>
      <c r="L98" s="1540"/>
      <c r="M98" s="1540"/>
      <c r="N98" s="1540"/>
      <c r="O98" s="1540"/>
      <c r="P98" s="1540"/>
      <c r="Q98" s="1540"/>
      <c r="R98" s="1540"/>
      <c r="S98" s="1540"/>
      <c r="T98" s="1540"/>
      <c r="U98" s="1540"/>
      <c r="V98" s="1540"/>
      <c r="W98" s="1540"/>
      <c r="X98" s="1540"/>
      <c r="Y98" s="1540"/>
      <c r="Z98" s="1540"/>
      <c r="AA98" s="1540"/>
      <c r="AB98" s="1540"/>
      <c r="AC98" s="1540"/>
      <c r="AD98" s="1540"/>
      <c r="AE98" s="1540"/>
      <c r="AF98" s="1540"/>
      <c r="AG98" s="1540"/>
      <c r="AH98" s="1540"/>
      <c r="AI98" s="1540"/>
      <c r="AJ98" s="1540"/>
      <c r="AK98" s="1540"/>
      <c r="AL98" s="1540"/>
      <c r="AM98" s="1540"/>
      <c r="AN98" s="1540"/>
      <c r="AO98" s="1540"/>
      <c r="AP98" s="1540"/>
      <c r="AQ98" s="1540"/>
      <c r="AR98" s="1540"/>
      <c r="AS98" s="1540"/>
      <c r="AT98" s="154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2528</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2529</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91"/>
      <c r="H113" s="1391"/>
      <c r="I113" s="3" t="s">
        <v>182</v>
      </c>
      <c r="L113" s="1391"/>
      <c r="M113" s="1391"/>
      <c r="N113" s="1391"/>
      <c r="O113" s="1391"/>
      <c r="P113" s="1559" t="s">
        <v>2531</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4"/>
      <c r="D115" s="1544"/>
      <c r="E115" s="1544"/>
      <c r="F115" s="1544"/>
      <c r="G115" s="1544"/>
      <c r="H115" s="1544"/>
      <c r="I115" s="1544"/>
      <c r="J115" s="1544"/>
      <c r="K115" s="1544"/>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391"/>
      <c r="Z117" s="1391"/>
      <c r="AA117" s="1391"/>
      <c r="AB117" s="1391"/>
      <c r="AC117" s="1391"/>
      <c r="AD117" s="1391"/>
      <c r="AE117" s="1391"/>
      <c r="AF117" s="1391"/>
      <c r="AG117" s="1391"/>
      <c r="AH117" s="1391"/>
      <c r="AI117" s="1391"/>
      <c r="AJ117" s="1391"/>
      <c r="AK117" s="1391"/>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1"/>
      <c r="Z120" s="1391"/>
      <c r="AA120" s="1391"/>
      <c r="AB120" s="1391"/>
      <c r="AC120" s="1391"/>
      <c r="AD120" s="1391"/>
      <c r="AE120" s="1391"/>
      <c r="AF120" s="1391"/>
      <c r="AG120" s="1391"/>
      <c r="AH120" s="1391"/>
      <c r="AI120" s="1391"/>
      <c r="AJ120" s="1391"/>
      <c r="AK120" s="139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1"/>
      <c r="Z123" s="1391"/>
      <c r="AA123" s="1391"/>
      <c r="AB123" s="1391"/>
      <c r="AC123" s="1391"/>
      <c r="AD123" s="1391"/>
      <c r="AE123" s="1391"/>
      <c r="AF123" s="1391"/>
      <c r="AG123" s="1391"/>
      <c r="AH123" s="1391"/>
      <c r="AI123" s="1391"/>
      <c r="AJ123" s="1391"/>
      <c r="AK123" s="139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66" t="s">
        <v>2639</v>
      </c>
      <c r="P153" s="1466"/>
      <c r="Q153" s="1466"/>
      <c r="R153" s="1466"/>
      <c r="S153" s="1466"/>
      <c r="T153" s="1466"/>
      <c r="U153" s="1466"/>
      <c r="V153" s="1466"/>
      <c r="W153" s="1466"/>
      <c r="X153" s="1466"/>
      <c r="Y153" s="1466"/>
      <c r="Z153" s="1466"/>
      <c r="AA153" s="1466"/>
      <c r="AB153" s="1466"/>
      <c r="AC153" s="1466"/>
      <c r="AD153" s="1466"/>
      <c r="AE153" s="1466"/>
      <c r="AF153" s="1466"/>
      <c r="AG153" s="1466"/>
      <c r="AH153" s="1466"/>
    </row>
    <row r="154" spans="1:72" ht="12.95" customHeight="1">
      <c r="D154" s="325" t="s">
        <v>442</v>
      </c>
      <c r="O154" s="1487" t="s">
        <v>2640</v>
      </c>
      <c r="P154" s="1487"/>
      <c r="Q154" s="1487"/>
      <c r="R154" s="1487"/>
      <c r="S154" s="1487"/>
      <c r="T154" s="1487"/>
      <c r="U154" s="1487"/>
      <c r="V154" s="1487"/>
      <c r="W154" s="1487"/>
      <c r="X154" s="1487"/>
      <c r="Y154" s="1487"/>
      <c r="Z154" s="1487"/>
      <c r="AA154" s="1487"/>
      <c r="AB154" s="1487"/>
      <c r="AC154" s="1487"/>
      <c r="AD154" s="1487"/>
      <c r="AE154" s="1487"/>
      <c r="AF154" s="1487"/>
      <c r="AG154" s="1487"/>
      <c r="AH154" s="1487"/>
    </row>
    <row r="155" spans="1:72" ht="12.95" customHeight="1">
      <c r="D155" s="8" t="s">
        <v>443</v>
      </c>
      <c r="F155" s="8"/>
      <c r="G155" s="8"/>
      <c r="H155" s="8"/>
      <c r="I155" s="8"/>
      <c r="J155" s="8"/>
      <c r="K155" s="8"/>
      <c r="L155" s="8"/>
      <c r="M155" s="8"/>
      <c r="N155" s="8"/>
      <c r="O155" s="1555" t="s">
        <v>2641</v>
      </c>
      <c r="P155" s="1555"/>
      <c r="Q155" s="1555"/>
      <c r="R155" s="1555"/>
      <c r="S155" s="1555"/>
      <c r="T155" s="1555"/>
      <c r="U155" s="1555"/>
      <c r="V155" s="1555"/>
      <c r="W155" s="1555"/>
      <c r="X155" s="1555"/>
      <c r="Y155" s="1555"/>
      <c r="Z155" s="1555"/>
      <c r="AA155" s="1555"/>
      <c r="AB155" s="1555"/>
      <c r="AC155" s="1555"/>
      <c r="AD155" s="1555"/>
      <c r="AE155" s="1555"/>
      <c r="AF155" s="1555"/>
      <c r="AG155" s="1555"/>
      <c r="AH155" s="1555"/>
    </row>
    <row r="156" spans="1:72" ht="12.95" customHeight="1">
      <c r="D156" t="s">
        <v>314</v>
      </c>
      <c r="O156" s="1467" t="s">
        <v>2642</v>
      </c>
      <c r="P156" s="1467"/>
      <c r="Q156" s="1467"/>
      <c r="R156" s="1467"/>
      <c r="S156" s="1467"/>
      <c r="T156" s="1467"/>
      <c r="U156" s="1467"/>
      <c r="V156" s="1467"/>
      <c r="W156" s="1467"/>
      <c r="X156" s="1467"/>
      <c r="Y156" s="1467"/>
      <c r="Z156" s="1467"/>
      <c r="AA156" s="1467"/>
      <c r="AB156" s="1467"/>
      <c r="AC156" s="1467"/>
      <c r="AD156" s="1467"/>
      <c r="AE156" s="1467"/>
      <c r="AF156" s="1467"/>
      <c r="AG156" s="1467"/>
      <c r="AH156" s="1467"/>
      <c r="BT156" t="s">
        <v>308</v>
      </c>
    </row>
    <row r="157" spans="1:72" ht="12.95" customHeight="1">
      <c r="D157" t="s">
        <v>315</v>
      </c>
      <c r="O157" s="1556" t="s">
        <v>204</v>
      </c>
      <c r="P157" s="1466"/>
      <c r="Q157" s="1466"/>
      <c r="R157" s="1466"/>
      <c r="S157" s="1466"/>
      <c r="T157" s="1466"/>
      <c r="U157" s="1466"/>
      <c r="V157" s="1466"/>
      <c r="W157" s="1466"/>
      <c r="X157" s="1466"/>
      <c r="Y157" s="8"/>
      <c r="Z157" s="8"/>
      <c r="AA157" s="8"/>
      <c r="AB157" s="8"/>
      <c r="AC157" s="8"/>
      <c r="AD157" s="8"/>
      <c r="AE157" s="8"/>
      <c r="AF157" s="8"/>
      <c r="BN157" s="23" t="s">
        <v>644</v>
      </c>
      <c r="BT157" t="s">
        <v>484</v>
      </c>
    </row>
    <row r="158" spans="1:72" ht="12.95" customHeight="1">
      <c r="D158" t="s">
        <v>316</v>
      </c>
      <c r="O158" s="1557">
        <v>93001</v>
      </c>
      <c r="P158" s="1557"/>
      <c r="Q158" s="1557"/>
      <c r="R158" s="1557"/>
      <c r="S158" s="9"/>
      <c r="T158" s="9"/>
      <c r="U158" s="9"/>
      <c r="V158" s="9"/>
      <c r="W158" s="9"/>
      <c r="X158" s="9"/>
      <c r="Y158" s="9"/>
      <c r="Z158" s="9"/>
      <c r="AA158" s="9"/>
      <c r="AB158" s="9"/>
      <c r="AC158" s="9"/>
      <c r="AD158" s="9"/>
      <c r="AE158" s="9"/>
      <c r="AF158" s="9"/>
      <c r="BN158" s="23" t="s">
        <v>645</v>
      </c>
      <c r="BT158" t="s">
        <v>485</v>
      </c>
    </row>
    <row r="159" spans="1:72" ht="12.95" customHeight="1">
      <c r="D159" t="s">
        <v>317</v>
      </c>
      <c r="O159" s="1550" t="s">
        <v>2643</v>
      </c>
      <c r="P159" s="1550"/>
      <c r="Q159" s="1550"/>
      <c r="R159" s="1550"/>
      <c r="S159" s="1550"/>
      <c r="T159" s="1550"/>
      <c r="V159" s="97" t="s">
        <v>272</v>
      </c>
      <c r="W159" s="1558"/>
      <c r="X159" s="1558"/>
      <c r="Y159" s="10"/>
      <c r="Z159" s="10"/>
      <c r="AA159" s="10"/>
      <c r="AB159" s="10"/>
      <c r="AC159" s="10"/>
      <c r="AD159" s="10"/>
      <c r="AE159" s="10"/>
      <c r="AF159" s="10"/>
      <c r="BN159" s="23" t="s">
        <v>340</v>
      </c>
      <c r="BT159" t="s">
        <v>486</v>
      </c>
    </row>
    <row r="160" spans="1:72" ht="12.95" customHeight="1">
      <c r="D160" t="s">
        <v>318</v>
      </c>
      <c r="O160" s="1550" t="s">
        <v>2644</v>
      </c>
      <c r="P160" s="1550"/>
      <c r="Q160" s="1550"/>
      <c r="R160" s="1550"/>
      <c r="S160" s="1550"/>
      <c r="T160" s="1550"/>
      <c r="U160" s="10"/>
      <c r="V160" s="10"/>
      <c r="W160" s="10"/>
      <c r="X160" s="10"/>
      <c r="Y160" s="10"/>
      <c r="Z160" s="10"/>
      <c r="AA160" s="10"/>
      <c r="AB160" s="10"/>
      <c r="AC160" s="10"/>
      <c r="AD160" s="10"/>
      <c r="AE160" s="10"/>
      <c r="AF160" s="10"/>
      <c r="BN160" s="23" t="s">
        <v>668</v>
      </c>
      <c r="BT160" t="s">
        <v>487</v>
      </c>
    </row>
    <row r="161" spans="1:72" ht="12.95" customHeight="1">
      <c r="D161" t="s">
        <v>319</v>
      </c>
      <c r="O161" s="1530" t="s">
        <v>2645</v>
      </c>
      <c r="P161" s="1530"/>
      <c r="Q161" s="1530"/>
      <c r="R161" s="1530"/>
      <c r="S161" s="1530"/>
      <c r="T161" s="1530"/>
      <c r="U161" s="1530"/>
      <c r="V161" s="1530"/>
      <c r="W161" s="1530"/>
      <c r="X161" s="1530"/>
      <c r="Y161" s="1530"/>
      <c r="Z161" s="1530"/>
      <c r="AA161" s="1530"/>
      <c r="AB161" s="1530"/>
      <c r="AC161" s="1530"/>
      <c r="AD161" s="1530"/>
      <c r="AE161" s="1530"/>
      <c r="AF161" s="1530"/>
      <c r="AG161" s="1530"/>
      <c r="AH161" s="1530"/>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45" t="s">
        <v>2626</v>
      </c>
      <c r="E164" s="1545"/>
      <c r="F164" s="1545"/>
      <c r="G164" s="1545"/>
      <c r="H164" s="1545"/>
      <c r="I164" s="1545"/>
      <c r="J164" s="1545"/>
      <c r="K164" s="1545"/>
      <c r="L164" s="1545"/>
      <c r="M164" s="1545"/>
      <c r="N164" s="1545"/>
      <c r="O164" s="1545"/>
      <c r="P164" s="1545"/>
      <c r="Q164" s="1545"/>
      <c r="R164" s="1545"/>
      <c r="S164" s="1545"/>
      <c r="T164" s="1545"/>
      <c r="U164" s="1545"/>
      <c r="V164" s="1545"/>
      <c r="W164" s="1545"/>
      <c r="X164" s="1545"/>
      <c r="Y164" s="1545"/>
      <c r="Z164" s="1545"/>
      <c r="AA164" s="1545"/>
      <c r="AB164" s="1545"/>
      <c r="AC164" s="1545"/>
      <c r="AD164" s="1545"/>
      <c r="AE164" s="1545"/>
      <c r="AF164" s="1545"/>
      <c r="AG164" s="1545"/>
      <c r="AH164" s="1545"/>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761" t="s">
        <v>547</v>
      </c>
      <c r="B169" s="1761"/>
      <c r="C169" s="1761"/>
      <c r="D169" s="1761"/>
      <c r="E169" s="1761"/>
      <c r="F169" s="1761"/>
      <c r="G169" s="1761"/>
      <c r="H169" s="1761"/>
      <c r="I169" s="1761"/>
      <c r="J169" s="1761"/>
      <c r="K169" s="1761"/>
      <c r="L169" s="1761"/>
      <c r="M169" s="1761"/>
      <c r="N169" s="1761"/>
      <c r="O169" s="1761"/>
      <c r="P169" s="1761"/>
      <c r="Q169" s="1761"/>
      <c r="R169" s="1761"/>
      <c r="S169" s="1761"/>
      <c r="T169" s="1761"/>
      <c r="U169" s="1761"/>
      <c r="V169" s="1761"/>
      <c r="W169" s="1761"/>
      <c r="X169" s="1761"/>
      <c r="Y169" s="1761"/>
      <c r="Z169" s="1761"/>
      <c r="AA169" s="1761"/>
      <c r="AB169" s="1761"/>
      <c r="AC169" s="1761"/>
      <c r="AD169" s="1761"/>
      <c r="AE169" s="1761"/>
      <c r="AF169" s="1761"/>
      <c r="AG169" s="1761"/>
      <c r="AH169" s="1761"/>
      <c r="AI169" s="1761"/>
      <c r="AJ169" s="1761"/>
      <c r="AK169" s="1761"/>
      <c r="AL169" s="1761"/>
      <c r="AM169" s="1761"/>
      <c r="AN169" s="1761"/>
      <c r="AO169" s="1761"/>
      <c r="AP169" s="1761"/>
      <c r="AQ169" s="1761"/>
      <c r="AR169" s="1761"/>
      <c r="AS169" s="1761"/>
      <c r="AT169" s="1761"/>
      <c r="AU169" s="95"/>
      <c r="AV169" s="95"/>
      <c r="AW169" s="95"/>
      <c r="AX169" s="95"/>
      <c r="AY169" s="95"/>
      <c r="BN169" s="23" t="s">
        <v>681</v>
      </c>
      <c r="BT169" t="s">
        <v>496</v>
      </c>
    </row>
    <row r="170" spans="1:72" ht="12.95" customHeight="1">
      <c r="A170" s="1761"/>
      <c r="B170" s="1761"/>
      <c r="C170" s="1761"/>
      <c r="D170" s="1761"/>
      <c r="E170" s="1761"/>
      <c r="F170" s="1761"/>
      <c r="G170" s="1761"/>
      <c r="H170" s="1761"/>
      <c r="I170" s="1761"/>
      <c r="J170" s="1761"/>
      <c r="K170" s="1761"/>
      <c r="L170" s="1761"/>
      <c r="M170" s="1761"/>
      <c r="N170" s="1761"/>
      <c r="O170" s="1761"/>
      <c r="P170" s="1761"/>
      <c r="Q170" s="1761"/>
      <c r="R170" s="1761"/>
      <c r="S170" s="1761"/>
      <c r="T170" s="1761"/>
      <c r="U170" s="1761"/>
      <c r="V170" s="1761"/>
      <c r="W170" s="1761"/>
      <c r="X170" s="1761"/>
      <c r="Y170" s="1761"/>
      <c r="Z170" s="1761"/>
      <c r="AA170" s="1761"/>
      <c r="AB170" s="1761"/>
      <c r="AC170" s="1761"/>
      <c r="AD170" s="1761"/>
      <c r="AE170" s="1761"/>
      <c r="AF170" s="1761"/>
      <c r="AG170" s="1761"/>
      <c r="AH170" s="1761"/>
      <c r="AI170" s="1761"/>
      <c r="AJ170" s="1761"/>
      <c r="AK170" s="1761"/>
      <c r="AL170" s="1761"/>
      <c r="AM170" s="1761"/>
      <c r="AN170" s="1761"/>
      <c r="AO170" s="1761"/>
      <c r="AP170" s="1761"/>
      <c r="AQ170" s="1761"/>
      <c r="AR170" s="1761"/>
      <c r="AS170" s="1761"/>
      <c r="AT170" s="1761"/>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54" t="s">
        <v>372</v>
      </c>
      <c r="K173" s="1554"/>
      <c r="L173" s="1554"/>
      <c r="M173" s="1554"/>
      <c r="N173" s="1554"/>
      <c r="O173" s="1554"/>
      <c r="P173" s="1554"/>
      <c r="Q173" s="1554"/>
      <c r="R173" s="1554"/>
      <c r="S173" s="1554"/>
      <c r="U173" s="25"/>
      <c r="X173" s="25"/>
      <c r="BB173" s="3" t="s">
        <v>308</v>
      </c>
      <c r="BN173" s="23" t="s">
        <v>215</v>
      </c>
      <c r="BT173" t="s">
        <v>500</v>
      </c>
    </row>
    <row r="174" spans="1:72" ht="12.95" customHeight="1">
      <c r="C174" s="24"/>
      <c r="D174" s="3" t="s">
        <v>1308</v>
      </c>
      <c r="J174" s="1467" t="s">
        <v>2421</v>
      </c>
      <c r="K174" s="1467"/>
      <c r="L174" s="1467"/>
      <c r="M174" s="1467"/>
      <c r="N174" s="1467"/>
      <c r="O174" s="1467"/>
      <c r="P174" s="1467"/>
      <c r="Q174" s="1467"/>
      <c r="R174" s="1467"/>
      <c r="S174" s="1467"/>
      <c r="T174" s="1467"/>
      <c r="U174" s="1467"/>
      <c r="V174" s="1467"/>
      <c r="W174" s="1467"/>
      <c r="X174" s="1467"/>
      <c r="Y174" s="1467"/>
      <c r="Z174" s="1467"/>
      <c r="AA174" s="1467"/>
      <c r="AB174" s="1467"/>
      <c r="BB174" t="s">
        <v>2274</v>
      </c>
      <c r="BN174" s="23" t="s">
        <v>217</v>
      </c>
      <c r="BT174" t="s">
        <v>501</v>
      </c>
    </row>
    <row r="175" spans="1:72" ht="12.95" customHeight="1">
      <c r="C175" s="8"/>
      <c r="D175" s="3" t="s">
        <v>323</v>
      </c>
      <c r="O175" s="27"/>
      <c r="U175" s="1435" t="s">
        <v>553</v>
      </c>
      <c r="V175" s="1435"/>
      <c r="BB175" t="s">
        <v>2238</v>
      </c>
      <c r="BN175" s="23" t="s">
        <v>218</v>
      </c>
      <c r="BT175" t="s">
        <v>502</v>
      </c>
    </row>
    <row r="176" spans="1:72" ht="12.95" customHeight="1">
      <c r="C176" s="8"/>
      <c r="D176" s="26"/>
      <c r="E176" t="s">
        <v>305</v>
      </c>
      <c r="O176" s="27"/>
      <c r="P176" t="s">
        <v>2396</v>
      </c>
      <c r="T176" s="27" t="s">
        <v>306</v>
      </c>
      <c r="U176" s="1563">
        <v>24</v>
      </c>
      <c r="V176" s="1563"/>
      <c r="W176" s="1" t="s">
        <v>307</v>
      </c>
      <c r="X176" s="1541">
        <v>25</v>
      </c>
      <c r="Y176" s="1541"/>
      <c r="BB176" t="s">
        <v>2275</v>
      </c>
      <c r="BN176" s="23" t="s">
        <v>220</v>
      </c>
      <c r="BT176" t="s">
        <v>503</v>
      </c>
    </row>
    <row r="177" spans="1:72" ht="12.95" customHeight="1">
      <c r="C177" s="24"/>
      <c r="D177" t="s">
        <v>250</v>
      </c>
      <c r="R177" s="1435" t="s">
        <v>677</v>
      </c>
      <c r="S177" s="1435"/>
      <c r="BB177" t="s">
        <v>2580</v>
      </c>
      <c r="BN177" s="23" t="s">
        <v>221</v>
      </c>
      <c r="BT177" t="s">
        <v>504</v>
      </c>
    </row>
    <row r="178" spans="1:72" ht="12.95" customHeight="1">
      <c r="C178" s="24"/>
      <c r="D178" s="3" t="s">
        <v>1309</v>
      </c>
      <c r="AA178" t="s">
        <v>2396</v>
      </c>
      <c r="AE178" s="27" t="s">
        <v>306</v>
      </c>
      <c r="AF178" s="1772"/>
      <c r="AG178" s="1772"/>
      <c r="AH178" s="1" t="s">
        <v>307</v>
      </c>
      <c r="AI178" s="1528"/>
      <c r="AJ178" s="1528"/>
      <c r="AK178" s="1528"/>
      <c r="BB178" t="s">
        <v>2581</v>
      </c>
      <c r="BN178" s="23" t="s">
        <v>222</v>
      </c>
      <c r="BT178" t="s">
        <v>53</v>
      </c>
    </row>
    <row r="179" spans="1:72" ht="12.95" customHeight="1">
      <c r="C179" s="24"/>
      <c r="BN179" s="23" t="s">
        <v>223</v>
      </c>
      <c r="BT179" t="s">
        <v>54</v>
      </c>
    </row>
    <row r="180" spans="1:72" ht="12.95" customHeight="1">
      <c r="C180" s="24"/>
      <c r="D180" t="s">
        <v>2397</v>
      </c>
      <c r="X180" s="1435" t="s">
        <v>677</v>
      </c>
      <c r="Y180" s="1435"/>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504" t="str">
        <f>H18</f>
        <v>Valentine Road Apartments</v>
      </c>
      <c r="J184" s="1504"/>
      <c r="K184" s="1504"/>
      <c r="L184" s="1504"/>
      <c r="M184" s="1504"/>
      <c r="N184" s="1504"/>
      <c r="O184" s="1504"/>
      <c r="P184" s="1504"/>
      <c r="Q184" s="1504"/>
      <c r="R184" s="1504"/>
      <c r="S184" s="1504"/>
      <c r="T184" s="1504"/>
      <c r="U184" s="1504"/>
      <c r="V184" s="1504"/>
      <c r="W184" s="1504"/>
      <c r="X184" s="1504"/>
      <c r="Y184" s="1504"/>
      <c r="Z184" s="1504"/>
      <c r="AA184" s="1504"/>
      <c r="AB184" s="1504"/>
      <c r="AC184" s="1504"/>
      <c r="AD184" s="1504"/>
      <c r="AE184" s="1504"/>
      <c r="BC184" t="s">
        <v>595</v>
      </c>
      <c r="BN184" s="23" t="s">
        <v>231</v>
      </c>
      <c r="BT184" t="s">
        <v>62</v>
      </c>
    </row>
    <row r="185" spans="1:72" ht="12.95" customHeight="1">
      <c r="C185" s="21"/>
      <c r="D185" t="s">
        <v>587</v>
      </c>
      <c r="I185" s="1445" t="s">
        <v>2646</v>
      </c>
      <c r="J185" s="1445"/>
      <c r="K185" s="1445"/>
      <c r="L185" s="1445"/>
      <c r="M185" s="1445"/>
      <c r="N185" s="1445"/>
      <c r="O185" s="1445"/>
      <c r="P185" s="1445"/>
      <c r="Q185" s="1445"/>
      <c r="R185" s="1445"/>
      <c r="S185" s="1445"/>
      <c r="T185" s="1445"/>
      <c r="U185" s="1445"/>
      <c r="V185" s="1445"/>
      <c r="W185" s="1445"/>
      <c r="X185" s="1445"/>
      <c r="Y185" s="1445"/>
      <c r="Z185" s="1445"/>
      <c r="AA185" s="1445"/>
      <c r="AB185" s="1445"/>
      <c r="AC185" s="1445"/>
      <c r="AD185" s="1445"/>
      <c r="AE185" s="1445"/>
      <c r="BC185" t="s">
        <v>596</v>
      </c>
      <c r="BN185" s="23" t="s">
        <v>232</v>
      </c>
      <c r="BT185" t="s">
        <v>63</v>
      </c>
    </row>
    <row r="186" spans="1:72" ht="12.95" customHeight="1">
      <c r="C186" s="21"/>
      <c r="E186" t="s">
        <v>168</v>
      </c>
      <c r="BN186" s="23" t="s">
        <v>233</v>
      </c>
      <c r="BT186" t="s">
        <v>64</v>
      </c>
    </row>
    <row r="187" spans="1:72" ht="12.95" customHeight="1">
      <c r="C187" s="21"/>
      <c r="E187" s="1484"/>
      <c r="F187" s="1484"/>
      <c r="G187" s="1484"/>
      <c r="H187" s="1484"/>
      <c r="I187" s="1484"/>
      <c r="J187" s="1484"/>
      <c r="K187" s="1484"/>
      <c r="L187" s="1484"/>
      <c r="M187" s="1484"/>
      <c r="N187" s="1484"/>
      <c r="O187" s="1484"/>
      <c r="P187" s="1484"/>
      <c r="Q187" s="1484"/>
      <c r="R187" s="1484"/>
      <c r="S187" s="1484"/>
      <c r="T187" s="1484"/>
      <c r="U187" s="1484"/>
      <c r="V187" s="1484"/>
      <c r="W187" s="1484"/>
      <c r="X187" s="1484"/>
      <c r="Y187" s="1484"/>
      <c r="Z187" s="1484"/>
      <c r="AA187" s="1484"/>
      <c r="AB187" s="1484"/>
      <c r="AC187" s="1484"/>
      <c r="AD187" s="1484"/>
      <c r="AE187" s="1484"/>
      <c r="BN187" s="23" t="s">
        <v>234</v>
      </c>
      <c r="BT187" t="s">
        <v>65</v>
      </c>
    </row>
    <row r="188" spans="1:72" ht="12.95" customHeight="1">
      <c r="C188" s="21"/>
      <c r="E188" s="1485"/>
      <c r="F188" s="1485"/>
      <c r="G188" s="1485"/>
      <c r="H188" s="1485"/>
      <c r="I188" s="1485"/>
      <c r="J188" s="1485"/>
      <c r="K188" s="1485"/>
      <c r="L188" s="1485"/>
      <c r="M188" s="1485"/>
      <c r="N188" s="1485"/>
      <c r="O188" s="1485"/>
      <c r="P188" s="1485"/>
      <c r="Q188" s="1485"/>
      <c r="R188" s="1485"/>
      <c r="S188" s="1485"/>
      <c r="T188" s="1485"/>
      <c r="U188" s="1485"/>
      <c r="V188" s="1485"/>
      <c r="W188" s="1485"/>
      <c r="X188" s="1485"/>
      <c r="Y188" s="1485"/>
      <c r="Z188" s="1485"/>
      <c r="AA188" s="1485"/>
      <c r="AB188" s="1485"/>
      <c r="AC188" s="1485"/>
      <c r="AD188" s="1485"/>
      <c r="AE188" s="1485"/>
      <c r="BN188" s="23" t="s">
        <v>236</v>
      </c>
      <c r="BT188" t="s">
        <v>66</v>
      </c>
    </row>
    <row r="189" spans="1:72" ht="12.95" customHeight="1">
      <c r="C189" s="21"/>
      <c r="D189" t="s">
        <v>588</v>
      </c>
      <c r="I189" s="1467" t="s">
        <v>204</v>
      </c>
      <c r="J189" s="1467"/>
      <c r="K189" s="1467"/>
      <c r="L189" s="1467"/>
      <c r="M189" s="1467"/>
      <c r="N189" s="1467"/>
      <c r="O189" s="1467"/>
      <c r="P189" s="1467"/>
      <c r="Q189" t="s">
        <v>590</v>
      </c>
      <c r="T189" s="1467" t="s">
        <v>204</v>
      </c>
      <c r="U189" s="1467"/>
      <c r="V189" s="1467"/>
      <c r="W189" s="1467"/>
      <c r="X189" s="1467"/>
      <c r="Y189" s="1467"/>
      <c r="Z189" s="1467"/>
      <c r="AA189" s="1467"/>
      <c r="AB189" s="1467"/>
      <c r="AC189" s="1467"/>
      <c r="AD189" s="1467"/>
      <c r="AE189" s="1467"/>
      <c r="BC189" t="s">
        <v>308</v>
      </c>
      <c r="BH189" s="3" t="s">
        <v>599</v>
      </c>
      <c r="BN189" s="23" t="s">
        <v>237</v>
      </c>
      <c r="BT189" t="s">
        <v>67</v>
      </c>
    </row>
    <row r="190" spans="1:72" ht="12.95" customHeight="1">
      <c r="C190" s="21"/>
      <c r="D190" t="s">
        <v>591</v>
      </c>
      <c r="I190" s="1445">
        <v>93003</v>
      </c>
      <c r="J190" s="1445"/>
      <c r="K190" s="1445"/>
      <c r="L190" s="1445"/>
      <c r="M190" s="1445"/>
      <c r="N190" s="1445"/>
      <c r="O190" t="s">
        <v>593</v>
      </c>
      <c r="T190" s="1548" t="s">
        <v>2647</v>
      </c>
      <c r="U190" s="1548"/>
      <c r="V190" s="1548"/>
      <c r="W190" s="1548"/>
      <c r="X190" s="1548"/>
      <c r="Y190" s="1548"/>
      <c r="Z190" s="1548"/>
      <c r="AA190" s="1548"/>
      <c r="AB190" s="1548"/>
      <c r="AC190" s="1548"/>
      <c r="AD190" s="1548"/>
      <c r="AE190" s="1548"/>
      <c r="BC190" t="s">
        <v>1065</v>
      </c>
      <c r="BH190" t="s">
        <v>1065</v>
      </c>
      <c r="BN190" s="23" t="s">
        <v>643</v>
      </c>
      <c r="BT190" t="s">
        <v>68</v>
      </c>
    </row>
    <row r="191" spans="1:72" ht="12.95" customHeight="1">
      <c r="C191" s="21"/>
      <c r="D191" t="s">
        <v>470</v>
      </c>
      <c r="N191" s="1484" t="s">
        <v>2648</v>
      </c>
      <c r="O191" s="1484"/>
      <c r="P191" s="1484"/>
      <c r="Q191" s="1484"/>
      <c r="R191" s="1484"/>
      <c r="S191" s="1484"/>
      <c r="T191" s="1484"/>
      <c r="U191" s="1484"/>
      <c r="V191" s="1484"/>
      <c r="W191" s="1484"/>
      <c r="X191" s="1484"/>
      <c r="Y191" s="1484"/>
      <c r="Z191" s="1484"/>
      <c r="AA191" s="1484"/>
      <c r="AB191" s="1484"/>
      <c r="AC191" s="1484"/>
      <c r="AD191" s="1484"/>
      <c r="AE191" s="1484"/>
      <c r="BC191" t="s">
        <v>1064</v>
      </c>
      <c r="BH191" t="s">
        <v>1064</v>
      </c>
      <c r="BN191" s="23" t="s">
        <v>697</v>
      </c>
      <c r="BT191" t="s">
        <v>736</v>
      </c>
    </row>
    <row r="192" spans="1:72" ht="12.95" customHeight="1">
      <c r="C192" s="21"/>
      <c r="M192" s="40"/>
      <c r="N192" s="1485"/>
      <c r="O192" s="1485"/>
      <c r="P192" s="1485"/>
      <c r="Q192" s="1485"/>
      <c r="R192" s="1485"/>
      <c r="S192" s="1485"/>
      <c r="T192" s="1485"/>
      <c r="U192" s="1485"/>
      <c r="V192" s="1485"/>
      <c r="W192" s="1485"/>
      <c r="X192" s="1485"/>
      <c r="Y192" s="1485"/>
      <c r="Z192" s="1485"/>
      <c r="AA192" s="1485"/>
      <c r="AB192" s="1485"/>
      <c r="AC192" s="1485"/>
      <c r="AD192" s="1485"/>
      <c r="AE192" s="1485"/>
      <c r="BC192" t="s">
        <v>1067</v>
      </c>
      <c r="BH192" s="3" t="s">
        <v>1475</v>
      </c>
      <c r="BN192" s="23" t="s">
        <v>698</v>
      </c>
      <c r="BT192" t="s">
        <v>737</v>
      </c>
    </row>
    <row r="193" spans="1:74" ht="12.95" customHeight="1">
      <c r="C193" s="21"/>
      <c r="D193" t="s">
        <v>2398</v>
      </c>
      <c r="M193" s="40"/>
      <c r="N193" s="928"/>
      <c r="O193" s="928"/>
      <c r="P193" s="928"/>
      <c r="Q193" s="928"/>
      <c r="R193" s="928"/>
      <c r="S193" s="928"/>
      <c r="T193" s="1538" t="s">
        <v>2275</v>
      </c>
      <c r="U193" s="1538"/>
      <c r="V193" s="1538"/>
      <c r="W193" s="1538"/>
      <c r="X193" s="1538"/>
      <c r="Y193" s="1538"/>
      <c r="Z193" s="1538"/>
      <c r="AA193" s="1538"/>
      <c r="AB193" s="1538"/>
      <c r="AC193" s="1538"/>
      <c r="AD193" s="1538"/>
      <c r="AE193" s="1538"/>
      <c r="AF193" s="1538"/>
      <c r="AG193" s="1538"/>
      <c r="AH193" s="1538"/>
      <c r="AI193" s="1538"/>
      <c r="BC193" t="s">
        <v>1066</v>
      </c>
      <c r="BH193" s="3" t="s">
        <v>1742</v>
      </c>
      <c r="BN193" s="23" t="s">
        <v>699</v>
      </c>
      <c r="BT193" t="s">
        <v>738</v>
      </c>
    </row>
    <row r="194" spans="1:74" ht="12.95" customHeight="1">
      <c r="C194" s="21"/>
      <c r="D194" s="3" t="s">
        <v>2582</v>
      </c>
      <c r="M194" s="40"/>
      <c r="N194" s="928"/>
      <c r="O194" s="928"/>
      <c r="P194" s="928"/>
      <c r="Q194" s="928"/>
      <c r="R194" s="928"/>
      <c r="S194" s="928"/>
      <c r="AH194" s="1435" t="s">
        <v>677</v>
      </c>
      <c r="AI194" s="1435"/>
      <c r="BC194" t="s">
        <v>1475</v>
      </c>
      <c r="BN194" s="23" t="s">
        <v>700</v>
      </c>
      <c r="BT194" t="s">
        <v>739</v>
      </c>
    </row>
    <row r="195" spans="1:74" ht="12.95" customHeight="1">
      <c r="C195" s="21"/>
      <c r="D195" t="s">
        <v>332</v>
      </c>
      <c r="T195" s="1435" t="s">
        <v>553</v>
      </c>
      <c r="U195" s="1435"/>
      <c r="W195" t="s">
        <v>693</v>
      </c>
      <c r="AH195" s="1435">
        <v>24</v>
      </c>
      <c r="AI195" s="1435"/>
      <c r="BC195" t="s">
        <v>2048</v>
      </c>
      <c r="BN195" s="23" t="s">
        <v>243</v>
      </c>
      <c r="BT195" t="s">
        <v>740</v>
      </c>
    </row>
    <row r="196" spans="1:74" ht="12.95" customHeight="1">
      <c r="C196" s="21"/>
      <c r="D196" t="s">
        <v>387</v>
      </c>
      <c r="T196" s="1418" t="s">
        <v>677</v>
      </c>
      <c r="U196" s="1418"/>
      <c r="W196" t="s">
        <v>694</v>
      </c>
      <c r="AH196" s="1435">
        <v>38</v>
      </c>
      <c r="AI196" s="1435"/>
      <c r="BN196" s="23" t="s">
        <v>244</v>
      </c>
      <c r="BT196" t="s">
        <v>69</v>
      </c>
    </row>
    <row r="197" spans="1:74" ht="12.95" customHeight="1">
      <c r="C197" s="21"/>
      <c r="D197" s="3" t="s">
        <v>169</v>
      </c>
      <c r="T197" s="1418" t="s">
        <v>677</v>
      </c>
      <c r="U197" s="1418"/>
      <c r="W197" t="s">
        <v>695</v>
      </c>
      <c r="AH197" s="1435">
        <v>19</v>
      </c>
      <c r="AI197" s="1435"/>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418"/>
      <c r="U198" s="141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435" t="s">
        <v>677</v>
      </c>
      <c r="AA199" s="1435"/>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504" t="s">
        <v>386</v>
      </c>
      <c r="E204" s="1504"/>
      <c r="F204" s="1504"/>
      <c r="G204" s="1504"/>
      <c r="H204" s="1504"/>
      <c r="I204" s="1504"/>
      <c r="J204" s="1504"/>
      <c r="K204" s="1504"/>
      <c r="L204" s="1504"/>
      <c r="M204" s="1504"/>
      <c r="P204" s="1546">
        <f>M26</f>
        <v>3447373</v>
      </c>
      <c r="Q204" s="1547"/>
      <c r="R204" s="1547"/>
      <c r="S204" s="1547"/>
      <c r="T204" s="1547"/>
      <c r="U204" s="1547"/>
      <c r="Z204" s="1561" t="s">
        <v>2630</v>
      </c>
      <c r="AA204" s="1561"/>
      <c r="AB204" s="1561"/>
      <c r="AC204" s="1561"/>
      <c r="AD204" s="1561"/>
      <c r="AE204" s="1561"/>
      <c r="AF204" s="1561"/>
      <c r="BC204" t="s">
        <v>618</v>
      </c>
      <c r="BN204" s="23" t="s">
        <v>712</v>
      </c>
      <c r="BT204" s="32" t="s">
        <v>198</v>
      </c>
      <c r="BU204" s="14"/>
    </row>
    <row r="205" spans="1:74" ht="12.95" customHeight="1">
      <c r="C205" s="21"/>
      <c r="D205" s="1560" t="s">
        <v>1355</v>
      </c>
      <c r="E205" s="1504"/>
      <c r="F205" s="1504"/>
      <c r="G205" s="1504"/>
      <c r="H205" s="1504"/>
      <c r="I205" s="1504"/>
      <c r="J205" s="1504"/>
      <c r="K205" s="1504"/>
      <c r="L205" s="1504"/>
      <c r="M205" s="1504"/>
      <c r="P205" s="1547">
        <f>M27</f>
        <v>10108886</v>
      </c>
      <c r="Q205" s="1547"/>
      <c r="R205" s="1547"/>
      <c r="S205" s="1547"/>
      <c r="T205" s="1547"/>
      <c r="U205" s="1547"/>
      <c r="V205" s="28"/>
      <c r="W205" s="3" t="s">
        <v>1910</v>
      </c>
      <c r="Z205" s="1561"/>
      <c r="AA205" s="1561"/>
      <c r="AB205" s="1561"/>
      <c r="AC205" s="1561"/>
      <c r="AD205" s="1561"/>
      <c r="AE205" s="1561"/>
      <c r="AF205" s="1561"/>
      <c r="AG205" t="s">
        <v>1356</v>
      </c>
      <c r="AP205" s="1435" t="s">
        <v>677</v>
      </c>
      <c r="AQ205" s="1435"/>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562"/>
      <c r="AA206" s="1562"/>
      <c r="AB206" s="1562"/>
      <c r="AC206" s="1562"/>
      <c r="AD206" s="1562"/>
      <c r="AE206" s="1562"/>
      <c r="AF206" s="1562"/>
      <c r="BC206" s="470" t="s">
        <v>1093</v>
      </c>
      <c r="BN206" s="23" t="s">
        <v>110</v>
      </c>
      <c r="BT206" s="32" t="s">
        <v>199</v>
      </c>
      <c r="BU206" s="14"/>
    </row>
    <row r="207" spans="1:74" ht="12.95" customHeight="1">
      <c r="A207" s="2" t="s">
        <v>597</v>
      </c>
      <c r="C207" s="2" t="s">
        <v>559</v>
      </c>
      <c r="BC207" s="3" t="s">
        <v>2572</v>
      </c>
      <c r="BN207" s="23" t="s">
        <v>45</v>
      </c>
      <c r="BT207" s="32" t="s">
        <v>200</v>
      </c>
    </row>
    <row r="208" spans="1:74" ht="12.95" customHeight="1">
      <c r="C208" s="21"/>
      <c r="D208" s="1466" t="s">
        <v>2649</v>
      </c>
      <c r="E208" s="1466"/>
      <c r="F208" s="1466"/>
      <c r="G208" s="1466"/>
      <c r="H208" s="1466"/>
      <c r="I208" s="1466"/>
      <c r="J208" s="1466"/>
      <c r="K208" s="1466"/>
      <c r="L208" s="1466"/>
      <c r="M208" s="1466"/>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66" t="s">
        <v>1067</v>
      </c>
      <c r="E211" s="1466"/>
      <c r="F211" s="1466"/>
      <c r="G211" s="1466"/>
      <c r="H211" s="1466"/>
      <c r="I211" s="1466"/>
      <c r="J211" s="1466"/>
      <c r="K211" s="1466"/>
      <c r="L211" s="1466"/>
      <c r="M211" s="1466"/>
      <c r="BN211" s="23" t="s">
        <v>129</v>
      </c>
      <c r="BT211" s="32" t="s">
        <v>130</v>
      </c>
    </row>
    <row r="212" spans="1:72" ht="12.95" customHeight="1">
      <c r="C212" s="21"/>
      <c r="D212" t="s">
        <v>1352</v>
      </c>
      <c r="Y212" s="1435">
        <v>71</v>
      </c>
      <c r="Z212" s="1435"/>
      <c r="AB212" s="1536">
        <f>IFERROR(Y212/AG440,"")</f>
        <v>0.52985074626865669</v>
      </c>
      <c r="AC212" s="1537"/>
      <c r="BC212" t="s">
        <v>308</v>
      </c>
      <c r="BI212" t="s">
        <v>1290</v>
      </c>
      <c r="BN212" s="23" t="s">
        <v>49</v>
      </c>
      <c r="BT212" s="32" t="s">
        <v>204</v>
      </c>
    </row>
    <row r="213" spans="1:72" ht="12.95" customHeight="1">
      <c r="D213" s="1189" t="s">
        <v>1741</v>
      </c>
      <c r="BC213" t="s">
        <v>534</v>
      </c>
      <c r="BI213" t="s">
        <v>2630</v>
      </c>
      <c r="BN213" s="23" t="s">
        <v>50</v>
      </c>
      <c r="BT213" s="32" t="s">
        <v>205</v>
      </c>
    </row>
    <row r="214" spans="1:72" ht="12.95" customHeight="1">
      <c r="D214" s="1543" t="s">
        <v>1475</v>
      </c>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U214" s="21"/>
      <c r="AV214" s="21"/>
      <c r="AW214" s="21"/>
      <c r="AX214" s="21"/>
      <c r="AY214" s="21"/>
      <c r="BC214" t="s">
        <v>538</v>
      </c>
      <c r="BI214" t="s">
        <v>2635</v>
      </c>
      <c r="BN214" s="23" t="s">
        <v>327</v>
      </c>
      <c r="BT214" s="32" t="s">
        <v>206</v>
      </c>
    </row>
    <row r="215" spans="1:72" ht="12.95" customHeight="1">
      <c r="D215" s="3" t="s">
        <v>1766</v>
      </c>
      <c r="Z215" s="40"/>
      <c r="AB215" s="1488"/>
      <c r="AC215" s="1488"/>
      <c r="AD215" s="1488"/>
      <c r="AE215" s="1488"/>
      <c r="AF215" s="1488"/>
      <c r="AG215" s="1488"/>
      <c r="AH215" s="1488"/>
      <c r="AI215" s="1488"/>
      <c r="AJ215" s="1488"/>
      <c r="AK215" s="1488"/>
      <c r="AL215" s="1488"/>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488"/>
      <c r="AC216" s="1488"/>
      <c r="AD216" s="1488"/>
      <c r="AE216" s="1488"/>
      <c r="AF216" s="1488"/>
      <c r="AG216" s="1488"/>
      <c r="AH216" s="1488"/>
      <c r="AI216" s="1488"/>
      <c r="AJ216" s="1488"/>
      <c r="AK216" s="1488"/>
      <c r="AL216" s="1488"/>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66" t="s">
        <v>2572</v>
      </c>
      <c r="E220" s="1466"/>
      <c r="F220" s="1466"/>
      <c r="G220" s="1466"/>
      <c r="H220" s="1466"/>
      <c r="I220" s="1466"/>
      <c r="J220" s="1466"/>
      <c r="K220" s="1466"/>
      <c r="L220" s="1466"/>
      <c r="M220" s="1466"/>
      <c r="N220" s="1466"/>
      <c r="O220" s="1466"/>
      <c r="P220" s="1466"/>
      <c r="Q220" s="1466"/>
      <c r="R220" s="1466"/>
      <c r="S220" s="1466"/>
      <c r="T220" s="1466"/>
      <c r="U220" s="1466"/>
      <c r="V220" s="1466"/>
      <c r="W220" s="1466"/>
      <c r="X220" s="1466"/>
      <c r="Y220" s="1466"/>
      <c r="Z220" s="1466"/>
      <c r="BA220" s="3"/>
      <c r="BC220" t="s">
        <v>301</v>
      </c>
    </row>
    <row r="221" spans="1:72" ht="12.95" customHeight="1">
      <c r="A221" s="2"/>
      <c r="B221" s="14"/>
      <c r="C221" s="2"/>
      <c r="AU221" s="95"/>
      <c r="AV221" s="95"/>
      <c r="AW221" s="95"/>
      <c r="AX221" s="95"/>
      <c r="AY221" s="95"/>
      <c r="BA221" s="3"/>
    </row>
    <row r="222" spans="1:72" ht="12.95" customHeight="1">
      <c r="A222" s="1761" t="s">
        <v>548</v>
      </c>
      <c r="B222" s="1761"/>
      <c r="C222" s="1761"/>
      <c r="D222" s="1761"/>
      <c r="E222" s="1761"/>
      <c r="F222" s="1761"/>
      <c r="G222" s="1761"/>
      <c r="H222" s="1761"/>
      <c r="I222" s="1761"/>
      <c r="J222" s="1761"/>
      <c r="K222" s="1761"/>
      <c r="L222" s="1761"/>
      <c r="M222" s="1761"/>
      <c r="N222" s="1761"/>
      <c r="O222" s="1761"/>
      <c r="P222" s="1761"/>
      <c r="Q222" s="1761"/>
      <c r="R222" s="1761"/>
      <c r="S222" s="1761"/>
      <c r="T222" s="1761"/>
      <c r="U222" s="1761"/>
      <c r="V222" s="1761"/>
      <c r="W222" s="1761"/>
      <c r="X222" s="1761"/>
      <c r="Y222" s="1761"/>
      <c r="Z222" s="1761"/>
      <c r="AA222" s="1761"/>
      <c r="AB222" s="1761"/>
      <c r="AC222" s="1761"/>
      <c r="AD222" s="1761"/>
      <c r="AE222" s="1761"/>
      <c r="AF222" s="1761"/>
      <c r="AG222" s="1761"/>
      <c r="AH222" s="1761"/>
      <c r="AI222" s="1761"/>
      <c r="AJ222" s="1761"/>
      <c r="AK222" s="1761"/>
      <c r="AL222" s="1761"/>
      <c r="AM222" s="1761"/>
      <c r="AN222" s="1761"/>
      <c r="AO222" s="1761"/>
      <c r="AP222" s="1761"/>
      <c r="AQ222" s="1761"/>
      <c r="AR222" s="1761"/>
      <c r="AS222" s="1761"/>
      <c r="AT222" s="1761"/>
      <c r="AU222" s="95"/>
      <c r="AV222" s="95"/>
      <c r="AW222" s="95"/>
      <c r="AX222" s="95"/>
      <c r="AY222" s="95"/>
      <c r="AZ222" s="3"/>
      <c r="BA222" s="3"/>
      <c r="BP222" s="34"/>
    </row>
    <row r="223" spans="1:72" ht="12.95" customHeight="1">
      <c r="A223" s="1761"/>
      <c r="B223" s="1761"/>
      <c r="C223" s="1761"/>
      <c r="D223" s="1761"/>
      <c r="E223" s="1761"/>
      <c r="F223" s="1761"/>
      <c r="G223" s="1761"/>
      <c r="H223" s="1761"/>
      <c r="I223" s="1761"/>
      <c r="J223" s="1761"/>
      <c r="K223" s="1761"/>
      <c r="L223" s="1761"/>
      <c r="M223" s="1761"/>
      <c r="N223" s="1761"/>
      <c r="O223" s="1761"/>
      <c r="P223" s="1761"/>
      <c r="Q223" s="1761"/>
      <c r="R223" s="1761"/>
      <c r="S223" s="1761"/>
      <c r="T223" s="1761"/>
      <c r="U223" s="1761"/>
      <c r="V223" s="1761"/>
      <c r="W223" s="1761"/>
      <c r="X223" s="1761"/>
      <c r="Y223" s="1761"/>
      <c r="Z223" s="1761"/>
      <c r="AA223" s="1761"/>
      <c r="AB223" s="1761"/>
      <c r="AC223" s="1761"/>
      <c r="AD223" s="1761"/>
      <c r="AE223" s="1761"/>
      <c r="AF223" s="1761"/>
      <c r="AG223" s="1761"/>
      <c r="AH223" s="1761"/>
      <c r="AI223" s="1761"/>
      <c r="AJ223" s="1761"/>
      <c r="AK223" s="1761"/>
      <c r="AL223" s="1761"/>
      <c r="AM223" s="1761"/>
      <c r="AN223" s="1761"/>
      <c r="AO223" s="1761"/>
      <c r="AP223" s="1761"/>
      <c r="AQ223" s="1761"/>
      <c r="AR223" s="1761"/>
      <c r="AS223" s="1761"/>
      <c r="AT223" s="1761"/>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5" t="s">
        <v>599</v>
      </c>
      <c r="AJ226" s="1435"/>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5" t="s">
        <v>553</v>
      </c>
      <c r="AJ227" s="1435"/>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5" t="s">
        <v>599</v>
      </c>
      <c r="AJ228" s="1435"/>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5" t="s">
        <v>599</v>
      </c>
      <c r="AJ229" s="1435"/>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49" t="str">
        <f>H16</f>
        <v>Homecomings, Inc</v>
      </c>
      <c r="N232" s="1549"/>
      <c r="O232" s="1549"/>
      <c r="P232" s="1549"/>
      <c r="Q232" s="1549"/>
      <c r="R232" s="1549"/>
      <c r="S232" s="1549"/>
      <c r="T232" s="1549"/>
      <c r="U232" s="1549"/>
      <c r="V232" s="1549"/>
      <c r="W232" s="1549"/>
      <c r="X232" s="1549"/>
      <c r="Y232" s="1549"/>
      <c r="Z232" s="1549"/>
      <c r="AA232" s="1549"/>
      <c r="AB232" s="1549"/>
      <c r="AC232" s="1549"/>
      <c r="AD232" s="1549"/>
      <c r="AE232" s="1549"/>
      <c r="AF232" s="1549"/>
      <c r="AG232" s="1549"/>
      <c r="AH232" s="1549"/>
      <c r="AI232" s="1549"/>
      <c r="AJ232" s="1549"/>
      <c r="AK232" s="1549"/>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66" t="s">
        <v>2652</v>
      </c>
      <c r="N233" s="1466"/>
      <c r="O233" s="1466"/>
      <c r="P233" s="1466"/>
      <c r="Q233" s="1466"/>
      <c r="R233" s="1466"/>
      <c r="S233" s="1466"/>
      <c r="T233" s="1466"/>
      <c r="U233" s="1466"/>
      <c r="V233" s="1466"/>
      <c r="W233" s="1466"/>
      <c r="X233" s="1466"/>
      <c r="Y233" s="1466"/>
      <c r="Z233" s="1466"/>
      <c r="AA233" s="1466"/>
      <c r="AB233" s="1466"/>
      <c r="AC233" s="1466"/>
      <c r="AD233" s="1466"/>
      <c r="AE233" s="1466"/>
      <c r="BB233" s="219" t="s">
        <v>546</v>
      </c>
      <c r="BG233" s="259">
        <f>IF(AND(AND($M$249="nonprofit",$M$257="for profit",$M$265="nonprofit")),2,0)</f>
        <v>0</v>
      </c>
    </row>
    <row r="234" spans="1:69" ht="12.95" customHeight="1">
      <c r="D234" s="4" t="s">
        <v>588</v>
      </c>
      <c r="E234" s="4"/>
      <c r="M234" s="1466" t="s">
        <v>204</v>
      </c>
      <c r="N234" s="1466"/>
      <c r="O234" s="1466"/>
      <c r="P234" s="1466"/>
      <c r="Q234" s="1466"/>
      <c r="R234" s="1466"/>
      <c r="S234" s="1466"/>
      <c r="T234" s="1466"/>
      <c r="V234" s="33" t="s">
        <v>86</v>
      </c>
      <c r="W234" s="1486" t="s">
        <v>2730</v>
      </c>
      <c r="X234" s="1487"/>
      <c r="Y234" s="4" t="s">
        <v>591</v>
      </c>
      <c r="AC234" s="1466">
        <v>93001</v>
      </c>
      <c r="AD234" s="1466"/>
      <c r="AE234" s="1466"/>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66" t="s">
        <v>2707</v>
      </c>
      <c r="N235" s="1466"/>
      <c r="O235" s="1466"/>
      <c r="P235" s="1466"/>
      <c r="Q235" s="1466"/>
      <c r="R235" s="1466"/>
      <c r="S235" s="1466"/>
      <c r="T235" s="1466"/>
      <c r="U235" s="1466"/>
      <c r="V235" s="1466"/>
      <c r="W235" s="1466"/>
      <c r="X235" s="1466"/>
      <c r="Y235" s="1466"/>
      <c r="Z235" s="1466"/>
      <c r="AA235" s="1466"/>
      <c r="AB235" s="1466"/>
      <c r="AC235" s="1466"/>
      <c r="AD235" s="1466"/>
      <c r="AE235" s="1466"/>
      <c r="AI235" s="4"/>
      <c r="AJ235" s="4"/>
      <c r="AK235" s="4"/>
      <c r="AL235" s="4"/>
      <c r="AM235" s="4"/>
      <c r="AN235" s="4"/>
      <c r="AO235" s="4"/>
      <c r="AP235" s="4"/>
      <c r="AQ235" s="4"/>
      <c r="AR235" s="4"/>
      <c r="AS235" s="4"/>
      <c r="AT235" s="4"/>
      <c r="BB235" s="219"/>
      <c r="BG235" s="218"/>
    </row>
    <row r="236" spans="1:69" ht="12.95" customHeight="1">
      <c r="D236" s="4" t="s">
        <v>88</v>
      </c>
      <c r="E236" s="4"/>
      <c r="F236" s="4"/>
      <c r="M236" s="1479">
        <v>8056485008</v>
      </c>
      <c r="N236" s="1479"/>
      <c r="O236" s="1479"/>
      <c r="P236" s="1479"/>
      <c r="Q236" s="1479"/>
      <c r="R236" s="1479"/>
      <c r="S236" s="4" t="s">
        <v>207</v>
      </c>
      <c r="T236" s="4"/>
      <c r="U236" s="1487">
        <v>2223</v>
      </c>
      <c r="V236" s="1487"/>
      <c r="W236" s="1487"/>
      <c r="X236" s="4" t="s">
        <v>89</v>
      </c>
      <c r="Z236" s="1479">
        <v>8056865811</v>
      </c>
      <c r="AA236" s="1479"/>
      <c r="AB236" s="1479"/>
      <c r="AC236" s="1479"/>
      <c r="AD236" s="1479"/>
      <c r="AE236" s="1479"/>
      <c r="AU236" s="4"/>
      <c r="AV236" s="4"/>
      <c r="AW236" s="4"/>
      <c r="AX236" s="4"/>
      <c r="AY236" s="4"/>
      <c r="AZ236" s="4"/>
      <c r="BB236" s="218" t="s">
        <v>545</v>
      </c>
      <c r="BG236" s="259">
        <f>IF(AND(AND($M$249="nonprofit",$M$257="nonprofit",$M$265="(select one)")),1,0)</f>
        <v>0</v>
      </c>
    </row>
    <row r="237" spans="1:69" ht="12.95" customHeight="1">
      <c r="D237" s="4" t="s">
        <v>90</v>
      </c>
      <c r="E237" s="4"/>
      <c r="F237" s="4"/>
      <c r="M237" s="1530" t="s">
        <v>2708</v>
      </c>
      <c r="N237" s="1530"/>
      <c r="O237" s="1530"/>
      <c r="P237" s="1530"/>
      <c r="Q237" s="1530"/>
      <c r="R237" s="1530"/>
      <c r="S237" s="1530"/>
      <c r="T237" s="1530"/>
      <c r="U237" s="1530"/>
      <c r="V237" s="1530"/>
      <c r="W237" s="1530"/>
      <c r="X237" s="1530"/>
      <c r="Y237" s="1530"/>
      <c r="Z237" s="1530"/>
      <c r="AA237" s="1530"/>
      <c r="AB237" s="1530"/>
      <c r="AC237" s="1530"/>
      <c r="AD237" s="1530"/>
      <c r="AE237" s="1530"/>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45" t="s">
        <v>378</v>
      </c>
      <c r="N238" s="1445"/>
      <c r="O238" s="1445"/>
      <c r="P238" s="1445"/>
      <c r="Q238" s="1445"/>
      <c r="R238" s="1445"/>
      <c r="S238" s="1445"/>
      <c r="T238" s="1445"/>
      <c r="U238" s="218" t="s">
        <v>921</v>
      </c>
      <c r="V238" s="218"/>
      <c r="W238" s="218"/>
      <c r="X238" s="218"/>
      <c r="Y238" s="218"/>
      <c r="Z238" s="218"/>
      <c r="AA238" s="1533"/>
      <c r="AB238" s="1533"/>
      <c r="AC238" s="1533"/>
      <c r="AD238" s="1533"/>
      <c r="AE238" s="1533"/>
      <c r="AF238" s="1533"/>
      <c r="AG238" s="1533"/>
      <c r="AH238" s="1533"/>
      <c r="AI238" s="1533"/>
      <c r="AJ238" s="1533"/>
      <c r="AK238" s="1533"/>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5" customHeight="1">
      <c r="D239" t="s">
        <v>539</v>
      </c>
      <c r="M239" s="1467"/>
      <c r="N239" s="1467"/>
      <c r="O239" s="1467"/>
      <c r="P239" s="1467"/>
      <c r="Q239" s="1467"/>
      <c r="R239" s="1467"/>
      <c r="S239" s="1467"/>
      <c r="T239" s="1467"/>
      <c r="U239" s="1467"/>
      <c r="V239" s="1467"/>
      <c r="W239" s="1467"/>
      <c r="X239" s="1467"/>
      <c r="Y239" s="1467"/>
      <c r="Z239" s="1467"/>
      <c r="AA239" s="1467"/>
      <c r="AB239" s="1467"/>
      <c r="AC239" s="1467"/>
      <c r="AD239" s="1467"/>
      <c r="AE239" s="1467"/>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52" t="s">
        <v>2731</v>
      </c>
      <c r="N243" s="1532"/>
      <c r="O243" s="1532"/>
      <c r="P243" s="1532"/>
      <c r="Q243" s="1532"/>
      <c r="R243" s="1532"/>
      <c r="S243" s="1532"/>
      <c r="T243" s="1532"/>
      <c r="U243" s="1532"/>
      <c r="V243" s="1532"/>
      <c r="W243" s="1532"/>
      <c r="X243" s="1532"/>
      <c r="Y243" s="1532"/>
      <c r="Z243" s="1532"/>
      <c r="AA243" s="1532"/>
      <c r="AB243" s="1532"/>
      <c r="AC243" s="1532"/>
      <c r="AD243" s="1532"/>
      <c r="AE243" s="1532"/>
      <c r="AF243" s="1532" t="s">
        <v>2732</v>
      </c>
      <c r="AG243" s="1532"/>
      <c r="AH243" s="1532"/>
      <c r="AI243" s="1532"/>
      <c r="AJ243" s="1532"/>
      <c r="AK243" s="1532"/>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66" t="s">
        <v>2734</v>
      </c>
      <c r="N244" s="1466"/>
      <c r="O244" s="1466"/>
      <c r="P244" s="1466"/>
      <c r="Q244" s="1466"/>
      <c r="R244" s="1466"/>
      <c r="S244" s="1466"/>
      <c r="T244" s="1466"/>
      <c r="U244" s="1466"/>
      <c r="V244" s="1466"/>
      <c r="W244" s="1466"/>
      <c r="X244" s="1466"/>
      <c r="Y244" s="1466"/>
      <c r="Z244" s="1466"/>
      <c r="AA244" s="1466"/>
      <c r="AB244" s="1466"/>
      <c r="AC244" s="1466"/>
      <c r="AD244" s="1466"/>
      <c r="AE244" s="1466"/>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66" t="s">
        <v>204</v>
      </c>
      <c r="N245" s="1466"/>
      <c r="O245" s="1466"/>
      <c r="P245" s="1466"/>
      <c r="Q245" s="1466"/>
      <c r="R245" s="1466"/>
      <c r="S245" s="1466"/>
      <c r="T245" s="1466"/>
      <c r="V245" s="33" t="s">
        <v>86</v>
      </c>
      <c r="W245" s="1486" t="s">
        <v>2730</v>
      </c>
      <c r="X245" s="1487"/>
      <c r="Y245" s="4" t="s">
        <v>591</v>
      </c>
      <c r="AC245" s="1466">
        <v>93001</v>
      </c>
      <c r="AD245" s="1466"/>
      <c r="AE245" s="1466"/>
      <c r="AF245" s="3" t="s">
        <v>1286</v>
      </c>
      <c r="AU245" s="4"/>
      <c r="AV245" s="4"/>
      <c r="AW245" s="4"/>
      <c r="AX245" s="4"/>
      <c r="AY245" s="4"/>
      <c r="BB245" s="4" t="s">
        <v>281</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466" t="s">
        <v>2707</v>
      </c>
      <c r="N246" s="1466"/>
      <c r="O246" s="1466"/>
      <c r="P246" s="1466"/>
      <c r="Q246" s="1466"/>
      <c r="R246" s="1466"/>
      <c r="S246" s="1466"/>
      <c r="T246" s="1466"/>
      <c r="U246" s="1466"/>
      <c r="V246" s="1466"/>
      <c r="W246" s="1466"/>
      <c r="X246" s="1466"/>
      <c r="Y246" s="1466"/>
      <c r="Z246" s="1466"/>
      <c r="AA246" s="1466"/>
      <c r="AB246" s="1466"/>
      <c r="AC246" s="1466"/>
      <c r="AD246" s="1466"/>
      <c r="AE246" s="1466"/>
      <c r="AH246" s="1480">
        <v>0.01</v>
      </c>
      <c r="AI246" s="1480"/>
      <c r="AJ246" s="1480"/>
      <c r="AK246" s="1480"/>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79">
        <v>8056485008</v>
      </c>
      <c r="N247" s="1479"/>
      <c r="O247" s="1479"/>
      <c r="P247" s="1479"/>
      <c r="Q247" s="1479"/>
      <c r="R247" s="1479"/>
      <c r="S247" s="4" t="s">
        <v>207</v>
      </c>
      <c r="T247" s="4"/>
      <c r="U247" s="1487">
        <v>2223</v>
      </c>
      <c r="V247" s="1487"/>
      <c r="W247" s="1487"/>
      <c r="X247" s="4" t="s">
        <v>89</v>
      </c>
      <c r="Z247" s="1479">
        <v>8056865811</v>
      </c>
      <c r="AA247" s="1479"/>
      <c r="AB247" s="1479"/>
      <c r="AC247" s="1479"/>
      <c r="AD247" s="1479"/>
      <c r="AE247" s="1479"/>
      <c r="AU247" s="4"/>
      <c r="AV247" s="4"/>
      <c r="AW247" s="4"/>
      <c r="AX247" s="4"/>
      <c r="AY247" s="4"/>
      <c r="BG247">
        <v>0</v>
      </c>
      <c r="BH247" s="3"/>
      <c r="BN247" s="34"/>
    </row>
    <row r="248" spans="1:71" ht="12.95" customHeight="1">
      <c r="A248" s="19"/>
      <c r="B248" s="4"/>
      <c r="C248" s="4"/>
      <c r="D248" s="4" t="s">
        <v>90</v>
      </c>
      <c r="E248" s="4"/>
      <c r="F248" s="4"/>
      <c r="M248" s="1530" t="s">
        <v>2708</v>
      </c>
      <c r="N248" s="1530"/>
      <c r="O248" s="1530"/>
      <c r="P248" s="1530"/>
      <c r="Q248" s="1530"/>
      <c r="R248" s="1530"/>
      <c r="S248" s="1530"/>
      <c r="T248" s="1530"/>
      <c r="U248" s="1530"/>
      <c r="V248" s="1530"/>
      <c r="W248" s="1530"/>
      <c r="X248" s="1530"/>
      <c r="Y248" s="1530"/>
      <c r="Z248" s="1530"/>
      <c r="AA248" s="1530"/>
      <c r="AB248" s="1530"/>
      <c r="AC248" s="1530"/>
      <c r="AD248" s="1530"/>
      <c r="AE248" s="1530"/>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5" t="s">
        <v>542</v>
      </c>
      <c r="N249" s="1445"/>
      <c r="O249" s="1445"/>
      <c r="P249" s="1445"/>
      <c r="Q249" s="1445"/>
      <c r="R249" s="1445"/>
      <c r="S249" s="1445"/>
      <c r="T249" s="1445"/>
      <c r="U249" s="218" t="s">
        <v>921</v>
      </c>
      <c r="V249" s="218"/>
      <c r="W249" s="218"/>
      <c r="X249" s="218"/>
      <c r="Y249" s="218"/>
      <c r="Z249" s="218"/>
      <c r="AA249" s="1533" t="s">
        <v>2733</v>
      </c>
      <c r="AB249" s="1533"/>
      <c r="AC249" s="1533"/>
      <c r="AD249" s="1533"/>
      <c r="AE249" s="1533"/>
      <c r="AF249" s="1533"/>
      <c r="AG249" s="1533"/>
      <c r="AH249" s="1533"/>
      <c r="AI249" s="1533"/>
      <c r="AJ249" s="1533"/>
      <c r="AK249" s="153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2"/>
      <c r="N251" s="1532"/>
      <c r="O251" s="1532"/>
      <c r="P251" s="1532"/>
      <c r="Q251" s="1532"/>
      <c r="R251" s="1532"/>
      <c r="S251" s="1532"/>
      <c r="T251" s="1532"/>
      <c r="U251" s="1532"/>
      <c r="V251" s="1532"/>
      <c r="W251" s="1532"/>
      <c r="X251" s="1532"/>
      <c r="Y251" s="1532"/>
      <c r="Z251" s="1532"/>
      <c r="AA251" s="1532"/>
      <c r="AB251" s="1532"/>
      <c r="AC251" s="1532"/>
      <c r="AD251" s="1532"/>
      <c r="AE251" s="1532"/>
      <c r="AF251" s="1532" t="s">
        <v>308</v>
      </c>
      <c r="AG251" s="1532"/>
      <c r="AH251" s="1532"/>
      <c r="AI251" s="1532"/>
      <c r="AJ251" s="1532"/>
      <c r="AK251" s="1532"/>
      <c r="AU251" s="4"/>
      <c r="AV251" s="4"/>
      <c r="AW251" s="4"/>
      <c r="AX251" s="4"/>
      <c r="AY251" s="4"/>
      <c r="BN251" s="34"/>
    </row>
    <row r="252" spans="1:71" ht="12.95" customHeight="1">
      <c r="A252" s="19"/>
      <c r="B252" s="4"/>
      <c r="C252" s="4"/>
      <c r="D252" s="4" t="s">
        <v>85</v>
      </c>
      <c r="E252" s="4"/>
      <c r="F252" s="4"/>
      <c r="G252" s="4"/>
      <c r="H252" s="4"/>
      <c r="I252" s="4"/>
      <c r="J252" s="4"/>
      <c r="K252" s="4"/>
      <c r="L252" s="4"/>
      <c r="M252" s="1466"/>
      <c r="N252" s="1466"/>
      <c r="O252" s="1466"/>
      <c r="P252" s="1466"/>
      <c r="Q252" s="1466"/>
      <c r="R252" s="1466"/>
      <c r="S252" s="1466"/>
      <c r="T252" s="1466"/>
      <c r="U252" s="1466"/>
      <c r="V252" s="1466"/>
      <c r="W252" s="1466"/>
      <c r="X252" s="1466"/>
      <c r="Y252" s="1466"/>
      <c r="Z252" s="1466"/>
      <c r="AA252" s="1466"/>
      <c r="AB252" s="1466"/>
      <c r="AC252" s="1466"/>
      <c r="AD252" s="1466"/>
      <c r="AE252" s="1466"/>
      <c r="AF252" s="3" t="s">
        <v>1285</v>
      </c>
      <c r="AL252" s="4"/>
      <c r="AM252" s="4"/>
      <c r="AN252" s="4"/>
      <c r="AO252" s="4"/>
      <c r="AP252" s="4"/>
      <c r="AQ252" s="4"/>
      <c r="AR252" s="4"/>
      <c r="AS252" s="4"/>
      <c r="AT252" s="4"/>
      <c r="BN252" s="34"/>
    </row>
    <row r="253" spans="1:71" ht="12.95" customHeight="1">
      <c r="A253" s="19"/>
      <c r="B253" s="4"/>
      <c r="C253" s="4"/>
      <c r="D253" s="4" t="s">
        <v>588</v>
      </c>
      <c r="E253" s="4"/>
      <c r="M253" s="1466"/>
      <c r="N253" s="1466"/>
      <c r="O253" s="1466"/>
      <c r="P253" s="1466"/>
      <c r="Q253" s="1466"/>
      <c r="R253" s="1466"/>
      <c r="S253" s="1466"/>
      <c r="T253" s="1466"/>
      <c r="V253" s="33" t="s">
        <v>86</v>
      </c>
      <c r="W253" s="1487"/>
      <c r="X253" s="1487"/>
      <c r="Y253" s="4" t="s">
        <v>591</v>
      </c>
      <c r="AC253" s="1466"/>
      <c r="AD253" s="1466"/>
      <c r="AE253" s="1466"/>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66"/>
      <c r="N254" s="1466"/>
      <c r="O254" s="1466"/>
      <c r="P254" s="1466"/>
      <c r="Q254" s="1466"/>
      <c r="R254" s="1466"/>
      <c r="S254" s="1466"/>
      <c r="T254" s="1466"/>
      <c r="U254" s="1466"/>
      <c r="V254" s="1466"/>
      <c r="W254" s="1466"/>
      <c r="X254" s="1466"/>
      <c r="Y254" s="1466"/>
      <c r="Z254" s="1466"/>
      <c r="AA254" s="1466"/>
      <c r="AB254" s="1466"/>
      <c r="AC254" s="1466"/>
      <c r="AD254" s="1466"/>
      <c r="AE254" s="1466"/>
      <c r="AH254" s="1480"/>
      <c r="AI254" s="1480"/>
      <c r="AJ254" s="1480"/>
      <c r="AK254" s="1480"/>
      <c r="AL254" s="4"/>
      <c r="AM254" s="4"/>
      <c r="AN254" s="4"/>
      <c r="AO254" s="4"/>
      <c r="AP254" s="4"/>
      <c r="AQ254" s="4"/>
      <c r="AR254" s="4"/>
      <c r="AS254" s="4"/>
      <c r="AT254" s="4"/>
    </row>
    <row r="255" spans="1:71" ht="12.95" customHeight="1">
      <c r="A255" s="19"/>
      <c r="B255" s="4"/>
      <c r="C255" s="4"/>
      <c r="D255" s="4" t="s">
        <v>88</v>
      </c>
      <c r="E255" s="4"/>
      <c r="F255" s="4"/>
      <c r="M255" s="1479"/>
      <c r="N255" s="1479"/>
      <c r="O255" s="1479"/>
      <c r="P255" s="1479"/>
      <c r="Q255" s="1479"/>
      <c r="R255" s="1479"/>
      <c r="S255" s="4" t="s">
        <v>207</v>
      </c>
      <c r="T255" s="4"/>
      <c r="U255" s="1487"/>
      <c r="V255" s="1487"/>
      <c r="W255" s="1487"/>
      <c r="X255" s="4" t="s">
        <v>89</v>
      </c>
      <c r="Z255" s="1479"/>
      <c r="AA255" s="1479"/>
      <c r="AB255" s="1479"/>
      <c r="AC255" s="1479"/>
      <c r="AD255" s="1479"/>
      <c r="AE255" s="1479"/>
      <c r="AU255" s="4"/>
      <c r="AV255" s="4"/>
      <c r="AW255" s="4"/>
      <c r="AX255" s="4"/>
      <c r="AY255" s="4"/>
      <c r="BN255" s="34"/>
    </row>
    <row r="256" spans="1:71" ht="12.95" customHeight="1">
      <c r="A256" s="19"/>
      <c r="B256" s="4"/>
      <c r="C256" s="4"/>
      <c r="D256" s="4" t="s">
        <v>90</v>
      </c>
      <c r="E256" s="4"/>
      <c r="F256" s="4"/>
      <c r="M256" s="1530"/>
      <c r="N256" s="1530"/>
      <c r="O256" s="1530"/>
      <c r="P256" s="1530"/>
      <c r="Q256" s="1530"/>
      <c r="R256" s="1530"/>
      <c r="S256" s="1530"/>
      <c r="T256" s="1530"/>
      <c r="U256" s="1530"/>
      <c r="V256" s="1530"/>
      <c r="W256" s="1530"/>
      <c r="X256" s="1530"/>
      <c r="Y256" s="1530"/>
      <c r="Z256" s="1530"/>
      <c r="AA256" s="1530"/>
      <c r="AB256" s="1530"/>
      <c r="AC256" s="1530"/>
      <c r="AD256" s="1530"/>
      <c r="AE256" s="153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5" t="s">
        <v>308</v>
      </c>
      <c r="N257" s="1445"/>
      <c r="O257" s="1445"/>
      <c r="P257" s="1445"/>
      <c r="Q257" s="1445"/>
      <c r="R257" s="1445"/>
      <c r="S257" s="1445"/>
      <c r="T257" s="1445"/>
      <c r="U257" s="218" t="s">
        <v>921</v>
      </c>
      <c r="V257" s="218"/>
      <c r="W257" s="218"/>
      <c r="X257" s="218"/>
      <c r="Y257" s="218"/>
      <c r="Z257" s="218"/>
      <c r="AA257" s="1533"/>
      <c r="AB257" s="1533"/>
      <c r="AC257" s="1533"/>
      <c r="AD257" s="1533"/>
      <c r="AE257" s="1533"/>
      <c r="AF257" s="1533"/>
      <c r="AG257" s="1533"/>
      <c r="AH257" s="1533"/>
      <c r="AI257" s="1533"/>
      <c r="AJ257" s="1533"/>
      <c r="AK257" s="153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2"/>
      <c r="N259" s="1532"/>
      <c r="O259" s="1532"/>
      <c r="P259" s="1532"/>
      <c r="Q259" s="1532"/>
      <c r="R259" s="1532"/>
      <c r="S259" s="1532"/>
      <c r="T259" s="1532"/>
      <c r="U259" s="1532"/>
      <c r="V259" s="1532"/>
      <c r="W259" s="1532"/>
      <c r="X259" s="1532"/>
      <c r="Y259" s="1532"/>
      <c r="Z259" s="1532"/>
      <c r="AA259" s="1532"/>
      <c r="AB259" s="1532"/>
      <c r="AC259" s="1532"/>
      <c r="AD259" s="1532"/>
      <c r="AE259" s="1532"/>
      <c r="AF259" s="1532" t="s">
        <v>308</v>
      </c>
      <c r="AG259" s="1532"/>
      <c r="AH259" s="1532"/>
      <c r="AI259" s="1532"/>
      <c r="AJ259" s="1532"/>
      <c r="AK259" s="153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66"/>
      <c r="N260" s="1466"/>
      <c r="O260" s="1466"/>
      <c r="P260" s="1466"/>
      <c r="Q260" s="1466"/>
      <c r="R260" s="1466"/>
      <c r="S260" s="1466"/>
      <c r="T260" s="1466"/>
      <c r="U260" s="1466"/>
      <c r="V260" s="1466"/>
      <c r="W260" s="1466"/>
      <c r="X260" s="1466"/>
      <c r="Y260" s="1466"/>
      <c r="Z260" s="1466"/>
      <c r="AA260" s="1466"/>
      <c r="AB260" s="1466"/>
      <c r="AC260" s="1466"/>
      <c r="AD260" s="1466"/>
      <c r="AE260" s="1466"/>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66"/>
      <c r="N261" s="1466"/>
      <c r="O261" s="1466"/>
      <c r="P261" s="1466"/>
      <c r="Q261" s="1466"/>
      <c r="R261" s="1466"/>
      <c r="S261" s="1466"/>
      <c r="T261" s="1466"/>
      <c r="V261" s="33" t="s">
        <v>86</v>
      </c>
      <c r="W261" s="1487"/>
      <c r="X261" s="1487"/>
      <c r="Y261" s="4" t="s">
        <v>591</v>
      </c>
      <c r="AC261" s="1466"/>
      <c r="AD261" s="1466"/>
      <c r="AE261" s="1466"/>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66"/>
      <c r="N262" s="1466"/>
      <c r="O262" s="1466"/>
      <c r="P262" s="1466"/>
      <c r="Q262" s="1466"/>
      <c r="R262" s="1466"/>
      <c r="S262" s="1466"/>
      <c r="T262" s="1466"/>
      <c r="U262" s="1466"/>
      <c r="V262" s="1466"/>
      <c r="W262" s="1466"/>
      <c r="X262" s="1466"/>
      <c r="Y262" s="1466"/>
      <c r="Z262" s="1466"/>
      <c r="AA262" s="1466"/>
      <c r="AB262" s="1466"/>
      <c r="AC262" s="1466"/>
      <c r="AD262" s="1466"/>
      <c r="AE262" s="1466"/>
      <c r="AH262" s="1480"/>
      <c r="AI262" s="1480"/>
      <c r="AJ262" s="1480"/>
      <c r="AK262" s="148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79"/>
      <c r="N263" s="1479"/>
      <c r="O263" s="1479"/>
      <c r="P263" s="1479"/>
      <c r="Q263" s="1479"/>
      <c r="R263" s="1479"/>
      <c r="S263" s="4" t="s">
        <v>207</v>
      </c>
      <c r="T263" s="4"/>
      <c r="U263" s="1487"/>
      <c r="V263" s="1487"/>
      <c r="W263" s="1487"/>
      <c r="X263" s="4" t="s">
        <v>89</v>
      </c>
      <c r="Z263" s="1479"/>
      <c r="AA263" s="1479"/>
      <c r="AB263" s="1479"/>
      <c r="AC263" s="1479"/>
      <c r="AD263" s="1479"/>
      <c r="AE263" s="1479"/>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0"/>
      <c r="N264" s="1530"/>
      <c r="O264" s="1530"/>
      <c r="P264" s="1530"/>
      <c r="Q264" s="1530"/>
      <c r="R264" s="1530"/>
      <c r="S264" s="1530"/>
      <c r="T264" s="1530"/>
      <c r="U264" s="1530"/>
      <c r="V264" s="1530"/>
      <c r="W264" s="1530"/>
      <c r="X264" s="1530"/>
      <c r="Y264" s="1530"/>
      <c r="Z264" s="1530"/>
      <c r="AA264" s="1531"/>
      <c r="AB264" s="1531"/>
      <c r="AC264" s="1531"/>
      <c r="AD264" s="1531"/>
      <c r="AE264" s="153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5" t="s">
        <v>308</v>
      </c>
      <c r="N265" s="1445"/>
      <c r="O265" s="1445"/>
      <c r="P265" s="1445"/>
      <c r="Q265" s="1445"/>
      <c r="R265" s="1445"/>
      <c r="S265" s="1445"/>
      <c r="T265" s="1445"/>
      <c r="U265" s="218" t="s">
        <v>921</v>
      </c>
      <c r="V265" s="218"/>
      <c r="W265" s="218"/>
      <c r="X265" s="218"/>
      <c r="Y265" s="218"/>
      <c r="Z265" s="218"/>
      <c r="AA265" s="1535"/>
      <c r="AB265" s="1535"/>
      <c r="AC265" s="1535"/>
      <c r="AD265" s="1535"/>
      <c r="AE265" s="1535"/>
      <c r="AF265" s="1535"/>
      <c r="AG265" s="1535"/>
      <c r="AH265" s="1535"/>
      <c r="AI265" s="1535"/>
      <c r="AJ265" s="1535"/>
      <c r="AK265" s="153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34" t="str">
        <f>IFERROR(BO245,"")</f>
        <v>Nonprofit</v>
      </c>
      <c r="U267" s="1534"/>
      <c r="V267" s="1534"/>
      <c r="W267" s="1534"/>
      <c r="X267" s="1534"/>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66" t="s">
        <v>281</v>
      </c>
      <c r="E270" s="1466"/>
      <c r="F270" s="1466"/>
      <c r="G270" s="1466"/>
      <c r="H270" s="1466"/>
      <c r="J270" t="s">
        <v>280</v>
      </c>
      <c r="X270" s="1529"/>
      <c r="Y270" s="1529"/>
      <c r="Z270" s="1529"/>
      <c r="AA270" s="1529"/>
      <c r="AB270" s="1529"/>
      <c r="AC270" s="1529"/>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2" t="s">
        <v>2650</v>
      </c>
      <c r="M274" s="1532"/>
      <c r="N274" s="1532"/>
      <c r="O274" s="1532"/>
      <c r="P274" s="1532"/>
      <c r="Q274" s="1532"/>
      <c r="R274" s="1532"/>
      <c r="S274" s="1532"/>
      <c r="T274" s="1532"/>
      <c r="U274" s="1532"/>
      <c r="V274" s="1532"/>
      <c r="W274" s="1532"/>
      <c r="X274" s="1532"/>
      <c r="Y274" s="1532"/>
      <c r="Z274" s="1532"/>
      <c r="AA274" s="1532"/>
      <c r="AB274" s="1532"/>
      <c r="AC274" s="1532"/>
      <c r="AD274" s="1532"/>
      <c r="AE274" s="1532"/>
      <c r="AF274" s="1532"/>
      <c r="AG274" s="1532"/>
      <c r="AH274" s="1532"/>
      <c r="AI274" s="1532"/>
      <c r="AJ274" s="153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66" t="s">
        <v>2652</v>
      </c>
      <c r="M275" s="1466"/>
      <c r="N275" s="1466"/>
      <c r="O275" s="1466"/>
      <c r="P275" s="1466"/>
      <c r="Q275" s="1466"/>
      <c r="R275" s="1466"/>
      <c r="S275" s="1466"/>
      <c r="T275" s="1466"/>
      <c r="U275" s="1466"/>
      <c r="V275" s="1466"/>
      <c r="W275" s="1466"/>
      <c r="X275" s="1466"/>
      <c r="Y275" s="1466"/>
      <c r="Z275" s="1466"/>
      <c r="AA275" s="1466"/>
      <c r="AB275" s="1466"/>
      <c r="AC275" s="1466"/>
      <c r="AD275" s="1466"/>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56" t="s">
        <v>204</v>
      </c>
      <c r="M276" s="1466"/>
      <c r="N276" s="1466"/>
      <c r="O276" s="1466"/>
      <c r="P276" s="1466"/>
      <c r="Q276" s="1466"/>
      <c r="R276" s="1466"/>
      <c r="S276" s="1466"/>
      <c r="U276" s="33" t="s">
        <v>86</v>
      </c>
      <c r="V276" s="1486" t="s">
        <v>2730</v>
      </c>
      <c r="W276" s="1487"/>
      <c r="X276" s="4" t="s">
        <v>591</v>
      </c>
      <c r="AB276" s="1466">
        <v>93001</v>
      </c>
      <c r="AC276" s="1466"/>
      <c r="AD276" s="146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66" t="s">
        <v>2653</v>
      </c>
      <c r="M277" s="1466"/>
      <c r="N277" s="1466"/>
      <c r="O277" s="1466"/>
      <c r="P277" s="1466"/>
      <c r="Q277" s="1466"/>
      <c r="R277" s="1466"/>
      <c r="S277" s="1466"/>
      <c r="T277" s="1466"/>
      <c r="U277" s="1466"/>
      <c r="V277" s="1466"/>
      <c r="W277" s="1466"/>
      <c r="X277" s="1466"/>
      <c r="Y277" s="1466"/>
      <c r="Z277" s="1466"/>
      <c r="AA277" s="1466"/>
      <c r="AB277" s="1466"/>
      <c r="AC277" s="1466"/>
      <c r="AD277" s="1466"/>
      <c r="AI277" s="4"/>
      <c r="AJ277" s="4"/>
      <c r="AK277" s="3"/>
      <c r="AL277" s="3"/>
      <c r="AM277" s="3"/>
      <c r="AN277" s="3"/>
      <c r="AO277" s="3"/>
      <c r="AP277" s="3"/>
      <c r="AQ277" s="3"/>
      <c r="AR277" s="3"/>
      <c r="AS277" s="3"/>
      <c r="AT277" s="3"/>
      <c r="BN277" s="34"/>
    </row>
    <row r="278" spans="1:66" ht="12.95" customHeight="1">
      <c r="D278" s="4" t="s">
        <v>88</v>
      </c>
      <c r="E278" s="4"/>
      <c r="F278" s="4"/>
      <c r="L278" s="1479">
        <v>8056485008</v>
      </c>
      <c r="M278" s="1479"/>
      <c r="N278" s="1479"/>
      <c r="O278" s="1479"/>
      <c r="P278" s="1479"/>
      <c r="Q278" s="1479"/>
      <c r="R278" s="4" t="s">
        <v>207</v>
      </c>
      <c r="S278" s="4"/>
      <c r="T278" s="1487"/>
      <c r="U278" s="1487"/>
      <c r="V278" s="1487"/>
      <c r="W278" s="4" t="s">
        <v>89</v>
      </c>
      <c r="Y278" s="1479">
        <v>8056265819</v>
      </c>
      <c r="Z278" s="1479"/>
      <c r="AA278" s="1479"/>
      <c r="AB278" s="1479"/>
      <c r="AC278" s="1479"/>
      <c r="AD278" s="1479"/>
      <c r="BN278" s="34"/>
    </row>
    <row r="279" spans="1:66" ht="12.95" customHeight="1">
      <c r="D279" s="4" t="s">
        <v>90</v>
      </c>
      <c r="E279" s="4"/>
      <c r="F279" s="4"/>
      <c r="L279" s="1530" t="s">
        <v>2659</v>
      </c>
      <c r="M279" s="1530"/>
      <c r="N279" s="1530"/>
      <c r="O279" s="1530"/>
      <c r="P279" s="1530"/>
      <c r="Q279" s="1530"/>
      <c r="R279" s="1530"/>
      <c r="S279" s="1530"/>
      <c r="T279" s="1530"/>
      <c r="U279" s="1530"/>
      <c r="V279" s="1530"/>
      <c r="W279" s="1530"/>
      <c r="X279" s="1530"/>
      <c r="Y279" s="1530"/>
      <c r="Z279" s="1530"/>
      <c r="AA279" s="1530"/>
      <c r="AB279" s="1530"/>
      <c r="AC279" s="1530"/>
      <c r="AD279" s="1530"/>
      <c r="AF279" s="4"/>
      <c r="AG279" s="4"/>
      <c r="AH279" s="4"/>
      <c r="AI279" s="4"/>
      <c r="AJ279" s="4"/>
      <c r="AU279" s="3"/>
      <c r="AV279" s="3"/>
      <c r="AW279" s="3"/>
      <c r="AX279" s="3"/>
      <c r="AY279" s="3"/>
      <c r="BN279" s="34"/>
    </row>
    <row r="280" spans="1:66" ht="12.95" customHeight="1">
      <c r="D280" s="3" t="s">
        <v>631</v>
      </c>
      <c r="E280" s="3"/>
      <c r="F280" s="3"/>
      <c r="G280" s="3"/>
      <c r="H280" s="3"/>
      <c r="I280" s="3"/>
      <c r="L280" s="1486" t="s">
        <v>2735</v>
      </c>
      <c r="M280" s="1486"/>
      <c r="N280" s="1486"/>
      <c r="O280" s="1486"/>
      <c r="P280" s="1486"/>
      <c r="Q280" s="1486"/>
      <c r="R280" s="1486"/>
      <c r="S280" s="1486"/>
      <c r="T280" s="1486"/>
      <c r="U280" s="1486"/>
      <c r="V280" s="1486"/>
      <c r="W280" s="1486"/>
      <c r="X280" s="1486"/>
      <c r="Y280" s="1486"/>
      <c r="Z280" s="1486"/>
      <c r="AA280" s="1486"/>
      <c r="AB280" s="1486"/>
      <c r="AC280" s="1486"/>
      <c r="AD280" s="1486"/>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761" t="s">
        <v>549</v>
      </c>
      <c r="B282" s="1761"/>
      <c r="C282" s="1761"/>
      <c r="D282" s="1761"/>
      <c r="E282" s="1761"/>
      <c r="F282" s="1761"/>
      <c r="G282" s="1761"/>
      <c r="H282" s="1761"/>
      <c r="I282" s="1761"/>
      <c r="J282" s="1761"/>
      <c r="K282" s="1761"/>
      <c r="L282" s="1761"/>
      <c r="M282" s="1761"/>
      <c r="N282" s="1761"/>
      <c r="O282" s="1761"/>
      <c r="P282" s="1761"/>
      <c r="Q282" s="1761"/>
      <c r="R282" s="1761"/>
      <c r="S282" s="1761"/>
      <c r="T282" s="1761"/>
      <c r="U282" s="1761"/>
      <c r="V282" s="1761"/>
      <c r="W282" s="1761"/>
      <c r="X282" s="1761"/>
      <c r="Y282" s="1761"/>
      <c r="Z282" s="1761"/>
      <c r="AA282" s="1761"/>
      <c r="AB282" s="1761"/>
      <c r="AC282" s="1761"/>
      <c r="AD282" s="1761"/>
      <c r="AE282" s="1761"/>
      <c r="AF282" s="1761"/>
      <c r="AG282" s="1761"/>
      <c r="AH282" s="1761"/>
      <c r="AI282" s="1761"/>
      <c r="AJ282" s="1761"/>
      <c r="AK282" s="1761"/>
      <c r="AL282" s="1761"/>
      <c r="AM282" s="1761"/>
      <c r="AN282" s="1761"/>
      <c r="AO282" s="1761"/>
      <c r="AP282" s="1761"/>
      <c r="AQ282" s="1761"/>
      <c r="AR282" s="1761"/>
      <c r="AS282" s="1761"/>
      <c r="AT282" s="1761"/>
      <c r="AU282" s="95"/>
      <c r="AV282" s="95"/>
      <c r="AW282" s="95"/>
      <c r="AX282" s="95"/>
      <c r="AY282" s="95"/>
      <c r="BN282" s="34"/>
    </row>
    <row r="283" spans="1:66" ht="12.95" customHeight="1">
      <c r="A283" s="1761"/>
      <c r="B283" s="1761"/>
      <c r="C283" s="1761"/>
      <c r="D283" s="1761"/>
      <c r="E283" s="1761"/>
      <c r="F283" s="1761"/>
      <c r="G283" s="1761"/>
      <c r="H283" s="1761"/>
      <c r="I283" s="1761"/>
      <c r="J283" s="1761"/>
      <c r="K283" s="1761"/>
      <c r="L283" s="1761"/>
      <c r="M283" s="1761"/>
      <c r="N283" s="1761"/>
      <c r="O283" s="1761"/>
      <c r="P283" s="1761"/>
      <c r="Q283" s="1761"/>
      <c r="R283" s="1761"/>
      <c r="S283" s="1761"/>
      <c r="T283" s="1761"/>
      <c r="U283" s="1761"/>
      <c r="V283" s="1761"/>
      <c r="W283" s="1761"/>
      <c r="X283" s="1761"/>
      <c r="Y283" s="1761"/>
      <c r="Z283" s="1761"/>
      <c r="AA283" s="1761"/>
      <c r="AB283" s="1761"/>
      <c r="AC283" s="1761"/>
      <c r="AD283" s="1761"/>
      <c r="AE283" s="1761"/>
      <c r="AF283" s="1761"/>
      <c r="AG283" s="1761"/>
      <c r="AH283" s="1761"/>
      <c r="AI283" s="1761"/>
      <c r="AJ283" s="1761"/>
      <c r="AK283" s="1761"/>
      <c r="AL283" s="1761"/>
      <c r="AM283" s="1761"/>
      <c r="AN283" s="1761"/>
      <c r="AO283" s="1761"/>
      <c r="AP283" s="1761"/>
      <c r="AQ283" s="1761"/>
      <c r="AR283" s="1761"/>
      <c r="AS283" s="1761"/>
      <c r="AT283" s="1761"/>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67" t="s">
        <v>2650</v>
      </c>
      <c r="I287" s="1467"/>
      <c r="J287" s="1467"/>
      <c r="K287" s="1467"/>
      <c r="L287" s="1467"/>
      <c r="M287" s="1467"/>
      <c r="N287" s="1467"/>
      <c r="O287" s="1467"/>
      <c r="P287" s="1467"/>
      <c r="Q287" s="1467"/>
      <c r="R287" s="1467"/>
      <c r="T287" s="3" t="s">
        <v>575</v>
      </c>
      <c r="V287" s="3"/>
      <c r="W287" s="3"/>
      <c r="X287" s="3"/>
      <c r="Y287" s="3"/>
      <c r="AA287" s="1467" t="s">
        <v>2654</v>
      </c>
      <c r="AB287" s="1467"/>
      <c r="AC287" s="1467"/>
      <c r="AD287" s="1467"/>
      <c r="AE287" s="1467"/>
      <c r="AF287" s="1467"/>
      <c r="AG287" s="1467"/>
      <c r="AH287" s="1467"/>
      <c r="AI287" s="1467"/>
      <c r="AJ287" s="1467"/>
      <c r="AK287" s="1467"/>
      <c r="BN287" s="34"/>
    </row>
    <row r="288" spans="1:66" ht="12.95" customHeight="1">
      <c r="B288" s="3" t="s">
        <v>479</v>
      </c>
      <c r="C288" s="3"/>
      <c r="D288" s="3"/>
      <c r="E288" s="3"/>
      <c r="F288" s="3"/>
      <c r="H288" s="1445" t="s">
        <v>2652</v>
      </c>
      <c r="I288" s="1445"/>
      <c r="J288" s="1445"/>
      <c r="K288" s="1445"/>
      <c r="L288" s="1445"/>
      <c r="M288" s="1445"/>
      <c r="N288" s="1445"/>
      <c r="O288" s="1445"/>
      <c r="P288" s="1445"/>
      <c r="Q288" s="1445"/>
      <c r="R288" s="1445"/>
      <c r="T288" s="3" t="s">
        <v>479</v>
      </c>
      <c r="V288" s="3"/>
      <c r="W288" s="3"/>
      <c r="X288" s="3"/>
      <c r="Y288" s="3"/>
      <c r="AA288" s="1445" t="s">
        <v>2655</v>
      </c>
      <c r="AB288" s="1445"/>
      <c r="AC288" s="1445"/>
      <c r="AD288" s="1445"/>
      <c r="AE288" s="1445"/>
      <c r="AF288" s="1445"/>
      <c r="AG288" s="1445"/>
      <c r="AH288" s="1445"/>
      <c r="AI288" s="1445"/>
      <c r="AJ288" s="1445"/>
      <c r="AK288" s="1445"/>
      <c r="BN288" s="34"/>
    </row>
    <row r="289" spans="2:66" ht="12.95" customHeight="1">
      <c r="B289" s="3" t="s">
        <v>480</v>
      </c>
      <c r="C289" s="3"/>
      <c r="D289" s="3"/>
      <c r="E289" s="3"/>
      <c r="F289" s="3"/>
      <c r="H289" s="1445" t="s">
        <v>2651</v>
      </c>
      <c r="I289" s="1445"/>
      <c r="J289" s="1445"/>
      <c r="K289" s="1445"/>
      <c r="L289" s="1445"/>
      <c r="M289" s="1445"/>
      <c r="N289" s="1445"/>
      <c r="O289" s="1445"/>
      <c r="P289" s="1445"/>
      <c r="Q289" s="1445"/>
      <c r="R289" s="1445"/>
      <c r="T289" s="3" t="s">
        <v>75</v>
      </c>
      <c r="V289" s="3"/>
      <c r="W289" s="3"/>
      <c r="X289" s="3"/>
      <c r="Y289" s="3"/>
      <c r="AA289" s="1445" t="s">
        <v>2656</v>
      </c>
      <c r="AB289" s="1445"/>
      <c r="AC289" s="1445"/>
      <c r="AD289" s="1445"/>
      <c r="AE289" s="1445"/>
      <c r="AF289" s="1445"/>
      <c r="AG289" s="1445"/>
      <c r="AH289" s="1445"/>
      <c r="AI289" s="1445"/>
      <c r="AJ289" s="1445"/>
      <c r="AK289" s="1445"/>
      <c r="BN289" s="34"/>
    </row>
    <row r="290" spans="2:66" ht="12.95" customHeight="1">
      <c r="B290" s="3" t="s">
        <v>87</v>
      </c>
      <c r="C290" s="3"/>
      <c r="D290" s="3"/>
      <c r="E290" s="3"/>
      <c r="F290" s="3"/>
      <c r="H290" s="1445" t="s">
        <v>2653</v>
      </c>
      <c r="I290" s="1445"/>
      <c r="J290" s="1445"/>
      <c r="K290" s="1445"/>
      <c r="L290" s="1445"/>
      <c r="M290" s="1445"/>
      <c r="N290" s="1445"/>
      <c r="O290" s="1445"/>
      <c r="P290" s="1445"/>
      <c r="Q290" s="1445"/>
      <c r="R290" s="1445"/>
      <c r="T290" s="3" t="s">
        <v>87</v>
      </c>
      <c r="V290" s="3"/>
      <c r="W290" s="3"/>
      <c r="X290" s="3"/>
      <c r="Y290" s="3"/>
      <c r="AA290" s="1445" t="s">
        <v>2657</v>
      </c>
      <c r="AB290" s="1445"/>
      <c r="AC290" s="1445"/>
      <c r="AD290" s="1445"/>
      <c r="AE290" s="1445"/>
      <c r="AF290" s="1445"/>
      <c r="AG290" s="1445"/>
      <c r="AH290" s="1445"/>
      <c r="AI290" s="1445"/>
      <c r="AJ290" s="1445"/>
      <c r="AK290" s="1445"/>
      <c r="BN290" s="34"/>
    </row>
    <row r="291" spans="2:66" ht="12.95" customHeight="1">
      <c r="B291" s="3" t="s">
        <v>88</v>
      </c>
      <c r="C291" s="3"/>
      <c r="D291" s="3"/>
      <c r="E291" s="3"/>
      <c r="F291" s="3"/>
      <c r="G291" s="3"/>
      <c r="H291" s="1520" t="s">
        <v>2660</v>
      </c>
      <c r="I291" s="1520"/>
      <c r="J291" s="1520"/>
      <c r="K291" s="1520"/>
      <c r="L291" s="1520"/>
      <c r="M291" s="1520"/>
      <c r="N291" s="4" t="s">
        <v>207</v>
      </c>
      <c r="O291" s="4"/>
      <c r="P291" s="1466"/>
      <c r="Q291" s="1466"/>
      <c r="R291" s="1466"/>
      <c r="S291" s="3"/>
      <c r="T291" s="3" t="s">
        <v>88</v>
      </c>
      <c r="V291" s="3"/>
      <c r="W291" s="3"/>
      <c r="X291" s="3"/>
      <c r="Y291" s="3"/>
      <c r="AA291" s="1520">
        <v>8055520088</v>
      </c>
      <c r="AB291" s="1520"/>
      <c r="AC291" s="1520"/>
      <c r="AD291" s="1520"/>
      <c r="AE291" s="1520"/>
      <c r="AF291" s="1520"/>
      <c r="AG291" s="4" t="s">
        <v>207</v>
      </c>
      <c r="AH291" s="4"/>
      <c r="AI291" s="1466"/>
      <c r="AJ291" s="1466"/>
      <c r="AK291" s="1466"/>
      <c r="BN291" s="34"/>
    </row>
    <row r="292" spans="2:66" ht="12.95" customHeight="1">
      <c r="B292" s="3" t="s">
        <v>89</v>
      </c>
      <c r="C292" s="3"/>
      <c r="D292" s="3"/>
      <c r="E292" s="3"/>
      <c r="F292" s="3"/>
      <c r="G292" s="3"/>
      <c r="H292" s="1479"/>
      <c r="I292" s="1479"/>
      <c r="J292" s="1479"/>
      <c r="K292" s="1479"/>
      <c r="L292" s="1479"/>
      <c r="M292" s="1479"/>
      <c r="N292" s="4"/>
      <c r="O292" s="4"/>
      <c r="P292" s="35"/>
      <c r="Q292" s="35"/>
      <c r="R292" s="35"/>
      <c r="S292" s="3"/>
      <c r="T292" s="3" t="s">
        <v>89</v>
      </c>
      <c r="V292" s="3"/>
      <c r="W292" s="3"/>
      <c r="X292" s="3"/>
      <c r="Y292" s="3"/>
      <c r="AA292" s="1479"/>
      <c r="AB292" s="1479"/>
      <c r="AC292" s="1479"/>
      <c r="AD292" s="1479"/>
      <c r="AE292" s="1479"/>
      <c r="AF292" s="1479"/>
      <c r="AG292" s="4"/>
      <c r="AH292" s="4"/>
      <c r="AI292" s="35"/>
      <c r="AJ292" s="35"/>
      <c r="AK292" s="35"/>
      <c r="BN292" s="34"/>
    </row>
    <row r="293" spans="2:66" ht="12.95" customHeight="1">
      <c r="B293" s="3" t="s">
        <v>76</v>
      </c>
      <c r="C293" s="3"/>
      <c r="D293" s="3"/>
      <c r="E293" s="3"/>
      <c r="F293" s="3"/>
      <c r="G293" s="3"/>
      <c r="H293" s="1445" t="s">
        <v>2659</v>
      </c>
      <c r="I293" s="1445"/>
      <c r="J293" s="1445"/>
      <c r="K293" s="1445"/>
      <c r="L293" s="1445"/>
      <c r="M293" s="1445"/>
      <c r="N293" s="1467"/>
      <c r="O293" s="1467"/>
      <c r="P293" s="1467"/>
      <c r="Q293" s="1467"/>
      <c r="R293" s="1467"/>
      <c r="S293" s="3"/>
      <c r="T293" s="3" t="s">
        <v>76</v>
      </c>
      <c r="V293" s="3"/>
      <c r="W293" s="3"/>
      <c r="X293" s="3"/>
      <c r="Y293" s="3"/>
      <c r="AA293" s="1445" t="s">
        <v>2658</v>
      </c>
      <c r="AB293" s="1445"/>
      <c r="AC293" s="1445"/>
      <c r="AD293" s="1445"/>
      <c r="AE293" s="1445"/>
      <c r="AF293" s="1445"/>
      <c r="AG293" s="1467"/>
      <c r="AH293" s="1467"/>
      <c r="AI293" s="1467"/>
      <c r="AJ293" s="1467"/>
      <c r="AK293" s="146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67" t="s">
        <v>2661</v>
      </c>
      <c r="I295" s="1467"/>
      <c r="J295" s="1467"/>
      <c r="K295" s="1467"/>
      <c r="L295" s="1467"/>
      <c r="M295" s="1467"/>
      <c r="N295" s="1467"/>
      <c r="O295" s="1467"/>
      <c r="P295" s="1467"/>
      <c r="Q295" s="1467"/>
      <c r="R295" s="1467"/>
      <c r="T295" s="3" t="s">
        <v>365</v>
      </c>
      <c r="V295" s="3"/>
      <c r="W295" s="3"/>
      <c r="X295" s="3"/>
      <c r="Y295" s="3"/>
      <c r="AA295" s="1467" t="s">
        <v>2662</v>
      </c>
      <c r="AB295" s="1467"/>
      <c r="AC295" s="1467"/>
      <c r="AD295" s="1467"/>
      <c r="AE295" s="1467"/>
      <c r="AF295" s="1467"/>
      <c r="AG295" s="1467"/>
      <c r="AH295" s="1467"/>
      <c r="AI295" s="1467"/>
      <c r="AJ295" s="1467"/>
      <c r="AK295" s="1467"/>
      <c r="BN295" s="34"/>
    </row>
    <row r="296" spans="2:66" ht="12.95" customHeight="1">
      <c r="B296" s="3" t="s">
        <v>479</v>
      </c>
      <c r="C296" s="3"/>
      <c r="D296" s="3"/>
      <c r="E296" s="3"/>
      <c r="F296" s="3"/>
      <c r="H296" s="1445" t="s">
        <v>2666</v>
      </c>
      <c r="I296" s="1445"/>
      <c r="J296" s="1445"/>
      <c r="K296" s="1445"/>
      <c r="L296" s="1445"/>
      <c r="M296" s="1445"/>
      <c r="N296" s="1445"/>
      <c r="O296" s="1445"/>
      <c r="P296" s="1445"/>
      <c r="Q296" s="1445"/>
      <c r="R296" s="1445"/>
      <c r="T296" s="3" t="s">
        <v>479</v>
      </c>
      <c r="V296" s="3"/>
      <c r="W296" s="3"/>
      <c r="X296" s="3"/>
      <c r="Y296" s="3"/>
      <c r="AA296" s="1445" t="s">
        <v>2663</v>
      </c>
      <c r="AB296" s="1445"/>
      <c r="AC296" s="1445"/>
      <c r="AD296" s="1445"/>
      <c r="AE296" s="1445"/>
      <c r="AF296" s="1445"/>
      <c r="AG296" s="1445"/>
      <c r="AH296" s="1445"/>
      <c r="AI296" s="1445"/>
      <c r="AJ296" s="1445"/>
      <c r="AK296" s="1445"/>
      <c r="BN296" s="34"/>
    </row>
    <row r="297" spans="2:66" ht="12.95" customHeight="1">
      <c r="B297" s="3" t="s">
        <v>480</v>
      </c>
      <c r="C297" s="3"/>
      <c r="D297" s="3"/>
      <c r="E297" s="3"/>
      <c r="F297" s="3"/>
      <c r="H297" s="1445" t="s">
        <v>2667</v>
      </c>
      <c r="I297" s="1445"/>
      <c r="J297" s="1445"/>
      <c r="K297" s="1445"/>
      <c r="L297" s="1445"/>
      <c r="M297" s="1445"/>
      <c r="N297" s="1445"/>
      <c r="O297" s="1445"/>
      <c r="P297" s="1445"/>
      <c r="Q297" s="1445"/>
      <c r="R297" s="1445"/>
      <c r="T297" s="3" t="s">
        <v>75</v>
      </c>
      <c r="V297" s="3"/>
      <c r="W297" s="3"/>
      <c r="X297" s="3"/>
      <c r="Y297" s="3"/>
      <c r="AA297" s="1445" t="s">
        <v>2664</v>
      </c>
      <c r="AB297" s="1445"/>
      <c r="AC297" s="1445"/>
      <c r="AD297" s="1445"/>
      <c r="AE297" s="1445"/>
      <c r="AF297" s="1445"/>
      <c r="AG297" s="1445"/>
      <c r="AH297" s="1445"/>
      <c r="AI297" s="1445"/>
      <c r="AJ297" s="1445"/>
      <c r="AK297" s="1445"/>
      <c r="BN297" s="34"/>
    </row>
    <row r="298" spans="2:66" ht="12.95" customHeight="1">
      <c r="B298" s="3" t="s">
        <v>87</v>
      </c>
      <c r="C298" s="3"/>
      <c r="D298" s="3"/>
      <c r="E298" s="3"/>
      <c r="F298" s="3"/>
      <c r="H298" s="1445" t="s">
        <v>2668</v>
      </c>
      <c r="I298" s="1445"/>
      <c r="J298" s="1445"/>
      <c r="K298" s="1445"/>
      <c r="L298" s="1445"/>
      <c r="M298" s="1445"/>
      <c r="N298" s="1445"/>
      <c r="O298" s="1445"/>
      <c r="P298" s="1445"/>
      <c r="Q298" s="1445"/>
      <c r="R298" s="1445"/>
      <c r="T298" s="3" t="s">
        <v>87</v>
      </c>
      <c r="V298" s="3"/>
      <c r="W298" s="3"/>
      <c r="X298" s="3"/>
      <c r="Y298" s="3"/>
      <c r="AA298" s="1445" t="s">
        <v>2665</v>
      </c>
      <c r="AB298" s="1445"/>
      <c r="AC298" s="1445"/>
      <c r="AD298" s="1445"/>
      <c r="AE298" s="1445"/>
      <c r="AF298" s="1445"/>
      <c r="AG298" s="1445"/>
      <c r="AH298" s="1445"/>
      <c r="AI298" s="1445"/>
      <c r="AJ298" s="1445"/>
      <c r="AK298" s="1445"/>
      <c r="BN298" s="34"/>
    </row>
    <row r="299" spans="2:66" ht="12.95" customHeight="1">
      <c r="B299" s="3" t="s">
        <v>88</v>
      </c>
      <c r="C299" s="3"/>
      <c r="D299" s="3"/>
      <c r="E299" s="3"/>
      <c r="F299" s="3"/>
      <c r="G299" s="3"/>
      <c r="H299" s="1520" t="s">
        <v>2669</v>
      </c>
      <c r="I299" s="1520"/>
      <c r="J299" s="1520"/>
      <c r="K299" s="1520"/>
      <c r="L299" s="1520"/>
      <c r="M299" s="1520"/>
      <c r="N299" s="4" t="s">
        <v>207</v>
      </c>
      <c r="O299" s="4"/>
      <c r="P299" s="1466"/>
      <c r="Q299" s="1466"/>
      <c r="R299" s="1466"/>
      <c r="S299" s="3"/>
      <c r="T299" s="3" t="s">
        <v>88</v>
      </c>
      <c r="V299" s="3"/>
      <c r="W299" s="3"/>
      <c r="X299" s="3"/>
      <c r="Y299" s="3"/>
      <c r="AA299" s="1520"/>
      <c r="AB299" s="1520"/>
      <c r="AC299" s="1520"/>
      <c r="AD299" s="1520"/>
      <c r="AE299" s="1520"/>
      <c r="AF299" s="1520"/>
      <c r="AG299" s="4" t="s">
        <v>207</v>
      </c>
      <c r="AH299" s="4"/>
      <c r="AI299" s="1466"/>
      <c r="AJ299" s="1466"/>
      <c r="AK299" s="1466"/>
      <c r="BN299" s="34"/>
    </row>
    <row r="300" spans="2:66" ht="12.95" customHeight="1">
      <c r="B300" s="3" t="s">
        <v>89</v>
      </c>
      <c r="C300" s="3"/>
      <c r="D300" s="3"/>
      <c r="E300" s="3"/>
      <c r="F300" s="3"/>
      <c r="G300" s="3"/>
      <c r="H300" s="1479"/>
      <c r="I300" s="1479"/>
      <c r="J300" s="1479"/>
      <c r="K300" s="1479"/>
      <c r="L300" s="1479"/>
      <c r="M300" s="1479"/>
      <c r="N300" s="4"/>
      <c r="O300" s="4"/>
      <c r="P300" s="35"/>
      <c r="Q300" s="35"/>
      <c r="R300" s="35"/>
      <c r="S300" s="3"/>
      <c r="T300" s="3" t="s">
        <v>89</v>
      </c>
      <c r="V300" s="3"/>
      <c r="W300" s="3"/>
      <c r="X300" s="3"/>
      <c r="Y300" s="3"/>
      <c r="AA300" s="1479"/>
      <c r="AB300" s="1479"/>
      <c r="AC300" s="1479"/>
      <c r="AD300" s="1479"/>
      <c r="AE300" s="1479"/>
      <c r="AF300" s="1479"/>
      <c r="AG300" s="4"/>
      <c r="AH300" s="4"/>
      <c r="AI300" s="35"/>
      <c r="AJ300" s="35"/>
      <c r="AK300" s="35"/>
      <c r="BN300" s="34"/>
    </row>
    <row r="301" spans="2:66" ht="12.95" customHeight="1">
      <c r="B301" s="3" t="s">
        <v>76</v>
      </c>
      <c r="C301" s="3"/>
      <c r="D301" s="3"/>
      <c r="E301" s="3"/>
      <c r="F301" s="3"/>
      <c r="G301" s="3"/>
      <c r="H301" s="1445" t="s">
        <v>2670</v>
      </c>
      <c r="I301" s="1445"/>
      <c r="J301" s="1445"/>
      <c r="K301" s="1445"/>
      <c r="L301" s="1445"/>
      <c r="M301" s="1445"/>
      <c r="N301" s="1467"/>
      <c r="O301" s="1467"/>
      <c r="P301" s="1467"/>
      <c r="Q301" s="1467"/>
      <c r="R301" s="1467"/>
      <c r="S301" s="3"/>
      <c r="T301" s="3" t="s">
        <v>76</v>
      </c>
      <c r="V301" s="3"/>
      <c r="W301" s="3"/>
      <c r="X301" s="3"/>
      <c r="Y301" s="3"/>
      <c r="AA301" s="1445" t="s">
        <v>2671</v>
      </c>
      <c r="AB301" s="1445"/>
      <c r="AC301" s="1445"/>
      <c r="AD301" s="1445"/>
      <c r="AE301" s="1445"/>
      <c r="AF301" s="1445"/>
      <c r="AG301" s="1467"/>
      <c r="AH301" s="1467"/>
      <c r="AI301" s="1467"/>
      <c r="AJ301" s="1467"/>
      <c r="AK301" s="1467"/>
      <c r="BN301" s="34"/>
    </row>
    <row r="302" spans="2:66" ht="12.95" customHeight="1">
      <c r="BN302" s="34"/>
    </row>
    <row r="303" spans="2:66" ht="12.95" customHeight="1">
      <c r="B303" s="3" t="s">
        <v>77</v>
      </c>
      <c r="C303" s="3"/>
      <c r="D303" s="3"/>
      <c r="E303" s="3"/>
      <c r="F303" s="3"/>
      <c r="H303" s="1467" t="s">
        <v>2661</v>
      </c>
      <c r="I303" s="1467"/>
      <c r="J303" s="1467"/>
      <c r="K303" s="1467"/>
      <c r="L303" s="1467"/>
      <c r="M303" s="1467"/>
      <c r="N303" s="1467"/>
      <c r="O303" s="1467"/>
      <c r="P303" s="1467"/>
      <c r="Q303" s="1467"/>
      <c r="R303" s="1467"/>
      <c r="T303" s="4" t="s">
        <v>890</v>
      </c>
      <c r="V303" s="3"/>
      <c r="W303" s="3"/>
      <c r="X303" s="3"/>
      <c r="Y303" s="3"/>
      <c r="AA303" s="1467" t="s">
        <v>2677</v>
      </c>
      <c r="AB303" s="1467"/>
      <c r="AC303" s="1467"/>
      <c r="AD303" s="1467"/>
      <c r="AE303" s="1467"/>
      <c r="AF303" s="1467"/>
      <c r="AG303" s="1467"/>
      <c r="AH303" s="1467"/>
      <c r="AI303" s="1467"/>
      <c r="AJ303" s="1467"/>
      <c r="AK303" s="1467"/>
      <c r="BN303" s="34"/>
    </row>
    <row r="304" spans="2:66" ht="12.95" customHeight="1">
      <c r="B304" s="3" t="s">
        <v>479</v>
      </c>
      <c r="C304" s="3"/>
      <c r="D304" s="3"/>
      <c r="E304" s="3"/>
      <c r="F304" s="3"/>
      <c r="H304" s="1445" t="s">
        <v>2672</v>
      </c>
      <c r="I304" s="1445"/>
      <c r="J304" s="1445"/>
      <c r="K304" s="1445"/>
      <c r="L304" s="1445"/>
      <c r="M304" s="1445"/>
      <c r="N304" s="1445"/>
      <c r="O304" s="1445"/>
      <c r="P304" s="1445"/>
      <c r="Q304" s="1445"/>
      <c r="R304" s="1445"/>
      <c r="T304" s="3" t="s">
        <v>479</v>
      </c>
      <c r="V304" s="3"/>
      <c r="W304" s="3"/>
      <c r="X304" s="3"/>
      <c r="Y304" s="3"/>
      <c r="AA304" s="1445" t="s">
        <v>2678</v>
      </c>
      <c r="AB304" s="1445"/>
      <c r="AC304" s="1445"/>
      <c r="AD304" s="1445"/>
      <c r="AE304" s="1445"/>
      <c r="AF304" s="1445"/>
      <c r="AG304" s="1445"/>
      <c r="AH304" s="1445"/>
      <c r="AI304" s="1445"/>
      <c r="AJ304" s="1445"/>
      <c r="AK304" s="1445"/>
      <c r="BN304" s="34"/>
    </row>
    <row r="305" spans="2:66" ht="12.95" customHeight="1">
      <c r="B305" s="3" t="s">
        <v>480</v>
      </c>
      <c r="C305" s="3"/>
      <c r="D305" s="3"/>
      <c r="E305" s="3"/>
      <c r="F305" s="3"/>
      <c r="H305" s="1445" t="s">
        <v>2673</v>
      </c>
      <c r="I305" s="1445"/>
      <c r="J305" s="1445"/>
      <c r="K305" s="1445"/>
      <c r="L305" s="1445"/>
      <c r="M305" s="1445"/>
      <c r="N305" s="1445"/>
      <c r="O305" s="1445"/>
      <c r="P305" s="1445"/>
      <c r="Q305" s="1445"/>
      <c r="R305" s="1445"/>
      <c r="T305" s="3" t="s">
        <v>75</v>
      </c>
      <c r="V305" s="3"/>
      <c r="W305" s="3"/>
      <c r="X305" s="3"/>
      <c r="Y305" s="3"/>
      <c r="AA305" s="1445" t="s">
        <v>2679</v>
      </c>
      <c r="AB305" s="1445"/>
      <c r="AC305" s="1445"/>
      <c r="AD305" s="1445"/>
      <c r="AE305" s="1445"/>
      <c r="AF305" s="1445"/>
      <c r="AG305" s="1445"/>
      <c r="AH305" s="1445"/>
      <c r="AI305" s="1445"/>
      <c r="AJ305" s="1445"/>
      <c r="AK305" s="1445"/>
      <c r="BN305" s="34"/>
    </row>
    <row r="306" spans="2:66" ht="12.95" customHeight="1">
      <c r="B306" s="3" t="s">
        <v>87</v>
      </c>
      <c r="C306" s="3"/>
      <c r="D306" s="3"/>
      <c r="E306" s="3"/>
      <c r="F306" s="3"/>
      <c r="H306" s="1445" t="s">
        <v>2674</v>
      </c>
      <c r="I306" s="1445"/>
      <c r="J306" s="1445"/>
      <c r="K306" s="1445"/>
      <c r="L306" s="1445"/>
      <c r="M306" s="1445"/>
      <c r="N306" s="1445"/>
      <c r="O306" s="1445"/>
      <c r="P306" s="1445"/>
      <c r="Q306" s="1445"/>
      <c r="R306" s="1445"/>
      <c r="T306" s="3" t="s">
        <v>87</v>
      </c>
      <c r="V306" s="3"/>
      <c r="W306" s="3"/>
      <c r="X306" s="3"/>
      <c r="Y306" s="3"/>
      <c r="AA306" s="1445" t="s">
        <v>2680</v>
      </c>
      <c r="AB306" s="1445"/>
      <c r="AC306" s="1445"/>
      <c r="AD306" s="1445"/>
      <c r="AE306" s="1445"/>
      <c r="AF306" s="1445"/>
      <c r="AG306" s="1445"/>
      <c r="AH306" s="1445"/>
      <c r="AI306" s="1445"/>
      <c r="AJ306" s="1445"/>
      <c r="AK306" s="1445"/>
      <c r="BN306" s="34"/>
    </row>
    <row r="307" spans="2:66" ht="12.95" customHeight="1">
      <c r="B307" s="3" t="s">
        <v>88</v>
      </c>
      <c r="C307" s="3"/>
      <c r="D307" s="3"/>
      <c r="E307" s="3"/>
      <c r="F307" s="3"/>
      <c r="G307" s="3"/>
      <c r="H307" s="1520" t="s">
        <v>2675</v>
      </c>
      <c r="I307" s="1520"/>
      <c r="J307" s="1520"/>
      <c r="K307" s="1520"/>
      <c r="L307" s="1520"/>
      <c r="M307" s="1520"/>
      <c r="N307" s="4" t="s">
        <v>207</v>
      </c>
      <c r="O307" s="4"/>
      <c r="P307" s="1466"/>
      <c r="Q307" s="1466"/>
      <c r="R307" s="1466"/>
      <c r="S307" s="3"/>
      <c r="T307" s="3" t="s">
        <v>88</v>
      </c>
      <c r="V307" s="3"/>
      <c r="W307" s="3"/>
      <c r="X307" s="3"/>
      <c r="Y307" s="3"/>
      <c r="AA307" s="1520" t="s">
        <v>2681</v>
      </c>
      <c r="AB307" s="1520"/>
      <c r="AC307" s="1520"/>
      <c r="AD307" s="1520"/>
      <c r="AE307" s="1520"/>
      <c r="AF307" s="1520"/>
      <c r="AG307" s="4" t="s">
        <v>207</v>
      </c>
      <c r="AH307" s="4"/>
      <c r="AI307" s="1466"/>
      <c r="AJ307" s="1466"/>
      <c r="AK307" s="1466"/>
      <c r="BN307" s="34"/>
    </row>
    <row r="308" spans="2:66" ht="12.95" customHeight="1">
      <c r="B308" s="3" t="s">
        <v>89</v>
      </c>
      <c r="C308" s="3"/>
      <c r="D308" s="3"/>
      <c r="E308" s="3"/>
      <c r="F308" s="3"/>
      <c r="G308" s="3"/>
      <c r="H308" s="1479"/>
      <c r="I308" s="1479"/>
      <c r="J308" s="1479"/>
      <c r="K308" s="1479"/>
      <c r="L308" s="1479"/>
      <c r="M308" s="1479"/>
      <c r="N308" s="4"/>
      <c r="O308" s="4"/>
      <c r="P308" s="35"/>
      <c r="Q308" s="35"/>
      <c r="R308" s="35"/>
      <c r="S308" s="3"/>
      <c r="T308" s="3" t="s">
        <v>89</v>
      </c>
      <c r="V308" s="3"/>
      <c r="W308" s="3"/>
      <c r="X308" s="3"/>
      <c r="Y308" s="3"/>
      <c r="AA308" s="1479"/>
      <c r="AB308" s="1479"/>
      <c r="AC308" s="1479"/>
      <c r="AD308" s="1479"/>
      <c r="AE308" s="1479"/>
      <c r="AF308" s="1479"/>
      <c r="AG308" s="4"/>
      <c r="AH308" s="4"/>
      <c r="AI308" s="35"/>
      <c r="AJ308" s="35"/>
      <c r="AK308" s="35"/>
      <c r="BN308" s="34"/>
    </row>
    <row r="309" spans="2:66" ht="12.95" customHeight="1">
      <c r="B309" s="3" t="s">
        <v>76</v>
      </c>
      <c r="C309" s="3"/>
      <c r="D309" s="3"/>
      <c r="E309" s="3"/>
      <c r="F309" s="3"/>
      <c r="G309" s="3"/>
      <c r="H309" s="1445" t="s">
        <v>2676</v>
      </c>
      <c r="I309" s="1445"/>
      <c r="J309" s="1445"/>
      <c r="K309" s="1445"/>
      <c r="L309" s="1445"/>
      <c r="M309" s="1445"/>
      <c r="N309" s="1467"/>
      <c r="O309" s="1467"/>
      <c r="P309" s="1467"/>
      <c r="Q309" s="1467"/>
      <c r="R309" s="1467"/>
      <c r="S309" s="3"/>
      <c r="T309" s="3" t="s">
        <v>76</v>
      </c>
      <c r="V309" s="3"/>
      <c r="W309" s="3"/>
      <c r="X309" s="3"/>
      <c r="Y309" s="3"/>
      <c r="AA309" s="1445" t="s">
        <v>2682</v>
      </c>
      <c r="AB309" s="1445"/>
      <c r="AC309" s="1445"/>
      <c r="AD309" s="1445"/>
      <c r="AE309" s="1445"/>
      <c r="AF309" s="1445"/>
      <c r="AG309" s="1467"/>
      <c r="AH309" s="1467"/>
      <c r="AI309" s="1467"/>
      <c r="AJ309" s="1467"/>
      <c r="AK309" s="146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67" t="s">
        <v>2683</v>
      </c>
      <c r="I311" s="1467"/>
      <c r="J311" s="1467"/>
      <c r="K311" s="1467"/>
      <c r="L311" s="1467"/>
      <c r="M311" s="1467"/>
      <c r="N311" s="1467"/>
      <c r="O311" s="1467"/>
      <c r="P311" s="1467"/>
      <c r="Q311" s="1467"/>
      <c r="R311" s="1467"/>
      <c r="S311" s="3"/>
      <c r="T311" s="3" t="s">
        <v>366</v>
      </c>
      <c r="V311" s="3"/>
      <c r="W311" s="3"/>
      <c r="X311" s="3"/>
      <c r="Y311" s="3"/>
      <c r="AA311" s="1467" t="s">
        <v>2710</v>
      </c>
      <c r="AB311" s="1467"/>
      <c r="AC311" s="1467"/>
      <c r="AD311" s="1467"/>
      <c r="AE311" s="1467"/>
      <c r="AF311" s="1467"/>
      <c r="AG311" s="1467"/>
      <c r="AH311" s="1467"/>
      <c r="AI311" s="1467"/>
      <c r="AJ311" s="1467"/>
      <c r="AK311" s="1467"/>
      <c r="BN311" s="34"/>
    </row>
    <row r="312" spans="2:66" ht="12.95" customHeight="1">
      <c r="B312" s="3" t="s">
        <v>479</v>
      </c>
      <c r="C312" s="3"/>
      <c r="D312" s="3"/>
      <c r="E312" s="3"/>
      <c r="F312" s="3"/>
      <c r="H312" s="1445" t="s">
        <v>2684</v>
      </c>
      <c r="I312" s="1445"/>
      <c r="J312" s="1445"/>
      <c r="K312" s="1445"/>
      <c r="L312" s="1445"/>
      <c r="M312" s="1445"/>
      <c r="N312" s="1445"/>
      <c r="O312" s="1445"/>
      <c r="P312" s="1445"/>
      <c r="Q312" s="1445"/>
      <c r="R312" s="1445"/>
      <c r="S312" s="3"/>
      <c r="T312" s="3" t="s">
        <v>479</v>
      </c>
      <c r="V312" s="3"/>
      <c r="W312" s="3"/>
      <c r="X312" s="3"/>
      <c r="Y312" s="3"/>
      <c r="AA312" s="1445"/>
      <c r="AB312" s="1445"/>
      <c r="AC312" s="1445"/>
      <c r="AD312" s="1445"/>
      <c r="AE312" s="1445"/>
      <c r="AF312" s="1445"/>
      <c r="AG312" s="1445"/>
      <c r="AH312" s="1445"/>
      <c r="AI312" s="1445"/>
      <c r="AJ312" s="1445"/>
      <c r="AK312" s="1445"/>
      <c r="BN312" s="34"/>
    </row>
    <row r="313" spans="2:66" ht="12.95" customHeight="1">
      <c r="B313" s="3" t="s">
        <v>480</v>
      </c>
      <c r="C313" s="3"/>
      <c r="D313" s="3"/>
      <c r="E313" s="3"/>
      <c r="F313" s="3"/>
      <c r="H313" s="1445" t="s">
        <v>2685</v>
      </c>
      <c r="I313" s="1445"/>
      <c r="J313" s="1445"/>
      <c r="K313" s="1445"/>
      <c r="L313" s="1445"/>
      <c r="M313" s="1445"/>
      <c r="N313" s="1445"/>
      <c r="O313" s="1445"/>
      <c r="P313" s="1445"/>
      <c r="Q313" s="1445"/>
      <c r="R313" s="1445"/>
      <c r="S313" s="3"/>
      <c r="T313" s="3" t="s">
        <v>75</v>
      </c>
      <c r="V313" s="3"/>
      <c r="W313" s="3"/>
      <c r="X313" s="3"/>
      <c r="Y313" s="3"/>
      <c r="AA313" s="1445"/>
      <c r="AB313" s="1445"/>
      <c r="AC313" s="1445"/>
      <c r="AD313" s="1445"/>
      <c r="AE313" s="1445"/>
      <c r="AF313" s="1445"/>
      <c r="AG313" s="1445"/>
      <c r="AH313" s="1445"/>
      <c r="AI313" s="1445"/>
      <c r="AJ313" s="1445"/>
      <c r="AK313" s="1445"/>
      <c r="BN313" s="34"/>
    </row>
    <row r="314" spans="2:66" ht="12.95" customHeight="1">
      <c r="B314" s="3" t="s">
        <v>87</v>
      </c>
      <c r="C314" s="3"/>
      <c r="D314" s="3"/>
      <c r="E314" s="3"/>
      <c r="F314" s="3"/>
      <c r="H314" s="1445" t="s">
        <v>2686</v>
      </c>
      <c r="I314" s="1445"/>
      <c r="J314" s="1445"/>
      <c r="K314" s="1445"/>
      <c r="L314" s="1445"/>
      <c r="M314" s="1445"/>
      <c r="N314" s="1445"/>
      <c r="O314" s="1445"/>
      <c r="P314" s="1445"/>
      <c r="Q314" s="1445"/>
      <c r="R314" s="1445"/>
      <c r="S314" s="3"/>
      <c r="T314" s="3" t="s">
        <v>87</v>
      </c>
      <c r="V314" s="3"/>
      <c r="W314" s="3"/>
      <c r="X314" s="3"/>
      <c r="Y314" s="3"/>
      <c r="AA314" s="1445"/>
      <c r="AB314" s="1445"/>
      <c r="AC314" s="1445"/>
      <c r="AD314" s="1445"/>
      <c r="AE314" s="1445"/>
      <c r="AF314" s="1445"/>
      <c r="AG314" s="1445"/>
      <c r="AH314" s="1445"/>
      <c r="AI314" s="1445"/>
      <c r="AJ314" s="1445"/>
      <c r="AK314" s="1445"/>
      <c r="BN314" s="34"/>
    </row>
    <row r="315" spans="2:66" ht="12.95" customHeight="1">
      <c r="B315" s="3" t="s">
        <v>88</v>
      </c>
      <c r="C315" s="3"/>
      <c r="D315" s="3"/>
      <c r="E315" s="3"/>
      <c r="F315" s="3"/>
      <c r="G315" s="3"/>
      <c r="H315" s="1520" t="s">
        <v>2687</v>
      </c>
      <c r="I315" s="1520"/>
      <c r="J315" s="1520"/>
      <c r="K315" s="1520"/>
      <c r="L315" s="1520"/>
      <c r="M315" s="1520"/>
      <c r="N315" s="4" t="s">
        <v>207</v>
      </c>
      <c r="O315" s="4"/>
      <c r="P315" s="1466"/>
      <c r="Q315" s="1466"/>
      <c r="R315" s="1466"/>
      <c r="S315" s="3"/>
      <c r="T315" s="3" t="s">
        <v>88</v>
      </c>
      <c r="V315" s="3"/>
      <c r="W315" s="3"/>
      <c r="X315" s="3"/>
      <c r="Y315" s="3"/>
      <c r="AA315" s="1520"/>
      <c r="AB315" s="1520"/>
      <c r="AC315" s="1520"/>
      <c r="AD315" s="1520"/>
      <c r="AE315" s="1520"/>
      <c r="AF315" s="1520"/>
      <c r="AG315" s="4" t="s">
        <v>207</v>
      </c>
      <c r="AH315" s="4"/>
      <c r="AI315" s="1466"/>
      <c r="AJ315" s="1466"/>
      <c r="AK315" s="1466"/>
      <c r="BN315" s="34"/>
    </row>
    <row r="316" spans="2:66" ht="12.95" customHeight="1">
      <c r="B316" s="3" t="s">
        <v>89</v>
      </c>
      <c r="C316" s="3"/>
      <c r="D316" s="3"/>
      <c r="E316" s="3"/>
      <c r="F316" s="3"/>
      <c r="G316" s="3"/>
      <c r="H316" s="1479" t="s">
        <v>599</v>
      </c>
      <c r="I316" s="1479"/>
      <c r="J316" s="1479"/>
      <c r="K316" s="1479"/>
      <c r="L316" s="1479"/>
      <c r="M316" s="1479"/>
      <c r="N316" s="4"/>
      <c r="O316" s="4"/>
      <c r="P316" s="35"/>
      <c r="Q316" s="35"/>
      <c r="R316" s="35"/>
      <c r="S316" s="3"/>
      <c r="T316" s="3" t="s">
        <v>89</v>
      </c>
      <c r="V316" s="3"/>
      <c r="W316" s="3"/>
      <c r="X316" s="3"/>
      <c r="Y316" s="3"/>
      <c r="AA316" s="1479"/>
      <c r="AB316" s="1479"/>
      <c r="AC316" s="1479"/>
      <c r="AD316" s="1479"/>
      <c r="AE316" s="1479"/>
      <c r="AF316" s="1479"/>
      <c r="AG316" s="4"/>
      <c r="AH316" s="4"/>
      <c r="AI316" s="35"/>
      <c r="AJ316" s="35"/>
      <c r="AK316" s="35"/>
      <c r="BN316" s="34"/>
    </row>
    <row r="317" spans="2:66" ht="12.95" customHeight="1">
      <c r="B317" s="3" t="s">
        <v>76</v>
      </c>
      <c r="C317" s="3"/>
      <c r="D317" s="3"/>
      <c r="E317" s="3"/>
      <c r="F317" s="3"/>
      <c r="G317" s="3"/>
      <c r="H317" s="1445" t="s">
        <v>2688</v>
      </c>
      <c r="I317" s="1445"/>
      <c r="J317" s="1445"/>
      <c r="K317" s="1445"/>
      <c r="L317" s="1445"/>
      <c r="M317" s="1445"/>
      <c r="N317" s="1467"/>
      <c r="O317" s="1467"/>
      <c r="P317" s="1467"/>
      <c r="Q317" s="1467"/>
      <c r="R317" s="1467"/>
      <c r="S317" s="3"/>
      <c r="T317" s="3" t="s">
        <v>76</v>
      </c>
      <c r="V317" s="3"/>
      <c r="W317" s="3"/>
      <c r="X317" s="3"/>
      <c r="Y317" s="3"/>
      <c r="AA317" s="1445"/>
      <c r="AB317" s="1445"/>
      <c r="AC317" s="1445"/>
      <c r="AD317" s="1445"/>
      <c r="AE317" s="1445"/>
      <c r="AF317" s="1445"/>
      <c r="AG317" s="1467"/>
      <c r="AH317" s="1467"/>
      <c r="AI317" s="1467"/>
      <c r="AJ317" s="1467"/>
      <c r="AK317" s="1467"/>
      <c r="BN317" s="34"/>
    </row>
    <row r="318" spans="2:66" ht="12.95" customHeight="1">
      <c r="BN318" s="34"/>
    </row>
    <row r="319" spans="2:66" ht="12.95" customHeight="1">
      <c r="B319" s="4" t="s">
        <v>923</v>
      </c>
      <c r="C319" s="3"/>
      <c r="D319" s="3"/>
      <c r="E319" s="3"/>
      <c r="F319" s="3"/>
      <c r="H319" s="1467" t="s">
        <v>2689</v>
      </c>
      <c r="I319" s="1467"/>
      <c r="J319" s="1467"/>
      <c r="K319" s="1467"/>
      <c r="L319" s="1467"/>
      <c r="M319" s="1467"/>
      <c r="N319" s="1467"/>
      <c r="O319" s="1467"/>
      <c r="P319" s="1467"/>
      <c r="Q319" s="1467"/>
      <c r="R319" s="1467"/>
      <c r="T319" s="3" t="s">
        <v>367</v>
      </c>
      <c r="V319" s="3"/>
      <c r="W319" s="3"/>
      <c r="X319" s="3"/>
      <c r="Y319" s="3"/>
      <c r="AA319" s="1467" t="s">
        <v>2700</v>
      </c>
      <c r="AB319" s="1467"/>
      <c r="AC319" s="1467"/>
      <c r="AD319" s="1467"/>
      <c r="AE319" s="1467"/>
      <c r="AF319" s="1467"/>
      <c r="AG319" s="1467"/>
      <c r="AH319" s="1467"/>
      <c r="AI319" s="1467"/>
      <c r="AJ319" s="1467"/>
      <c r="AK319" s="1467"/>
      <c r="BN319" s="34"/>
    </row>
    <row r="320" spans="2:66" ht="12.95" customHeight="1">
      <c r="B320" s="3" t="s">
        <v>479</v>
      </c>
      <c r="C320" s="3"/>
      <c r="D320" s="3"/>
      <c r="E320" s="3"/>
      <c r="F320" s="3"/>
      <c r="H320" s="1445" t="s">
        <v>2690</v>
      </c>
      <c r="I320" s="1445"/>
      <c r="J320" s="1445"/>
      <c r="K320" s="1445"/>
      <c r="L320" s="1445"/>
      <c r="M320" s="1445"/>
      <c r="N320" s="1445"/>
      <c r="O320" s="1445"/>
      <c r="P320" s="1445"/>
      <c r="Q320" s="1445"/>
      <c r="R320" s="1445"/>
      <c r="T320" s="3" t="s">
        <v>479</v>
      </c>
      <c r="V320" s="3"/>
      <c r="W320" s="3"/>
      <c r="X320" s="3"/>
      <c r="Y320" s="3"/>
      <c r="AA320" s="1445" t="s">
        <v>2701</v>
      </c>
      <c r="AB320" s="1445"/>
      <c r="AC320" s="1445"/>
      <c r="AD320" s="1445"/>
      <c r="AE320" s="1445"/>
      <c r="AF320" s="1445"/>
      <c r="AG320" s="1445"/>
      <c r="AH320" s="1445"/>
      <c r="AI320" s="1445"/>
      <c r="AJ320" s="1445"/>
      <c r="AK320" s="1445"/>
      <c r="BN320" s="34"/>
    </row>
    <row r="321" spans="2:66" ht="12.95" customHeight="1">
      <c r="B321" s="3" t="s">
        <v>480</v>
      </c>
      <c r="C321" s="3"/>
      <c r="D321" s="3"/>
      <c r="E321" s="3"/>
      <c r="F321" s="3"/>
      <c r="H321" s="1445" t="s">
        <v>2691</v>
      </c>
      <c r="I321" s="1445"/>
      <c r="J321" s="1445"/>
      <c r="K321" s="1445"/>
      <c r="L321" s="1445"/>
      <c r="M321" s="1445"/>
      <c r="N321" s="1445"/>
      <c r="O321" s="1445"/>
      <c r="P321" s="1445"/>
      <c r="Q321" s="1445"/>
      <c r="R321" s="1445"/>
      <c r="T321" s="3" t="s">
        <v>75</v>
      </c>
      <c r="V321" s="3"/>
      <c r="W321" s="3"/>
      <c r="X321" s="3"/>
      <c r="Y321" s="3"/>
      <c r="AA321" s="1445" t="s">
        <v>2702</v>
      </c>
      <c r="AB321" s="1445"/>
      <c r="AC321" s="1445"/>
      <c r="AD321" s="1445"/>
      <c r="AE321" s="1445"/>
      <c r="AF321" s="1445"/>
      <c r="AG321" s="1445"/>
      <c r="AH321" s="1445"/>
      <c r="AI321" s="1445"/>
      <c r="AJ321" s="1445"/>
      <c r="AK321" s="1445"/>
      <c r="BN321" s="34"/>
    </row>
    <row r="322" spans="2:66" ht="12.95" customHeight="1">
      <c r="B322" s="3" t="s">
        <v>87</v>
      </c>
      <c r="C322" s="3"/>
      <c r="D322" s="3"/>
      <c r="E322" s="3"/>
      <c r="F322" s="3"/>
      <c r="H322" s="1445" t="s">
        <v>2692</v>
      </c>
      <c r="I322" s="1445"/>
      <c r="J322" s="1445"/>
      <c r="K322" s="1445"/>
      <c r="L322" s="1445"/>
      <c r="M322" s="1445"/>
      <c r="N322" s="1445"/>
      <c r="O322" s="1445"/>
      <c r="P322" s="1445"/>
      <c r="Q322" s="1445"/>
      <c r="R322" s="1445"/>
      <c r="T322" s="3" t="s">
        <v>87</v>
      </c>
      <c r="V322" s="3"/>
      <c r="W322" s="3"/>
      <c r="X322" s="3"/>
      <c r="Y322" s="3"/>
      <c r="AA322" s="1445" t="s">
        <v>2703</v>
      </c>
      <c r="AB322" s="1445"/>
      <c r="AC322" s="1445"/>
      <c r="AD322" s="1445"/>
      <c r="AE322" s="1445"/>
      <c r="AF322" s="1445"/>
      <c r="AG322" s="1445"/>
      <c r="AH322" s="1445"/>
      <c r="AI322" s="1445"/>
      <c r="AJ322" s="1445"/>
      <c r="AK322" s="1445"/>
      <c r="BN322" s="34"/>
    </row>
    <row r="323" spans="2:66" ht="12.95" customHeight="1">
      <c r="B323" s="3" t="s">
        <v>88</v>
      </c>
      <c r="C323" s="3"/>
      <c r="D323" s="3"/>
      <c r="E323" s="3"/>
      <c r="F323" s="3"/>
      <c r="G323" s="3"/>
      <c r="H323" s="1520" t="s">
        <v>2693</v>
      </c>
      <c r="I323" s="1520"/>
      <c r="J323" s="1520"/>
      <c r="K323" s="1520"/>
      <c r="L323" s="1520"/>
      <c r="M323" s="1520"/>
      <c r="N323" s="4" t="s">
        <v>207</v>
      </c>
      <c r="O323" s="4"/>
      <c r="P323" s="1466"/>
      <c r="Q323" s="1466"/>
      <c r="R323" s="1466"/>
      <c r="S323" s="3"/>
      <c r="T323" s="3" t="s">
        <v>88</v>
      </c>
      <c r="V323" s="3"/>
      <c r="W323" s="3"/>
      <c r="X323" s="3"/>
      <c r="Y323" s="3"/>
      <c r="AA323" s="1520" t="s">
        <v>2704</v>
      </c>
      <c r="AB323" s="1520"/>
      <c r="AC323" s="1520"/>
      <c r="AD323" s="1520"/>
      <c r="AE323" s="1520"/>
      <c r="AF323" s="1520"/>
      <c r="AG323" s="4" t="s">
        <v>207</v>
      </c>
      <c r="AH323" s="4"/>
      <c r="AI323" s="1466"/>
      <c r="AJ323" s="1466"/>
      <c r="AK323" s="1466"/>
    </row>
    <row r="324" spans="2:66" ht="12.95" customHeight="1">
      <c r="B324" s="3" t="s">
        <v>89</v>
      </c>
      <c r="C324" s="3"/>
      <c r="D324" s="3"/>
      <c r="E324" s="3"/>
      <c r="F324" s="3"/>
      <c r="G324" s="3"/>
      <c r="H324" s="1479"/>
      <c r="I324" s="1479"/>
      <c r="J324" s="1479"/>
      <c r="K324" s="1479"/>
      <c r="L324" s="1479"/>
      <c r="M324" s="1479"/>
      <c r="N324" s="4"/>
      <c r="O324" s="4"/>
      <c r="P324" s="35"/>
      <c r="Q324" s="35"/>
      <c r="R324" s="35"/>
      <c r="S324" s="3"/>
      <c r="T324" s="3" t="s">
        <v>89</v>
      </c>
      <c r="V324" s="3"/>
      <c r="W324" s="3"/>
      <c r="X324" s="3"/>
      <c r="Y324" s="3"/>
      <c r="AA324" s="1479" t="s">
        <v>2705</v>
      </c>
      <c r="AB324" s="1479"/>
      <c r="AC324" s="1479"/>
      <c r="AD324" s="1479"/>
      <c r="AE324" s="1479"/>
      <c r="AF324" s="1479"/>
      <c r="AG324" s="4"/>
      <c r="AH324" s="4"/>
      <c r="AI324" s="35"/>
      <c r="AJ324" s="35"/>
      <c r="AK324" s="35"/>
    </row>
    <row r="325" spans="2:66" ht="12.95" customHeight="1">
      <c r="B325" s="3" t="s">
        <v>76</v>
      </c>
      <c r="C325" s="3"/>
      <c r="D325" s="3"/>
      <c r="E325" s="3"/>
      <c r="F325" s="3"/>
      <c r="G325" s="3"/>
      <c r="H325" s="1445" t="s">
        <v>2694</v>
      </c>
      <c r="I325" s="1445"/>
      <c r="J325" s="1445"/>
      <c r="K325" s="1445"/>
      <c r="L325" s="1445"/>
      <c r="M325" s="1445"/>
      <c r="N325" s="1467"/>
      <c r="O325" s="1467"/>
      <c r="P325" s="1467"/>
      <c r="Q325" s="1467"/>
      <c r="R325" s="1467"/>
      <c r="S325" s="3"/>
      <c r="T325" s="3" t="s">
        <v>76</v>
      </c>
      <c r="V325" s="3"/>
      <c r="W325" s="3"/>
      <c r="X325" s="3"/>
      <c r="Y325" s="3"/>
      <c r="AA325" s="1445" t="s">
        <v>2706</v>
      </c>
      <c r="AB325" s="1445"/>
      <c r="AC325" s="1445"/>
      <c r="AD325" s="1445"/>
      <c r="AE325" s="1445"/>
      <c r="AF325" s="1445"/>
      <c r="AG325" s="1467"/>
      <c r="AH325" s="1467"/>
      <c r="AI325" s="1467"/>
      <c r="AJ325" s="1467"/>
      <c r="AK325" s="146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67" t="s">
        <v>2695</v>
      </c>
      <c r="I327" s="1467"/>
      <c r="J327" s="1467"/>
      <c r="K327" s="1467"/>
      <c r="L327" s="1467"/>
      <c r="M327" s="1467"/>
      <c r="N327" s="1467"/>
      <c r="O327" s="1467"/>
      <c r="P327" s="1467"/>
      <c r="Q327" s="1467"/>
      <c r="R327" s="1467"/>
      <c r="T327" s="3" t="s">
        <v>369</v>
      </c>
      <c r="V327" s="3"/>
      <c r="W327" s="3"/>
      <c r="X327" s="3"/>
      <c r="Y327" s="3"/>
      <c r="AA327" s="1467" t="s">
        <v>2709</v>
      </c>
      <c r="AB327" s="1467"/>
      <c r="AC327" s="1467"/>
      <c r="AD327" s="1467"/>
      <c r="AE327" s="1467"/>
      <c r="AF327" s="1467"/>
      <c r="AG327" s="1467"/>
      <c r="AH327" s="1467"/>
      <c r="AI327" s="1467"/>
      <c r="AJ327" s="1467"/>
      <c r="AK327" s="1467"/>
    </row>
    <row r="328" spans="2:66" ht="12.95" customHeight="1">
      <c r="B328" s="3" t="s">
        <v>479</v>
      </c>
      <c r="C328" s="3"/>
      <c r="D328" s="3"/>
      <c r="E328" s="3"/>
      <c r="F328" s="3"/>
      <c r="H328" s="1445" t="s">
        <v>2696</v>
      </c>
      <c r="I328" s="1445"/>
      <c r="J328" s="1445"/>
      <c r="K328" s="1445"/>
      <c r="L328" s="1445"/>
      <c r="M328" s="1445"/>
      <c r="N328" s="1445"/>
      <c r="O328" s="1445"/>
      <c r="P328" s="1445"/>
      <c r="Q328" s="1445"/>
      <c r="R328" s="1445"/>
      <c r="T328" s="3" t="s">
        <v>479</v>
      </c>
      <c r="V328" s="3"/>
      <c r="W328" s="3"/>
      <c r="X328" s="3"/>
      <c r="Y328" s="3"/>
      <c r="AA328" s="1445"/>
      <c r="AB328" s="1445"/>
      <c r="AC328" s="1445"/>
      <c r="AD328" s="1445"/>
      <c r="AE328" s="1445"/>
      <c r="AF328" s="1445"/>
      <c r="AG328" s="1445"/>
      <c r="AH328" s="1445"/>
      <c r="AI328" s="1445"/>
      <c r="AJ328" s="1445"/>
      <c r="AK328" s="1445"/>
    </row>
    <row r="329" spans="2:66" ht="12.95" customHeight="1">
      <c r="B329" s="3" t="s">
        <v>480</v>
      </c>
      <c r="C329" s="3"/>
      <c r="D329" s="3"/>
      <c r="E329" s="3"/>
      <c r="F329" s="3"/>
      <c r="H329" s="1445" t="s">
        <v>2697</v>
      </c>
      <c r="I329" s="1445"/>
      <c r="J329" s="1445"/>
      <c r="K329" s="1445"/>
      <c r="L329" s="1445"/>
      <c r="M329" s="1445"/>
      <c r="N329" s="1445"/>
      <c r="O329" s="1445"/>
      <c r="P329" s="1445"/>
      <c r="Q329" s="1445"/>
      <c r="R329" s="1445"/>
      <c r="T329" s="3" t="s">
        <v>75</v>
      </c>
      <c r="V329" s="3"/>
      <c r="W329" s="3"/>
      <c r="X329" s="3"/>
      <c r="Y329" s="3"/>
      <c r="AA329" s="1445"/>
      <c r="AB329" s="1445"/>
      <c r="AC329" s="1445"/>
      <c r="AD329" s="1445"/>
      <c r="AE329" s="1445"/>
      <c r="AF329" s="1445"/>
      <c r="AG329" s="1445"/>
      <c r="AH329" s="1445"/>
      <c r="AI329" s="1445"/>
      <c r="AJ329" s="1445"/>
      <c r="AK329" s="1445"/>
    </row>
    <row r="330" spans="2:66" ht="12.95" customHeight="1">
      <c r="B330" s="3" t="s">
        <v>87</v>
      </c>
      <c r="C330" s="3"/>
      <c r="D330" s="3"/>
      <c r="E330" s="3"/>
      <c r="F330" s="3"/>
      <c r="H330" s="1445" t="s">
        <v>2698</v>
      </c>
      <c r="I330" s="1445"/>
      <c r="J330" s="1445"/>
      <c r="K330" s="1445"/>
      <c r="L330" s="1445"/>
      <c r="M330" s="1445"/>
      <c r="N330" s="1445"/>
      <c r="O330" s="1445"/>
      <c r="P330" s="1445"/>
      <c r="Q330" s="1445"/>
      <c r="R330" s="1445"/>
      <c r="T330" s="3" t="s">
        <v>87</v>
      </c>
      <c r="V330" s="3"/>
      <c r="W330" s="3"/>
      <c r="X330" s="3"/>
      <c r="Y330" s="3"/>
      <c r="AA330" s="1445"/>
      <c r="AB330" s="1445"/>
      <c r="AC330" s="1445"/>
      <c r="AD330" s="1445"/>
      <c r="AE330" s="1445"/>
      <c r="AF330" s="1445"/>
      <c r="AG330" s="1445"/>
      <c r="AH330" s="1445"/>
      <c r="AI330" s="1445"/>
      <c r="AJ330" s="1445"/>
      <c r="AK330" s="1445"/>
    </row>
    <row r="331" spans="2:66" ht="12.95" customHeight="1">
      <c r="B331" s="3" t="s">
        <v>88</v>
      </c>
      <c r="C331" s="3"/>
      <c r="D331" s="3"/>
      <c r="E331" s="3"/>
      <c r="F331" s="3"/>
      <c r="G331" s="3"/>
      <c r="H331" s="1520">
        <v>7144150151</v>
      </c>
      <c r="I331" s="1520"/>
      <c r="J331" s="1520"/>
      <c r="K331" s="1520"/>
      <c r="L331" s="1520"/>
      <c r="M331" s="1520"/>
      <c r="N331" s="4" t="s">
        <v>207</v>
      </c>
      <c r="O331" s="4"/>
      <c r="P331" s="1466"/>
      <c r="Q331" s="1466"/>
      <c r="R331" s="1466"/>
      <c r="S331" s="3"/>
      <c r="T331" s="3" t="s">
        <v>88</v>
      </c>
      <c r="V331" s="3"/>
      <c r="W331" s="3"/>
      <c r="X331" s="3"/>
      <c r="Y331" s="3"/>
      <c r="AA331" s="1520"/>
      <c r="AB331" s="1520"/>
      <c r="AC331" s="1520"/>
      <c r="AD331" s="1520"/>
      <c r="AE331" s="1520"/>
      <c r="AF331" s="1520"/>
      <c r="AG331" s="4" t="s">
        <v>207</v>
      </c>
      <c r="AH331" s="4"/>
      <c r="AI331" s="1466"/>
      <c r="AJ331" s="1466"/>
      <c r="AK331" s="1466"/>
    </row>
    <row r="332" spans="2:66" ht="12.95" customHeight="1">
      <c r="B332" s="3" t="s">
        <v>89</v>
      </c>
      <c r="C332" s="3"/>
      <c r="D332" s="3"/>
      <c r="E332" s="3"/>
      <c r="F332" s="3"/>
      <c r="G332" s="3"/>
      <c r="H332" s="1479"/>
      <c r="I332" s="1479"/>
      <c r="J332" s="1479"/>
      <c r="K332" s="1479"/>
      <c r="L332" s="1479"/>
      <c r="M332" s="1479"/>
      <c r="N332" s="4"/>
      <c r="O332" s="4"/>
      <c r="P332" s="35"/>
      <c r="Q332" s="35"/>
      <c r="R332" s="35"/>
      <c r="S332" s="3"/>
      <c r="T332" s="3" t="s">
        <v>89</v>
      </c>
      <c r="V332" s="3"/>
      <c r="W332" s="3"/>
      <c r="X332" s="3"/>
      <c r="Y332" s="3"/>
      <c r="AA332" s="1479"/>
      <c r="AB332" s="1479"/>
      <c r="AC332" s="1479"/>
      <c r="AD332" s="1479"/>
      <c r="AE332" s="1479"/>
      <c r="AF332" s="1479"/>
      <c r="AG332" s="4"/>
      <c r="AH332" s="4"/>
      <c r="AI332" s="35"/>
      <c r="AJ332" s="35"/>
      <c r="AK332" s="35"/>
    </row>
    <row r="333" spans="2:66" ht="12.95" customHeight="1">
      <c r="B333" s="3" t="s">
        <v>76</v>
      </c>
      <c r="C333" s="3"/>
      <c r="D333" s="3"/>
      <c r="E333" s="3"/>
      <c r="F333" s="3"/>
      <c r="G333" s="3"/>
      <c r="H333" s="1445" t="s">
        <v>2699</v>
      </c>
      <c r="I333" s="1445"/>
      <c r="J333" s="1445"/>
      <c r="K333" s="1445"/>
      <c r="L333" s="1445"/>
      <c r="M333" s="1445"/>
      <c r="N333" s="1467"/>
      <c r="O333" s="1467"/>
      <c r="P333" s="1467"/>
      <c r="Q333" s="1467"/>
      <c r="R333" s="1467"/>
      <c r="S333" s="3"/>
      <c r="T333" s="3" t="s">
        <v>76</v>
      </c>
      <c r="V333" s="3"/>
      <c r="W333" s="3"/>
      <c r="X333" s="3"/>
      <c r="Y333" s="3"/>
      <c r="AA333" s="1445"/>
      <c r="AB333" s="1445"/>
      <c r="AC333" s="1445"/>
      <c r="AD333" s="1445"/>
      <c r="AE333" s="1445"/>
      <c r="AF333" s="1445"/>
      <c r="AG333" s="1467"/>
      <c r="AH333" s="1467"/>
      <c r="AI333" s="1467"/>
      <c r="AJ333" s="1467"/>
      <c r="AK333" s="146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67" t="s">
        <v>2650</v>
      </c>
      <c r="I335" s="1467"/>
      <c r="J335" s="1467"/>
      <c r="K335" s="1467"/>
      <c r="L335" s="1467"/>
      <c r="M335" s="1467"/>
      <c r="N335" s="1467"/>
      <c r="O335" s="1467"/>
      <c r="P335" s="1467"/>
      <c r="Q335" s="1467"/>
      <c r="R335" s="1467"/>
      <c r="T335" s="218" t="s">
        <v>899</v>
      </c>
      <c r="V335" s="3"/>
      <c r="W335" s="3"/>
      <c r="X335" s="3"/>
      <c r="Y335" s="3"/>
      <c r="AA335" s="1467" t="s">
        <v>2650</v>
      </c>
      <c r="AB335" s="1467"/>
      <c r="AC335" s="1467"/>
      <c r="AD335" s="1467"/>
      <c r="AE335" s="1467"/>
      <c r="AF335" s="1467"/>
      <c r="AG335" s="1467"/>
      <c r="AH335" s="1467"/>
      <c r="AI335" s="1467"/>
      <c r="AJ335" s="1467"/>
      <c r="AK335" s="1467"/>
    </row>
    <row r="336" spans="2:66" ht="12.95" customHeight="1">
      <c r="B336" s="3" t="s">
        <v>479</v>
      </c>
      <c r="C336" s="3"/>
      <c r="D336" s="3"/>
      <c r="E336" s="3"/>
      <c r="F336" s="3"/>
      <c r="H336" s="1445" t="s">
        <v>2652</v>
      </c>
      <c r="I336" s="1445"/>
      <c r="J336" s="1445"/>
      <c r="K336" s="1445"/>
      <c r="L336" s="1445"/>
      <c r="M336" s="1445"/>
      <c r="N336" s="1445"/>
      <c r="O336" s="1445"/>
      <c r="P336" s="1445"/>
      <c r="Q336" s="1445"/>
      <c r="R336" s="1445"/>
      <c r="T336" s="3" t="s">
        <v>479</v>
      </c>
      <c r="V336" s="3"/>
      <c r="W336" s="3"/>
      <c r="X336" s="3"/>
      <c r="Y336" s="3"/>
      <c r="AA336" s="1445" t="s">
        <v>2652</v>
      </c>
      <c r="AB336" s="1445"/>
      <c r="AC336" s="1445"/>
      <c r="AD336" s="1445"/>
      <c r="AE336" s="1445"/>
      <c r="AF336" s="1445"/>
      <c r="AG336" s="1445"/>
      <c r="AH336" s="1445"/>
      <c r="AI336" s="1445"/>
      <c r="AJ336" s="1445"/>
      <c r="AK336" s="1445"/>
    </row>
    <row r="337" spans="1:66" ht="12.95" customHeight="1">
      <c r="B337" s="3" t="s">
        <v>75</v>
      </c>
      <c r="C337" s="3"/>
      <c r="D337" s="3"/>
      <c r="E337" s="3"/>
      <c r="F337" s="3"/>
      <c r="H337" s="1445" t="s">
        <v>2651</v>
      </c>
      <c r="I337" s="1445"/>
      <c r="J337" s="1445"/>
      <c r="K337" s="1445"/>
      <c r="L337" s="1445"/>
      <c r="M337" s="1445"/>
      <c r="N337" s="1445"/>
      <c r="O337" s="1445"/>
      <c r="P337" s="1445"/>
      <c r="Q337" s="1445"/>
      <c r="R337" s="1445"/>
      <c r="T337" s="3" t="s">
        <v>75</v>
      </c>
      <c r="V337" s="3"/>
      <c r="W337" s="3"/>
      <c r="X337" s="3"/>
      <c r="Y337" s="3"/>
      <c r="AA337" s="1445" t="s">
        <v>2651</v>
      </c>
      <c r="AB337" s="1445"/>
      <c r="AC337" s="1445"/>
      <c r="AD337" s="1445"/>
      <c r="AE337" s="1445"/>
      <c r="AF337" s="1445"/>
      <c r="AG337" s="1445"/>
      <c r="AH337" s="1445"/>
      <c r="AI337" s="1445"/>
      <c r="AJ337" s="1445"/>
      <c r="AK337" s="1445"/>
    </row>
    <row r="338" spans="1:66" ht="12.95" customHeight="1">
      <c r="B338" s="3" t="s">
        <v>87</v>
      </c>
      <c r="C338" s="3"/>
      <c r="D338" s="3"/>
      <c r="E338" s="3"/>
      <c r="F338" s="3"/>
      <c r="G338" s="3"/>
      <c r="H338" s="1445" t="s">
        <v>2707</v>
      </c>
      <c r="I338" s="1445"/>
      <c r="J338" s="1445"/>
      <c r="K338" s="1445"/>
      <c r="L338" s="1445"/>
      <c r="M338" s="1445"/>
      <c r="N338" s="1445"/>
      <c r="O338" s="1445"/>
      <c r="P338" s="1445"/>
      <c r="Q338" s="1445"/>
      <c r="R338" s="1445"/>
      <c r="T338" s="3" t="s">
        <v>87</v>
      </c>
      <c r="V338" s="3"/>
      <c r="W338" s="3"/>
      <c r="X338" s="3"/>
      <c r="Y338" s="3"/>
      <c r="AA338" s="1445" t="s">
        <v>2707</v>
      </c>
      <c r="AB338" s="1445"/>
      <c r="AC338" s="1445"/>
      <c r="AD338" s="1445"/>
      <c r="AE338" s="1445"/>
      <c r="AF338" s="1445"/>
      <c r="AG338" s="1445"/>
      <c r="AH338" s="1445"/>
      <c r="AI338" s="1445"/>
      <c r="AJ338" s="1445"/>
      <c r="AK338" s="1445"/>
    </row>
    <row r="339" spans="1:66" ht="12.95" customHeight="1">
      <c r="B339" s="3" t="s">
        <v>88</v>
      </c>
      <c r="C339" s="3"/>
      <c r="D339" s="3"/>
      <c r="E339" s="3"/>
      <c r="F339" s="3"/>
      <c r="G339" s="3"/>
      <c r="H339" s="1520">
        <v>8056485008</v>
      </c>
      <c r="I339" s="1520"/>
      <c r="J339" s="1520"/>
      <c r="K339" s="1520"/>
      <c r="L339" s="1520"/>
      <c r="M339" s="1520"/>
      <c r="N339" s="4" t="s">
        <v>207</v>
      </c>
      <c r="O339" s="4"/>
      <c r="P339" s="1466">
        <v>2223</v>
      </c>
      <c r="Q339" s="1466"/>
      <c r="R339" s="1466"/>
      <c r="S339" s="3"/>
      <c r="T339" s="3" t="s">
        <v>88</v>
      </c>
      <c r="V339" s="3"/>
      <c r="W339" s="3"/>
      <c r="X339" s="3"/>
      <c r="Y339" s="3"/>
      <c r="AA339" s="1520">
        <v>8056485008</v>
      </c>
      <c r="AB339" s="1520"/>
      <c r="AC339" s="1520"/>
      <c r="AD339" s="1520"/>
      <c r="AE339" s="1520"/>
      <c r="AF339" s="1520"/>
      <c r="AG339" s="4" t="s">
        <v>207</v>
      </c>
      <c r="AH339" s="4"/>
      <c r="AI339" s="1466">
        <v>2223</v>
      </c>
      <c r="AJ339" s="1466"/>
      <c r="AK339" s="1466"/>
    </row>
    <row r="340" spans="1:66" ht="12.95" customHeight="1">
      <c r="B340" s="3" t="s">
        <v>89</v>
      </c>
      <c r="C340" s="3"/>
      <c r="D340" s="3"/>
      <c r="E340" s="3"/>
      <c r="F340" s="3"/>
      <c r="G340" s="3"/>
      <c r="H340" s="1479">
        <v>8056865811</v>
      </c>
      <c r="I340" s="1479"/>
      <c r="J340" s="1479"/>
      <c r="K340" s="1479"/>
      <c r="L340" s="1479"/>
      <c r="M340" s="1479"/>
      <c r="N340" s="4"/>
      <c r="O340" s="4"/>
      <c r="P340" s="35"/>
      <c r="Q340" s="35"/>
      <c r="R340" s="35"/>
      <c r="S340" s="3"/>
      <c r="T340" s="3" t="s">
        <v>89</v>
      </c>
      <c r="V340" s="3"/>
      <c r="W340" s="3"/>
      <c r="X340" s="3"/>
      <c r="Y340" s="3"/>
      <c r="AA340" s="1479">
        <v>8056865811</v>
      </c>
      <c r="AB340" s="1479"/>
      <c r="AC340" s="1479"/>
      <c r="AD340" s="1479"/>
      <c r="AE340" s="1479"/>
      <c r="AF340" s="1479"/>
      <c r="AG340" s="4"/>
      <c r="AH340" s="4"/>
      <c r="AI340" s="35"/>
      <c r="AJ340" s="35"/>
      <c r="AK340" s="35"/>
    </row>
    <row r="341" spans="1:66" ht="12.95" customHeight="1">
      <c r="B341" s="3" t="s">
        <v>76</v>
      </c>
      <c r="C341" s="3"/>
      <c r="D341" s="3"/>
      <c r="E341" s="3"/>
      <c r="F341" s="3"/>
      <c r="G341" s="3"/>
      <c r="H341" s="1445" t="s">
        <v>2708</v>
      </c>
      <c r="I341" s="1445"/>
      <c r="J341" s="1445"/>
      <c r="K341" s="1445"/>
      <c r="L341" s="1445"/>
      <c r="M341" s="1445"/>
      <c r="N341" s="1467"/>
      <c r="O341" s="1467"/>
      <c r="P341" s="1467"/>
      <c r="Q341" s="1467"/>
      <c r="R341" s="1467"/>
      <c r="S341" s="3"/>
      <c r="T341" s="3" t="s">
        <v>76</v>
      </c>
      <c r="V341" s="3"/>
      <c r="W341" s="3"/>
      <c r="X341" s="3"/>
      <c r="Y341" s="3"/>
      <c r="AA341" s="1445" t="s">
        <v>2708</v>
      </c>
      <c r="AB341" s="1445"/>
      <c r="AC341" s="1445"/>
      <c r="AD341" s="1445"/>
      <c r="AE341" s="1445"/>
      <c r="AF341" s="1445"/>
      <c r="AG341" s="1467"/>
      <c r="AH341" s="1467"/>
      <c r="AI341" s="1467"/>
      <c r="AJ341" s="1467"/>
      <c r="AK341" s="146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67"/>
      <c r="Q343" s="1467"/>
      <c r="R343" s="1467"/>
      <c r="S343" s="1467"/>
      <c r="T343" s="1467"/>
      <c r="U343" s="1467"/>
      <c r="V343" s="1467"/>
      <c r="W343" s="1467"/>
      <c r="X343" s="1467"/>
      <c r="Y343" s="1467"/>
      <c r="Z343" s="1467"/>
      <c r="AA343" s="1467"/>
      <c r="AB343" s="1467"/>
      <c r="AC343" s="1467"/>
      <c r="AD343" s="1467"/>
      <c r="AE343" s="1467"/>
      <c r="BN343" t="s">
        <v>677</v>
      </c>
    </row>
    <row r="344" spans="1:66" ht="12.95" customHeight="1">
      <c r="B344" s="4"/>
      <c r="C344" s="4"/>
      <c r="D344" s="4"/>
      <c r="E344" s="4"/>
      <c r="F344" s="4"/>
      <c r="I344" s="4" t="s">
        <v>479</v>
      </c>
      <c r="P344" s="1445"/>
      <c r="Q344" s="1445"/>
      <c r="R344" s="1445"/>
      <c r="S344" s="1445"/>
      <c r="T344" s="1445"/>
      <c r="U344" s="1445"/>
      <c r="V344" s="1445"/>
      <c r="W344" s="1445"/>
      <c r="X344" s="1445"/>
      <c r="Y344" s="1445"/>
      <c r="Z344" s="1445"/>
      <c r="AA344" s="1445"/>
      <c r="AB344" s="1445"/>
      <c r="AC344" s="1445"/>
      <c r="AD344" s="1445"/>
      <c r="AE344" s="1445"/>
      <c r="BN344" t="s">
        <v>553</v>
      </c>
    </row>
    <row r="345" spans="1:66" ht="12.95" customHeight="1">
      <c r="B345" s="4"/>
      <c r="C345" s="4"/>
      <c r="D345" s="4"/>
      <c r="E345" s="4"/>
      <c r="F345" s="4"/>
      <c r="I345" s="4" t="s">
        <v>75</v>
      </c>
      <c r="P345" s="1445"/>
      <c r="Q345" s="1445"/>
      <c r="R345" s="1445"/>
      <c r="S345" s="1445"/>
      <c r="T345" s="1445"/>
      <c r="U345" s="1445"/>
      <c r="V345" s="1445"/>
      <c r="W345" s="1445"/>
      <c r="X345" s="1445"/>
      <c r="Y345" s="1445"/>
      <c r="Z345" s="1445"/>
      <c r="AA345" s="1445"/>
      <c r="AB345" s="1445"/>
      <c r="AC345" s="1445"/>
      <c r="AD345" s="1445"/>
      <c r="AE345" s="1445"/>
    </row>
    <row r="346" spans="1:66" ht="12.95" customHeight="1">
      <c r="B346" s="4"/>
      <c r="C346" s="4"/>
      <c r="D346" s="4"/>
      <c r="E346" s="4"/>
      <c r="F346" s="4"/>
      <c r="G346" s="4"/>
      <c r="I346" s="4" t="s">
        <v>87</v>
      </c>
      <c r="P346" s="1445"/>
      <c r="Q346" s="1445"/>
      <c r="R346" s="1445"/>
      <c r="S346" s="1445"/>
      <c r="T346" s="1445"/>
      <c r="U346" s="1445"/>
      <c r="V346" s="1445"/>
      <c r="W346" s="1445"/>
      <c r="X346" s="1445"/>
      <c r="Y346" s="1445"/>
      <c r="Z346" s="1445"/>
      <c r="AA346" s="1445"/>
      <c r="AB346" s="1445"/>
      <c r="AC346" s="1445"/>
      <c r="AD346" s="1445"/>
      <c r="AE346" s="1445"/>
    </row>
    <row r="347" spans="1:66" ht="12.95" customHeight="1">
      <c r="B347" s="4"/>
      <c r="C347" s="4"/>
      <c r="D347" s="4"/>
      <c r="E347" s="4"/>
      <c r="F347" s="4"/>
      <c r="G347" s="4"/>
      <c r="H347" s="324"/>
      <c r="I347" s="4" t="s">
        <v>88</v>
      </c>
      <c r="P347" s="1479"/>
      <c r="Q347" s="1479"/>
      <c r="R347" s="1479"/>
      <c r="S347" s="1479"/>
      <c r="T347" s="1479"/>
      <c r="U347" s="1479"/>
      <c r="V347" s="1479"/>
      <c r="W347" s="1479"/>
      <c r="X347" s="1479"/>
      <c r="Y347" s="1479"/>
      <c r="Z347" s="1479"/>
      <c r="AA347" s="4" t="s">
        <v>207</v>
      </c>
      <c r="AB347" s="4"/>
      <c r="AC347" s="1487"/>
      <c r="AD347" s="1487"/>
      <c r="AE347" s="1487"/>
      <c r="AF347" s="324"/>
      <c r="AG347" s="4"/>
      <c r="AH347" s="4"/>
      <c r="AI347" s="4"/>
      <c r="AJ347" s="4"/>
      <c r="AK347" s="4"/>
    </row>
    <row r="348" spans="1:66" ht="12.95" customHeight="1">
      <c r="B348" s="4"/>
      <c r="C348" s="4"/>
      <c r="D348" s="4"/>
      <c r="E348" s="4"/>
      <c r="F348" s="4"/>
      <c r="G348" s="4"/>
      <c r="H348" s="324"/>
      <c r="I348" s="4" t="s">
        <v>89</v>
      </c>
      <c r="P348" s="1479"/>
      <c r="Q348" s="1479"/>
      <c r="R348" s="1479"/>
      <c r="S348" s="1479"/>
      <c r="T348" s="1479"/>
      <c r="U348" s="1479"/>
      <c r="V348" s="1479"/>
      <c r="W348" s="1479"/>
      <c r="X348" s="1479"/>
      <c r="Y348" s="1479"/>
      <c r="Z348" s="1479"/>
      <c r="AF348" s="324"/>
      <c r="AG348" s="4"/>
      <c r="AH348" s="4"/>
      <c r="AI348" s="35"/>
      <c r="AJ348" s="35"/>
      <c r="AK348" s="35"/>
    </row>
    <row r="349" spans="1:66" ht="12.95" customHeight="1">
      <c r="B349" s="4"/>
      <c r="C349" s="4"/>
      <c r="D349" s="4"/>
      <c r="E349" s="4"/>
      <c r="F349" s="4"/>
      <c r="G349" s="4"/>
      <c r="I349" s="4" t="s">
        <v>76</v>
      </c>
      <c r="P349" s="1467"/>
      <c r="Q349" s="1467"/>
      <c r="R349" s="1467"/>
      <c r="S349" s="1467"/>
      <c r="T349" s="1467"/>
      <c r="U349" s="1467"/>
      <c r="V349" s="1467"/>
      <c r="W349" s="1467"/>
      <c r="X349" s="1467"/>
      <c r="Y349" s="1467"/>
      <c r="Z349" s="1467"/>
      <c r="AA349" s="1467"/>
      <c r="AB349" s="1467"/>
      <c r="AC349" s="1467"/>
      <c r="AD349" s="1467"/>
      <c r="AE349" s="1467"/>
    </row>
    <row r="350" spans="1:66" ht="12.95" customHeight="1">
      <c r="T350" s="8"/>
      <c r="U350" s="8"/>
      <c r="V350" s="8"/>
      <c r="W350" s="8"/>
      <c r="X350" s="8"/>
      <c r="Y350" s="8"/>
      <c r="Z350" s="8"/>
      <c r="AU350" s="95"/>
      <c r="AV350" s="95"/>
      <c r="AW350" s="95"/>
      <c r="AX350" s="95"/>
      <c r="AY350" s="95"/>
    </row>
    <row r="351" spans="1:66" ht="12.95" customHeight="1">
      <c r="A351" s="1761" t="s">
        <v>550</v>
      </c>
      <c r="B351" s="1761"/>
      <c r="C351" s="1761"/>
      <c r="D351" s="1761"/>
      <c r="E351" s="1761"/>
      <c r="F351" s="1761"/>
      <c r="G351" s="1761"/>
      <c r="H351" s="1761"/>
      <c r="I351" s="1761"/>
      <c r="J351" s="1761"/>
      <c r="K351" s="1761"/>
      <c r="L351" s="1761"/>
      <c r="M351" s="1761"/>
      <c r="N351" s="1761"/>
      <c r="O351" s="1761"/>
      <c r="P351" s="1761"/>
      <c r="Q351" s="1761"/>
      <c r="R351" s="1761"/>
      <c r="S351" s="1761"/>
      <c r="T351" s="1761"/>
      <c r="U351" s="1761"/>
      <c r="V351" s="1761"/>
      <c r="W351" s="1761"/>
      <c r="X351" s="1761"/>
      <c r="Y351" s="1761"/>
      <c r="Z351" s="1761"/>
      <c r="AA351" s="1761"/>
      <c r="AB351" s="1761"/>
      <c r="AC351" s="1761"/>
      <c r="AD351" s="1761"/>
      <c r="AE351" s="1761"/>
      <c r="AF351" s="1761"/>
      <c r="AG351" s="1761"/>
      <c r="AH351" s="1761"/>
      <c r="AI351" s="1761"/>
      <c r="AJ351" s="1761"/>
      <c r="AK351" s="1761"/>
      <c r="AL351" s="1761"/>
      <c r="AM351" s="1761"/>
      <c r="AN351" s="1761"/>
      <c r="AO351" s="1761"/>
      <c r="AP351" s="1761"/>
      <c r="AQ351" s="1761"/>
      <c r="AR351" s="1761"/>
      <c r="AS351" s="1761"/>
      <c r="AT351" s="1761"/>
      <c r="AU351" s="95"/>
      <c r="AV351" s="95"/>
      <c r="AW351" s="95"/>
      <c r="AX351" s="95"/>
      <c r="AY351" s="95"/>
    </row>
    <row r="352" spans="1:66" ht="12.95" customHeight="1">
      <c r="A352" s="1761"/>
      <c r="B352" s="1761"/>
      <c r="C352" s="1761"/>
      <c r="D352" s="1761"/>
      <c r="E352" s="1761"/>
      <c r="F352" s="1761"/>
      <c r="G352" s="1761"/>
      <c r="H352" s="1761"/>
      <c r="I352" s="1761"/>
      <c r="J352" s="1761"/>
      <c r="K352" s="1761"/>
      <c r="L352" s="1761"/>
      <c r="M352" s="1761"/>
      <c r="N352" s="1761"/>
      <c r="O352" s="1761"/>
      <c r="P352" s="1761"/>
      <c r="Q352" s="1761"/>
      <c r="R352" s="1761"/>
      <c r="S352" s="1761"/>
      <c r="T352" s="1761"/>
      <c r="U352" s="1761"/>
      <c r="V352" s="1761"/>
      <c r="W352" s="1761"/>
      <c r="X352" s="1761"/>
      <c r="Y352" s="1761"/>
      <c r="Z352" s="1761"/>
      <c r="AA352" s="1761"/>
      <c r="AB352" s="1761"/>
      <c r="AC352" s="1761"/>
      <c r="AD352" s="1761"/>
      <c r="AE352" s="1761"/>
      <c r="AF352" s="1761"/>
      <c r="AG352" s="1761"/>
      <c r="AH352" s="1761"/>
      <c r="AI352" s="1761"/>
      <c r="AJ352" s="1761"/>
      <c r="AK352" s="1761"/>
      <c r="AL352" s="1761"/>
      <c r="AM352" s="1761"/>
      <c r="AN352" s="1761"/>
      <c r="AO352" s="1761"/>
      <c r="AP352" s="1761"/>
      <c r="AQ352" s="1761"/>
      <c r="AR352" s="1761"/>
      <c r="AS352" s="1761"/>
      <c r="AT352" s="176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2417</v>
      </c>
      <c r="M355" s="1435" t="s">
        <v>599</v>
      </c>
      <c r="N355" s="1435"/>
      <c r="P355" t="s">
        <v>1763</v>
      </c>
      <c r="AJ355" s="1435" t="s">
        <v>599</v>
      </c>
      <c r="AK355" s="1435"/>
    </row>
    <row r="356" spans="1:46" ht="12.95" customHeight="1">
      <c r="D356" s="3" t="s">
        <v>1752</v>
      </c>
      <c r="M356" s="1435" t="s">
        <v>553</v>
      </c>
      <c r="N356" s="1435"/>
      <c r="P356" s="3" t="s">
        <v>1909</v>
      </c>
      <c r="AJ356" s="1462"/>
      <c r="AK356" s="1462"/>
    </row>
    <row r="357" spans="1:46" ht="12.95" customHeight="1">
      <c r="D357" s="3" t="s">
        <v>713</v>
      </c>
      <c r="M357" s="1435" t="s">
        <v>599</v>
      </c>
      <c r="N357" s="1435"/>
      <c r="P357" t="s">
        <v>1762</v>
      </c>
      <c r="AJ357" s="1435" t="s">
        <v>599</v>
      </c>
      <c r="AK357" s="1435"/>
    </row>
    <row r="358" spans="1:46" ht="12.95" customHeight="1">
      <c r="D358" s="3" t="s">
        <v>714</v>
      </c>
      <c r="M358" s="1435" t="s">
        <v>599</v>
      </c>
      <c r="N358" s="1435"/>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35" t="s">
        <v>553</v>
      </c>
      <c r="O363" s="1435"/>
      <c r="P363" s="40"/>
      <c r="Q363" s="40"/>
      <c r="R363" s="40"/>
      <c r="S363" s="40"/>
      <c r="T363" s="40"/>
      <c r="U363" s="40"/>
      <c r="V363" s="40"/>
      <c r="W363" s="40"/>
      <c r="X363" s="40"/>
      <c r="Y363" s="40"/>
      <c r="Z363" s="40"/>
      <c r="AC363" s="40"/>
      <c r="AD363" s="40"/>
      <c r="AE363" s="40"/>
    </row>
    <row r="364" spans="1:46" ht="12.95" customHeight="1">
      <c r="E364" t="s">
        <v>371</v>
      </c>
      <c r="Y364" s="1435" t="s">
        <v>553</v>
      </c>
      <c r="Z364" s="1435"/>
    </row>
    <row r="365" spans="1:46" ht="12.95" customHeight="1">
      <c r="D365" s="4" t="s">
        <v>997</v>
      </c>
      <c r="Q365" s="1467" t="s">
        <v>2711</v>
      </c>
      <c r="R365" s="1467"/>
      <c r="S365" s="1467"/>
      <c r="T365" s="1467"/>
      <c r="U365" s="1467"/>
      <c r="V365" s="1467"/>
      <c r="W365" s="1467"/>
      <c r="X365" s="1467"/>
      <c r="Y365" s="1467"/>
      <c r="Z365" s="1467"/>
      <c r="AA365" s="1467"/>
      <c r="AB365" s="1467"/>
      <c r="AC365" s="1467"/>
      <c r="AD365" s="1467"/>
      <c r="AE365" s="1467"/>
      <c r="AF365" s="1467"/>
      <c r="AG365" s="1467"/>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35" t="s">
        <v>677</v>
      </c>
      <c r="K367" s="1435"/>
      <c r="L367" s="40"/>
      <c r="M367" s="40"/>
      <c r="N367" s="40"/>
      <c r="O367" s="40"/>
      <c r="P367" s="40"/>
      <c r="Q367" s="40"/>
      <c r="R367" s="40"/>
      <c r="S367" s="40"/>
      <c r="T367" s="40"/>
      <c r="U367" s="40"/>
      <c r="V367" s="40"/>
      <c r="W367" s="40"/>
      <c r="X367" s="40"/>
      <c r="Y367" s="40"/>
      <c r="Z367" s="40"/>
      <c r="AC367" s="40"/>
      <c r="AD367" s="40"/>
      <c r="AE367" s="40"/>
    </row>
    <row r="368" spans="1:46" ht="12.95" customHeight="1">
      <c r="E368" s="1542" t="s">
        <v>715</v>
      </c>
      <c r="F368" s="1542"/>
      <c r="G368" s="1542"/>
      <c r="H368" s="1542"/>
      <c r="I368" s="1542"/>
      <c r="J368" s="1542"/>
      <c r="K368" s="1542"/>
      <c r="L368" s="1542"/>
      <c r="M368" s="1542"/>
      <c r="N368" s="1542"/>
      <c r="O368" s="1542"/>
      <c r="P368" s="1542"/>
      <c r="Q368" s="1542"/>
      <c r="R368" s="1542"/>
      <c r="S368" s="1542"/>
      <c r="T368" s="1542"/>
      <c r="U368" s="1542"/>
      <c r="V368" s="1542"/>
      <c r="W368" s="1542"/>
      <c r="X368" s="1542"/>
      <c r="Y368" s="1542"/>
      <c r="Z368" s="1542"/>
      <c r="AA368" s="1542"/>
      <c r="AB368" s="1542"/>
      <c r="AC368" s="1542"/>
      <c r="AD368" s="1542"/>
      <c r="AE368" s="1542"/>
      <c r="AF368" s="1542"/>
      <c r="AG368" s="1542"/>
      <c r="AH368" s="1542"/>
    </row>
    <row r="369" spans="1:34" ht="12.95" customHeight="1">
      <c r="E369" s="1542"/>
      <c r="F369" s="1542"/>
      <c r="G369" s="1542"/>
      <c r="H369" s="1542"/>
      <c r="I369" s="1542"/>
      <c r="J369" s="1542"/>
      <c r="K369" s="1542"/>
      <c r="L369" s="1542"/>
      <c r="M369" s="1542"/>
      <c r="N369" s="1542"/>
      <c r="O369" s="1542"/>
      <c r="P369" s="1542"/>
      <c r="Q369" s="1542"/>
      <c r="R369" s="1542"/>
      <c r="S369" s="1542"/>
      <c r="T369" s="1542"/>
      <c r="U369" s="1542"/>
      <c r="V369" s="1542"/>
      <c r="W369" s="1542"/>
      <c r="X369" s="1542"/>
      <c r="Y369" s="1542"/>
      <c r="Z369" s="1542"/>
      <c r="AA369" s="1542"/>
      <c r="AB369" s="1542"/>
      <c r="AC369" s="1542"/>
      <c r="AD369" s="1542"/>
      <c r="AE369" s="1542"/>
      <c r="AF369" s="1542"/>
      <c r="AG369" s="1542"/>
      <c r="AH369" s="1542"/>
    </row>
    <row r="370" spans="1:34" ht="12.95" customHeight="1">
      <c r="E370" s="4" t="s">
        <v>456</v>
      </c>
      <c r="F370" s="4"/>
      <c r="G370" s="4"/>
      <c r="H370" s="4"/>
      <c r="I370" s="4"/>
      <c r="J370" s="4"/>
      <c r="K370" s="4"/>
      <c r="L370" s="4"/>
      <c r="N370" s="1434"/>
      <c r="O370" s="1434"/>
      <c r="P370" s="1434"/>
      <c r="Q370" s="1434"/>
      <c r="R370" s="4"/>
      <c r="U370" s="4" t="s">
        <v>457</v>
      </c>
      <c r="V370" s="4"/>
      <c r="W370" s="4"/>
      <c r="X370" s="4"/>
      <c r="Y370" s="4"/>
      <c r="Z370" s="4"/>
      <c r="AA370" s="4"/>
      <c r="AB370" s="4"/>
      <c r="AC370" s="1434"/>
      <c r="AD370" s="1434"/>
      <c r="AE370" s="1434"/>
      <c r="AF370" s="1434"/>
    </row>
    <row r="371" spans="1:34" ht="12.95" customHeight="1">
      <c r="E371" s="4" t="s">
        <v>458</v>
      </c>
      <c r="F371" s="4"/>
      <c r="G371" s="4"/>
      <c r="H371" s="4"/>
      <c r="I371" s="4"/>
      <c r="J371" s="4"/>
      <c r="K371" s="4"/>
      <c r="L371" s="4"/>
      <c r="N371" s="1434"/>
      <c r="O371" s="1434"/>
      <c r="P371" s="1434"/>
      <c r="Q371" s="1434"/>
      <c r="R371" s="4"/>
      <c r="U371" s="4" t="s">
        <v>0</v>
      </c>
      <c r="V371" s="4"/>
      <c r="W371" s="4"/>
      <c r="X371" s="4"/>
      <c r="Y371" s="4"/>
      <c r="Z371" s="4"/>
      <c r="AA371" s="4"/>
      <c r="AB371" s="4"/>
      <c r="AC371" s="1434"/>
      <c r="AD371" s="1434"/>
      <c r="AE371" s="1434"/>
      <c r="AF371" s="1434"/>
    </row>
    <row r="372" spans="1:34" ht="12.95" customHeight="1">
      <c r="E372" s="4" t="s">
        <v>1</v>
      </c>
      <c r="F372" s="4"/>
      <c r="G372" s="4"/>
      <c r="H372" s="4"/>
      <c r="I372" s="4"/>
      <c r="J372" s="4"/>
      <c r="K372" s="4"/>
      <c r="L372" s="4"/>
      <c r="N372" s="1434"/>
      <c r="O372" s="1434"/>
      <c r="P372" s="1434"/>
      <c r="Q372" s="1434"/>
      <c r="R372" s="4"/>
      <c r="V372" s="4"/>
      <c r="W372" s="4"/>
      <c r="X372" s="4"/>
      <c r="Y372" s="4"/>
      <c r="Z372" s="4"/>
      <c r="AA372" s="4"/>
      <c r="AB372" s="4"/>
    </row>
    <row r="373" spans="1:34" ht="12.95" customHeight="1">
      <c r="E373" s="4" t="s">
        <v>2</v>
      </c>
      <c r="F373" s="4"/>
      <c r="G373" s="4"/>
      <c r="H373" s="4"/>
      <c r="I373" s="4"/>
      <c r="J373" s="4"/>
      <c r="K373" s="4"/>
      <c r="L373" s="4"/>
      <c r="N373" s="1482"/>
      <c r="O373" s="1482"/>
      <c r="P373" s="1482"/>
      <c r="Q373" s="1482"/>
      <c r="R373" s="1482"/>
      <c r="S373" s="1482"/>
      <c r="T373" s="1482"/>
      <c r="U373" s="1482"/>
      <c r="V373" s="1482"/>
      <c r="W373" s="1482"/>
      <c r="X373" s="1482"/>
      <c r="Y373" s="1482"/>
      <c r="Z373" s="1482"/>
      <c r="AA373" s="1482"/>
      <c r="AB373" s="1482"/>
      <c r="AC373" s="1482"/>
      <c r="AD373" s="1482"/>
      <c r="AE373" s="1482"/>
      <c r="AF373" s="1482"/>
    </row>
    <row r="374" spans="1:34" ht="12.95" customHeight="1">
      <c r="E374" s="4"/>
      <c r="F374" s="4"/>
      <c r="G374" s="4"/>
      <c r="H374" s="4"/>
      <c r="I374" s="4"/>
      <c r="J374" s="4"/>
      <c r="K374" s="4"/>
      <c r="L374" s="4"/>
      <c r="N374" s="1483"/>
      <c r="O374" s="1483"/>
      <c r="P374" s="1483"/>
      <c r="Q374" s="1483"/>
      <c r="R374" s="1483"/>
      <c r="S374" s="1483"/>
      <c r="T374" s="1483"/>
      <c r="U374" s="1483"/>
      <c r="V374" s="1483"/>
      <c r="W374" s="1483"/>
      <c r="X374" s="1483"/>
      <c r="Y374" s="1483"/>
      <c r="Z374" s="1483"/>
      <c r="AA374" s="1483"/>
      <c r="AB374" s="1483"/>
      <c r="AC374" s="1483"/>
      <c r="AD374" s="1483"/>
      <c r="AE374" s="1483"/>
      <c r="AF374" s="1483"/>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464"/>
      <c r="T377" s="1464"/>
      <c r="U377" s="1" t="s">
        <v>307</v>
      </c>
      <c r="V377" s="1464"/>
      <c r="W377" s="1464"/>
      <c r="Y377" t="s">
        <v>2396</v>
      </c>
      <c r="AC377" s="27" t="s">
        <v>306</v>
      </c>
      <c r="AD377" s="1464"/>
      <c r="AE377" s="1464"/>
      <c r="AF377" s="1" t="s">
        <v>307</v>
      </c>
      <c r="AG377" s="1464"/>
      <c r="AH377" s="1464"/>
    </row>
    <row r="378" spans="1:34" ht="12.95" customHeight="1">
      <c r="E378" s="4" t="s">
        <v>1011</v>
      </c>
      <c r="F378" s="4"/>
      <c r="G378" s="4"/>
      <c r="H378" s="4"/>
      <c r="I378" s="4"/>
      <c r="J378" s="4"/>
      <c r="K378" s="4"/>
      <c r="L378" s="4"/>
      <c r="N378" s="1464"/>
      <c r="O378" s="1464"/>
      <c r="P378" s="1464"/>
    </row>
    <row r="379" spans="1:34" ht="12.95" customHeight="1">
      <c r="E379" s="218" t="s">
        <v>2402</v>
      </c>
      <c r="F379" s="4"/>
      <c r="G379" s="4"/>
      <c r="H379" s="4"/>
      <c r="I379" s="4"/>
      <c r="J379" s="4"/>
      <c r="K379" s="4"/>
      <c r="L379" s="4"/>
      <c r="AG379" s="1528" t="s">
        <v>599</v>
      </c>
      <c r="AH379" s="1528"/>
    </row>
    <row r="380" spans="1:34" ht="12.95" customHeight="1">
      <c r="E380" s="4"/>
      <c r="F380" s="4"/>
      <c r="G380" s="4" t="s">
        <v>2403</v>
      </c>
      <c r="H380" s="4"/>
      <c r="I380" s="4"/>
      <c r="J380" s="4"/>
      <c r="K380" s="4"/>
      <c r="L380" s="4"/>
      <c r="AG380" s="1528" t="s">
        <v>599</v>
      </c>
      <c r="AH380" s="1528"/>
    </row>
    <row r="381" spans="1:34" ht="12.95" customHeight="1">
      <c r="E381" s="4"/>
      <c r="F381" s="4"/>
      <c r="G381" s="348" t="s">
        <v>1012</v>
      </c>
      <c r="H381" s="4"/>
      <c r="I381" s="4"/>
      <c r="J381" s="4"/>
      <c r="K381" s="4"/>
      <c r="L381" s="4"/>
      <c r="V381" s="1435" t="s">
        <v>599</v>
      </c>
      <c r="W381" s="1435"/>
      <c r="Y381" s="22" t="s">
        <v>999</v>
      </c>
    </row>
    <row r="382" spans="1:34" ht="12.95" customHeight="1">
      <c r="E382" s="4" t="s">
        <v>1000</v>
      </c>
      <c r="F382" s="4"/>
      <c r="G382" s="4"/>
      <c r="H382" s="4"/>
      <c r="I382" s="4"/>
      <c r="J382" s="4"/>
      <c r="K382" s="4"/>
      <c r="L382" s="4"/>
      <c r="V382" s="1435" t="s">
        <v>599</v>
      </c>
      <c r="W382" s="1435"/>
      <c r="Y382" s="4" t="s">
        <v>1001</v>
      </c>
    </row>
    <row r="383" spans="1:34" ht="12.95" customHeight="1"/>
    <row r="384" spans="1:34" ht="12.95" customHeight="1">
      <c r="A384" s="2" t="s">
        <v>78</v>
      </c>
      <c r="B384" s="2"/>
    </row>
    <row r="385" spans="4:36" ht="12.95" customHeight="1">
      <c r="D385" t="s">
        <v>429</v>
      </c>
      <c r="J385" s="1467" t="s">
        <v>2736</v>
      </c>
      <c r="K385" s="1467"/>
      <c r="L385" s="1467"/>
      <c r="M385" s="1467"/>
      <c r="N385" s="1467"/>
      <c r="O385" s="1467"/>
      <c r="P385" s="1467"/>
      <c r="Q385" s="1467"/>
      <c r="R385" s="1467"/>
      <c r="S385" s="1467"/>
      <c r="T385" s="1467"/>
      <c r="U385" s="1467"/>
      <c r="V385" s="8" t="s">
        <v>83</v>
      </c>
      <c r="W385" s="8"/>
      <c r="X385" s="8"/>
      <c r="Y385" s="8"/>
      <c r="Z385" s="8"/>
      <c r="AA385" s="8"/>
      <c r="AB385" s="8"/>
      <c r="AC385" s="1467" t="s">
        <v>2737</v>
      </c>
      <c r="AD385" s="1467"/>
      <c r="AE385" s="1467"/>
      <c r="AF385" s="1467"/>
      <c r="AG385" s="1467"/>
      <c r="AH385" s="1467"/>
      <c r="AI385" s="1467"/>
      <c r="AJ385" s="1467"/>
    </row>
    <row r="386" spans="4:36" ht="12.95" customHeight="1">
      <c r="D386" s="3" t="s">
        <v>1288</v>
      </c>
      <c r="J386" s="1445" t="s">
        <v>2738</v>
      </c>
      <c r="K386" s="1445"/>
      <c r="L386" s="1445"/>
      <c r="M386" s="1445"/>
      <c r="N386" s="1445"/>
      <c r="O386" s="1445"/>
      <c r="P386" s="1445"/>
      <c r="Q386" s="1445"/>
      <c r="R386" s="1445"/>
      <c r="S386" s="1445"/>
      <c r="T386" s="1445"/>
      <c r="U386" s="1445"/>
      <c r="V386" s="3" t="s">
        <v>1288</v>
      </c>
      <c r="W386" s="8"/>
      <c r="X386" s="8"/>
      <c r="Y386" s="8"/>
      <c r="Z386" s="8"/>
      <c r="AA386" s="8"/>
      <c r="AB386" s="8"/>
      <c r="AC386" s="1467"/>
      <c r="AD386" s="1467"/>
      <c r="AE386" s="1467"/>
      <c r="AF386" s="1467"/>
      <c r="AG386" s="1467"/>
      <c r="AH386" s="1467"/>
      <c r="AI386" s="1467"/>
      <c r="AJ386" s="1467"/>
    </row>
    <row r="387" spans="4:36" ht="12.95" customHeight="1">
      <c r="D387" s="3" t="s">
        <v>443</v>
      </c>
      <c r="J387" s="1445" t="s">
        <v>2739</v>
      </c>
      <c r="K387" s="1445"/>
      <c r="L387" s="1445"/>
      <c r="M387" s="1445"/>
      <c r="N387" s="1445"/>
      <c r="O387" s="1445"/>
      <c r="P387" s="1445"/>
      <c r="Q387" s="1445"/>
      <c r="R387" s="1445"/>
      <c r="S387" s="1445"/>
      <c r="T387" s="1445"/>
      <c r="U387" s="1445"/>
      <c r="V387" s="3" t="s">
        <v>443</v>
      </c>
      <c r="W387" s="8"/>
      <c r="X387" s="8"/>
      <c r="Y387" s="8"/>
      <c r="Z387" s="8"/>
      <c r="AA387" s="8"/>
      <c r="AB387" s="8"/>
      <c r="AC387" s="1467"/>
      <c r="AD387" s="1467"/>
      <c r="AE387" s="1467"/>
      <c r="AF387" s="1467"/>
      <c r="AG387" s="1467"/>
      <c r="AH387" s="1467"/>
      <c r="AI387" s="1467"/>
      <c r="AJ387" s="1467"/>
    </row>
    <row r="388" spans="4:36" ht="12.95" customHeight="1">
      <c r="D388" t="s">
        <v>1284</v>
      </c>
      <c r="J388" s="1418" t="s">
        <v>2740</v>
      </c>
      <c r="K388" s="1418"/>
      <c r="L388" s="1418"/>
      <c r="M388" s="1418"/>
      <c r="N388" s="1418"/>
      <c r="O388" s="1418"/>
      <c r="P388" s="1418"/>
      <c r="Q388" s="1418"/>
      <c r="R388" s="1418"/>
      <c r="S388" s="1418"/>
      <c r="T388" s="1418"/>
      <c r="U388" s="1418"/>
      <c r="V388" s="1467"/>
      <c r="W388" s="1467"/>
      <c r="X388" s="1467"/>
      <c r="Y388" s="1467"/>
      <c r="Z388" s="1467"/>
      <c r="AA388" s="1467"/>
      <c r="AB388" s="1467"/>
      <c r="AC388" s="1467"/>
      <c r="AD388" s="1467"/>
      <c r="AE388" s="1467"/>
      <c r="AF388" s="1467"/>
      <c r="AG388" s="1467"/>
      <c r="AH388" s="1467"/>
      <c r="AI388" s="1467"/>
      <c r="AJ388" s="1467"/>
    </row>
    <row r="389" spans="4:36" ht="12.95" customHeight="1">
      <c r="D389" t="s">
        <v>4</v>
      </c>
      <c r="Q389" s="1732">
        <v>45008</v>
      </c>
      <c r="R389" s="1732"/>
      <c r="S389" s="1732"/>
      <c r="T389" s="1732"/>
      <c r="U389" s="1732"/>
      <c r="V389" t="s">
        <v>310</v>
      </c>
      <c r="AI389" s="1435" t="s">
        <v>677</v>
      </c>
      <c r="AJ389" s="1435"/>
    </row>
    <row r="390" spans="4:36" ht="12.95" customHeight="1">
      <c r="D390" t="s">
        <v>5</v>
      </c>
      <c r="Q390" s="1612">
        <v>45427</v>
      </c>
      <c r="R390" s="1729"/>
      <c r="S390" s="1729"/>
      <c r="T390" s="1729"/>
      <c r="U390" s="1729"/>
      <c r="W390" s="21" t="s">
        <v>74</v>
      </c>
      <c r="AG390" s="1481"/>
      <c r="AH390" s="1481"/>
      <c r="AI390" s="1481"/>
      <c r="AJ390" s="1481"/>
    </row>
    <row r="391" spans="4:36" ht="12.95" customHeight="1">
      <c r="D391" t="s">
        <v>428</v>
      </c>
      <c r="Q391" s="1728">
        <f>36000000-920000</f>
        <v>35080000</v>
      </c>
      <c r="R391" s="1728"/>
      <c r="S391" s="1728"/>
      <c r="T391" s="1728"/>
      <c r="U391" s="1728"/>
      <c r="V391" s="3" t="s">
        <v>1287</v>
      </c>
      <c r="AG391" s="1526">
        <v>45390</v>
      </c>
      <c r="AH391" s="1526"/>
      <c r="AI391" s="1526"/>
      <c r="AJ391" s="1526"/>
    </row>
    <row r="392" spans="4:36" ht="12.95" customHeight="1">
      <c r="D392" t="s">
        <v>88</v>
      </c>
      <c r="I392" s="1520" t="s">
        <v>2741</v>
      </c>
      <c r="J392" s="1520"/>
      <c r="K392" s="1520"/>
      <c r="L392" s="1520"/>
      <c r="M392" s="1520"/>
      <c r="N392" s="1520"/>
      <c r="Q392" s="4" t="s">
        <v>207</v>
      </c>
      <c r="S392" s="1731"/>
      <c r="T392" s="1731"/>
      <c r="U392" s="1731"/>
      <c r="V392" t="s">
        <v>73</v>
      </c>
      <c r="AI392" s="1435" t="s">
        <v>677</v>
      </c>
      <c r="AJ392" s="1435"/>
    </row>
    <row r="393" spans="4:36" ht="12.95" customHeight="1">
      <c r="D393" t="s">
        <v>311</v>
      </c>
      <c r="Q393" s="1527"/>
      <c r="R393" s="1527"/>
      <c r="S393" s="1527"/>
      <c r="T393" s="1527"/>
      <c r="U393" s="1527"/>
      <c r="V393" t="s">
        <v>312</v>
      </c>
      <c r="AG393" s="1481">
        <v>200000</v>
      </c>
      <c r="AH393" s="1481"/>
      <c r="AI393" s="1481"/>
      <c r="AJ393" s="1481"/>
    </row>
    <row r="394" spans="4:36" ht="12.95" customHeight="1">
      <c r="D394" t="s">
        <v>313</v>
      </c>
      <c r="Q394" s="1570"/>
      <c r="R394" s="1570"/>
      <c r="S394" s="1570"/>
      <c r="T394" s="1570"/>
      <c r="U394" s="1570"/>
      <c r="V394" t="s">
        <v>1268</v>
      </c>
      <c r="AG394" s="1481"/>
      <c r="AH394" s="1481"/>
      <c r="AI394" s="1481"/>
      <c r="AJ394" s="1481"/>
    </row>
    <row r="395" spans="4:36" ht="12.95" customHeight="1">
      <c r="D395" t="s">
        <v>1267</v>
      </c>
      <c r="AG395" s="1481"/>
      <c r="AH395" s="1481"/>
      <c r="AI395" s="1481"/>
      <c r="AJ395" s="1481"/>
    </row>
    <row r="396" spans="4:36" ht="12.95" customHeight="1">
      <c r="AG396" s="490"/>
      <c r="AH396" s="490"/>
      <c r="AI396" s="490"/>
      <c r="AJ396" s="490"/>
    </row>
    <row r="397" spans="4:36" ht="12.95" customHeight="1">
      <c r="D397" s="3" t="s">
        <v>2502</v>
      </c>
      <c r="AG397" s="490"/>
      <c r="AH397" s="490"/>
      <c r="AI397" s="1435" t="s">
        <v>677</v>
      </c>
      <c r="AJ397" s="1435"/>
    </row>
    <row r="398" spans="4:36" ht="12.95" customHeight="1">
      <c r="D398" s="3" t="s">
        <v>1781</v>
      </c>
      <c r="T398" s="1414"/>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D399" s="3" t="s">
        <v>1780</v>
      </c>
      <c r="T399" s="1414"/>
      <c r="U399" s="1414"/>
      <c r="V399" s="1414"/>
      <c r="W399" s="1414"/>
      <c r="X399" s="1414"/>
      <c r="Y399" s="1414"/>
      <c r="Z399" s="1414"/>
      <c r="AA399" s="1414"/>
      <c r="AB399" s="1414"/>
      <c r="AC399" s="1414"/>
      <c r="AD399" s="1414"/>
      <c r="AE399" s="1414"/>
      <c r="AF399" s="1414"/>
      <c r="AG399" s="1414"/>
      <c r="AH399" s="1414"/>
      <c r="AI399" s="1414"/>
      <c r="AJ399" s="1414"/>
    </row>
    <row r="400" spans="4:36" ht="12.95" customHeight="1">
      <c r="AG400" s="490"/>
      <c r="AH400" s="490"/>
      <c r="AI400" s="490"/>
      <c r="AJ400" s="490"/>
    </row>
    <row r="401" spans="1:36" ht="12.95" customHeight="1">
      <c r="D401" s="3" t="s">
        <v>1774</v>
      </c>
      <c r="S401" s="1414" t="s">
        <v>677</v>
      </c>
      <c r="T401" s="1414"/>
      <c r="U401" s="1414"/>
      <c r="V401" t="s">
        <v>1775</v>
      </c>
      <c r="AG401" s="1489"/>
      <c r="AH401" s="1489"/>
      <c r="AI401" s="1489"/>
      <c r="AJ401" s="1489"/>
    </row>
    <row r="402" spans="1:36" ht="12.95" customHeight="1">
      <c r="D402" s="3" t="s">
        <v>1772</v>
      </c>
      <c r="S402" s="1414" t="s">
        <v>599</v>
      </c>
      <c r="T402" s="1414"/>
      <c r="U402" s="1414"/>
      <c r="V402" t="s">
        <v>1777</v>
      </c>
      <c r="AE402" s="1493"/>
      <c r="AF402" s="1493"/>
      <c r="AG402" s="1493"/>
      <c r="AH402" s="1493"/>
      <c r="AI402" s="1493"/>
      <c r="AJ402" s="1493"/>
    </row>
    <row r="403" spans="1:36" ht="12.95" customHeight="1">
      <c r="D403" s="3" t="s">
        <v>1773</v>
      </c>
      <c r="K403" s="1488"/>
      <c r="L403" s="1488"/>
      <c r="M403" s="1488"/>
      <c r="N403" s="1488"/>
      <c r="O403" s="1488"/>
      <c r="P403" s="1488"/>
      <c r="Q403" s="1488"/>
      <c r="R403" s="1488"/>
      <c r="S403" s="1488"/>
      <c r="T403" s="1488"/>
      <c r="U403" s="1488"/>
      <c r="V403" s="1488"/>
      <c r="W403" s="1488"/>
      <c r="X403" s="1488"/>
      <c r="Y403" s="1488"/>
      <c r="Z403" s="1488"/>
      <c r="AA403" s="1488"/>
      <c r="AB403" s="1488"/>
      <c r="AC403" s="1488"/>
      <c r="AD403" s="1488"/>
      <c r="AE403" s="1488"/>
      <c r="AF403" s="1488"/>
      <c r="AG403" s="1488"/>
      <c r="AH403" s="1488"/>
      <c r="AI403" s="1488"/>
      <c r="AJ403" s="1488"/>
    </row>
    <row r="404" spans="1:36" ht="12.95" customHeight="1">
      <c r="D404" s="3" t="s">
        <v>1776</v>
      </c>
      <c r="K404" s="1488"/>
      <c r="L404" s="1488"/>
      <c r="M404" s="1488"/>
      <c r="N404" s="1488"/>
      <c r="O404" s="1488"/>
      <c r="P404" s="1488"/>
      <c r="Q404" s="1488"/>
      <c r="R404" s="1488"/>
      <c r="S404" s="1488"/>
      <c r="T404" s="1488"/>
      <c r="U404" s="1488"/>
      <c r="V404" s="1488"/>
      <c r="W404" s="1488"/>
      <c r="X404" s="1488"/>
      <c r="Y404" s="1488"/>
      <c r="Z404" s="1488"/>
      <c r="AA404" s="1488"/>
      <c r="AB404" s="1488"/>
      <c r="AC404" s="1488"/>
      <c r="AD404" s="1488"/>
      <c r="AE404" s="1488"/>
      <c r="AF404" s="1488"/>
      <c r="AG404" s="1488"/>
      <c r="AH404" s="1488"/>
      <c r="AI404" s="1488"/>
      <c r="AJ404" s="1488"/>
    </row>
    <row r="405" spans="1:36" ht="12.95" customHeight="1">
      <c r="D405" s="3" t="s">
        <v>1779</v>
      </c>
      <c r="E405" s="511"/>
      <c r="F405" s="511"/>
      <c r="G405" s="511"/>
      <c r="H405" s="511"/>
      <c r="I405" s="511"/>
      <c r="J405" s="511"/>
      <c r="K405" s="511"/>
      <c r="L405" s="511"/>
      <c r="M405" s="511"/>
      <c r="N405" s="511"/>
      <c r="O405" s="511"/>
      <c r="P405" s="511"/>
      <c r="Q405" s="511"/>
      <c r="R405" s="511"/>
      <c r="S405" s="1511" t="s">
        <v>1290</v>
      </c>
      <c r="T405" s="1511"/>
      <c r="U405" s="1511"/>
      <c r="V405" s="1511"/>
      <c r="W405" s="1511"/>
      <c r="X405" s="1511"/>
      <c r="Y405" s="1511"/>
      <c r="Z405" s="1511"/>
      <c r="AA405" s="1511"/>
      <c r="AB405" s="1511"/>
      <c r="AC405" s="1511"/>
      <c r="AD405" s="1511"/>
      <c r="AE405" s="1511"/>
      <c r="AF405" s="1511"/>
      <c r="AG405" s="1511"/>
      <c r="AH405" s="1511"/>
      <c r="AI405" s="1511"/>
      <c r="AJ405" s="1511"/>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556" t="s">
        <v>2712</v>
      </c>
      <c r="J410" s="1556"/>
      <c r="K410" s="1556"/>
      <c r="L410" s="1556"/>
      <c r="M410" s="1556"/>
      <c r="N410" s="1556"/>
      <c r="O410" s="1556"/>
      <c r="P410" s="1556"/>
      <c r="Q410" s="1556"/>
      <c r="R410" s="1556"/>
      <c r="S410" s="1556"/>
      <c r="T410" s="1556"/>
      <c r="U410" s="1556"/>
      <c r="V410" s="1556"/>
      <c r="W410" s="1556"/>
      <c r="X410" s="1556"/>
      <c r="Y410" s="1556"/>
      <c r="Z410" s="1556"/>
      <c r="AA410" s="1556"/>
      <c r="AB410" s="1556"/>
      <c r="AC410" s="1556"/>
      <c r="AD410" s="1556"/>
      <c r="AE410" s="1556"/>
    </row>
    <row r="411" spans="1:36" ht="12.95" customHeight="1">
      <c r="E411" t="s">
        <v>106</v>
      </c>
      <c r="R411" s="1435" t="s">
        <v>553</v>
      </c>
      <c r="S411" s="1435"/>
      <c r="AC411" s="27" t="s">
        <v>578</v>
      </c>
      <c r="AD411" s="1434">
        <v>3</v>
      </c>
      <c r="AE411" s="1434"/>
    </row>
    <row r="412" spans="1:36" ht="12.95" customHeight="1">
      <c r="E412" t="s">
        <v>107</v>
      </c>
      <c r="R412" s="1435" t="s">
        <v>599</v>
      </c>
      <c r="S412" s="1435"/>
      <c r="AC412" s="27" t="s">
        <v>578</v>
      </c>
      <c r="AD412" s="1434">
        <v>0</v>
      </c>
      <c r="AE412" s="1434"/>
    </row>
    <row r="413" spans="1:36" ht="12.95" customHeight="1">
      <c r="E413" t="s">
        <v>108</v>
      </c>
      <c r="S413" s="1435" t="s">
        <v>599</v>
      </c>
      <c r="T413" s="1435"/>
    </row>
    <row r="414" spans="1:36" ht="12.95" customHeight="1">
      <c r="E414" t="s">
        <v>170</v>
      </c>
      <c r="H414" s="1725" t="s">
        <v>2713</v>
      </c>
      <c r="I414" s="1725"/>
      <c r="J414" s="1725"/>
      <c r="K414" s="1725"/>
      <c r="L414" s="1725"/>
      <c r="M414" s="1725"/>
      <c r="N414" s="1725"/>
      <c r="O414" s="1725"/>
      <c r="P414" s="1725"/>
      <c r="Q414" s="1725"/>
      <c r="R414" s="1725"/>
      <c r="S414" s="1725"/>
      <c r="T414" s="1725"/>
      <c r="U414" s="1725"/>
      <c r="V414" s="1725"/>
      <c r="W414" s="1725"/>
      <c r="X414" s="1725"/>
      <c r="Y414" s="1725"/>
      <c r="Z414" s="1725"/>
      <c r="AA414" s="1725"/>
      <c r="AB414" s="1725"/>
      <c r="AC414" s="1725"/>
      <c r="AD414" s="1725"/>
      <c r="AE414" s="1725"/>
    </row>
    <row r="415" spans="1:36" ht="12.95" customHeight="1">
      <c r="H415" s="1726"/>
      <c r="I415" s="1726"/>
      <c r="J415" s="1726"/>
      <c r="K415" s="1726"/>
      <c r="L415" s="1726"/>
      <c r="M415" s="1726"/>
      <c r="N415" s="1726"/>
      <c r="O415" s="1726"/>
      <c r="P415" s="1726"/>
      <c r="Q415" s="1726"/>
      <c r="R415" s="1726"/>
      <c r="S415" s="1726"/>
      <c r="T415" s="1726"/>
      <c r="U415" s="1726"/>
      <c r="V415" s="1726"/>
      <c r="W415" s="1726"/>
      <c r="X415" s="1726"/>
      <c r="Y415" s="1726"/>
      <c r="Z415" s="1726"/>
      <c r="AA415" s="1726"/>
      <c r="AB415" s="1726"/>
      <c r="AC415" s="1726"/>
      <c r="AD415" s="1726"/>
      <c r="AE415" s="1726"/>
    </row>
    <row r="416" spans="1:36" ht="12.95" customHeight="1"/>
    <row r="417" spans="1:39" ht="12.95" customHeight="1">
      <c r="A417" s="2" t="s">
        <v>598</v>
      </c>
      <c r="B417" s="2"/>
      <c r="C417" s="2"/>
      <c r="D417" s="2" t="s">
        <v>114</v>
      </c>
      <c r="AF417" s="2" t="s">
        <v>976</v>
      </c>
    </row>
    <row r="418" spans="1:39" ht="12.95" customHeight="1">
      <c r="E418" s="1464"/>
      <c r="F418" s="1464"/>
      <c r="G418" s="1464"/>
      <c r="H418" s="13" t="s">
        <v>115</v>
      </c>
      <c r="I418" s="1464"/>
      <c r="J418" s="1464"/>
      <c r="K418" s="1464"/>
      <c r="L418" t="s">
        <v>116</v>
      </c>
      <c r="N418" s="27" t="s">
        <v>583</v>
      </c>
      <c r="P418" s="1730">
        <v>2.2799999999999998</v>
      </c>
      <c r="Q418" s="1730"/>
      <c r="R418" s="1730"/>
      <c r="S418" t="s">
        <v>117</v>
      </c>
      <c r="W418" s="1423">
        <f>IF(E418&gt;0,(E418*I418),(P418*43560))</f>
        <v>99316.799999999988</v>
      </c>
      <c r="X418" s="1423"/>
      <c r="Y418" s="1423"/>
      <c r="Z418" t="s">
        <v>118</v>
      </c>
      <c r="AF418" s="1727">
        <f>IFERROR(IF(P418&gt;0,(AG437/P418),(AG437/(W418/43560))),0)</f>
        <v>59.649122807017548</v>
      </c>
      <c r="AG418" s="1727"/>
      <c r="AH418" s="1727"/>
      <c r="AM418" s="3"/>
    </row>
    <row r="419" spans="1:39" ht="12.95" customHeight="1">
      <c r="E419" t="s">
        <v>51</v>
      </c>
    </row>
    <row r="420" spans="1:39" ht="12.95" customHeight="1">
      <c r="E420" s="1492"/>
      <c r="F420" s="1492"/>
      <c r="G420" s="1492"/>
      <c r="H420" s="1492"/>
      <c r="I420" s="1492"/>
      <c r="J420" s="1492"/>
      <c r="K420" s="1492"/>
      <c r="L420" s="1492"/>
      <c r="M420" s="1492"/>
      <c r="N420" s="1492"/>
      <c r="O420" s="1492"/>
      <c r="P420" s="1492"/>
      <c r="Q420" s="1492"/>
      <c r="R420" s="1492"/>
      <c r="S420" s="1492"/>
      <c r="T420" s="1492"/>
      <c r="U420" s="1492"/>
      <c r="V420" s="1492"/>
      <c r="W420" s="1492"/>
      <c r="X420" s="1492"/>
      <c r="Y420" s="1492"/>
      <c r="Z420" s="1492"/>
      <c r="AA420" s="1492"/>
      <c r="AB420" s="1492"/>
      <c r="AC420" s="1492"/>
      <c r="AD420" s="1492"/>
      <c r="AE420" s="1492"/>
      <c r="AF420" s="1492"/>
      <c r="AG420" s="1492"/>
      <c r="AH420" s="1492"/>
      <c r="AI420" s="1492"/>
      <c r="AJ420" s="1492"/>
    </row>
    <row r="421" spans="1:39" ht="12.95" customHeight="1">
      <c r="E421" s="118" t="s">
        <v>1926</v>
      </c>
      <c r="F421" s="1048"/>
      <c r="G421" s="1048"/>
      <c r="H421" s="1048"/>
      <c r="I421" s="1564">
        <v>1.5</v>
      </c>
      <c r="J421" s="1564"/>
      <c r="K421" s="1564"/>
      <c r="L421" s="1048"/>
      <c r="M421" s="118"/>
      <c r="N421" s="1048"/>
      <c r="O421" s="1048"/>
      <c r="P421" s="1782">
        <f>(CS634+CS642+CS658)/I421</f>
        <v>90.666666666666671</v>
      </c>
      <c r="Q421" s="1782"/>
      <c r="R421" s="1782"/>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35">
        <v>4</v>
      </c>
      <c r="Q424" s="1435"/>
      <c r="S424" t="s">
        <v>190</v>
      </c>
      <c r="AE424" s="1435">
        <v>4</v>
      </c>
      <c r="AF424" s="1435"/>
    </row>
    <row r="425" spans="1:39" ht="12.95" customHeight="1">
      <c r="E425" t="s">
        <v>191</v>
      </c>
      <c r="P425" s="1435">
        <v>0</v>
      </c>
      <c r="Q425" s="1435"/>
      <c r="S425" t="s">
        <v>131</v>
      </c>
      <c r="AE425" s="1435" t="s">
        <v>599</v>
      </c>
      <c r="AF425" s="1435"/>
    </row>
    <row r="426" spans="1:39" ht="12.95" customHeight="1">
      <c r="F426" s="28" t="s">
        <v>132</v>
      </c>
    </row>
    <row r="427" spans="1:39" ht="12.95" customHeight="1">
      <c r="F427" s="1484"/>
      <c r="G427" s="1484"/>
      <c r="H427" s="1484"/>
      <c r="I427" s="1484"/>
      <c r="J427" s="1484"/>
      <c r="K427" s="1484"/>
      <c r="L427" s="1484"/>
      <c r="M427" s="1484"/>
      <c r="N427" s="1484"/>
      <c r="O427" s="1484"/>
      <c r="P427" s="1484"/>
      <c r="Q427" s="1484"/>
      <c r="R427" s="1484"/>
      <c r="S427" s="1484"/>
      <c r="T427" s="1484"/>
      <c r="U427" s="1484"/>
      <c r="V427" s="1484"/>
      <c r="W427" s="1484"/>
      <c r="X427" s="1484"/>
      <c r="Y427" s="1484"/>
      <c r="Z427" s="1484"/>
      <c r="AA427" s="1484"/>
      <c r="AB427" s="1484"/>
      <c r="AC427" s="1484"/>
      <c r="AD427" s="1484"/>
      <c r="AE427" s="1484"/>
      <c r="AF427" s="1484"/>
      <c r="AG427" s="1484"/>
      <c r="AH427" s="1484"/>
    </row>
    <row r="428" spans="1:39" ht="12.95" customHeight="1">
      <c r="F428" s="1485"/>
      <c r="G428" s="1485"/>
      <c r="H428" s="1485"/>
      <c r="I428" s="1485"/>
      <c r="J428" s="1485"/>
      <c r="K428" s="1485"/>
      <c r="L428" s="1485"/>
      <c r="M428" s="1485"/>
      <c r="N428" s="1485"/>
      <c r="O428" s="1485"/>
      <c r="P428" s="1485"/>
      <c r="Q428" s="1485"/>
      <c r="R428" s="1485"/>
      <c r="S428" s="1485"/>
      <c r="T428" s="1485"/>
      <c r="U428" s="1485"/>
      <c r="V428" s="1485"/>
      <c r="W428" s="1485"/>
      <c r="X428" s="1485"/>
      <c r="Y428" s="1485"/>
      <c r="Z428" s="1485"/>
      <c r="AA428" s="1485"/>
      <c r="AB428" s="1485"/>
      <c r="AC428" s="1485"/>
      <c r="AD428" s="1485"/>
      <c r="AE428" s="1485"/>
      <c r="AF428" s="1485"/>
      <c r="AG428" s="1485"/>
      <c r="AH428" s="1485"/>
    </row>
    <row r="429" spans="1:39" ht="12.95" customHeight="1">
      <c r="E429" t="s">
        <v>616</v>
      </c>
      <c r="P429" s="1"/>
      <c r="Q429" s="1435" t="s">
        <v>553</v>
      </c>
      <c r="R429" s="1435"/>
    </row>
    <row r="430" spans="1:39" ht="12.95" customHeight="1">
      <c r="F430" t="s">
        <v>617</v>
      </c>
      <c r="P430" s="1"/>
      <c r="Q430" s="1"/>
      <c r="AF430" s="1435" t="s">
        <v>599</v>
      </c>
      <c r="AG430" s="1443"/>
    </row>
    <row r="431" spans="1:39" ht="12.95" customHeight="1"/>
    <row r="432" spans="1:39" ht="12.95" customHeight="1">
      <c r="A432" s="2"/>
      <c r="B432" s="2"/>
      <c r="C432" s="2"/>
      <c r="E432" s="4" t="s">
        <v>309</v>
      </c>
      <c r="Z432" s="1435" t="s">
        <v>677</v>
      </c>
      <c r="AA432" s="1435"/>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35" t="s">
        <v>599</v>
      </c>
      <c r="AA434" s="1435"/>
    </row>
    <row r="435" spans="1:110" ht="12.95" customHeight="1"/>
    <row r="436" spans="1:110" ht="12.95" customHeight="1">
      <c r="A436" s="2" t="s">
        <v>475</v>
      </c>
      <c r="B436" s="2"/>
      <c r="C436" s="2"/>
      <c r="D436" s="2" t="s">
        <v>773</v>
      </c>
      <c r="AF436" s="48"/>
    </row>
    <row r="437" spans="1:110" ht="12.95" customHeight="1">
      <c r="D437" s="1465" t="s">
        <v>43</v>
      </c>
      <c r="E437" s="1431"/>
      <c r="F437" s="1431"/>
      <c r="G437" s="1431"/>
      <c r="H437" s="1431"/>
      <c r="I437" s="1431"/>
      <c r="J437" s="1431"/>
      <c r="K437" s="1431"/>
      <c r="L437" s="1431"/>
      <c r="M437" s="1431"/>
      <c r="N437" s="1431"/>
      <c r="O437" s="1431"/>
      <c r="P437" s="1431"/>
      <c r="Q437" s="1431"/>
      <c r="R437" s="1431"/>
      <c r="S437" s="1431"/>
      <c r="T437" s="1431"/>
      <c r="U437" s="1431"/>
      <c r="V437" s="1431"/>
      <c r="W437" s="1431"/>
      <c r="X437" s="1431"/>
      <c r="Y437" s="1431"/>
      <c r="Z437" s="1431"/>
      <c r="AA437" s="1431"/>
      <c r="AB437" s="1431"/>
      <c r="AC437" s="1431"/>
      <c r="AD437" s="1431"/>
      <c r="AE437" s="1431"/>
      <c r="AF437" s="1432"/>
      <c r="AG437" s="1447">
        <v>136</v>
      </c>
      <c r="AH437" s="1447"/>
      <c r="AI437" s="1447"/>
      <c r="AJ437" s="1447"/>
    </row>
    <row r="438" spans="1:110" ht="12.95" customHeight="1">
      <c r="D438" s="1428" t="s">
        <v>1329</v>
      </c>
      <c r="E438" s="1429"/>
      <c r="F438" s="1429"/>
      <c r="G438" s="1429"/>
      <c r="H438" s="1429"/>
      <c r="I438" s="1429"/>
      <c r="J438" s="1429"/>
      <c r="K438" s="1429"/>
      <c r="L438" s="1429"/>
      <c r="M438" s="1429"/>
      <c r="N438" s="1429"/>
      <c r="O438" s="1429"/>
      <c r="P438" s="1429"/>
      <c r="Q438" s="1429"/>
      <c r="R438" s="1429"/>
      <c r="S438" s="1429"/>
      <c r="T438" s="1429"/>
      <c r="U438" s="1429"/>
      <c r="V438" s="1429"/>
      <c r="W438" s="1429"/>
      <c r="X438" s="1429"/>
      <c r="Y438" s="1429"/>
      <c r="Z438" s="1429"/>
      <c r="AA438" s="1429"/>
      <c r="AB438" s="1429"/>
      <c r="AC438" s="1429"/>
      <c r="AD438" s="1429"/>
      <c r="AE438" s="1429"/>
      <c r="AF438" s="1430"/>
      <c r="AG438" s="1490">
        <v>0</v>
      </c>
      <c r="AH438" s="1491"/>
      <c r="AI438" s="1491"/>
      <c r="AJ438" s="1491"/>
    </row>
    <row r="439" spans="1:110" ht="12.95" customHeight="1">
      <c r="D439" s="1428" t="s">
        <v>1055</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447">
        <v>134</v>
      </c>
      <c r="AH439" s="1447"/>
      <c r="AI439" s="1447"/>
      <c r="AJ439" s="1447"/>
    </row>
    <row r="440" spans="1:110" ht="12.95" customHeight="1">
      <c r="D440" s="1428" t="s">
        <v>1056</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47">
        <v>134</v>
      </c>
      <c r="AH440" s="1447"/>
      <c r="AI440" s="1447"/>
      <c r="AJ440" s="1447"/>
    </row>
    <row r="441" spans="1:110" ht="12.95" customHeight="1">
      <c r="D441" s="1428" t="s">
        <v>1058</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68">
        <f>IF(ISERROR(AG440/AG439),"",AG440/AG439)</f>
        <v>1</v>
      </c>
      <c r="AH441" s="1468"/>
      <c r="AI441" s="1468"/>
      <c r="AJ441" s="1468"/>
    </row>
    <row r="442" spans="1:110" ht="12.95" customHeight="1">
      <c r="D442" s="1428" t="s">
        <v>1057</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427">
        <v>41445</v>
      </c>
      <c r="AH442" s="1427"/>
      <c r="AI442" s="1427"/>
      <c r="AJ442" s="1427"/>
    </row>
    <row r="443" spans="1:110" ht="12.95" customHeight="1">
      <c r="D443" s="1428" t="s">
        <v>1059</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27">
        <v>41445</v>
      </c>
      <c r="AH443" s="1427"/>
      <c r="AI443" s="1427"/>
      <c r="AJ443" s="1427"/>
    </row>
    <row r="444" spans="1:110" ht="12.95" customHeight="1">
      <c r="D444" s="1428" t="s">
        <v>1060</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68">
        <f>IF(ISERROR(AG443/AG442),"",AG443/AG442)</f>
        <v>1</v>
      </c>
      <c r="AH444" s="1468"/>
      <c r="AI444" s="1468"/>
      <c r="AJ444" s="1468"/>
    </row>
    <row r="445" spans="1:110" ht="12.95" customHeight="1">
      <c r="D445" s="1428" t="s">
        <v>1061</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468">
        <f>MIN(IF(AG441&gt;AG444,AG444,AG441),1)</f>
        <v>1</v>
      </c>
      <c r="AH445" s="1468"/>
      <c r="AI445" s="1468"/>
      <c r="AJ445" s="1468"/>
    </row>
    <row r="446" spans="1:110" ht="12.95" customHeight="1">
      <c r="D446" s="1428" t="s">
        <v>2404</v>
      </c>
      <c r="E446" s="1431"/>
      <c r="F446" s="1431"/>
      <c r="G446" s="1431"/>
      <c r="H446" s="1431"/>
      <c r="I446" s="1431"/>
      <c r="J446" s="1431"/>
      <c r="K446" s="1431"/>
      <c r="L446" s="1431"/>
      <c r="M446" s="1431"/>
      <c r="N446" s="1431"/>
      <c r="O446" s="1431"/>
      <c r="P446" s="1431"/>
      <c r="Q446" s="1431"/>
      <c r="R446" s="1431"/>
      <c r="S446" s="1431"/>
      <c r="T446" s="1431"/>
      <c r="U446" s="1431"/>
      <c r="V446" s="1431"/>
      <c r="W446" s="1431"/>
      <c r="X446" s="1431"/>
      <c r="Y446" s="1431"/>
      <c r="Z446" s="1431"/>
      <c r="AA446" s="1431"/>
      <c r="AB446" s="1431"/>
      <c r="AC446" s="1431"/>
      <c r="AD446" s="1431"/>
      <c r="AE446" s="1431"/>
      <c r="AF446" s="1432"/>
      <c r="AG446" s="1427">
        <v>1703</v>
      </c>
      <c r="AH446" s="1427"/>
      <c r="AI446" s="1427"/>
      <c r="AJ446" s="14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5" t="s">
        <v>577</v>
      </c>
      <c r="E447" s="1431"/>
      <c r="F447" s="1431"/>
      <c r="G447" s="1431"/>
      <c r="H447" s="1431"/>
      <c r="I447" s="1431"/>
      <c r="J447" s="1431"/>
      <c r="K447" s="1431"/>
      <c r="L447" s="1431"/>
      <c r="M447" s="1431"/>
      <c r="N447" s="1431"/>
      <c r="O447" s="1431"/>
      <c r="P447" s="1431"/>
      <c r="Q447" s="1431"/>
      <c r="R447" s="1431"/>
      <c r="S447" s="1431"/>
      <c r="T447" s="1431"/>
      <c r="U447" s="1431"/>
      <c r="V447" s="1431"/>
      <c r="W447" s="1431"/>
      <c r="X447" s="1431"/>
      <c r="Y447" s="1431"/>
      <c r="Z447" s="1431"/>
      <c r="AA447" s="1431"/>
      <c r="AB447" s="1431"/>
      <c r="AC447" s="1431"/>
      <c r="AD447" s="1431"/>
      <c r="AE447" s="1431"/>
      <c r="AF447" s="1432"/>
      <c r="AG447" s="1427">
        <v>0</v>
      </c>
      <c r="AH447" s="1427"/>
      <c r="AI447" s="1427"/>
      <c r="AJ447" s="14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8" t="s">
        <v>1311</v>
      </c>
      <c r="E448" s="1431"/>
      <c r="F448" s="1431"/>
      <c r="G448" s="1431"/>
      <c r="H448" s="1431"/>
      <c r="I448" s="1431"/>
      <c r="J448" s="1431"/>
      <c r="K448" s="1431"/>
      <c r="L448" s="1431"/>
      <c r="M448" s="1431"/>
      <c r="N448" s="1431"/>
      <c r="O448" s="1431"/>
      <c r="P448" s="1431"/>
      <c r="Q448" s="1431"/>
      <c r="R448" s="1431"/>
      <c r="S448" s="1431"/>
      <c r="T448" s="1431"/>
      <c r="U448" s="1431"/>
      <c r="V448" s="1431"/>
      <c r="W448" s="1431"/>
      <c r="X448" s="1431"/>
      <c r="Y448" s="1431"/>
      <c r="Z448" s="1431"/>
      <c r="AA448" s="1431"/>
      <c r="AB448" s="1431"/>
      <c r="AC448" s="1431"/>
      <c r="AD448" s="1431"/>
      <c r="AE448" s="1431"/>
      <c r="AF448" s="1432"/>
      <c r="AG448" s="1427">
        <v>19196</v>
      </c>
      <c r="AH448" s="1427"/>
      <c r="AI448" s="1427"/>
      <c r="AJ448" s="14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8" t="s">
        <v>1062</v>
      </c>
      <c r="E449" s="1431"/>
      <c r="F449" s="1431"/>
      <c r="G449" s="1431"/>
      <c r="H449" s="1431"/>
      <c r="I449" s="1431"/>
      <c r="J449" s="1431"/>
      <c r="K449" s="1431"/>
      <c r="L449" s="1431"/>
      <c r="M449" s="1431"/>
      <c r="N449" s="1431"/>
      <c r="O449" s="1431"/>
      <c r="P449" s="1431"/>
      <c r="Q449" s="1431"/>
      <c r="R449" s="1431"/>
      <c r="S449" s="1431"/>
      <c r="T449" s="1431"/>
      <c r="U449" s="1431"/>
      <c r="V449" s="1431"/>
      <c r="W449" s="1431"/>
      <c r="X449" s="1431"/>
      <c r="Y449" s="1431"/>
      <c r="Z449" s="1431"/>
      <c r="AA449" s="1431"/>
      <c r="AB449" s="1431"/>
      <c r="AC449" s="1431"/>
      <c r="AD449" s="1431"/>
      <c r="AE449" s="1431"/>
      <c r="AF449" s="1432"/>
      <c r="AG449" s="1427">
        <v>0</v>
      </c>
      <c r="AH449" s="1427"/>
      <c r="AI449" s="1427"/>
      <c r="AJ449" s="14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1" t="s">
        <v>1063</v>
      </c>
      <c r="E450" s="1522"/>
      <c r="F450" s="1522"/>
      <c r="G450" s="1522"/>
      <c r="H450" s="1522"/>
      <c r="I450" s="1522"/>
      <c r="J450" s="1522"/>
      <c r="K450" s="1522"/>
      <c r="L450" s="1522"/>
      <c r="M450" s="1522"/>
      <c r="N450" s="1522"/>
      <c r="O450" s="1522"/>
      <c r="P450" s="1522"/>
      <c r="Q450" s="1522"/>
      <c r="R450" s="1522"/>
      <c r="S450" s="1522"/>
      <c r="T450" s="1522"/>
      <c r="U450" s="1522"/>
      <c r="V450" s="1522"/>
      <c r="W450" s="1522"/>
      <c r="X450" s="1522"/>
      <c r="Y450" s="1522"/>
      <c r="Z450" s="1522"/>
      <c r="AA450" s="1522"/>
      <c r="AB450" s="1522"/>
      <c r="AC450" s="1522"/>
      <c r="AD450" s="1522"/>
      <c r="AE450" s="1522"/>
      <c r="AF450" s="1523"/>
      <c r="AG450" s="1448">
        <f>AG442+AG446+AG448+AG449</f>
        <v>62344</v>
      </c>
      <c r="AH450" s="1448"/>
      <c r="AI450" s="1448"/>
      <c r="AJ450" s="144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4" t="s">
        <v>1312</v>
      </c>
      <c r="E451" s="1524"/>
      <c r="F451" s="1524"/>
      <c r="G451" s="1524"/>
      <c r="H451" s="1524"/>
      <c r="I451" s="1524"/>
      <c r="J451" s="1524"/>
      <c r="K451" s="1524"/>
      <c r="L451" s="1524"/>
      <c r="M451" s="1524"/>
      <c r="N451" s="1524"/>
      <c r="O451" s="1524"/>
      <c r="P451" s="1524"/>
      <c r="Q451" s="1524"/>
      <c r="R451" s="1524"/>
      <c r="S451" s="1524"/>
      <c r="T451" s="1524"/>
      <c r="U451" s="1524"/>
      <c r="V451" s="1524"/>
      <c r="W451" s="1524"/>
      <c r="X451" s="1524"/>
      <c r="Y451" s="1524"/>
      <c r="Z451" s="1524"/>
      <c r="AA451" s="1524"/>
      <c r="AB451" s="1524"/>
      <c r="AC451" s="1524"/>
      <c r="AD451" s="1524"/>
      <c r="AE451" s="1524"/>
      <c r="AF451" s="1524"/>
      <c r="AG451" s="1524"/>
      <c r="AH451" s="1524"/>
      <c r="AI451" s="1524"/>
      <c r="AJ451" s="152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5"/>
      <c r="E452" s="1525"/>
      <c r="F452" s="1525"/>
      <c r="G452" s="1525"/>
      <c r="H452" s="1525"/>
      <c r="I452" s="1525"/>
      <c r="J452" s="1525"/>
      <c r="K452" s="1525"/>
      <c r="L452" s="1525"/>
      <c r="M452" s="1525"/>
      <c r="N452" s="1525"/>
      <c r="O452" s="1525"/>
      <c r="P452" s="1525"/>
      <c r="Q452" s="1525"/>
      <c r="R452" s="1525"/>
      <c r="S452" s="1525"/>
      <c r="T452" s="1525"/>
      <c r="U452" s="1525"/>
      <c r="V452" s="1525"/>
      <c r="W452" s="1525"/>
      <c r="X452" s="1525"/>
      <c r="Y452" s="1525"/>
      <c r="Z452" s="1525"/>
      <c r="AA452" s="1525"/>
      <c r="AB452" s="1525"/>
      <c r="AC452" s="1525"/>
      <c r="AD452" s="1525"/>
      <c r="AE452" s="1525"/>
      <c r="AF452" s="1525"/>
      <c r="AG452" s="1525"/>
      <c r="AH452" s="1525"/>
      <c r="AI452" s="1525"/>
      <c r="AJ452" s="152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2">
        <f>IF(AG437=0,"",'Sources and Uses Budget'!B105/Application!AG437)</f>
        <v>672100.7867647059</v>
      </c>
      <c r="AD454" s="1442"/>
      <c r="AE454" s="1442"/>
      <c r="AF454" s="144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2">
        <f>IF(AG437=0,"",'Sources and Uses Budget'!C105/Application!AG437)</f>
        <v>672100.7867647059</v>
      </c>
      <c r="AD455" s="1442"/>
      <c r="AE455" s="1442"/>
      <c r="AF455" s="144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2">
        <f>IF(AG437=0,"",('Sources and Uses Budget'!$S$107+'Sources and Uses Budget'!$T$107)/Application!AG437)</f>
        <v>545031.42647058819</v>
      </c>
      <c r="AD456" s="1442"/>
      <c r="AE456" s="1442"/>
      <c r="AF456" s="144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9"/>
      <c r="H457" s="1449"/>
      <c r="I457" s="1449"/>
      <c r="J457" s="1449"/>
      <c r="K457" s="1449"/>
      <c r="L457" s="1449"/>
      <c r="M457" s="1449"/>
      <c r="N457" s="1449"/>
      <c r="O457" s="1449"/>
      <c r="P457" s="1449"/>
      <c r="Q457" s="1449"/>
      <c r="R457" s="1449"/>
      <c r="S457" s="1449"/>
      <c r="T457" s="1449"/>
      <c r="U457" s="1449"/>
      <c r="V457" s="1449"/>
      <c r="W457" s="1449"/>
      <c r="X457" s="1449"/>
      <c r="Y457" s="1449"/>
      <c r="Z457" s="1449"/>
      <c r="AA457" s="1449"/>
      <c r="AB457" s="144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9"/>
      <c r="G458" s="1449"/>
      <c r="H458" s="1449"/>
      <c r="I458" s="1449"/>
      <c r="J458" s="1449"/>
      <c r="K458" s="1449"/>
      <c r="L458" s="1449"/>
      <c r="M458" s="1449"/>
      <c r="N458" s="1449"/>
      <c r="O458" s="1449"/>
      <c r="P458" s="1449"/>
      <c r="Q458" s="1449"/>
      <c r="R458" s="1449"/>
      <c r="S458" s="1449"/>
      <c r="T458" s="1449"/>
      <c r="U458" s="1449"/>
      <c r="V458" s="1449"/>
      <c r="W458" s="1449"/>
      <c r="X458" s="1449"/>
      <c r="Y458" s="1449"/>
      <c r="Z458" s="1449"/>
      <c r="AA458" s="1449"/>
      <c r="AB458" s="144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7" t="s">
        <v>2418</v>
      </c>
      <c r="E465" s="1451"/>
      <c r="F465" s="1451"/>
      <c r="G465" s="1451"/>
      <c r="H465" s="1451"/>
      <c r="I465" s="1451"/>
      <c r="J465" s="1451"/>
      <c r="K465" s="1451"/>
      <c r="L465" s="1451"/>
      <c r="M465" s="1451"/>
      <c r="N465" s="1451"/>
      <c r="O465" s="1451"/>
      <c r="P465" s="1451"/>
      <c r="Q465" s="1451"/>
      <c r="R465" s="1451"/>
      <c r="S465" s="1451"/>
      <c r="T465" s="1451"/>
      <c r="U465" s="1451"/>
      <c r="V465" s="1452"/>
      <c r="W465" s="1410">
        <v>71</v>
      </c>
      <c r="X465" s="1411"/>
      <c r="Y465" s="141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0" t="s">
        <v>702</v>
      </c>
      <c r="E466" s="1451"/>
      <c r="F466" s="1451"/>
      <c r="G466" s="1451"/>
      <c r="H466" s="1451"/>
      <c r="I466" s="1451"/>
      <c r="J466" s="1451"/>
      <c r="K466" s="1451"/>
      <c r="L466" s="1451"/>
      <c r="M466" s="1451"/>
      <c r="N466" s="1451"/>
      <c r="O466" s="1451"/>
      <c r="P466" s="1451"/>
      <c r="Q466" s="1451"/>
      <c r="R466" s="1451"/>
      <c r="S466" s="1451"/>
      <c r="T466" s="1451"/>
      <c r="U466" s="1451"/>
      <c r="V466" s="1452"/>
      <c r="W466" s="1410">
        <v>0</v>
      </c>
      <c r="X466" s="1411"/>
      <c r="Y466" s="14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0" t="s">
        <v>703</v>
      </c>
      <c r="E467" s="1451"/>
      <c r="F467" s="1451"/>
      <c r="G467" s="1451"/>
      <c r="H467" s="1451"/>
      <c r="I467" s="1451"/>
      <c r="J467" s="1451"/>
      <c r="K467" s="1451"/>
      <c r="L467" s="1451"/>
      <c r="M467" s="1451"/>
      <c r="N467" s="1451"/>
      <c r="O467" s="1451"/>
      <c r="P467" s="1451"/>
      <c r="Q467" s="1451"/>
      <c r="R467" s="1451"/>
      <c r="S467" s="1451"/>
      <c r="T467" s="1451"/>
      <c r="U467" s="1451"/>
      <c r="V467" s="1452"/>
      <c r="W467" s="1410">
        <v>0</v>
      </c>
      <c r="X467" s="1411"/>
      <c r="Y467" s="14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0" t="s">
        <v>704</v>
      </c>
      <c r="E468" s="1451"/>
      <c r="F468" s="1451"/>
      <c r="G468" s="1451"/>
      <c r="H468" s="1451"/>
      <c r="I468" s="1451"/>
      <c r="J468" s="1451"/>
      <c r="K468" s="1451"/>
      <c r="L468" s="1451"/>
      <c r="M468" s="1451"/>
      <c r="N468" s="1451"/>
      <c r="O468" s="1451"/>
      <c r="P468" s="1451"/>
      <c r="Q468" s="1451"/>
      <c r="R468" s="1451"/>
      <c r="S468" s="1451"/>
      <c r="T468" s="1451"/>
      <c r="U468" s="1451"/>
      <c r="V468" s="1452"/>
      <c r="W468" s="1410">
        <v>0</v>
      </c>
      <c r="X468" s="1411"/>
      <c r="Y468" s="14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0" t="s">
        <v>893</v>
      </c>
      <c r="E469" s="1451"/>
      <c r="F469" s="1451"/>
      <c r="G469" s="1451"/>
      <c r="H469" s="1451"/>
      <c r="I469" s="1451"/>
      <c r="J469" s="1451"/>
      <c r="K469" s="1451"/>
      <c r="L469" s="1451"/>
      <c r="M469" s="1451"/>
      <c r="N469" s="1451"/>
      <c r="O469" s="1451"/>
      <c r="P469" s="1451"/>
      <c r="Q469" s="1451"/>
      <c r="R469" s="1451"/>
      <c r="S469" s="1451"/>
      <c r="T469" s="1451"/>
      <c r="U469" s="1451"/>
      <c r="V469" s="1452"/>
      <c r="W469" s="1410">
        <v>0</v>
      </c>
      <c r="X469" s="1411"/>
      <c r="Y469" s="141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0" t="s">
        <v>705</v>
      </c>
      <c r="E470" s="1451"/>
      <c r="F470" s="1451"/>
      <c r="G470" s="1451"/>
      <c r="H470" s="1451"/>
      <c r="I470" s="1451"/>
      <c r="J470" s="1451"/>
      <c r="K470" s="1451"/>
      <c r="L470" s="1451"/>
      <c r="M470" s="1451"/>
      <c r="N470" s="1451"/>
      <c r="O470" s="1451"/>
      <c r="P470" s="1451"/>
      <c r="Q470" s="1451"/>
      <c r="R470" s="1451"/>
      <c r="S470" s="1451"/>
      <c r="T470" s="1451"/>
      <c r="U470" s="1451"/>
      <c r="V470" s="1452"/>
      <c r="W470" s="1410">
        <v>0</v>
      </c>
      <c r="X470" s="1411"/>
      <c r="Y470" s="141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0" t="s">
        <v>1036</v>
      </c>
      <c r="E471" s="1451"/>
      <c r="F471" s="1451"/>
      <c r="G471" s="1451"/>
      <c r="H471" s="1451"/>
      <c r="I471" s="1451"/>
      <c r="J471" s="1451"/>
      <c r="K471" s="1451"/>
      <c r="L471" s="1451"/>
      <c r="M471" s="1451"/>
      <c r="N471" s="1451"/>
      <c r="O471" s="1451"/>
      <c r="P471" s="1451"/>
      <c r="Q471" s="1451"/>
      <c r="R471" s="1451"/>
      <c r="S471" s="1451"/>
      <c r="T471" s="1451"/>
      <c r="U471" s="1451"/>
      <c r="V471" s="1452"/>
      <c r="W471" s="1410">
        <v>0</v>
      </c>
      <c r="X471" s="1411"/>
      <c r="Y471" s="14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7" t="s">
        <v>2555</v>
      </c>
      <c r="E472" s="1408"/>
      <c r="F472" s="1408"/>
      <c r="G472" s="1408"/>
      <c r="H472" s="1408"/>
      <c r="I472" s="1408"/>
      <c r="J472" s="1408"/>
      <c r="K472" s="1408"/>
      <c r="L472" s="1408"/>
      <c r="M472" s="1408"/>
      <c r="N472" s="1408"/>
      <c r="O472" s="1408"/>
      <c r="P472" s="1408"/>
      <c r="Q472" s="1408"/>
      <c r="R472" s="1408"/>
      <c r="S472" s="1408"/>
      <c r="T472" s="1408"/>
      <c r="U472" s="1408"/>
      <c r="V472" s="1409"/>
      <c r="W472" s="1410">
        <v>0</v>
      </c>
      <c r="X472" s="1411"/>
      <c r="Y472" s="14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7" t="s">
        <v>1767</v>
      </c>
      <c r="E473" s="1451"/>
      <c r="F473" s="1451"/>
      <c r="G473" s="1451"/>
      <c r="H473" s="1451"/>
      <c r="I473" s="1451"/>
      <c r="J473" s="1451"/>
      <c r="K473" s="1451"/>
      <c r="L473" s="1451"/>
      <c r="M473" s="1451"/>
      <c r="N473" s="1451"/>
      <c r="O473" s="1451"/>
      <c r="P473" s="1451"/>
      <c r="Q473" s="1451"/>
      <c r="R473" s="1451"/>
      <c r="S473" s="1451"/>
      <c r="T473" s="1451"/>
      <c r="U473" s="1451"/>
      <c r="V473" s="1452"/>
      <c r="W473" s="1410">
        <v>0</v>
      </c>
      <c r="X473" s="1411"/>
      <c r="Y473" s="14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4"/>
      <c r="H474" s="1515"/>
      <c r="I474" s="1515"/>
      <c r="J474" s="1515"/>
      <c r="K474" s="1515"/>
      <c r="L474" s="1515"/>
      <c r="M474" s="1515"/>
      <c r="N474" s="1515"/>
      <c r="O474" s="1515"/>
      <c r="P474" s="1515"/>
      <c r="Q474" s="1515"/>
      <c r="R474" s="1515"/>
      <c r="S474" s="1515"/>
      <c r="T474" s="1515"/>
      <c r="U474" s="1515"/>
      <c r="V474" s="1516"/>
      <c r="W474" s="1410">
        <v>0</v>
      </c>
      <c r="X474" s="1411"/>
      <c r="Y474" s="14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761" t="s">
        <v>819</v>
      </c>
      <c r="B480" s="1761"/>
      <c r="C480" s="1761"/>
      <c r="D480" s="1761"/>
      <c r="E480" s="1761"/>
      <c r="F480" s="1761"/>
      <c r="G480" s="1761"/>
      <c r="H480" s="1761"/>
      <c r="I480" s="1761"/>
      <c r="J480" s="1761"/>
      <c r="K480" s="1761"/>
      <c r="L480" s="1761"/>
      <c r="M480" s="1761"/>
      <c r="N480" s="1761"/>
      <c r="O480" s="1761"/>
      <c r="P480" s="1761"/>
      <c r="Q480" s="1761"/>
      <c r="R480" s="1761"/>
      <c r="S480" s="1761"/>
      <c r="T480" s="1761"/>
      <c r="U480" s="1761"/>
      <c r="V480" s="1761"/>
      <c r="W480" s="1761"/>
      <c r="X480" s="1761"/>
      <c r="Y480" s="1761"/>
      <c r="Z480" s="1761"/>
      <c r="AA480" s="1761"/>
      <c r="AB480" s="1761"/>
      <c r="AC480" s="1761"/>
      <c r="AD480" s="1761"/>
      <c r="AE480" s="1761"/>
      <c r="AF480" s="1761"/>
      <c r="AG480" s="1761"/>
      <c r="AH480" s="1761"/>
      <c r="AI480" s="1761"/>
      <c r="AJ480" s="1761"/>
      <c r="AK480" s="1761"/>
      <c r="AL480" s="1761"/>
      <c r="AM480" s="1761"/>
      <c r="AN480" s="1761"/>
      <c r="AO480" s="1761"/>
      <c r="AP480" s="1761"/>
      <c r="AQ480" s="1761"/>
      <c r="AR480" s="1761"/>
      <c r="AS480" s="1761"/>
      <c r="AT480" s="176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761"/>
      <c r="B481" s="1761"/>
      <c r="C481" s="1761"/>
      <c r="D481" s="1761"/>
      <c r="E481" s="1761"/>
      <c r="F481" s="1761"/>
      <c r="G481" s="1761"/>
      <c r="H481" s="1761"/>
      <c r="I481" s="1761"/>
      <c r="J481" s="1761"/>
      <c r="K481" s="1761"/>
      <c r="L481" s="1761"/>
      <c r="M481" s="1761"/>
      <c r="N481" s="1761"/>
      <c r="O481" s="1761"/>
      <c r="P481" s="1761"/>
      <c r="Q481" s="1761"/>
      <c r="R481" s="1761"/>
      <c r="S481" s="1761"/>
      <c r="T481" s="1761"/>
      <c r="U481" s="1761"/>
      <c r="V481" s="1761"/>
      <c r="W481" s="1761"/>
      <c r="X481" s="1761"/>
      <c r="Y481" s="1761"/>
      <c r="Z481" s="1761"/>
      <c r="AA481" s="1761"/>
      <c r="AB481" s="1761"/>
      <c r="AC481" s="1761"/>
      <c r="AD481" s="1761"/>
      <c r="AE481" s="1761"/>
      <c r="AF481" s="1761"/>
      <c r="AG481" s="1761"/>
      <c r="AH481" s="1761"/>
      <c r="AI481" s="1761"/>
      <c r="AJ481" s="1761"/>
      <c r="AK481" s="1761"/>
      <c r="AL481" s="1761"/>
      <c r="AM481" s="1761"/>
      <c r="AN481" s="1761"/>
      <c r="AO481" s="1761"/>
      <c r="AP481" s="1761"/>
      <c r="AQ481" s="1761"/>
      <c r="AR481" s="1761"/>
      <c r="AS481" s="1761"/>
      <c r="AT481" s="176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3" t="s">
        <v>394</v>
      </c>
      <c r="R485" s="1494"/>
      <c r="S485" s="1494"/>
      <c r="T485" s="1494"/>
      <c r="U485" s="1494"/>
      <c r="V485" s="1494"/>
      <c r="W485" s="1494"/>
      <c r="X485" s="1494"/>
      <c r="Y485" s="1494"/>
      <c r="Z485" s="1494"/>
      <c r="AA485" s="1494"/>
      <c r="AB485" s="1494"/>
      <c r="AC485" s="1494"/>
      <c r="AD485" s="1494"/>
      <c r="AE485" s="1494"/>
      <c r="AF485" s="1494"/>
      <c r="AG485" s="1494"/>
      <c r="AH485" s="1494"/>
      <c r="AI485" s="1494"/>
      <c r="AJ485" s="1494"/>
      <c r="AK485" s="149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44" t="s">
        <v>2714</v>
      </c>
      <c r="R486" s="1445"/>
      <c r="S486" s="1445"/>
      <c r="T486" s="1445"/>
      <c r="U486" s="1445"/>
      <c r="V486" s="1445"/>
      <c r="W486" s="1445"/>
      <c r="X486" s="1445"/>
      <c r="Y486" s="1445"/>
      <c r="Z486" s="1445"/>
      <c r="AA486" s="1445"/>
      <c r="AB486" s="1445"/>
      <c r="AC486" s="1445"/>
      <c r="AD486" s="1445"/>
      <c r="AE486" s="1445"/>
      <c r="AF486" s="1445"/>
      <c r="AG486" s="1445"/>
      <c r="AH486" s="1445"/>
      <c r="AI486" s="1445"/>
      <c r="AJ486" s="1445"/>
      <c r="AK486" s="1446"/>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58" t="s">
        <v>2781</v>
      </c>
      <c r="R487" s="1445"/>
      <c r="S487" s="1445"/>
      <c r="T487" s="1445"/>
      <c r="U487" s="1445"/>
      <c r="V487" s="1445"/>
      <c r="W487" s="1445"/>
      <c r="X487" s="1445"/>
      <c r="Y487" s="1445"/>
      <c r="Z487" s="1445"/>
      <c r="AA487" s="1445"/>
      <c r="AB487" s="1445"/>
      <c r="AC487" s="1445"/>
      <c r="AD487" s="1445"/>
      <c r="AE487" s="1445"/>
      <c r="AF487" s="1445"/>
      <c r="AG487" s="1445"/>
      <c r="AH487" s="1445"/>
      <c r="AI487" s="1445"/>
      <c r="AJ487" s="1445"/>
      <c r="AK487" s="1446"/>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58" t="s">
        <v>2781</v>
      </c>
      <c r="R488" s="1445"/>
      <c r="S488" s="1445"/>
      <c r="T488" s="1445"/>
      <c r="U488" s="1445"/>
      <c r="V488" s="1445"/>
      <c r="W488" s="1445"/>
      <c r="X488" s="1445"/>
      <c r="Y488" s="1445"/>
      <c r="Z488" s="1445"/>
      <c r="AA488" s="1445"/>
      <c r="AB488" s="1445"/>
      <c r="AC488" s="1445"/>
      <c r="AD488" s="1445"/>
      <c r="AE488" s="1445"/>
      <c r="AF488" s="1445"/>
      <c r="AG488" s="1445"/>
      <c r="AH488" s="1445"/>
      <c r="AI488" s="1445"/>
      <c r="AJ488" s="1445"/>
      <c r="AK488" s="1446"/>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9" t="s">
        <v>398</v>
      </c>
      <c r="C489" s="1470"/>
      <c r="D489" s="1470"/>
      <c r="E489" s="1470"/>
      <c r="F489" s="1470"/>
      <c r="G489" s="1470"/>
      <c r="H489" s="1470"/>
      <c r="I489" s="1470"/>
      <c r="J489" s="1470"/>
      <c r="K489" s="1470"/>
      <c r="L489" s="1470"/>
      <c r="M489" s="1470"/>
      <c r="N489" s="1470"/>
      <c r="O489" s="1470"/>
      <c r="P489" s="1471"/>
      <c r="Q489" s="1475" t="s">
        <v>677</v>
      </c>
      <c r="R489" s="1476"/>
      <c r="S489" s="1767" t="s">
        <v>166</v>
      </c>
      <c r="T489" s="1768"/>
      <c r="U489" s="1768"/>
      <c r="V489" s="1768"/>
      <c r="W489" s="1768"/>
      <c r="X489" s="1768"/>
      <c r="Y489" s="1768"/>
      <c r="Z489" s="1768"/>
      <c r="AA489" s="1768"/>
      <c r="AB489" s="1768"/>
      <c r="AC489" s="1768"/>
      <c r="AD489" s="1768"/>
      <c r="AE489" s="1768"/>
      <c r="AF489" s="1768"/>
      <c r="AG489" s="1768"/>
      <c r="AH489" s="1768"/>
      <c r="AI489" s="1768"/>
      <c r="AJ489" s="1768"/>
      <c r="AK489" s="176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2"/>
      <c r="C490" s="1473"/>
      <c r="D490" s="1473"/>
      <c r="E490" s="1473"/>
      <c r="F490" s="1473"/>
      <c r="G490" s="1473"/>
      <c r="H490" s="1473"/>
      <c r="I490" s="1473"/>
      <c r="J490" s="1473"/>
      <c r="K490" s="1473"/>
      <c r="L490" s="1473"/>
      <c r="M490" s="1473"/>
      <c r="N490" s="1473"/>
      <c r="O490" s="1473"/>
      <c r="P490" s="1474"/>
      <c r="Q490" s="1477"/>
      <c r="R490" s="1478"/>
      <c r="S490" s="1770"/>
      <c r="T490" s="1485"/>
      <c r="U490" s="1485"/>
      <c r="V490" s="1485"/>
      <c r="W490" s="1485"/>
      <c r="X490" s="1485"/>
      <c r="Y490" s="1485"/>
      <c r="Z490" s="1485"/>
      <c r="AA490" s="1485"/>
      <c r="AB490" s="1485"/>
      <c r="AC490" s="1485"/>
      <c r="AD490" s="1485"/>
      <c r="AE490" s="1485"/>
      <c r="AF490" s="1485"/>
      <c r="AG490" s="1485"/>
      <c r="AH490" s="1485"/>
      <c r="AI490" s="1485"/>
      <c r="AJ490" s="1485"/>
      <c r="AK490" s="177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458" t="s">
        <v>677</v>
      </c>
      <c r="R491" s="1459"/>
      <c r="S491" s="1459"/>
      <c r="T491" s="1459"/>
      <c r="U491" s="1459"/>
      <c r="V491" s="1459"/>
      <c r="W491" s="1459"/>
      <c r="X491" s="1459"/>
      <c r="Y491" s="1459"/>
      <c r="Z491" s="1459"/>
      <c r="AA491" s="1459"/>
      <c r="AB491" s="1459"/>
      <c r="AC491" s="1459"/>
      <c r="AD491" s="1459"/>
      <c r="AE491" s="1459"/>
      <c r="AF491" s="1459"/>
      <c r="AG491" s="1459"/>
      <c r="AH491" s="1459"/>
      <c r="AI491" s="1459"/>
      <c r="AJ491" s="1459"/>
      <c r="AK491" s="146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44">
        <v>75</v>
      </c>
      <c r="R492" s="1445"/>
      <c r="S492" s="1445"/>
      <c r="T492" s="1445"/>
      <c r="U492" s="1445"/>
      <c r="V492" s="1445"/>
      <c r="W492" s="1445"/>
      <c r="X492" s="1445"/>
      <c r="Y492" s="1445"/>
      <c r="Z492" s="1445"/>
      <c r="AA492" s="1445"/>
      <c r="AB492" s="1445"/>
      <c r="AC492" s="1445"/>
      <c r="AD492" s="1445"/>
      <c r="AE492" s="1445"/>
      <c r="AF492" s="1445"/>
      <c r="AG492" s="1445"/>
      <c r="AH492" s="1445"/>
      <c r="AI492" s="1445"/>
      <c r="AJ492" s="1445"/>
      <c r="AK492" s="1446"/>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44">
        <v>0</v>
      </c>
      <c r="R493" s="1445"/>
      <c r="S493" s="1445"/>
      <c r="T493" s="1445"/>
      <c r="U493" s="1445"/>
      <c r="V493" s="1445"/>
      <c r="W493" s="1445"/>
      <c r="X493" s="1445"/>
      <c r="Y493" s="1445"/>
      <c r="Z493" s="1445"/>
      <c r="AA493" s="1445"/>
      <c r="AB493" s="1445"/>
      <c r="AC493" s="1445"/>
      <c r="AD493" s="1445"/>
      <c r="AE493" s="1445"/>
      <c r="AF493" s="1445"/>
      <c r="AG493" s="1445"/>
      <c r="AH493" s="1445"/>
      <c r="AI493" s="1445"/>
      <c r="AJ493" s="1445"/>
      <c r="AK493" s="1446"/>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44">
        <v>100</v>
      </c>
      <c r="R494" s="1445"/>
      <c r="S494" s="1445"/>
      <c r="T494" s="1445"/>
      <c r="U494" s="1445"/>
      <c r="V494" s="1445"/>
      <c r="W494" s="1445"/>
      <c r="X494" s="1445"/>
      <c r="Y494" s="1445"/>
      <c r="Z494" s="1445"/>
      <c r="AA494" s="1445"/>
      <c r="AB494" s="1445"/>
      <c r="AC494" s="1445"/>
      <c r="AD494" s="1445"/>
      <c r="AE494" s="1445"/>
      <c r="AF494" s="1445"/>
      <c r="AG494" s="1445"/>
      <c r="AH494" s="1445"/>
      <c r="AI494" s="1445"/>
      <c r="AJ494" s="1445"/>
      <c r="AK494" s="1446"/>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61"/>
      <c r="N495" s="1462"/>
      <c r="O495" s="1462"/>
      <c r="P495" s="1463"/>
      <c r="Q495" s="121" t="s">
        <v>1784</v>
      </c>
      <c r="R495" s="5"/>
      <c r="S495" s="5"/>
      <c r="T495" s="5"/>
      <c r="U495" s="5"/>
      <c r="V495" s="5"/>
      <c r="W495" s="5"/>
      <c r="X495" s="5"/>
      <c r="Y495" s="5"/>
      <c r="Z495" s="5"/>
      <c r="AA495" s="5"/>
      <c r="AB495" s="5"/>
      <c r="AC495" s="5"/>
      <c r="AD495" s="5"/>
      <c r="AE495" s="5"/>
      <c r="AF495" s="5"/>
      <c r="AG495" s="5"/>
      <c r="AH495" s="1461">
        <v>100</v>
      </c>
      <c r="AI495" s="1462"/>
      <c r="AJ495" s="1462"/>
      <c r="AK495" s="1463"/>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3" t="s">
        <v>402</v>
      </c>
      <c r="AD499" s="1494"/>
      <c r="AE499" s="1494"/>
      <c r="AF499" s="1494"/>
      <c r="AG499" s="1494"/>
      <c r="AH499" s="1494"/>
      <c r="AI499" s="1494"/>
      <c r="AJ499" s="1494"/>
      <c r="AK499" s="149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3" t="s">
        <v>403</v>
      </c>
      <c r="AD500" s="1494"/>
      <c r="AE500" s="1494"/>
      <c r="AF500" s="1494"/>
      <c r="AG500" s="50" t="s">
        <v>404</v>
      </c>
      <c r="AH500" s="1494" t="s">
        <v>405</v>
      </c>
      <c r="AI500" s="1494"/>
      <c r="AJ500" s="1494"/>
      <c r="AK500" s="149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8" t="s">
        <v>406</v>
      </c>
      <c r="C501" s="1399"/>
      <c r="D501" s="1399"/>
      <c r="E501" s="1399"/>
      <c r="F501" s="1399"/>
      <c r="G501" s="1399"/>
      <c r="H501" s="1400"/>
      <c r="I501" s="42" t="s">
        <v>407</v>
      </c>
      <c r="J501" s="42"/>
      <c r="K501" s="42"/>
      <c r="L501" s="42"/>
      <c r="M501" s="42"/>
      <c r="N501" s="42"/>
      <c r="O501" s="42"/>
      <c r="P501" s="42"/>
      <c r="Q501" s="42"/>
      <c r="R501" s="42"/>
      <c r="S501" s="42"/>
      <c r="T501" s="42"/>
      <c r="U501" s="42"/>
      <c r="V501" s="42"/>
      <c r="W501" s="42"/>
      <c r="AC501" s="1433">
        <v>8</v>
      </c>
      <c r="AD501" s="1434"/>
      <c r="AE501" s="1434"/>
      <c r="AF501" s="1434"/>
      <c r="AG501" s="13" t="s">
        <v>404</v>
      </c>
      <c r="AH501" s="1418">
        <v>2023</v>
      </c>
      <c r="AI501" s="1418"/>
      <c r="AJ501" s="1418"/>
      <c r="AK501" s="141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1"/>
      <c r="C502" s="1402"/>
      <c r="D502" s="1402"/>
      <c r="E502" s="1402"/>
      <c r="F502" s="1402"/>
      <c r="G502" s="1402"/>
      <c r="H502" s="1403"/>
      <c r="I502" s="48" t="s">
        <v>408</v>
      </c>
      <c r="J502" s="48"/>
      <c r="K502" s="48"/>
      <c r="L502" s="48"/>
      <c r="M502" s="48"/>
      <c r="N502" s="48"/>
      <c r="O502" s="48"/>
      <c r="P502" s="48"/>
      <c r="Q502" s="48"/>
      <c r="R502" s="48"/>
      <c r="S502" s="48"/>
      <c r="T502" s="48"/>
      <c r="U502" s="48"/>
      <c r="V502" s="48"/>
      <c r="W502" s="48"/>
      <c r="X502" s="48"/>
      <c r="Y502" s="48"/>
      <c r="Z502" s="48"/>
      <c r="AA502" s="48"/>
      <c r="AB502" s="48"/>
      <c r="AC502" s="1433">
        <v>4</v>
      </c>
      <c r="AD502" s="1434"/>
      <c r="AE502" s="1434"/>
      <c r="AF502" s="1434"/>
      <c r="AG502" s="38" t="s">
        <v>404</v>
      </c>
      <c r="AH502" s="1418">
        <v>2024</v>
      </c>
      <c r="AI502" s="1418"/>
      <c r="AJ502" s="1418"/>
      <c r="AK502" s="141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8" t="s">
        <v>409</v>
      </c>
      <c r="C503" s="1399"/>
      <c r="D503" s="1399"/>
      <c r="E503" s="1399"/>
      <c r="F503" s="1399"/>
      <c r="G503" s="1399"/>
      <c r="H503" s="1400"/>
      <c r="I503" s="42" t="s">
        <v>410</v>
      </c>
      <c r="J503" s="42"/>
      <c r="K503" s="42"/>
      <c r="L503" s="42"/>
      <c r="M503" s="42"/>
      <c r="N503" s="42"/>
      <c r="O503" s="42"/>
      <c r="P503" s="42"/>
      <c r="Q503" s="42"/>
      <c r="R503" s="42"/>
      <c r="S503" s="42"/>
      <c r="T503" s="42"/>
      <c r="U503" s="42"/>
      <c r="V503" s="42"/>
      <c r="W503" s="42"/>
      <c r="AC503" s="1433" t="s">
        <v>599</v>
      </c>
      <c r="AD503" s="1434"/>
      <c r="AE503" s="1434"/>
      <c r="AF503" s="1434"/>
      <c r="AG503" s="13" t="s">
        <v>404</v>
      </c>
      <c r="AH503" s="1418"/>
      <c r="AI503" s="1418"/>
      <c r="AJ503" s="1418"/>
      <c r="AK503" s="141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1"/>
      <c r="C504" s="1402"/>
      <c r="D504" s="1402"/>
      <c r="E504" s="1402"/>
      <c r="F504" s="1402"/>
      <c r="G504" s="1402"/>
      <c r="H504" s="1403"/>
      <c r="I504" t="s">
        <v>411</v>
      </c>
      <c r="AC504" s="1433" t="s">
        <v>599</v>
      </c>
      <c r="AD504" s="1434"/>
      <c r="AE504" s="1434"/>
      <c r="AF504" s="1434"/>
      <c r="AG504" s="13" t="s">
        <v>404</v>
      </c>
      <c r="AH504" s="1418"/>
      <c r="AI504" s="1418"/>
      <c r="AJ504" s="1418"/>
      <c r="AK504" s="141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1"/>
      <c r="C505" s="1402"/>
      <c r="D505" s="1402"/>
      <c r="E505" s="1402"/>
      <c r="F505" s="1402"/>
      <c r="G505" s="1402"/>
      <c r="H505" s="1403"/>
      <c r="I505" t="s">
        <v>412</v>
      </c>
      <c r="AC505" s="1433" t="s">
        <v>599</v>
      </c>
      <c r="AD505" s="1434"/>
      <c r="AE505" s="1434"/>
      <c r="AF505" s="1434"/>
      <c r="AG505" s="13" t="s">
        <v>404</v>
      </c>
      <c r="AH505" s="1418"/>
      <c r="AI505" s="1418"/>
      <c r="AJ505" s="1418"/>
      <c r="AK505" s="141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1"/>
      <c r="C506" s="1402"/>
      <c r="D506" s="1402"/>
      <c r="E506" s="1402"/>
      <c r="F506" s="1402"/>
      <c r="G506" s="1402"/>
      <c r="H506" s="1403"/>
      <c r="I506" t="s">
        <v>413</v>
      </c>
      <c r="AC506" s="1433" t="s">
        <v>599</v>
      </c>
      <c r="AD506" s="1434"/>
      <c r="AE506" s="1434"/>
      <c r="AF506" s="1434"/>
      <c r="AG506" s="13" t="s">
        <v>404</v>
      </c>
      <c r="AH506" s="1418"/>
      <c r="AI506" s="1418"/>
      <c r="AJ506" s="1418"/>
      <c r="AK506" s="141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1"/>
      <c r="C507" s="1402"/>
      <c r="D507" s="1402"/>
      <c r="E507" s="1402"/>
      <c r="F507" s="1402"/>
      <c r="G507" s="1402"/>
      <c r="H507" s="1403"/>
      <c r="I507" s="3" t="s">
        <v>414</v>
      </c>
      <c r="AC507" s="1355">
        <v>6</v>
      </c>
      <c r="AD507" s="1356"/>
      <c r="AE507" s="1356"/>
      <c r="AF507" s="1356"/>
      <c r="AG507" s="13" t="s">
        <v>404</v>
      </c>
      <c r="AH507" s="1418">
        <v>2024</v>
      </c>
      <c r="AI507" s="1418"/>
      <c r="AJ507" s="1418"/>
      <c r="AK507" s="141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1"/>
      <c r="C508" s="1402"/>
      <c r="D508" s="1402"/>
      <c r="E508" s="1402"/>
      <c r="F508" s="1402"/>
      <c r="G508" s="1402"/>
      <c r="H508" s="1403"/>
      <c r="I508" s="931" t="s">
        <v>170</v>
      </c>
      <c r="J508" s="48"/>
      <c r="K508" s="48"/>
      <c r="L508" s="1413" t="s">
        <v>335</v>
      </c>
      <c r="M508" s="1414"/>
      <c r="N508" s="1414"/>
      <c r="O508" s="1414"/>
      <c r="P508" s="1414"/>
      <c r="Q508" s="1414"/>
      <c r="R508" s="1414"/>
      <c r="S508" s="1414"/>
      <c r="T508" s="1414"/>
      <c r="U508" s="1414"/>
      <c r="V508" s="1414"/>
      <c r="W508" s="1414"/>
      <c r="X508" s="1414"/>
      <c r="Y508" s="1414"/>
      <c r="Z508" s="1414"/>
      <c r="AA508" s="1414"/>
      <c r="AB508" s="1502"/>
      <c r="AC508" s="1433" t="s">
        <v>599</v>
      </c>
      <c r="AD508" s="1434"/>
      <c r="AE508" s="1434"/>
      <c r="AF508" s="1434"/>
      <c r="AG508" s="38" t="s">
        <v>404</v>
      </c>
      <c r="AH508" s="1418"/>
      <c r="AI508" s="1418"/>
      <c r="AJ508" s="1418"/>
      <c r="AK508" s="141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447" t="s">
        <v>553</v>
      </c>
      <c r="AD509" s="1447"/>
      <c r="AE509" s="1447"/>
      <c r="AF509" s="1447"/>
      <c r="AG509" s="13"/>
      <c r="AH509" s="1305"/>
      <c r="AI509" s="1305"/>
      <c r="AJ509" s="1305"/>
      <c r="AK509" s="143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5">
        <v>2</v>
      </c>
      <c r="AD510" s="1356"/>
      <c r="AE510" s="1356"/>
      <c r="AF510" s="1357"/>
      <c r="AG510" s="13"/>
      <c r="AH510" s="1305"/>
      <c r="AI510" s="1305"/>
      <c r="AJ510" s="1305"/>
      <c r="AK510" s="143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37">
        <v>0.5</v>
      </c>
      <c r="AD512" s="1438"/>
      <c r="AE512" s="1438"/>
      <c r="AF512" s="1439"/>
      <c r="AG512" s="38"/>
      <c r="AH512" s="1440"/>
      <c r="AI512" s="1440"/>
      <c r="AJ512" s="1440"/>
      <c r="AK512" s="1441"/>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3" t="s">
        <v>403</v>
      </c>
      <c r="AD513" s="1456"/>
      <c r="AE513" s="1456"/>
      <c r="AF513" s="1456"/>
      <c r="AG513" s="38" t="s">
        <v>404</v>
      </c>
      <c r="AH513" s="1456" t="s">
        <v>405</v>
      </c>
      <c r="AI513" s="1456"/>
      <c r="AJ513" s="1456"/>
      <c r="AK513" s="1457"/>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398" t="s">
        <v>415</v>
      </c>
      <c r="C514" s="1399"/>
      <c r="D514" s="1399"/>
      <c r="E514" s="1399"/>
      <c r="F514" s="1399"/>
      <c r="G514" s="1399"/>
      <c r="H514" s="1400"/>
      <c r="I514" s="42" t="s">
        <v>416</v>
      </c>
      <c r="J514" s="42"/>
      <c r="K514" s="42"/>
      <c r="L514" s="42"/>
      <c r="M514" s="42"/>
      <c r="N514" s="42"/>
      <c r="O514" s="42"/>
      <c r="P514" s="42"/>
      <c r="Q514" s="42"/>
      <c r="R514" s="42"/>
      <c r="S514" s="42"/>
      <c r="T514" s="42"/>
      <c r="U514" s="42"/>
      <c r="V514" s="42"/>
      <c r="W514" s="42"/>
      <c r="AC514" s="1433">
        <v>4</v>
      </c>
      <c r="AD514" s="1434"/>
      <c r="AE514" s="1434"/>
      <c r="AF514" s="1434"/>
      <c r="AG514" s="13" t="s">
        <v>404</v>
      </c>
      <c r="AH514" s="1418">
        <v>2024</v>
      </c>
      <c r="AI514" s="1418"/>
      <c r="AJ514" s="1418"/>
      <c r="AK514" s="1419"/>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1"/>
      <c r="C515" s="1402"/>
      <c r="D515" s="1402"/>
      <c r="E515" s="1402"/>
      <c r="F515" s="1402"/>
      <c r="G515" s="1402"/>
      <c r="H515" s="1403"/>
      <c r="I515" t="s">
        <v>417</v>
      </c>
      <c r="AC515" s="1433">
        <v>4</v>
      </c>
      <c r="AD515" s="1434"/>
      <c r="AE515" s="1434"/>
      <c r="AF515" s="1434"/>
      <c r="AG515" s="13" t="s">
        <v>404</v>
      </c>
      <c r="AH515" s="1418">
        <v>2024</v>
      </c>
      <c r="AI515" s="1418"/>
      <c r="AJ515" s="1418"/>
      <c r="AK515" s="1419"/>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1"/>
      <c r="C516" s="1402"/>
      <c r="D516" s="1402"/>
      <c r="E516" s="1402"/>
      <c r="F516" s="1402"/>
      <c r="G516" s="1402"/>
      <c r="H516" s="1403"/>
      <c r="I516" s="48" t="s">
        <v>418</v>
      </c>
      <c r="J516" s="48"/>
      <c r="K516" s="48"/>
      <c r="L516" s="48"/>
      <c r="M516" s="48"/>
      <c r="N516" s="48"/>
      <c r="O516" s="48"/>
      <c r="P516" s="48"/>
      <c r="Q516" s="48"/>
      <c r="R516" s="48"/>
      <c r="S516" s="48"/>
      <c r="T516" s="48"/>
      <c r="U516" s="48"/>
      <c r="V516" s="48"/>
      <c r="W516" s="48"/>
      <c r="X516" s="48"/>
      <c r="Y516" s="48"/>
      <c r="Z516" s="48"/>
      <c r="AA516" s="48"/>
      <c r="AB516" s="48"/>
      <c r="AC516" s="1433">
        <v>11</v>
      </c>
      <c r="AD516" s="1434"/>
      <c r="AE516" s="1434"/>
      <c r="AF516" s="1434"/>
      <c r="AG516" s="38" t="s">
        <v>404</v>
      </c>
      <c r="AH516" s="1418">
        <v>2024</v>
      </c>
      <c r="AI516" s="1418"/>
      <c r="AJ516" s="1418"/>
      <c r="AK516" s="1419"/>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398" t="s">
        <v>419</v>
      </c>
      <c r="C517" s="1399"/>
      <c r="D517" s="1399"/>
      <c r="E517" s="1399"/>
      <c r="F517" s="1399"/>
      <c r="G517" s="1399"/>
      <c r="H517" s="1400"/>
      <c r="I517" s="42" t="s">
        <v>416</v>
      </c>
      <c r="J517" s="42"/>
      <c r="K517" s="42"/>
      <c r="L517" s="42"/>
      <c r="M517" s="42"/>
      <c r="N517" s="42"/>
      <c r="O517" s="42"/>
      <c r="P517" s="42"/>
      <c r="Q517" s="42"/>
      <c r="R517" s="42"/>
      <c r="S517" s="42"/>
      <c r="T517" s="42"/>
      <c r="U517" s="42"/>
      <c r="V517" s="42"/>
      <c r="W517" s="42"/>
      <c r="X517" s="42"/>
      <c r="Y517" s="42"/>
      <c r="Z517" s="42"/>
      <c r="AA517" s="42"/>
      <c r="AB517" s="42"/>
      <c r="AC517" s="1355" t="s">
        <v>599</v>
      </c>
      <c r="AD517" s="1356"/>
      <c r="AE517" s="1356"/>
      <c r="AF517" s="1356"/>
      <c r="AG517" s="129" t="s">
        <v>404</v>
      </c>
      <c r="AH517" s="1418"/>
      <c r="AI517" s="1418"/>
      <c r="AJ517" s="1418"/>
      <c r="AK517" s="1419"/>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1"/>
      <c r="C518" s="1402"/>
      <c r="D518" s="1402"/>
      <c r="E518" s="1402"/>
      <c r="F518" s="1402"/>
      <c r="G518" s="1402"/>
      <c r="H518" s="1403"/>
      <c r="I518" t="s">
        <v>417</v>
      </c>
      <c r="AC518" s="1433" t="s">
        <v>599</v>
      </c>
      <c r="AD518" s="1434"/>
      <c r="AE518" s="1434"/>
      <c r="AF518" s="1434"/>
      <c r="AG518" s="13" t="s">
        <v>404</v>
      </c>
      <c r="AH518" s="1418"/>
      <c r="AI518" s="1418"/>
      <c r="AJ518" s="1418"/>
      <c r="AK518" s="1419"/>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4"/>
      <c r="C519" s="1405"/>
      <c r="D519" s="1405"/>
      <c r="E519" s="1405"/>
      <c r="F519" s="1405"/>
      <c r="G519" s="1405"/>
      <c r="H519" s="1406"/>
      <c r="I519" s="48" t="s">
        <v>418</v>
      </c>
      <c r="J519" s="48"/>
      <c r="K519" s="48"/>
      <c r="L519" s="48"/>
      <c r="M519" s="48"/>
      <c r="N519" s="48"/>
      <c r="O519" s="48"/>
      <c r="P519" s="48"/>
      <c r="Q519" s="48"/>
      <c r="R519" s="48"/>
      <c r="S519" s="48"/>
      <c r="T519" s="48"/>
      <c r="U519" s="48"/>
      <c r="V519" s="48"/>
      <c r="W519" s="48"/>
      <c r="X519" s="48"/>
      <c r="Y519" s="48"/>
      <c r="Z519" s="48"/>
      <c r="AA519" s="48"/>
      <c r="AB519" s="48"/>
      <c r="AC519" s="1433" t="s">
        <v>599</v>
      </c>
      <c r="AD519" s="1434"/>
      <c r="AE519" s="1434"/>
      <c r="AF519" s="1434"/>
      <c r="AG519" s="38" t="s">
        <v>404</v>
      </c>
      <c r="AH519" s="1418"/>
      <c r="AI519" s="1418"/>
      <c r="AJ519" s="1418"/>
      <c r="AK519" s="1419"/>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398" t="s">
        <v>420</v>
      </c>
      <c r="C520" s="1399"/>
      <c r="D520" s="1399"/>
      <c r="E520" s="1399"/>
      <c r="F520" s="1399"/>
      <c r="G520" s="1399"/>
      <c r="H520" s="1400"/>
      <c r="I520" s="41" t="s">
        <v>421</v>
      </c>
      <c r="J520" s="42"/>
      <c r="K520" s="42"/>
      <c r="L520" s="42"/>
      <c r="M520" s="42"/>
      <c r="N520" s="42"/>
      <c r="O520" s="1413" t="s">
        <v>2750</v>
      </c>
      <c r="P520" s="1414"/>
      <c r="Q520" s="1414"/>
      <c r="R520" s="1414"/>
      <c r="S520" s="1414"/>
      <c r="T520" s="1414"/>
      <c r="U520" s="1414"/>
      <c r="V520" s="1414"/>
      <c r="W520" s="1414"/>
      <c r="X520" s="1414"/>
      <c r="Y520" s="1414"/>
      <c r="Z520" s="1414"/>
      <c r="AA520" s="1414"/>
      <c r="AB520" s="58"/>
      <c r="AC520" s="1355">
        <v>4</v>
      </c>
      <c r="AD520" s="1356"/>
      <c r="AE520" s="1356"/>
      <c r="AF520" s="1356"/>
      <c r="AG520" s="129" t="s">
        <v>404</v>
      </c>
      <c r="AH520" s="1418">
        <v>2023</v>
      </c>
      <c r="AI520" s="1418"/>
      <c r="AJ520" s="1418"/>
      <c r="AK520" s="1419"/>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1"/>
      <c r="C521" s="1402"/>
      <c r="D521" s="1402"/>
      <c r="E521" s="1402"/>
      <c r="F521" s="1402"/>
      <c r="G521" s="1402"/>
      <c r="H521" s="1403"/>
      <c r="I521" s="114" t="s">
        <v>422</v>
      </c>
      <c r="AB521" s="65"/>
      <c r="AC521" s="1433">
        <v>4</v>
      </c>
      <c r="AD521" s="1434"/>
      <c r="AE521" s="1434"/>
      <c r="AF521" s="1434"/>
      <c r="AG521" s="13" t="s">
        <v>404</v>
      </c>
      <c r="AH521" s="1418">
        <v>2023</v>
      </c>
      <c r="AI521" s="1418"/>
      <c r="AJ521" s="1418"/>
      <c r="AK521" s="1419"/>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1"/>
      <c r="C522" s="1402"/>
      <c r="D522" s="1402"/>
      <c r="E522" s="1402"/>
      <c r="F522" s="1402"/>
      <c r="G522" s="1402"/>
      <c r="H522" s="1403"/>
      <c r="I522" s="47" t="s">
        <v>423</v>
      </c>
      <c r="J522" s="48"/>
      <c r="K522" s="48"/>
      <c r="L522" s="48"/>
      <c r="M522" s="48"/>
      <c r="N522" s="48"/>
      <c r="O522" s="48"/>
      <c r="P522" s="48"/>
      <c r="Q522" s="48"/>
      <c r="R522" s="48"/>
      <c r="S522" s="48"/>
      <c r="T522" s="48"/>
      <c r="U522" s="48"/>
      <c r="V522" s="48"/>
      <c r="W522" s="48"/>
      <c r="X522" s="48"/>
      <c r="Y522" s="48"/>
      <c r="Z522" s="48"/>
      <c r="AA522" s="48"/>
      <c r="AB522" s="49"/>
      <c r="AC522" s="1433">
        <v>3</v>
      </c>
      <c r="AD522" s="1434"/>
      <c r="AE522" s="1434"/>
      <c r="AF522" s="1434"/>
      <c r="AG522" s="38" t="s">
        <v>404</v>
      </c>
      <c r="AH522" s="1418">
        <v>2024</v>
      </c>
      <c r="AI522" s="1418"/>
      <c r="AJ522" s="1418"/>
      <c r="AK522" s="1419"/>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1"/>
      <c r="C523" s="1402"/>
      <c r="D523" s="1402"/>
      <c r="E523" s="1402"/>
      <c r="F523" s="1402"/>
      <c r="G523" s="1402"/>
      <c r="H523" s="1403"/>
      <c r="I523" s="42" t="s">
        <v>424</v>
      </c>
      <c r="J523" s="42"/>
      <c r="K523" s="42"/>
      <c r="L523" s="42"/>
      <c r="M523" s="42"/>
      <c r="N523" s="42"/>
      <c r="O523" s="1413" t="s">
        <v>2749</v>
      </c>
      <c r="P523" s="1414"/>
      <c r="Q523" s="1414"/>
      <c r="R523" s="1414"/>
      <c r="S523" s="1414"/>
      <c r="T523" s="1414"/>
      <c r="U523" s="1414"/>
      <c r="V523" s="1414"/>
      <c r="W523" s="1414"/>
      <c r="X523" s="1414"/>
      <c r="Y523" s="1414"/>
      <c r="Z523" s="1414"/>
      <c r="AA523" s="1414"/>
      <c r="AC523" s="1433">
        <v>3</v>
      </c>
      <c r="AD523" s="1434"/>
      <c r="AE523" s="1434"/>
      <c r="AF523" s="1434"/>
      <c r="AG523" s="13" t="s">
        <v>404</v>
      </c>
      <c r="AH523" s="1418">
        <v>2023</v>
      </c>
      <c r="AI523" s="1418"/>
      <c r="AJ523" s="1418"/>
      <c r="AK523" s="1419"/>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1"/>
      <c r="C524" s="1402"/>
      <c r="D524" s="1402"/>
      <c r="E524" s="1402"/>
      <c r="F524" s="1402"/>
      <c r="G524" s="1402"/>
      <c r="H524" s="1403"/>
      <c r="I524" t="s">
        <v>422</v>
      </c>
      <c r="AC524" s="1433">
        <v>3</v>
      </c>
      <c r="AD524" s="1434"/>
      <c r="AE524" s="1434"/>
      <c r="AF524" s="1434"/>
      <c r="AG524" s="13" t="s">
        <v>404</v>
      </c>
      <c r="AH524" s="1418">
        <v>2023</v>
      </c>
      <c r="AI524" s="1418"/>
      <c r="AJ524" s="1418"/>
      <c r="AK524" s="1419"/>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1"/>
      <c r="C525" s="1402"/>
      <c r="D525" s="1402"/>
      <c r="E525" s="1402"/>
      <c r="F525" s="1402"/>
      <c r="G525" s="1402"/>
      <c r="H525" s="1403"/>
      <c r="I525" s="48" t="s">
        <v>423</v>
      </c>
      <c r="J525" s="48"/>
      <c r="K525" s="48"/>
      <c r="L525" s="48"/>
      <c r="M525" s="48"/>
      <c r="N525" s="48"/>
      <c r="O525" s="48"/>
      <c r="P525" s="48"/>
      <c r="Q525" s="48"/>
      <c r="R525" s="48"/>
      <c r="S525" s="48"/>
      <c r="T525" s="48"/>
      <c r="U525" s="48"/>
      <c r="V525" s="48"/>
      <c r="W525" s="48"/>
      <c r="X525" s="48"/>
      <c r="Y525" s="48"/>
      <c r="Z525" s="48"/>
      <c r="AA525" s="48"/>
      <c r="AB525" s="48"/>
      <c r="AC525" s="1433">
        <v>3</v>
      </c>
      <c r="AD525" s="1434"/>
      <c r="AE525" s="1434"/>
      <c r="AF525" s="1434"/>
      <c r="AG525" s="38" t="s">
        <v>404</v>
      </c>
      <c r="AH525" s="1418">
        <v>2024</v>
      </c>
      <c r="AI525" s="1418"/>
      <c r="AJ525" s="1418"/>
      <c r="AK525" s="1419"/>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1"/>
      <c r="C526" s="1402"/>
      <c r="D526" s="1402"/>
      <c r="E526" s="1402"/>
      <c r="F526" s="1402"/>
      <c r="G526" s="1402"/>
      <c r="H526" s="1403"/>
      <c r="I526" s="42" t="s">
        <v>424</v>
      </c>
      <c r="J526" s="42"/>
      <c r="K526" s="42"/>
      <c r="L526" s="42"/>
      <c r="M526" s="42"/>
      <c r="N526" s="42"/>
      <c r="O526" s="1413" t="s">
        <v>2751</v>
      </c>
      <c r="P526" s="1414"/>
      <c r="Q526" s="1414"/>
      <c r="R526" s="1414"/>
      <c r="S526" s="1414"/>
      <c r="T526" s="1414"/>
      <c r="U526" s="1414"/>
      <c r="V526" s="1414"/>
      <c r="W526" s="1414"/>
      <c r="X526" s="1414"/>
      <c r="Y526" s="1414"/>
      <c r="Z526" s="1414"/>
      <c r="AA526" s="1414"/>
      <c r="AC526" s="1433">
        <v>3</v>
      </c>
      <c r="AD526" s="1434"/>
      <c r="AE526" s="1434"/>
      <c r="AF526" s="1434"/>
      <c r="AG526" s="13" t="s">
        <v>404</v>
      </c>
      <c r="AH526" s="1418">
        <v>2023</v>
      </c>
      <c r="AI526" s="1418"/>
      <c r="AJ526" s="1418"/>
      <c r="AK526" s="1419"/>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1"/>
      <c r="C527" s="1402"/>
      <c r="D527" s="1402"/>
      <c r="E527" s="1402"/>
      <c r="F527" s="1402"/>
      <c r="G527" s="1402"/>
      <c r="H527" s="1403"/>
      <c r="I527" t="s">
        <v>422</v>
      </c>
      <c r="AC527" s="1433">
        <v>3</v>
      </c>
      <c r="AD527" s="1434"/>
      <c r="AE527" s="1434"/>
      <c r="AF527" s="1434"/>
      <c r="AG527" s="13" t="s">
        <v>404</v>
      </c>
      <c r="AH527" s="1418">
        <v>2023</v>
      </c>
      <c r="AI527" s="1418"/>
      <c r="AJ527" s="1418"/>
      <c r="AK527" s="1419"/>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1"/>
      <c r="C528" s="1402"/>
      <c r="D528" s="1402"/>
      <c r="E528" s="1402"/>
      <c r="F528" s="1402"/>
      <c r="G528" s="1402"/>
      <c r="H528" s="1403"/>
      <c r="I528" s="48" t="s">
        <v>423</v>
      </c>
      <c r="J528" s="48"/>
      <c r="K528" s="48"/>
      <c r="L528" s="48"/>
      <c r="M528" s="48"/>
      <c r="N528" s="48"/>
      <c r="O528" s="48"/>
      <c r="P528" s="48"/>
      <c r="Q528" s="48"/>
      <c r="R528" s="48"/>
      <c r="S528" s="48"/>
      <c r="T528" s="48"/>
      <c r="U528" s="48"/>
      <c r="V528" s="48"/>
      <c r="W528" s="48"/>
      <c r="X528" s="48"/>
      <c r="Y528" s="48"/>
      <c r="Z528" s="48"/>
      <c r="AA528" s="48"/>
      <c r="AB528" s="48"/>
      <c r="AC528" s="1433">
        <v>3</v>
      </c>
      <c r="AD528" s="1434"/>
      <c r="AE528" s="1434"/>
      <c r="AF528" s="1434"/>
      <c r="AG528" s="38" t="s">
        <v>404</v>
      </c>
      <c r="AH528" s="1418">
        <v>2024</v>
      </c>
      <c r="AI528" s="1418"/>
      <c r="AJ528" s="1418"/>
      <c r="AK528" s="1419"/>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1"/>
      <c r="C529" s="1402"/>
      <c r="D529" s="1402"/>
      <c r="E529" s="1402"/>
      <c r="F529" s="1402"/>
      <c r="G529" s="1402"/>
      <c r="H529" s="1403"/>
      <c r="I529" s="42" t="s">
        <v>424</v>
      </c>
      <c r="J529" s="42"/>
      <c r="K529" s="42"/>
      <c r="L529" s="42"/>
      <c r="M529" s="42"/>
      <c r="N529" s="42"/>
      <c r="O529" s="1413" t="s">
        <v>335</v>
      </c>
      <c r="P529" s="1414"/>
      <c r="Q529" s="1414"/>
      <c r="R529" s="1414"/>
      <c r="S529" s="1414"/>
      <c r="T529" s="1414"/>
      <c r="U529" s="1414"/>
      <c r="V529" s="1414"/>
      <c r="W529" s="1414"/>
      <c r="X529" s="1414"/>
      <c r="Y529" s="1414"/>
      <c r="Z529" s="1414"/>
      <c r="AA529" s="1414"/>
      <c r="AC529" s="1433" t="s">
        <v>599</v>
      </c>
      <c r="AD529" s="1434"/>
      <c r="AE529" s="1434"/>
      <c r="AF529" s="1434"/>
      <c r="AG529" s="13" t="s">
        <v>404</v>
      </c>
      <c r="AH529" s="1418"/>
      <c r="AI529" s="1418"/>
      <c r="AJ529" s="1418"/>
      <c r="AK529" s="1419"/>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1"/>
      <c r="C530" s="1402"/>
      <c r="D530" s="1402"/>
      <c r="E530" s="1402"/>
      <c r="F530" s="1402"/>
      <c r="G530" s="1402"/>
      <c r="H530" s="1403"/>
      <c r="I530" t="s">
        <v>422</v>
      </c>
      <c r="AC530" s="1433" t="s">
        <v>599</v>
      </c>
      <c r="AD530" s="1434"/>
      <c r="AE530" s="1434"/>
      <c r="AF530" s="1434"/>
      <c r="AG530" s="13" t="s">
        <v>404</v>
      </c>
      <c r="AH530" s="1418"/>
      <c r="AI530" s="1418"/>
      <c r="AJ530" s="1418"/>
      <c r="AK530" s="1419"/>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1"/>
      <c r="C531" s="1402"/>
      <c r="D531" s="1402"/>
      <c r="E531" s="1402"/>
      <c r="F531" s="1402"/>
      <c r="G531" s="1402"/>
      <c r="H531" s="1403"/>
      <c r="I531" s="48" t="s">
        <v>423</v>
      </c>
      <c r="J531" s="48"/>
      <c r="K531" s="48"/>
      <c r="L531" s="48"/>
      <c r="M531" s="48"/>
      <c r="N531" s="48"/>
      <c r="O531" s="48"/>
      <c r="P531" s="48"/>
      <c r="Q531" s="48"/>
      <c r="R531" s="48"/>
      <c r="S531" s="48"/>
      <c r="T531" s="48"/>
      <c r="U531" s="48"/>
      <c r="V531" s="48"/>
      <c r="W531" s="48"/>
      <c r="X531" s="48"/>
      <c r="Y531" s="48"/>
      <c r="Z531" s="48"/>
      <c r="AA531" s="48"/>
      <c r="AB531" s="48"/>
      <c r="AC531" s="1433" t="s">
        <v>599</v>
      </c>
      <c r="AD531" s="1434"/>
      <c r="AE531" s="1434"/>
      <c r="AF531" s="1434"/>
      <c r="AG531" s="38" t="s">
        <v>404</v>
      </c>
      <c r="AH531" s="1418"/>
      <c r="AI531" s="1418"/>
      <c r="AJ531" s="1418"/>
      <c r="AK531" s="1419"/>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1"/>
      <c r="C532" s="1402"/>
      <c r="D532" s="1402"/>
      <c r="E532" s="1402"/>
      <c r="F532" s="1402"/>
      <c r="G532" s="1402"/>
      <c r="H532" s="1403"/>
      <c r="I532" s="42" t="s">
        <v>424</v>
      </c>
      <c r="J532" s="42"/>
      <c r="K532" s="42"/>
      <c r="L532" s="42"/>
      <c r="M532" s="42"/>
      <c r="N532" s="42"/>
      <c r="O532" s="1413" t="s">
        <v>335</v>
      </c>
      <c r="P532" s="1414"/>
      <c r="Q532" s="1414"/>
      <c r="R532" s="1414"/>
      <c r="S532" s="1414"/>
      <c r="T532" s="1414"/>
      <c r="U532" s="1414"/>
      <c r="V532" s="1414"/>
      <c r="W532" s="1414"/>
      <c r="X532" s="1414"/>
      <c r="Y532" s="1414"/>
      <c r="Z532" s="1414"/>
      <c r="AA532" s="1414"/>
      <c r="AC532" s="1433" t="s">
        <v>599</v>
      </c>
      <c r="AD532" s="1434"/>
      <c r="AE532" s="1434"/>
      <c r="AF532" s="1434"/>
      <c r="AG532" s="13" t="s">
        <v>404</v>
      </c>
      <c r="AH532" s="1418"/>
      <c r="AI532" s="1418"/>
      <c r="AJ532" s="1418"/>
      <c r="AK532" s="1419"/>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1"/>
      <c r="C533" s="1402"/>
      <c r="D533" s="1402"/>
      <c r="E533" s="1402"/>
      <c r="F533" s="1402"/>
      <c r="G533" s="1402"/>
      <c r="H533" s="1403"/>
      <c r="I533" t="s">
        <v>422</v>
      </c>
      <c r="AC533" s="1433" t="s">
        <v>599</v>
      </c>
      <c r="AD533" s="1434"/>
      <c r="AE533" s="1434"/>
      <c r="AF533" s="1434"/>
      <c r="AG533" s="38" t="s">
        <v>404</v>
      </c>
      <c r="AH533" s="1418"/>
      <c r="AI533" s="1418"/>
      <c r="AJ533" s="1418"/>
      <c r="AK533" s="1419"/>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1"/>
      <c r="C534" s="1402"/>
      <c r="D534" s="1402"/>
      <c r="E534" s="1402"/>
      <c r="F534" s="1402"/>
      <c r="G534" s="1402"/>
      <c r="H534" s="1403"/>
      <c r="I534" s="48" t="s">
        <v>423</v>
      </c>
      <c r="J534" s="48"/>
      <c r="K534" s="48"/>
      <c r="L534" s="48"/>
      <c r="M534" s="48"/>
      <c r="N534" s="48"/>
      <c r="O534" s="48"/>
      <c r="P534" s="48"/>
      <c r="Q534" s="48"/>
      <c r="R534" s="48"/>
      <c r="S534" s="48"/>
      <c r="T534" s="48"/>
      <c r="U534" s="48"/>
      <c r="V534" s="48"/>
      <c r="W534" s="48"/>
      <c r="X534" s="48"/>
      <c r="Y534" s="48"/>
      <c r="Z534" s="48"/>
      <c r="AA534" s="48"/>
      <c r="AB534" s="48"/>
      <c r="AC534" s="1433" t="s">
        <v>599</v>
      </c>
      <c r="AD534" s="1434"/>
      <c r="AE534" s="1434"/>
      <c r="AF534" s="1434"/>
      <c r="AG534" s="13" t="s">
        <v>404</v>
      </c>
      <c r="AH534" s="1418"/>
      <c r="AI534" s="1418"/>
      <c r="AJ534" s="1418"/>
      <c r="AK534" s="1419"/>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1"/>
      <c r="C535" s="1402"/>
      <c r="D535" s="1402"/>
      <c r="E535" s="1402"/>
      <c r="F535" s="1402"/>
      <c r="G535" s="1402"/>
      <c r="H535" s="1403"/>
      <c r="I535" s="42" t="s">
        <v>424</v>
      </c>
      <c r="J535" s="42"/>
      <c r="K535" s="42"/>
      <c r="L535" s="42"/>
      <c r="M535" s="42"/>
      <c r="N535" s="42"/>
      <c r="O535" s="1413" t="s">
        <v>2568</v>
      </c>
      <c r="P535" s="1414"/>
      <c r="Q535" s="1414"/>
      <c r="R535" s="1414"/>
      <c r="S535" s="1414"/>
      <c r="T535" s="1414"/>
      <c r="U535" s="1414"/>
      <c r="V535" s="1414"/>
      <c r="W535" s="1414"/>
      <c r="X535" s="1414"/>
      <c r="Y535" s="1414"/>
      <c r="Z535" s="1414"/>
      <c r="AA535" s="1414"/>
      <c r="AC535" s="1433" t="s">
        <v>599</v>
      </c>
      <c r="AD535" s="1434"/>
      <c r="AE535" s="1434"/>
      <c r="AF535" s="1434"/>
      <c r="AG535" s="38" t="s">
        <v>404</v>
      </c>
      <c r="AH535" s="1418"/>
      <c r="AI535" s="1418"/>
      <c r="AJ535" s="1418"/>
      <c r="AK535" s="1419"/>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1"/>
      <c r="C536" s="1402"/>
      <c r="D536" s="1402"/>
      <c r="E536" s="1402"/>
      <c r="F536" s="1402"/>
      <c r="G536" s="1402"/>
      <c r="H536" s="1403"/>
      <c r="I536" t="s">
        <v>422</v>
      </c>
      <c r="AC536" s="1433">
        <v>3</v>
      </c>
      <c r="AD536" s="1434"/>
      <c r="AE536" s="1434"/>
      <c r="AF536" s="1434"/>
      <c r="AG536" s="13" t="s">
        <v>404</v>
      </c>
      <c r="AH536" s="1418">
        <v>2025</v>
      </c>
      <c r="AI536" s="1418"/>
      <c r="AJ536" s="1418"/>
      <c r="AK536" s="1419"/>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1"/>
      <c r="C537" s="1402"/>
      <c r="D537" s="1402"/>
      <c r="E537" s="1402"/>
      <c r="F537" s="1402"/>
      <c r="G537" s="1402"/>
      <c r="H537" s="1403"/>
      <c r="I537" s="48" t="s">
        <v>423</v>
      </c>
      <c r="J537" s="48"/>
      <c r="K537" s="48"/>
      <c r="L537" s="48"/>
      <c r="M537" s="48"/>
      <c r="N537" s="48"/>
      <c r="O537" s="48"/>
      <c r="P537" s="48"/>
      <c r="Q537" s="48"/>
      <c r="R537" s="48"/>
      <c r="S537" s="48"/>
      <c r="T537" s="48"/>
      <c r="U537" s="48"/>
      <c r="V537" s="48"/>
      <c r="W537" s="48"/>
      <c r="X537" s="48"/>
      <c r="Y537" s="48"/>
      <c r="Z537" s="48"/>
      <c r="AA537" s="48"/>
      <c r="AB537" s="48"/>
      <c r="AC537" s="1433">
        <v>6</v>
      </c>
      <c r="AD537" s="1434"/>
      <c r="AE537" s="1434"/>
      <c r="AF537" s="1434"/>
      <c r="AG537" s="38" t="s">
        <v>404</v>
      </c>
      <c r="AH537" s="1418">
        <v>2025</v>
      </c>
      <c r="AI537" s="1418"/>
      <c r="AJ537" s="1418"/>
      <c r="AK537" s="1419"/>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1"/>
      <c r="C538" s="1402"/>
      <c r="D538" s="1402"/>
      <c r="E538" s="1402"/>
      <c r="F538" s="1402"/>
      <c r="G538" s="1402"/>
      <c r="H538" s="1403"/>
      <c r="I538" s="42" t="s">
        <v>570</v>
      </c>
      <c r="J538" s="42"/>
      <c r="K538" s="42"/>
      <c r="L538" s="42"/>
      <c r="M538" s="42"/>
      <c r="N538" s="42"/>
      <c r="O538" s="42"/>
      <c r="P538" s="42"/>
      <c r="Q538" s="42"/>
      <c r="R538" s="42"/>
      <c r="S538" s="42"/>
      <c r="T538" s="42"/>
      <c r="U538" s="42"/>
      <c r="V538" s="42"/>
      <c r="W538" s="42"/>
      <c r="AC538" s="1433">
        <v>3</v>
      </c>
      <c r="AD538" s="1434"/>
      <c r="AE538" s="1434"/>
      <c r="AF538" s="1434"/>
      <c r="AG538" s="38" t="s">
        <v>404</v>
      </c>
      <c r="AH538" s="1418">
        <v>2024</v>
      </c>
      <c r="AI538" s="1418"/>
      <c r="AJ538" s="1418"/>
      <c r="AK538" s="141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1"/>
      <c r="C539" s="1402"/>
      <c r="D539" s="1402"/>
      <c r="E539" s="1402"/>
      <c r="F539" s="1402"/>
      <c r="G539" s="1402"/>
      <c r="H539" s="1403"/>
      <c r="I539" t="s">
        <v>571</v>
      </c>
      <c r="AC539" s="1433">
        <v>12</v>
      </c>
      <c r="AD539" s="1434"/>
      <c r="AE539" s="1434"/>
      <c r="AF539" s="1434"/>
      <c r="AG539" s="13" t="s">
        <v>404</v>
      </c>
      <c r="AH539" s="1418">
        <v>2024</v>
      </c>
      <c r="AI539" s="1418"/>
      <c r="AJ539" s="1418"/>
      <c r="AK539" s="141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1"/>
      <c r="C540" s="1402"/>
      <c r="D540" s="1402"/>
      <c r="E540" s="1402"/>
      <c r="F540" s="1402"/>
      <c r="G540" s="1402"/>
      <c r="H540" s="1403"/>
      <c r="I540" t="s">
        <v>572</v>
      </c>
      <c r="AC540" s="1433">
        <v>12</v>
      </c>
      <c r="AD540" s="1434"/>
      <c r="AE540" s="1434"/>
      <c r="AF540" s="1434"/>
      <c r="AG540" s="38" t="s">
        <v>404</v>
      </c>
      <c r="AH540" s="1418">
        <v>2025</v>
      </c>
      <c r="AI540" s="1418"/>
      <c r="AJ540" s="1418"/>
      <c r="AK540" s="141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1"/>
      <c r="C541" s="1402"/>
      <c r="D541" s="1402"/>
      <c r="E541" s="1402"/>
      <c r="F541" s="1402"/>
      <c r="G541" s="1402"/>
      <c r="H541" s="1403"/>
      <c r="I541" t="s">
        <v>573</v>
      </c>
      <c r="AC541" s="1433">
        <v>1</v>
      </c>
      <c r="AD541" s="1434"/>
      <c r="AE541" s="1434"/>
      <c r="AF541" s="1434"/>
      <c r="AG541" s="38" t="s">
        <v>404</v>
      </c>
      <c r="AH541" s="1418">
        <v>2026</v>
      </c>
      <c r="AI541" s="1418"/>
      <c r="AJ541" s="1418"/>
      <c r="AK541" s="141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4"/>
      <c r="C542" s="1405"/>
      <c r="D542" s="1405"/>
      <c r="E542" s="1405"/>
      <c r="F542" s="1405"/>
      <c r="G542" s="1405"/>
      <c r="H542" s="1406"/>
      <c r="I542" s="48" t="s">
        <v>459</v>
      </c>
      <c r="J542" s="48"/>
      <c r="K542" s="48"/>
      <c r="L542" s="48"/>
      <c r="M542" s="48"/>
      <c r="N542" s="48"/>
      <c r="O542" s="48"/>
      <c r="P542" s="48"/>
      <c r="Q542" s="48"/>
      <c r="R542" s="48"/>
      <c r="S542" s="48"/>
      <c r="T542" s="48"/>
      <c r="U542" s="48"/>
      <c r="V542" s="48"/>
      <c r="W542" s="48"/>
      <c r="X542" s="48"/>
      <c r="Y542" s="48"/>
      <c r="Z542" s="48"/>
      <c r="AA542" s="48"/>
      <c r="AB542" s="48"/>
      <c r="AC542" s="1433">
        <v>3</v>
      </c>
      <c r="AD542" s="1434"/>
      <c r="AE542" s="1434"/>
      <c r="AF542" s="1434"/>
      <c r="AG542" s="38" t="s">
        <v>404</v>
      </c>
      <c r="AH542" s="1418">
        <v>2026</v>
      </c>
      <c r="AI542" s="1418"/>
      <c r="AJ542" s="1418"/>
      <c r="AK542" s="141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8" t="s">
        <v>2422</v>
      </c>
      <c r="C551" s="1399"/>
      <c r="D551" s="1399"/>
      <c r="E551" s="1399"/>
      <c r="F551" s="1399"/>
      <c r="G551" s="1399"/>
      <c r="H551" s="1399"/>
      <c r="I551" s="1399"/>
      <c r="J551" s="1399"/>
      <c r="K551" s="1399"/>
      <c r="L551" s="1400"/>
      <c r="M551" s="1398" t="s">
        <v>2423</v>
      </c>
      <c r="N551" s="1399"/>
      <c r="O551" s="1399"/>
      <c r="P551" s="1400"/>
      <c r="Q551" s="1398" t="s">
        <v>2449</v>
      </c>
      <c r="R551" s="1399"/>
      <c r="S551" s="1400"/>
      <c r="T551" s="1398" t="s">
        <v>2450</v>
      </c>
      <c r="U551" s="1399"/>
      <c r="V551" s="1400"/>
      <c r="W551" s="1398" t="s">
        <v>461</v>
      </c>
      <c r="X551" s="1399"/>
      <c r="Y551" s="1400"/>
      <c r="Z551" s="1398" t="s">
        <v>2043</v>
      </c>
      <c r="AA551" s="1399"/>
      <c r="AB551" s="1399"/>
      <c r="AC551" s="1399"/>
      <c r="AD551" s="1400"/>
      <c r="AE551" s="1398" t="s">
        <v>1865</v>
      </c>
      <c r="AF551" s="1399"/>
      <c r="AG551" s="1399"/>
      <c r="AH551" s="1400"/>
      <c r="AI551" s="1398" t="s">
        <v>1866</v>
      </c>
      <c r="AJ551" s="1399"/>
      <c r="AK551" s="1399"/>
      <c r="AL551" s="1400"/>
      <c r="AM551" s="1398" t="s">
        <v>462</v>
      </c>
      <c r="AN551" s="1399"/>
      <c r="AO551" s="1399"/>
      <c r="AP551" s="1399"/>
      <c r="AQ551" s="1399"/>
      <c r="AR551" s="1399"/>
      <c r="AS551" s="1400"/>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6" t="s">
        <v>2715</v>
      </c>
      <c r="D554" s="1496"/>
      <c r="E554" s="1496"/>
      <c r="F554" s="1496"/>
      <c r="G554" s="1496"/>
      <c r="H554" s="1496"/>
      <c r="I554" s="1496"/>
      <c r="J554" s="1496"/>
      <c r="K554" s="1496"/>
      <c r="L554" s="1496"/>
      <c r="M554" s="1496" t="s">
        <v>2439</v>
      </c>
      <c r="N554" s="1496"/>
      <c r="O554" s="1496"/>
      <c r="P554" s="1496"/>
      <c r="Q554" s="1421">
        <v>27</v>
      </c>
      <c r="R554" s="1421"/>
      <c r="S554" s="1422"/>
      <c r="T554" s="1420"/>
      <c r="U554" s="1421"/>
      <c r="V554" s="1422"/>
      <c r="W554" s="1499">
        <v>7.5800000000000006E-2</v>
      </c>
      <c r="X554" s="1500"/>
      <c r="Y554" s="1501"/>
      <c r="Z554" s="1498" t="s">
        <v>2776</v>
      </c>
      <c r="AA554" s="1498"/>
      <c r="AB554" s="1498"/>
      <c r="AC554" s="1498"/>
      <c r="AD554" s="1498"/>
      <c r="AE554" s="1415">
        <v>1</v>
      </c>
      <c r="AF554" s="1416"/>
      <c r="AG554" s="1416"/>
      <c r="AH554" s="1417"/>
      <c r="AI554" s="1453"/>
      <c r="AJ554" s="1454"/>
      <c r="AK554" s="1454"/>
      <c r="AL554" s="1455"/>
      <c r="AM554" s="1424">
        <v>43909270</v>
      </c>
      <c r="AN554" s="1425"/>
      <c r="AO554" s="1425"/>
      <c r="AP554" s="1425"/>
      <c r="AQ554" s="1425"/>
      <c r="AR554" s="1425"/>
      <c r="AS554" s="142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7" t="s">
        <v>2717</v>
      </c>
      <c r="D555" s="1497"/>
      <c r="E555" s="1497"/>
      <c r="F555" s="1497"/>
      <c r="G555" s="1497"/>
      <c r="H555" s="1497"/>
      <c r="I555" s="1497"/>
      <c r="J555" s="1497"/>
      <c r="K555" s="1497"/>
      <c r="L555" s="1497"/>
      <c r="M555" s="1496" t="s">
        <v>2436</v>
      </c>
      <c r="N555" s="1496"/>
      <c r="O555" s="1496"/>
      <c r="P555" s="1496"/>
      <c r="Q555" s="1420">
        <v>27</v>
      </c>
      <c r="R555" s="1421"/>
      <c r="S555" s="1422"/>
      <c r="T555" s="1420"/>
      <c r="U555" s="1421"/>
      <c r="V555" s="1422"/>
      <c r="W555" s="1499">
        <f>W627</f>
        <v>4.4499999999999998E-2</v>
      </c>
      <c r="X555" s="1500"/>
      <c r="Y555" s="1501"/>
      <c r="Z555" s="1498" t="s">
        <v>2776</v>
      </c>
      <c r="AA555" s="1498"/>
      <c r="AB555" s="1498"/>
      <c r="AC555" s="1498"/>
      <c r="AD555" s="1498"/>
      <c r="AE555" s="1415">
        <v>2</v>
      </c>
      <c r="AF555" s="1416"/>
      <c r="AG555" s="1416"/>
      <c r="AH555" s="1417"/>
      <c r="AI555" s="1453"/>
      <c r="AJ555" s="1454"/>
      <c r="AK555" s="1454"/>
      <c r="AL555" s="1455"/>
      <c r="AM555" s="1424">
        <v>14551778</v>
      </c>
      <c r="AN555" s="1425"/>
      <c r="AO555" s="1425"/>
      <c r="AP555" s="1425"/>
      <c r="AQ555" s="1425"/>
      <c r="AR555" s="1425"/>
      <c r="AS555" s="142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7" t="s">
        <v>2718</v>
      </c>
      <c r="D556" s="1497"/>
      <c r="E556" s="1497"/>
      <c r="F556" s="1497"/>
      <c r="G556" s="1497"/>
      <c r="H556" s="1497"/>
      <c r="I556" s="1497"/>
      <c r="J556" s="1497"/>
      <c r="K556" s="1497"/>
      <c r="L556" s="1497"/>
      <c r="M556" s="1496" t="s">
        <v>2435</v>
      </c>
      <c r="N556" s="1496"/>
      <c r="O556" s="1496"/>
      <c r="P556" s="1496"/>
      <c r="Q556" s="1420">
        <v>27</v>
      </c>
      <c r="R556" s="1421"/>
      <c r="S556" s="1422"/>
      <c r="T556" s="1420"/>
      <c r="U556" s="1421"/>
      <c r="V556" s="1422"/>
      <c r="W556" s="1499">
        <f>W629</f>
        <v>0.03</v>
      </c>
      <c r="X556" s="1500"/>
      <c r="Y556" s="1501"/>
      <c r="Z556" s="1498" t="s">
        <v>2716</v>
      </c>
      <c r="AA556" s="1498"/>
      <c r="AB556" s="1498"/>
      <c r="AC556" s="1498"/>
      <c r="AD556" s="1498"/>
      <c r="AE556" s="1415">
        <v>3</v>
      </c>
      <c r="AF556" s="1416"/>
      <c r="AG556" s="1416"/>
      <c r="AH556" s="1417"/>
      <c r="AI556" s="1453"/>
      <c r="AJ556" s="1454"/>
      <c r="AK556" s="1454"/>
      <c r="AL556" s="1455"/>
      <c r="AM556" s="1424">
        <v>5500000</v>
      </c>
      <c r="AN556" s="1425"/>
      <c r="AO556" s="1425"/>
      <c r="AP556" s="1425"/>
      <c r="AQ556" s="1425"/>
      <c r="AR556" s="1425"/>
      <c r="AS556" s="142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97" t="s">
        <v>2719</v>
      </c>
      <c r="D557" s="1497"/>
      <c r="E557" s="1497"/>
      <c r="F557" s="1497"/>
      <c r="G557" s="1497"/>
      <c r="H557" s="1497"/>
      <c r="I557" s="1497"/>
      <c r="J557" s="1497"/>
      <c r="K557" s="1497"/>
      <c r="L557" s="1497"/>
      <c r="M557" s="1496" t="s">
        <v>2435</v>
      </c>
      <c r="N557" s="1496"/>
      <c r="O557" s="1496"/>
      <c r="P557" s="1496"/>
      <c r="Q557" s="1420">
        <v>27</v>
      </c>
      <c r="R557" s="1421"/>
      <c r="S557" s="1422"/>
      <c r="T557" s="1420"/>
      <c r="U557" s="1421"/>
      <c r="V557" s="1422"/>
      <c r="W557" s="1499">
        <f>W630</f>
        <v>0.03</v>
      </c>
      <c r="X557" s="1500"/>
      <c r="Y557" s="1501"/>
      <c r="Z557" s="1498" t="s">
        <v>2716</v>
      </c>
      <c r="AA557" s="1498"/>
      <c r="AB557" s="1498"/>
      <c r="AC557" s="1498"/>
      <c r="AD557" s="1498"/>
      <c r="AE557" s="1415">
        <v>5</v>
      </c>
      <c r="AF557" s="1416"/>
      <c r="AG557" s="1416"/>
      <c r="AH557" s="1417"/>
      <c r="AI557" s="1453"/>
      <c r="AJ557" s="1454"/>
      <c r="AK557" s="1454"/>
      <c r="AL557" s="1455"/>
      <c r="AM557" s="1424">
        <v>1000000</v>
      </c>
      <c r="AN557" s="1425"/>
      <c r="AO557" s="1425"/>
      <c r="AP557" s="1425"/>
      <c r="AQ557" s="1425"/>
      <c r="AR557" s="1425"/>
      <c r="AS557" s="142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97" t="s">
        <v>2720</v>
      </c>
      <c r="D558" s="1497"/>
      <c r="E558" s="1497"/>
      <c r="F558" s="1497"/>
      <c r="G558" s="1497"/>
      <c r="H558" s="1497"/>
      <c r="I558" s="1497"/>
      <c r="J558" s="1497"/>
      <c r="K558" s="1497"/>
      <c r="L558" s="1497"/>
      <c r="M558" s="1496" t="s">
        <v>2435</v>
      </c>
      <c r="N558" s="1496"/>
      <c r="O558" s="1496"/>
      <c r="P558" s="1496"/>
      <c r="Q558" s="1420">
        <v>27</v>
      </c>
      <c r="R558" s="1421"/>
      <c r="S558" s="1422"/>
      <c r="T558" s="1420"/>
      <c r="U558" s="1421"/>
      <c r="V558" s="1422"/>
      <c r="W558" s="1499">
        <v>4.4499999999999998E-2</v>
      </c>
      <c r="X558" s="1500"/>
      <c r="Y558" s="1501"/>
      <c r="Z558" s="1498" t="s">
        <v>1290</v>
      </c>
      <c r="AA558" s="1498"/>
      <c r="AB558" s="1498"/>
      <c r="AC558" s="1498"/>
      <c r="AD558" s="1498"/>
      <c r="AE558" s="1415"/>
      <c r="AF558" s="1416"/>
      <c r="AG558" s="1416"/>
      <c r="AH558" s="1417"/>
      <c r="AI558" s="1453"/>
      <c r="AJ558" s="1454"/>
      <c r="AK558" s="1454"/>
      <c r="AL558" s="1455"/>
      <c r="AM558" s="1424">
        <v>1418427</v>
      </c>
      <c r="AN558" s="1425"/>
      <c r="AO558" s="1425"/>
      <c r="AP558" s="1425"/>
      <c r="AQ558" s="1425"/>
      <c r="AR558" s="1425"/>
      <c r="AS558" s="1426"/>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97" t="s">
        <v>2721</v>
      </c>
      <c r="D559" s="1497"/>
      <c r="E559" s="1497"/>
      <c r="F559" s="1497"/>
      <c r="G559" s="1497"/>
      <c r="H559" s="1497"/>
      <c r="I559" s="1497"/>
      <c r="J559" s="1497"/>
      <c r="K559" s="1497"/>
      <c r="L559" s="1497"/>
      <c r="M559" s="1496" t="s">
        <v>2435</v>
      </c>
      <c r="N559" s="1496"/>
      <c r="O559" s="1496"/>
      <c r="P559" s="1496"/>
      <c r="Q559" s="1420">
        <v>27</v>
      </c>
      <c r="R559" s="1421"/>
      <c r="S559" s="1422"/>
      <c r="T559" s="1420"/>
      <c r="U559" s="1421"/>
      <c r="V559" s="1422"/>
      <c r="W559" s="1499">
        <f>W632</f>
        <v>0.03</v>
      </c>
      <c r="X559" s="1500"/>
      <c r="Y559" s="1501"/>
      <c r="Z559" s="1498" t="s">
        <v>2716</v>
      </c>
      <c r="AA559" s="1498"/>
      <c r="AB559" s="1498"/>
      <c r="AC559" s="1498"/>
      <c r="AD559" s="1498"/>
      <c r="AE559" s="1415">
        <v>4</v>
      </c>
      <c r="AF559" s="1416"/>
      <c r="AG559" s="1416"/>
      <c r="AH559" s="1417"/>
      <c r="AI559" s="1453"/>
      <c r="AJ559" s="1454"/>
      <c r="AK559" s="1454"/>
      <c r="AL559" s="1455"/>
      <c r="AM559" s="1424">
        <v>1739292</v>
      </c>
      <c r="AN559" s="1425"/>
      <c r="AO559" s="1425"/>
      <c r="AP559" s="1425"/>
      <c r="AQ559" s="1425"/>
      <c r="AR559" s="1425"/>
      <c r="AS559" s="1426"/>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97" t="s">
        <v>2722</v>
      </c>
      <c r="D560" s="1497"/>
      <c r="E560" s="1497"/>
      <c r="F560" s="1497"/>
      <c r="G560" s="1497"/>
      <c r="H560" s="1497"/>
      <c r="I560" s="1497"/>
      <c r="J560" s="1497"/>
      <c r="K560" s="1497"/>
      <c r="L560" s="1497"/>
      <c r="M560" s="1496" t="s">
        <v>2435</v>
      </c>
      <c r="N560" s="1496"/>
      <c r="O560" s="1496"/>
      <c r="P560" s="1496"/>
      <c r="Q560" s="1420">
        <v>27</v>
      </c>
      <c r="R560" s="1421"/>
      <c r="S560" s="1422"/>
      <c r="T560" s="1420"/>
      <c r="U560" s="1421"/>
      <c r="V560" s="1422"/>
      <c r="W560" s="1499">
        <f>W633</f>
        <v>4.4499999999999998E-2</v>
      </c>
      <c r="X560" s="1500"/>
      <c r="Y560" s="1501"/>
      <c r="Z560" s="1498" t="s">
        <v>2716</v>
      </c>
      <c r="AA560" s="1498"/>
      <c r="AB560" s="1498"/>
      <c r="AC560" s="1498"/>
      <c r="AD560" s="1498"/>
      <c r="AE560" s="1415"/>
      <c r="AF560" s="1416"/>
      <c r="AG560" s="1416"/>
      <c r="AH560" s="1417"/>
      <c r="AI560" s="1453"/>
      <c r="AJ560" s="1454"/>
      <c r="AK560" s="1454"/>
      <c r="AL560" s="1455"/>
      <c r="AM560" s="1424">
        <v>1369513</v>
      </c>
      <c r="AN560" s="1425"/>
      <c r="AO560" s="1425"/>
      <c r="AP560" s="1425"/>
      <c r="AQ560" s="1425"/>
      <c r="AR560" s="1425"/>
      <c r="AS560" s="142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97" t="s">
        <v>2729</v>
      </c>
      <c r="D561" s="1497"/>
      <c r="E561" s="1497"/>
      <c r="F561" s="1497"/>
      <c r="G561" s="1497"/>
      <c r="H561" s="1497"/>
      <c r="I561" s="1497"/>
      <c r="J561" s="1497"/>
      <c r="K561" s="1497"/>
      <c r="L561" s="1497"/>
      <c r="M561" s="1496" t="s">
        <v>2424</v>
      </c>
      <c r="N561" s="1496"/>
      <c r="O561" s="1496"/>
      <c r="P561" s="1496"/>
      <c r="Q561" s="1420">
        <v>27</v>
      </c>
      <c r="R561" s="1421"/>
      <c r="S561" s="1422"/>
      <c r="T561" s="1420"/>
      <c r="U561" s="1421"/>
      <c r="V561" s="1422"/>
      <c r="W561" s="1499"/>
      <c r="X561" s="1500"/>
      <c r="Y561" s="1501"/>
      <c r="Z561" s="1498" t="s">
        <v>1290</v>
      </c>
      <c r="AA561" s="1498"/>
      <c r="AB561" s="1498"/>
      <c r="AC561" s="1498"/>
      <c r="AD561" s="1498"/>
      <c r="AE561" s="1415"/>
      <c r="AF561" s="1416"/>
      <c r="AG561" s="1416"/>
      <c r="AH561" s="1417"/>
      <c r="AI561" s="1453"/>
      <c r="AJ561" s="1454"/>
      <c r="AK561" s="1454"/>
      <c r="AL561" s="1455"/>
      <c r="AM561" s="1424">
        <v>1948170</v>
      </c>
      <c r="AN561" s="1425"/>
      <c r="AO561" s="1425"/>
      <c r="AP561" s="1425"/>
      <c r="AQ561" s="1425"/>
      <c r="AR561" s="1425"/>
      <c r="AS561" s="142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97" t="s">
        <v>1851</v>
      </c>
      <c r="D562" s="1497"/>
      <c r="E562" s="1497"/>
      <c r="F562" s="1497"/>
      <c r="G562" s="1497"/>
      <c r="H562" s="1497"/>
      <c r="I562" s="1497"/>
      <c r="J562" s="1497"/>
      <c r="K562" s="1497"/>
      <c r="L562" s="1497"/>
      <c r="M562" s="1496" t="s">
        <v>2426</v>
      </c>
      <c r="N562" s="1496"/>
      <c r="O562" s="1496"/>
      <c r="P562" s="1496"/>
      <c r="Q562" s="1420">
        <v>27</v>
      </c>
      <c r="R562" s="1421"/>
      <c r="S562" s="1422"/>
      <c r="T562" s="1420"/>
      <c r="U562" s="1421"/>
      <c r="V562" s="1422"/>
      <c r="W562" s="1499"/>
      <c r="X562" s="1500"/>
      <c r="Y562" s="1501"/>
      <c r="Z562" s="1498" t="s">
        <v>1290</v>
      </c>
      <c r="AA562" s="1498"/>
      <c r="AB562" s="1498"/>
      <c r="AC562" s="1498"/>
      <c r="AD562" s="1498"/>
      <c r="AE562" s="1415"/>
      <c r="AF562" s="1416"/>
      <c r="AG562" s="1416"/>
      <c r="AH562" s="1417"/>
      <c r="AI562" s="1453"/>
      <c r="AJ562" s="1454"/>
      <c r="AK562" s="1454"/>
      <c r="AL562" s="1455"/>
      <c r="AM562" s="1424">
        <v>6868384</v>
      </c>
      <c r="AN562" s="1425"/>
      <c r="AO562" s="1425"/>
      <c r="AP562" s="1425"/>
      <c r="AQ562" s="1425"/>
      <c r="AR562" s="1425"/>
      <c r="AS562" s="142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97" t="s">
        <v>2744</v>
      </c>
      <c r="D563" s="1497"/>
      <c r="E563" s="1497"/>
      <c r="F563" s="1497"/>
      <c r="G563" s="1497"/>
      <c r="H563" s="1497"/>
      <c r="I563" s="1497"/>
      <c r="J563" s="1497"/>
      <c r="K563" s="1497"/>
      <c r="L563" s="1497"/>
      <c r="M563" s="1496" t="s">
        <v>2425</v>
      </c>
      <c r="N563" s="1496"/>
      <c r="O563" s="1496"/>
      <c r="P563" s="1496"/>
      <c r="Q563" s="1420">
        <v>27</v>
      </c>
      <c r="R563" s="1421"/>
      <c r="S563" s="1422"/>
      <c r="T563" s="1420"/>
      <c r="U563" s="1421"/>
      <c r="V563" s="1422"/>
      <c r="W563" s="1499"/>
      <c r="X563" s="1500"/>
      <c r="Y563" s="1501"/>
      <c r="Z563" s="1498" t="s">
        <v>1290</v>
      </c>
      <c r="AA563" s="1498"/>
      <c r="AB563" s="1498"/>
      <c r="AC563" s="1498"/>
      <c r="AD563" s="1498"/>
      <c r="AE563" s="1415"/>
      <c r="AF563" s="1416"/>
      <c r="AG563" s="1416"/>
      <c r="AH563" s="1417"/>
      <c r="AI563" s="1453"/>
      <c r="AJ563" s="1454"/>
      <c r="AK563" s="1454"/>
      <c r="AL563" s="1455"/>
      <c r="AM563" s="1424">
        <v>9239056</v>
      </c>
      <c r="AN563" s="1425"/>
      <c r="AO563" s="1425"/>
      <c r="AP563" s="1425"/>
      <c r="AQ563" s="1425"/>
      <c r="AR563" s="1425"/>
      <c r="AS563" s="142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7" t="s">
        <v>2745</v>
      </c>
      <c r="D564" s="1497"/>
      <c r="E564" s="1497"/>
      <c r="F564" s="1497"/>
      <c r="G564" s="1497"/>
      <c r="H564" s="1497"/>
      <c r="I564" s="1497"/>
      <c r="J564" s="1497"/>
      <c r="K564" s="1497"/>
      <c r="L564" s="1497"/>
      <c r="M564" s="1496" t="s">
        <v>2430</v>
      </c>
      <c r="N564" s="1496"/>
      <c r="O564" s="1496"/>
      <c r="P564" s="1496"/>
      <c r="Q564" s="1420">
        <v>27</v>
      </c>
      <c r="R564" s="1421"/>
      <c r="S564" s="1422"/>
      <c r="T564" s="1420"/>
      <c r="U564" s="1421"/>
      <c r="V564" s="1422"/>
      <c r="W564" s="1499"/>
      <c r="X564" s="1500"/>
      <c r="Y564" s="1501"/>
      <c r="Z564" s="1498" t="s">
        <v>1290</v>
      </c>
      <c r="AA564" s="1498"/>
      <c r="AB564" s="1498"/>
      <c r="AC564" s="1498"/>
      <c r="AD564" s="1498"/>
      <c r="AE564" s="1415"/>
      <c r="AF564" s="1416"/>
      <c r="AG564" s="1416"/>
      <c r="AH564" s="1417"/>
      <c r="AI564" s="1453"/>
      <c r="AJ564" s="1454"/>
      <c r="AK564" s="1454"/>
      <c r="AL564" s="1455"/>
      <c r="AM564" s="1424">
        <f>4030838-169021</f>
        <v>3861817</v>
      </c>
      <c r="AN564" s="1425"/>
      <c r="AO564" s="1425"/>
      <c r="AP564" s="1425"/>
      <c r="AQ564" s="1425"/>
      <c r="AR564" s="1425"/>
      <c r="AS564" s="142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7"/>
      <c r="D565" s="1497"/>
      <c r="E565" s="1497"/>
      <c r="F565" s="1497"/>
      <c r="G565" s="1497"/>
      <c r="H565" s="1497"/>
      <c r="I565" s="1497"/>
      <c r="J565" s="1497"/>
      <c r="K565" s="1497"/>
      <c r="L565" s="1497"/>
      <c r="M565" s="1496" t="s">
        <v>1290</v>
      </c>
      <c r="N565" s="1496"/>
      <c r="O565" s="1496"/>
      <c r="P565" s="1496"/>
      <c r="Q565" s="1420"/>
      <c r="R565" s="1421"/>
      <c r="S565" s="1422"/>
      <c r="T565" s="1420"/>
      <c r="U565" s="1421"/>
      <c r="V565" s="1422"/>
      <c r="W565" s="1499"/>
      <c r="X565" s="1500"/>
      <c r="Y565" s="1501"/>
      <c r="Z565" s="1498" t="s">
        <v>1290</v>
      </c>
      <c r="AA565" s="1498"/>
      <c r="AB565" s="1498"/>
      <c r="AC565" s="1498"/>
      <c r="AD565" s="1498"/>
      <c r="AE565" s="1415"/>
      <c r="AF565" s="1416"/>
      <c r="AG565" s="1416"/>
      <c r="AH565" s="1417"/>
      <c r="AI565" s="1453"/>
      <c r="AJ565" s="1454"/>
      <c r="AK565" s="1454"/>
      <c r="AL565" s="1455"/>
      <c r="AM565" s="1424"/>
      <c r="AN565" s="1425"/>
      <c r="AO565" s="1425"/>
      <c r="AP565" s="1425"/>
      <c r="AQ565" s="1425"/>
      <c r="AR565" s="1425"/>
      <c r="AS565" s="142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1" t="s">
        <v>127</v>
      </c>
      <c r="C566" s="1582"/>
      <c r="D566" s="1582"/>
      <c r="E566" s="1582"/>
      <c r="F566" s="1582"/>
      <c r="G566" s="1582"/>
      <c r="H566" s="1582"/>
      <c r="I566" s="1582"/>
      <c r="J566" s="1582"/>
      <c r="K566" s="1582"/>
      <c r="L566" s="1582"/>
      <c r="M566" s="1582"/>
      <c r="N566" s="1582"/>
      <c r="O566" s="1582"/>
      <c r="P566" s="1582"/>
      <c r="Q566" s="1582"/>
      <c r="R566" s="1582"/>
      <c r="S566" s="1582"/>
      <c r="T566" s="1582"/>
      <c r="U566" s="1585"/>
      <c r="V566" s="1582"/>
      <c r="W566" s="1582"/>
      <c r="X566" s="1582"/>
      <c r="Y566" s="1582"/>
      <c r="Z566" s="1582"/>
      <c r="AA566" s="1582"/>
      <c r="AB566" s="1582"/>
      <c r="AC566" s="1582"/>
      <c r="AD566" s="1582"/>
      <c r="AE566" s="1582"/>
      <c r="AF566" s="1582"/>
      <c r="AG566" s="1582"/>
      <c r="AH566" s="1582"/>
      <c r="AI566" s="1582"/>
      <c r="AJ566" s="1582"/>
      <c r="AK566" s="1582"/>
      <c r="AL566" s="1583"/>
      <c r="AM566" s="1615">
        <f>SUM(AM554:AS565)</f>
        <v>91405707</v>
      </c>
      <c r="AN566" s="1616"/>
      <c r="AO566" s="1616"/>
      <c r="AP566" s="1616"/>
      <c r="AQ566" s="1616"/>
      <c r="AR566" s="1616"/>
      <c r="AS566" s="1617"/>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04" t="str">
        <f>C554</f>
        <v>Construction Loan</v>
      </c>
      <c r="H568" s="1504"/>
      <c r="I568" s="1504"/>
      <c r="J568" s="1504"/>
      <c r="K568" s="1504"/>
      <c r="L568" s="1504"/>
      <c r="M568" s="1504"/>
      <c r="N568" s="1504"/>
      <c r="O568" s="1504"/>
      <c r="P568" s="1504"/>
      <c r="Q568" s="1504"/>
      <c r="R568" s="1504"/>
      <c r="S568" s="8"/>
      <c r="T568" s="55" t="s">
        <v>113</v>
      </c>
      <c r="U568" t="s">
        <v>471</v>
      </c>
      <c r="Z568" s="1504" t="str">
        <f>C555</f>
        <v>Seller Carryback Loan</v>
      </c>
      <c r="AA568" s="1504"/>
      <c r="AB568" s="1504"/>
      <c r="AC568" s="1504"/>
      <c r="AD568" s="1504"/>
      <c r="AE568" s="1504"/>
      <c r="AF568" s="1504"/>
      <c r="AG568" s="1504"/>
      <c r="AH568" s="1504"/>
      <c r="AI568" s="1504"/>
      <c r="AJ568" s="1504"/>
      <c r="AK568" s="150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67" t="s">
        <v>2752</v>
      </c>
      <c r="H569" s="1467"/>
      <c r="I569" s="1467"/>
      <c r="J569" s="1467"/>
      <c r="K569" s="1467"/>
      <c r="L569" s="1467"/>
      <c r="M569" s="1467"/>
      <c r="N569" s="1467"/>
      <c r="O569" s="1467"/>
      <c r="P569" s="1467"/>
      <c r="Q569" s="1467"/>
      <c r="R569" s="1467"/>
      <c r="S569" s="8"/>
      <c r="T569" s="22"/>
      <c r="U569" t="s">
        <v>85</v>
      </c>
      <c r="Z569" s="1467" t="s">
        <v>2734</v>
      </c>
      <c r="AA569" s="1467"/>
      <c r="AB569" s="1467"/>
      <c r="AC569" s="1467"/>
      <c r="AD569" s="1467"/>
      <c r="AE569" s="1467"/>
      <c r="AF569" s="1467"/>
      <c r="AG569" s="1467"/>
      <c r="AH569" s="1467"/>
      <c r="AI569" s="1467"/>
      <c r="AJ569" s="1467"/>
      <c r="AK569" s="146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67" t="s">
        <v>2753</v>
      </c>
      <c r="H570" s="1467"/>
      <c r="I570" s="1467"/>
      <c r="J570" s="1467"/>
      <c r="K570" s="1467"/>
      <c r="L570" s="1467"/>
      <c r="M570" s="1467"/>
      <c r="N570" s="1467"/>
      <c r="O570" s="1467"/>
      <c r="P570" s="1467"/>
      <c r="Q570" s="1467"/>
      <c r="R570" s="1467"/>
      <c r="T570" s="22"/>
      <c r="U570" t="s">
        <v>588</v>
      </c>
      <c r="Z570" s="1445" t="s">
        <v>204</v>
      </c>
      <c r="AA570" s="1445"/>
      <c r="AB570" s="1445"/>
      <c r="AC570" s="1445"/>
      <c r="AD570" s="1445"/>
      <c r="AE570" s="1445"/>
      <c r="AF570" s="1445"/>
      <c r="AG570" s="1445"/>
      <c r="AH570" s="1445"/>
      <c r="AI570" s="1445"/>
      <c r="AJ570" s="1445"/>
      <c r="AK570" s="144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67" t="s">
        <v>2754</v>
      </c>
      <c r="H571" s="1467"/>
      <c r="I571" s="1467"/>
      <c r="J571" s="1467"/>
      <c r="K571" s="1467"/>
      <c r="L571" s="1467"/>
      <c r="M571" s="1467"/>
      <c r="N571" s="1467"/>
      <c r="O571" s="1467"/>
      <c r="P571" s="1467"/>
      <c r="Q571" s="1467"/>
      <c r="R571" s="1467"/>
      <c r="S571" s="8"/>
      <c r="T571" s="22"/>
      <c r="U571" t="s">
        <v>17</v>
      </c>
      <c r="Z571" s="1445" t="s">
        <v>2653</v>
      </c>
      <c r="AA571" s="1445"/>
      <c r="AB571" s="1445"/>
      <c r="AC571" s="1445"/>
      <c r="AD571" s="1445"/>
      <c r="AE571" s="1445"/>
      <c r="AF571" s="1445"/>
      <c r="AG571" s="1445"/>
      <c r="AH571" s="1445"/>
      <c r="AI571" s="1445"/>
      <c r="AJ571" s="1445"/>
      <c r="AK571" s="144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79">
        <v>6196930574</v>
      </c>
      <c r="H572" s="1479"/>
      <c r="I572" s="1479"/>
      <c r="J572" s="1479"/>
      <c r="K572" s="1479"/>
      <c r="L572" s="1479"/>
      <c r="O572" s="33" t="s">
        <v>207</v>
      </c>
      <c r="P572" s="1487"/>
      <c r="Q572" s="1487"/>
      <c r="R572" s="1487"/>
      <c r="S572" s="10"/>
      <c r="T572" s="22"/>
      <c r="U572" t="s">
        <v>317</v>
      </c>
      <c r="Z572" s="1479">
        <v>8056485008</v>
      </c>
      <c r="AA572" s="1479"/>
      <c r="AB572" s="1479"/>
      <c r="AC572" s="1479"/>
      <c r="AD572" s="1479"/>
      <c r="AE572" s="1479"/>
      <c r="AH572" s="33" t="s">
        <v>207</v>
      </c>
      <c r="AI572" s="1487">
        <v>2223</v>
      </c>
      <c r="AJ572" s="1487"/>
      <c r="AK572" s="148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67" t="s">
        <v>2755</v>
      </c>
      <c r="I573" s="1467"/>
      <c r="J573" s="1467"/>
      <c r="K573" s="1467"/>
      <c r="L573" s="1467"/>
      <c r="M573" s="1467"/>
      <c r="N573" s="1467"/>
      <c r="O573" s="1467"/>
      <c r="P573" s="1467"/>
      <c r="Q573" s="1467"/>
      <c r="R573" s="1467"/>
      <c r="S573" s="8"/>
      <c r="T573" s="22"/>
      <c r="U573" t="s">
        <v>18</v>
      </c>
      <c r="AA573" s="1467" t="s">
        <v>2759</v>
      </c>
      <c r="AB573" s="1467"/>
      <c r="AC573" s="1467"/>
      <c r="AD573" s="1467"/>
      <c r="AE573" s="1467"/>
      <c r="AF573" s="1467"/>
      <c r="AG573" s="1467"/>
      <c r="AH573" s="1467"/>
      <c r="AI573" s="1467"/>
      <c r="AJ573" s="1467"/>
      <c r="AK573" s="146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12"/>
      <c r="N574" s="1512"/>
      <c r="O574" s="1512"/>
      <c r="P574" s="1512"/>
      <c r="Q574" s="1512"/>
      <c r="R574" s="1512"/>
      <c r="S574" s="8"/>
      <c r="T574" s="22"/>
      <c r="U574" s="348" t="s">
        <v>1291</v>
      </c>
      <c r="AA574" s="8"/>
      <c r="AB574" s="8"/>
      <c r="AC574" s="8"/>
      <c r="AD574" s="8"/>
      <c r="AE574" s="8"/>
      <c r="AF574" s="1512"/>
      <c r="AG574" s="1512"/>
      <c r="AH574" s="1512"/>
      <c r="AI574" s="1512"/>
      <c r="AJ574" s="1512"/>
      <c r="AK574" s="151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35" t="s">
        <v>553</v>
      </c>
      <c r="O575" s="1435"/>
      <c r="T575" s="22"/>
      <c r="U575" t="s">
        <v>20</v>
      </c>
      <c r="AG575" s="1435" t="s">
        <v>553</v>
      </c>
      <c r="AH575" s="143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04" t="str">
        <f>C556</f>
        <v>County of Ventura General Funds</v>
      </c>
      <c r="H577" s="1504"/>
      <c r="I577" s="1504"/>
      <c r="J577" s="1504"/>
      <c r="K577" s="1504"/>
      <c r="L577" s="1504"/>
      <c r="M577" s="1504"/>
      <c r="N577" s="1504"/>
      <c r="O577" s="1504"/>
      <c r="P577" s="1504"/>
      <c r="Q577" s="1504"/>
      <c r="R577" s="1504"/>
      <c r="T577" s="55" t="s">
        <v>589</v>
      </c>
      <c r="U577" t="s">
        <v>471</v>
      </c>
      <c r="Z577" s="1504" t="str">
        <f>C557</f>
        <v>HACSB Development Loan</v>
      </c>
      <c r="AA577" s="1504"/>
      <c r="AB577" s="1504"/>
      <c r="AC577" s="1504"/>
      <c r="AD577" s="1504"/>
      <c r="AE577" s="1504"/>
      <c r="AF577" s="1504"/>
      <c r="AG577" s="1504"/>
      <c r="AH577" s="1504"/>
      <c r="AI577" s="1504"/>
      <c r="AJ577" s="1504"/>
      <c r="AK577" s="150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67" t="s">
        <v>2756</v>
      </c>
      <c r="H578" s="1467"/>
      <c r="I578" s="1467"/>
      <c r="J578" s="1467"/>
      <c r="K578" s="1467"/>
      <c r="L578" s="1467"/>
      <c r="M578" s="1467"/>
      <c r="N578" s="1467"/>
      <c r="O578" s="1467"/>
      <c r="P578" s="1467"/>
      <c r="Q578" s="1467"/>
      <c r="R578" s="1467"/>
      <c r="T578" s="22"/>
      <c r="U578" t="s">
        <v>85</v>
      </c>
      <c r="Z578" s="1467" t="str">
        <f>Z569</f>
        <v>995 Riverside St</v>
      </c>
      <c r="AA578" s="1467"/>
      <c r="AB578" s="1467"/>
      <c r="AC578" s="1467"/>
      <c r="AD578" s="1467"/>
      <c r="AE578" s="1467"/>
      <c r="AF578" s="1467"/>
      <c r="AG578" s="1467"/>
      <c r="AH578" s="1467"/>
      <c r="AI578" s="1467"/>
      <c r="AJ578" s="1467"/>
      <c r="AK578" s="146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5" t="s">
        <v>204</v>
      </c>
      <c r="H579" s="1445"/>
      <c r="I579" s="1445"/>
      <c r="J579" s="1445"/>
      <c r="K579" s="1445"/>
      <c r="L579" s="1445"/>
      <c r="M579" s="1445"/>
      <c r="N579" s="1445"/>
      <c r="O579" s="1445"/>
      <c r="P579" s="1445"/>
      <c r="Q579" s="1445"/>
      <c r="R579" s="1445"/>
      <c r="T579" s="22"/>
      <c r="U579" t="s">
        <v>588</v>
      </c>
      <c r="Z579" s="1445" t="str">
        <f t="shared" ref="Z579:Z580" si="1">Z570</f>
        <v>Ventura</v>
      </c>
      <c r="AA579" s="1445"/>
      <c r="AB579" s="1445"/>
      <c r="AC579" s="1445"/>
      <c r="AD579" s="1445"/>
      <c r="AE579" s="1445"/>
      <c r="AF579" s="1445"/>
      <c r="AG579" s="1445"/>
      <c r="AH579" s="1445"/>
      <c r="AI579" s="1445"/>
      <c r="AJ579" s="1445"/>
      <c r="AK579" s="144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5" t="s">
        <v>2757</v>
      </c>
      <c r="H580" s="1445"/>
      <c r="I580" s="1445"/>
      <c r="J580" s="1445"/>
      <c r="K580" s="1445"/>
      <c r="L580" s="1445"/>
      <c r="M580" s="1445"/>
      <c r="N580" s="1445"/>
      <c r="O580" s="1445"/>
      <c r="P580" s="1445"/>
      <c r="Q580" s="1445"/>
      <c r="R580" s="1445"/>
      <c r="T580" s="22"/>
      <c r="U580" t="s">
        <v>17</v>
      </c>
      <c r="Z580" s="1445" t="str">
        <f t="shared" si="1"/>
        <v>Karen Flock</v>
      </c>
      <c r="AA580" s="1445"/>
      <c r="AB580" s="1445"/>
      <c r="AC580" s="1445"/>
      <c r="AD580" s="1445"/>
      <c r="AE580" s="1445"/>
      <c r="AF580" s="1445"/>
      <c r="AG580" s="1445"/>
      <c r="AH580" s="1445"/>
      <c r="AI580" s="1445"/>
      <c r="AJ580" s="1445"/>
      <c r="AK580" s="144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79" t="s">
        <v>2758</v>
      </c>
      <c r="H581" s="1479"/>
      <c r="I581" s="1479"/>
      <c r="J581" s="1479"/>
      <c r="K581" s="1479"/>
      <c r="L581" s="1479"/>
      <c r="O581" s="33" t="s">
        <v>207</v>
      </c>
      <c r="P581" s="1487"/>
      <c r="Q581" s="1487"/>
      <c r="R581" s="1487"/>
      <c r="T581" s="22"/>
      <c r="U581" t="s">
        <v>317</v>
      </c>
      <c r="Z581" s="1479">
        <f>Z572</f>
        <v>8056485008</v>
      </c>
      <c r="AA581" s="1479"/>
      <c r="AB581" s="1479"/>
      <c r="AC581" s="1479"/>
      <c r="AD581" s="1479"/>
      <c r="AE581" s="1479"/>
      <c r="AH581" s="33" t="s">
        <v>207</v>
      </c>
      <c r="AI581" s="1487">
        <f>AI572</f>
        <v>2223</v>
      </c>
      <c r="AJ581" s="1487"/>
      <c r="AK581" s="148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67" t="s">
        <v>2755</v>
      </c>
      <c r="I582" s="1467"/>
      <c r="J582" s="1467"/>
      <c r="K582" s="1467"/>
      <c r="L582" s="1467"/>
      <c r="M582" s="1467"/>
      <c r="N582" s="1467"/>
      <c r="O582" s="1467"/>
      <c r="P582" s="1467"/>
      <c r="Q582" s="1467"/>
      <c r="R582" s="1467"/>
      <c r="T582" s="22"/>
      <c r="U582" t="s">
        <v>18</v>
      </c>
      <c r="AA582" s="1467" t="s">
        <v>2769</v>
      </c>
      <c r="AB582" s="1467"/>
      <c r="AC582" s="1467"/>
      <c r="AD582" s="1467"/>
      <c r="AE582" s="1467"/>
      <c r="AF582" s="1467"/>
      <c r="AG582" s="1467"/>
      <c r="AH582" s="1467"/>
      <c r="AI582" s="1467"/>
      <c r="AJ582" s="1467"/>
      <c r="AK582" s="146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35" t="s">
        <v>553</v>
      </c>
      <c r="O583" s="1435"/>
      <c r="T583" s="22"/>
      <c r="U583" t="s">
        <v>20</v>
      </c>
      <c r="AG583" s="1435" t="s">
        <v>553</v>
      </c>
      <c r="AH583" s="143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04" t="str">
        <f>C558</f>
        <v>Project Homekey COSR</v>
      </c>
      <c r="H585" s="1504"/>
      <c r="I585" s="1504"/>
      <c r="J585" s="1504"/>
      <c r="K585" s="1504"/>
      <c r="L585" s="1504"/>
      <c r="M585" s="1504"/>
      <c r="N585" s="1504"/>
      <c r="O585" s="1504"/>
      <c r="P585" s="1504"/>
      <c r="Q585" s="1504"/>
      <c r="R585" s="1504"/>
      <c r="T585" s="55" t="s">
        <v>592</v>
      </c>
      <c r="U585" t="s">
        <v>471</v>
      </c>
      <c r="Z585" s="1504" t="str">
        <f>C559</f>
        <v>City of Ventura PLHA</v>
      </c>
      <c r="AA585" s="1504"/>
      <c r="AB585" s="1504"/>
      <c r="AC585" s="1504"/>
      <c r="AD585" s="1504"/>
      <c r="AE585" s="1504"/>
      <c r="AF585" s="1504"/>
      <c r="AG585" s="1504"/>
      <c r="AH585" s="1504"/>
      <c r="AI585" s="1504"/>
      <c r="AJ585" s="1504"/>
      <c r="AK585" s="150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67" t="s">
        <v>2762</v>
      </c>
      <c r="H586" s="1467"/>
      <c r="I586" s="1467"/>
      <c r="J586" s="1467"/>
      <c r="K586" s="1467"/>
      <c r="L586" s="1467"/>
      <c r="M586" s="1467"/>
      <c r="N586" s="1467"/>
      <c r="O586" s="1467"/>
      <c r="P586" s="1467"/>
      <c r="Q586" s="1467"/>
      <c r="R586" s="1467"/>
      <c r="T586" s="22"/>
      <c r="U586" t="s">
        <v>85</v>
      </c>
      <c r="Z586" s="1467" t="s">
        <v>2760</v>
      </c>
      <c r="AA586" s="1467"/>
      <c r="AB586" s="1467"/>
      <c r="AC586" s="1467"/>
      <c r="AD586" s="1467"/>
      <c r="AE586" s="1467"/>
      <c r="AF586" s="1467"/>
      <c r="AG586" s="1467"/>
      <c r="AH586" s="1467"/>
      <c r="AI586" s="1467"/>
      <c r="AJ586" s="1467"/>
      <c r="AK586" s="146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67" t="s">
        <v>68</v>
      </c>
      <c r="H587" s="1467"/>
      <c r="I587" s="1467"/>
      <c r="J587" s="1467"/>
      <c r="K587" s="1467"/>
      <c r="L587" s="1467"/>
      <c r="M587" s="1467"/>
      <c r="N587" s="1467"/>
      <c r="O587" s="1467"/>
      <c r="P587" s="1467"/>
      <c r="Q587" s="1467"/>
      <c r="R587" s="1467"/>
      <c r="T587" s="22"/>
      <c r="U587" t="s">
        <v>588</v>
      </c>
      <c r="Z587" s="1445" t="s">
        <v>204</v>
      </c>
      <c r="AA587" s="1445"/>
      <c r="AB587" s="1445"/>
      <c r="AC587" s="1445"/>
      <c r="AD587" s="1445"/>
      <c r="AE587" s="1445"/>
      <c r="AF587" s="1445"/>
      <c r="AG587" s="1445"/>
      <c r="AH587" s="1445"/>
      <c r="AI587" s="1445"/>
      <c r="AJ587" s="1445"/>
      <c r="AK587" s="144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67" t="s">
        <v>2763</v>
      </c>
      <c r="H588" s="1467"/>
      <c r="I588" s="1467"/>
      <c r="J588" s="1467"/>
      <c r="K588" s="1467"/>
      <c r="L588" s="1467"/>
      <c r="M588" s="1467"/>
      <c r="N588" s="1467"/>
      <c r="O588" s="1467"/>
      <c r="P588" s="1467"/>
      <c r="Q588" s="1467"/>
      <c r="R588" s="1467"/>
      <c r="T588" s="22"/>
      <c r="U588" t="s">
        <v>17</v>
      </c>
      <c r="Z588" s="1445" t="s">
        <v>2761</v>
      </c>
      <c r="AA588" s="1445"/>
      <c r="AB588" s="1445"/>
      <c r="AC588" s="1445"/>
      <c r="AD588" s="1445"/>
      <c r="AE588" s="1445"/>
      <c r="AF588" s="1445"/>
      <c r="AG588" s="1445"/>
      <c r="AH588" s="1445"/>
      <c r="AI588" s="1445"/>
      <c r="AJ588" s="1445"/>
      <c r="AK588" s="1445"/>
    </row>
    <row r="589" spans="1:110" ht="12.95" customHeight="1">
      <c r="A589" s="22"/>
      <c r="B589" t="s">
        <v>317</v>
      </c>
      <c r="G589" s="1479" t="s">
        <v>2764</v>
      </c>
      <c r="H589" s="1479"/>
      <c r="I589" s="1479"/>
      <c r="J589" s="1479"/>
      <c r="K589" s="1479"/>
      <c r="L589" s="1479"/>
      <c r="O589" s="33" t="s">
        <v>207</v>
      </c>
      <c r="P589" s="1487"/>
      <c r="Q589" s="1487"/>
      <c r="R589" s="1487"/>
      <c r="T589" s="22"/>
      <c r="U589" t="s">
        <v>317</v>
      </c>
      <c r="Z589" s="1479">
        <v>8056547732</v>
      </c>
      <c r="AA589" s="1479"/>
      <c r="AB589" s="1479"/>
      <c r="AC589" s="1479"/>
      <c r="AD589" s="1479"/>
      <c r="AE589" s="1479"/>
      <c r="AH589" s="33" t="s">
        <v>207</v>
      </c>
      <c r="AI589" s="1487"/>
      <c r="AJ589" s="1487"/>
      <c r="AK589" s="148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67" t="s">
        <v>2765</v>
      </c>
      <c r="I590" s="1467"/>
      <c r="J590" s="1467"/>
      <c r="K590" s="1467"/>
      <c r="L590" s="1467"/>
      <c r="M590" s="1467"/>
      <c r="N590" s="1467"/>
      <c r="O590" s="1467"/>
      <c r="P590" s="1467"/>
      <c r="Q590" s="1467"/>
      <c r="R590" s="1467"/>
      <c r="T590" s="22"/>
      <c r="U590" t="s">
        <v>18</v>
      </c>
      <c r="AA590" s="1467" t="s">
        <v>2755</v>
      </c>
      <c r="AB590" s="1467"/>
      <c r="AC590" s="1467"/>
      <c r="AD590" s="1467"/>
      <c r="AE590" s="1467"/>
      <c r="AF590" s="1467"/>
      <c r="AG590" s="1467"/>
      <c r="AH590" s="1467"/>
      <c r="AI590" s="1467"/>
      <c r="AJ590" s="1467"/>
      <c r="AK590" s="146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35" t="s">
        <v>553</v>
      </c>
      <c r="O591" s="1435"/>
      <c r="T591" s="22"/>
      <c r="U591" t="s">
        <v>20</v>
      </c>
      <c r="AG591" s="1435" t="s">
        <v>553</v>
      </c>
      <c r="AH591" s="143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04" t="str">
        <f>C560</f>
        <v>HACSB Loan</v>
      </c>
      <c r="H593" s="1504"/>
      <c r="I593" s="1504"/>
      <c r="J593" s="1504"/>
      <c r="K593" s="1504"/>
      <c r="L593" s="1504"/>
      <c r="M593" s="1504"/>
      <c r="N593" s="1504"/>
      <c r="O593" s="1504"/>
      <c r="P593" s="1504"/>
      <c r="Q593" s="1504"/>
      <c r="R593" s="1504"/>
      <c r="T593" s="55" t="s">
        <v>464</v>
      </c>
      <c r="U593" t="s">
        <v>471</v>
      </c>
      <c r="Z593" s="1504" t="str">
        <f>C561</f>
        <v>Accrued/Deferred interest</v>
      </c>
      <c r="AA593" s="1504"/>
      <c r="AB593" s="1504"/>
      <c r="AC593" s="1504"/>
      <c r="AD593" s="1504"/>
      <c r="AE593" s="1504"/>
      <c r="AF593" s="1504"/>
      <c r="AG593" s="1504"/>
      <c r="AH593" s="1504"/>
      <c r="AI593" s="1504"/>
      <c r="AJ593" s="1504"/>
      <c r="AK593" s="150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67" t="str">
        <f>Z569</f>
        <v>995 Riverside St</v>
      </c>
      <c r="H594" s="1467"/>
      <c r="I594" s="1467"/>
      <c r="J594" s="1467"/>
      <c r="K594" s="1467"/>
      <c r="L594" s="1467"/>
      <c r="M594" s="1467"/>
      <c r="N594" s="1467"/>
      <c r="O594" s="1467"/>
      <c r="P594" s="1467"/>
      <c r="Q594" s="1467"/>
      <c r="R594" s="1467"/>
      <c r="S594"/>
      <c r="T594" s="22"/>
      <c r="U594" t="s">
        <v>85</v>
      </c>
      <c r="V594"/>
      <c r="W594"/>
      <c r="X594"/>
      <c r="Y594"/>
      <c r="Z594" s="1467"/>
      <c r="AA594" s="1467"/>
      <c r="AB594" s="1467"/>
      <c r="AC594" s="1467"/>
      <c r="AD594" s="1467"/>
      <c r="AE594" s="1467"/>
      <c r="AF594" s="1467"/>
      <c r="AG594" s="1467"/>
      <c r="AH594" s="1467"/>
      <c r="AI594" s="1467"/>
      <c r="AJ594" s="1467"/>
      <c r="AK594" s="146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67" t="str">
        <f t="shared" ref="G595:G596" si="2">Z570</f>
        <v>Ventura</v>
      </c>
      <c r="H595" s="1467"/>
      <c r="I595" s="1467"/>
      <c r="J595" s="1467"/>
      <c r="K595" s="1467"/>
      <c r="L595" s="1467"/>
      <c r="M595" s="1467"/>
      <c r="N595" s="1467"/>
      <c r="O595" s="1467"/>
      <c r="P595" s="1467"/>
      <c r="Q595" s="1467"/>
      <c r="R595" s="1467"/>
      <c r="S595"/>
      <c r="T595" s="22"/>
      <c r="U595" t="s">
        <v>588</v>
      </c>
      <c r="V595"/>
      <c r="W595"/>
      <c r="X595"/>
      <c r="Y595"/>
      <c r="Z595" s="1445"/>
      <c r="AA595" s="1445"/>
      <c r="AB595" s="1445"/>
      <c r="AC595" s="1445"/>
      <c r="AD595" s="1445"/>
      <c r="AE595" s="1445"/>
      <c r="AF595" s="1445"/>
      <c r="AG595" s="1445"/>
      <c r="AH595" s="1445"/>
      <c r="AI595" s="1445"/>
      <c r="AJ595" s="1445"/>
      <c r="AK595" s="144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67" t="str">
        <f t="shared" si="2"/>
        <v>Karen Flock</v>
      </c>
      <c r="H596" s="1467"/>
      <c r="I596" s="1467"/>
      <c r="J596" s="1467"/>
      <c r="K596" s="1467"/>
      <c r="L596" s="1467"/>
      <c r="M596" s="1467"/>
      <c r="N596" s="1467"/>
      <c r="O596" s="1467"/>
      <c r="P596" s="1467"/>
      <c r="Q596" s="1467"/>
      <c r="R596" s="1467"/>
      <c r="S596"/>
      <c r="T596" s="22"/>
      <c r="U596" t="s">
        <v>17</v>
      </c>
      <c r="V596"/>
      <c r="W596"/>
      <c r="X596"/>
      <c r="Y596"/>
      <c r="Z596" s="1445"/>
      <c r="AA596" s="1445"/>
      <c r="AB596" s="1445"/>
      <c r="AC596" s="1445"/>
      <c r="AD596" s="1445"/>
      <c r="AE596" s="1445"/>
      <c r="AF596" s="1445"/>
      <c r="AG596" s="1445"/>
      <c r="AH596" s="1445"/>
      <c r="AI596" s="1445"/>
      <c r="AJ596" s="1445"/>
      <c r="AK596" s="1445"/>
      <c r="AL596"/>
      <c r="AM596"/>
      <c r="AN596"/>
      <c r="AO596"/>
      <c r="AP596"/>
      <c r="AQ596"/>
      <c r="AR596"/>
      <c r="AS596"/>
      <c r="AT596"/>
      <c r="AU596"/>
      <c r="AV596"/>
      <c r="AW596"/>
      <c r="AX596"/>
      <c r="AY596"/>
      <c r="BA596" s="4" t="s">
        <v>325</v>
      </c>
      <c r="BB596" s="3"/>
      <c r="BC596" s="3"/>
      <c r="BD596" s="3"/>
      <c r="BE596" s="121" t="s">
        <v>482</v>
      </c>
      <c r="BF596" s="122"/>
      <c r="BG596" s="1389"/>
      <c r="BH596" s="1390"/>
      <c r="BI596" s="121" t="s">
        <v>483</v>
      </c>
      <c r="BJ596" s="122"/>
      <c r="BK596" s="1389"/>
      <c r="BL596" s="1390"/>
      <c r="BM596" s="3"/>
      <c r="BN596" s="1517" t="s">
        <v>641</v>
      </c>
      <c r="BO596" s="1518"/>
      <c r="BP596" s="1518"/>
      <c r="BQ596" s="1518"/>
      <c r="BR596" s="1519"/>
      <c r="BS596" s="1510" t="s">
        <v>326</v>
      </c>
      <c r="BT596" s="1510"/>
      <c r="BU596" s="1510"/>
      <c r="BV596" s="1510"/>
      <c r="BW596" s="1510"/>
      <c r="BX596" s="1510" t="s">
        <v>163</v>
      </c>
      <c r="BY596" s="1510"/>
      <c r="BZ596" s="1510"/>
      <c r="CA596" s="1510"/>
      <c r="CB596" s="1510"/>
      <c r="CC596" s="1510" t="s">
        <v>164</v>
      </c>
      <c r="CD596" s="1510"/>
      <c r="CE596" s="1510"/>
      <c r="CF596" s="1510"/>
      <c r="CG596" s="1510"/>
      <c r="CH596" s="1510" t="s">
        <v>468</v>
      </c>
      <c r="CI596" s="1510"/>
      <c r="CJ596" s="1510"/>
      <c r="CK596" s="1510"/>
      <c r="CL596" s="1510"/>
      <c r="CM596" s="1510" t="s">
        <v>30</v>
      </c>
      <c r="CN596" s="1510"/>
      <c r="CO596" s="1510"/>
      <c r="CP596" s="1510"/>
      <c r="CQ596" s="1510"/>
      <c r="CR596" s="89"/>
      <c r="CS596" s="1510" t="s">
        <v>641</v>
      </c>
      <c r="CT596" s="1510"/>
      <c r="CU596" s="1510"/>
      <c r="CV596" s="1510"/>
      <c r="CW596" s="1510"/>
      <c r="CX596" s="1510" t="s">
        <v>326</v>
      </c>
      <c r="CY596" s="1510"/>
      <c r="CZ596" s="1510"/>
      <c r="DA596" s="1510"/>
      <c r="DB596" s="1510"/>
      <c r="DC596" s="1510" t="s">
        <v>163</v>
      </c>
      <c r="DD596" s="1510"/>
      <c r="DE596" s="1510"/>
      <c r="DF596" s="1510"/>
      <c r="DG596" s="1510"/>
      <c r="DH596" s="1510" t="s">
        <v>164</v>
      </c>
      <c r="DI596" s="1510"/>
      <c r="DJ596" s="1510"/>
      <c r="DK596" s="1510"/>
      <c r="DL596" s="1510"/>
      <c r="DM596" s="1510" t="s">
        <v>468</v>
      </c>
      <c r="DN596" s="1510"/>
      <c r="DO596" s="1510"/>
      <c r="DP596" s="1510"/>
      <c r="DQ596" s="1510"/>
      <c r="DR596" s="1510" t="s">
        <v>30</v>
      </c>
      <c r="DS596" s="1510"/>
      <c r="DT596" s="1510"/>
      <c r="DU596" s="1510"/>
      <c r="DV596" s="1510"/>
      <c r="DX596" s="1510" t="s">
        <v>641</v>
      </c>
      <c r="DY596" s="1510"/>
      <c r="DZ596" s="1510"/>
      <c r="EA596" s="1510"/>
      <c r="EB596" s="1510"/>
      <c r="EC596" s="1510" t="s">
        <v>326</v>
      </c>
      <c r="ED596" s="1510"/>
      <c r="EE596" s="1510"/>
      <c r="EF596" s="1510"/>
      <c r="EG596" s="1510"/>
      <c r="EH596" s="1510" t="s">
        <v>163</v>
      </c>
      <c r="EI596" s="1510"/>
      <c r="EJ596" s="1510"/>
      <c r="EK596" s="1510"/>
      <c r="EL596" s="1510"/>
      <c r="EM596" s="1510" t="s">
        <v>164</v>
      </c>
      <c r="EN596" s="1510"/>
      <c r="EO596" s="1510"/>
      <c r="EP596" s="1510"/>
      <c r="EQ596" s="1510"/>
      <c r="ER596" s="1510" t="s">
        <v>468</v>
      </c>
      <c r="ES596" s="1510"/>
      <c r="ET596" s="1510"/>
      <c r="EU596" s="1510"/>
      <c r="EV596" s="1510"/>
      <c r="EW596" s="1510" t="s">
        <v>30</v>
      </c>
      <c r="EX596" s="1510"/>
      <c r="EY596" s="1510"/>
      <c r="EZ596" s="1510"/>
      <c r="FA596" s="1510"/>
    </row>
    <row r="597" spans="1:157" s="4" customFormat="1" ht="12.95" customHeight="1">
      <c r="A597" s="22"/>
      <c r="B597" t="s">
        <v>317</v>
      </c>
      <c r="C597"/>
      <c r="D597"/>
      <c r="E597"/>
      <c r="F597"/>
      <c r="G597" s="1479">
        <v>8056485008</v>
      </c>
      <c r="H597" s="1479"/>
      <c r="I597" s="1479"/>
      <c r="J597" s="1479"/>
      <c r="K597" s="1479"/>
      <c r="L597" s="1479"/>
      <c r="M597"/>
      <c r="N597"/>
      <c r="O597" s="33" t="s">
        <v>207</v>
      </c>
      <c r="P597" s="1487">
        <v>2223</v>
      </c>
      <c r="Q597" s="1487"/>
      <c r="R597" s="1487"/>
      <c r="S597"/>
      <c r="T597" s="22"/>
      <c r="U597" t="s">
        <v>317</v>
      </c>
      <c r="V597"/>
      <c r="W597"/>
      <c r="X597"/>
      <c r="Y597"/>
      <c r="Z597" s="1479"/>
      <c r="AA597" s="1479"/>
      <c r="AB597" s="1479"/>
      <c r="AC597" s="1479"/>
      <c r="AD597" s="1479"/>
      <c r="AE597" s="1479"/>
      <c r="AF597"/>
      <c r="AG597"/>
      <c r="AH597" s="33" t="s">
        <v>207</v>
      </c>
      <c r="AI597" s="1487"/>
      <c r="AJ597" s="1487"/>
      <c r="AK597" s="1487"/>
      <c r="AL597"/>
      <c r="AM597"/>
      <c r="AN597"/>
      <c r="AO597"/>
      <c r="AP597"/>
      <c r="AQ597"/>
      <c r="AR597"/>
      <c r="AS597"/>
      <c r="AT597"/>
      <c r="AU597"/>
      <c r="AV597"/>
      <c r="AW597"/>
      <c r="AX597"/>
      <c r="AY597"/>
      <c r="BA597" s="4" t="s">
        <v>326</v>
      </c>
      <c r="BB597" s="3"/>
      <c r="BC597" s="3"/>
      <c r="BD597" s="3"/>
      <c r="BE597" s="1380">
        <f t="shared" ref="BE597:BE631" si="3">IF(AND(AC718&lt;=0.5,AC718&gt;=0.36),1,0)</f>
        <v>1</v>
      </c>
      <c r="BF597" s="1382"/>
      <c r="BG597" s="1389">
        <f t="shared" ref="BG597:BG631" si="4">IF(BE597=1,G718,0)</f>
        <v>34</v>
      </c>
      <c r="BH597" s="1390"/>
      <c r="BI597" s="1380">
        <f t="shared" ref="BI597:BI631" si="5">IF(AND(AC718&lt;=0.35,AC718&gt;0),1,0)</f>
        <v>0</v>
      </c>
      <c r="BJ597" s="1382"/>
      <c r="BK597" s="1389">
        <f t="shared" ref="BK597:BK631" si="6">IF(BI597=1,G718,0)</f>
        <v>0</v>
      </c>
      <c r="BL597" s="1390"/>
      <c r="BM597" s="3"/>
      <c r="BN597" s="1385">
        <f t="shared" ref="BN597:BN631" si="7">IF(B718="SRO/Studio",G718,0)</f>
        <v>34</v>
      </c>
      <c r="BO597" s="1386"/>
      <c r="BP597" s="1386"/>
      <c r="BQ597" s="1386"/>
      <c r="BR597" s="1387"/>
      <c r="BS597" s="1388">
        <f t="shared" ref="BS597:BS631" si="8">IF(B718="1 Bedroom",G718,0)</f>
        <v>0</v>
      </c>
      <c r="BT597" s="1388"/>
      <c r="BU597" s="1388"/>
      <c r="BV597" s="1388"/>
      <c r="BW597" s="1388"/>
      <c r="BX597" s="1388">
        <f t="shared" ref="BX597:BX631" si="9">IF(B718="2 Bedrooms",G718,0)</f>
        <v>0</v>
      </c>
      <c r="BY597" s="1388"/>
      <c r="BZ597" s="1388"/>
      <c r="CA597" s="1388"/>
      <c r="CB597" s="1388"/>
      <c r="CC597" s="1388">
        <f t="shared" ref="CC597:CC631" si="10">IF(B718="3 Bedrooms",G718,0)</f>
        <v>0</v>
      </c>
      <c r="CD597" s="1388"/>
      <c r="CE597" s="1388"/>
      <c r="CF597" s="1388"/>
      <c r="CG597" s="1388"/>
      <c r="CH597" s="1388">
        <f t="shared" ref="CH597:CH631" si="11">IF(B718="4 Bedrooms",G718,0)</f>
        <v>0</v>
      </c>
      <c r="CI597" s="1388"/>
      <c r="CJ597" s="1388"/>
      <c r="CK597" s="1388"/>
      <c r="CL597" s="1388"/>
      <c r="CM597" s="1388">
        <f t="shared" ref="CM597:CM631" si="12">IF(B718="5 Bedrooms",G718,0)</f>
        <v>0</v>
      </c>
      <c r="CN597" s="1388"/>
      <c r="CO597" s="1388"/>
      <c r="CP597" s="1388"/>
      <c r="CQ597" s="1388"/>
      <c r="CR597" s="6"/>
      <c r="CS597" s="1384">
        <f t="shared" ref="CS597:CS631" si="13">IF(AND(B718="SRO/Studio",AC718&lt;=0.3),G718,0)</f>
        <v>0</v>
      </c>
      <c r="CT597" s="1384"/>
      <c r="CU597" s="1384"/>
      <c r="CV597" s="1384"/>
      <c r="CW597" s="1384"/>
      <c r="CX597" s="1384">
        <f t="shared" ref="CX597:CX631" si="14">IF(AND(B718="1 Bedroom",AC718&lt;=0.3),G718,0)</f>
        <v>0</v>
      </c>
      <c r="CY597" s="1384"/>
      <c r="CZ597" s="1384"/>
      <c r="DA597" s="1384"/>
      <c r="DB597" s="1384"/>
      <c r="DC597" s="1384">
        <f t="shared" ref="DC597:DC631" si="15">IF(AND(B718="2 Bedrooms",AC718&lt;=0.3),G718,0)</f>
        <v>0</v>
      </c>
      <c r="DD597" s="1384"/>
      <c r="DE597" s="1384"/>
      <c r="DF597" s="1384"/>
      <c r="DG597" s="1384"/>
      <c r="DH597" s="1384">
        <f t="shared" ref="DH597:DH631" si="16">IF(AND(B718="3 Bedrooms",AC718&lt;=0.3),G718,0)</f>
        <v>0</v>
      </c>
      <c r="DI597" s="1384"/>
      <c r="DJ597" s="1384"/>
      <c r="DK597" s="1384"/>
      <c r="DL597" s="1384"/>
      <c r="DM597" s="1384">
        <f t="shared" ref="DM597:DM631" si="17">IF(AND(B718="4 Bedrooms",AC718&lt;=0.3),G718,0)</f>
        <v>0</v>
      </c>
      <c r="DN597" s="1384"/>
      <c r="DO597" s="1384"/>
      <c r="DP597" s="1384"/>
      <c r="DQ597" s="1384"/>
      <c r="DR597" s="1384">
        <f t="shared" ref="DR597:DR631" si="18">IF(AND(B718="5 Bedrooms",AC718&lt;=0.3),G718,0)</f>
        <v>0</v>
      </c>
      <c r="DS597" s="1384"/>
      <c r="DT597" s="1384"/>
      <c r="DU597" s="1384"/>
      <c r="DV597" s="1384"/>
      <c r="DX597" s="1380">
        <f t="shared" ref="DX597:DX631" si="19">IF(BN597&gt;0,O718,"")</f>
        <v>1162</v>
      </c>
      <c r="DY597" s="1381"/>
      <c r="DZ597" s="1381"/>
      <c r="EA597" s="1381"/>
      <c r="EB597" s="1382"/>
      <c r="EC597" s="1380" t="str">
        <f t="shared" ref="EC597:EC631" si="20">IF(BS597&gt;0,O718,"")</f>
        <v/>
      </c>
      <c r="ED597" s="1381"/>
      <c r="EE597" s="1381"/>
      <c r="EF597" s="1381"/>
      <c r="EG597" s="1382"/>
      <c r="EH597" s="1380" t="str">
        <f t="shared" ref="EH597:EH631" si="21">IF(BX597&gt;0,O718,"")</f>
        <v/>
      </c>
      <c r="EI597" s="1381"/>
      <c r="EJ597" s="1381"/>
      <c r="EK597" s="1381"/>
      <c r="EL597" s="1382"/>
      <c r="EM597" s="1380" t="str">
        <f t="shared" ref="EM597:EM631" si="22">IF(CC597&gt;0,O718,"")</f>
        <v/>
      </c>
      <c r="EN597" s="1381"/>
      <c r="EO597" s="1381"/>
      <c r="EP597" s="1381"/>
      <c r="EQ597" s="1382"/>
      <c r="ER597" s="1380" t="str">
        <f t="shared" ref="ER597:ER631" si="23">IF(CH597&gt;0,O718,"")</f>
        <v/>
      </c>
      <c r="ES597" s="1381"/>
      <c r="ET597" s="1381"/>
      <c r="EU597" s="1381"/>
      <c r="EV597" s="1382"/>
      <c r="EW597" s="1380" t="str">
        <f t="shared" ref="EW597:EW631" si="24">IF(CM597&gt;0,O718,"")</f>
        <v/>
      </c>
      <c r="EX597" s="1381"/>
      <c r="EY597" s="1381"/>
      <c r="EZ597" s="1381"/>
      <c r="FA597" s="1382"/>
    </row>
    <row r="598" spans="1:157" s="4" customFormat="1" ht="12.95" customHeight="1">
      <c r="A598" s="22"/>
      <c r="B598" t="s">
        <v>18</v>
      </c>
      <c r="C598"/>
      <c r="D598"/>
      <c r="E598"/>
      <c r="F598"/>
      <c r="G598"/>
      <c r="H598" s="1467" t="s">
        <v>2766</v>
      </c>
      <c r="I598" s="1467"/>
      <c r="J598" s="1467"/>
      <c r="K598" s="1467"/>
      <c r="L598" s="1467"/>
      <c r="M598" s="1467"/>
      <c r="N598" s="1467"/>
      <c r="O598" s="1467"/>
      <c r="P598" s="1467"/>
      <c r="Q598" s="1467"/>
      <c r="R598" s="1467"/>
      <c r="S598"/>
      <c r="T598" s="22"/>
      <c r="U598" t="s">
        <v>18</v>
      </c>
      <c r="V598"/>
      <c r="W598"/>
      <c r="X598"/>
      <c r="Y598"/>
      <c r="Z598"/>
      <c r="AA598" s="1467"/>
      <c r="AB598" s="1467"/>
      <c r="AC598" s="1467"/>
      <c r="AD598" s="1467"/>
      <c r="AE598" s="1467"/>
      <c r="AF598" s="1467"/>
      <c r="AG598" s="1467"/>
      <c r="AH598" s="1467"/>
      <c r="AI598" s="1467"/>
      <c r="AJ598" s="1467"/>
      <c r="AK598" s="1467"/>
      <c r="AL598"/>
      <c r="AM598"/>
      <c r="AN598"/>
      <c r="AO598"/>
      <c r="AP598"/>
      <c r="AQ598"/>
      <c r="AR598"/>
      <c r="AS598"/>
      <c r="AT598"/>
      <c r="AU598"/>
      <c r="AV598"/>
      <c r="AW598"/>
      <c r="AX598"/>
      <c r="AY598"/>
      <c r="BA598" s="4" t="s">
        <v>163</v>
      </c>
      <c r="BB598" s="3"/>
      <c r="BC598" s="3"/>
      <c r="BD598" s="3"/>
      <c r="BE598" s="1380">
        <f t="shared" si="3"/>
        <v>1</v>
      </c>
      <c r="BF598" s="1382"/>
      <c r="BG598" s="1389">
        <f t="shared" si="4"/>
        <v>3</v>
      </c>
      <c r="BH598" s="1390"/>
      <c r="BI598" s="1380">
        <f t="shared" si="5"/>
        <v>0</v>
      </c>
      <c r="BJ598" s="1382"/>
      <c r="BK598" s="1389">
        <f t="shared" si="6"/>
        <v>0</v>
      </c>
      <c r="BL598" s="1390"/>
      <c r="BM598" s="3"/>
      <c r="BN598" s="1385">
        <f t="shared" si="7"/>
        <v>3</v>
      </c>
      <c r="BO598" s="1386"/>
      <c r="BP598" s="1386"/>
      <c r="BQ598" s="1386"/>
      <c r="BR598" s="1387"/>
      <c r="BS598" s="1388">
        <f t="shared" si="8"/>
        <v>0</v>
      </c>
      <c r="BT598" s="1388"/>
      <c r="BU598" s="1388"/>
      <c r="BV598" s="1388"/>
      <c r="BW598" s="1388"/>
      <c r="BX598" s="1388">
        <f t="shared" si="9"/>
        <v>0</v>
      </c>
      <c r="BY598" s="1388"/>
      <c r="BZ598" s="1388"/>
      <c r="CA598" s="1388"/>
      <c r="CB598" s="1388"/>
      <c r="CC598" s="1388">
        <f t="shared" si="10"/>
        <v>0</v>
      </c>
      <c r="CD598" s="1388"/>
      <c r="CE598" s="1388"/>
      <c r="CF598" s="1388"/>
      <c r="CG598" s="1388"/>
      <c r="CH598" s="1388">
        <f t="shared" si="11"/>
        <v>0</v>
      </c>
      <c r="CI598" s="1388"/>
      <c r="CJ598" s="1388"/>
      <c r="CK598" s="1388"/>
      <c r="CL598" s="1388"/>
      <c r="CM598" s="1388">
        <f t="shared" si="12"/>
        <v>0</v>
      </c>
      <c r="CN598" s="1388"/>
      <c r="CO598" s="1388"/>
      <c r="CP598" s="1388"/>
      <c r="CQ598" s="1388"/>
      <c r="CR598" s="6"/>
      <c r="CS598" s="1384">
        <f t="shared" si="13"/>
        <v>0</v>
      </c>
      <c r="CT598" s="1384"/>
      <c r="CU598" s="1384"/>
      <c r="CV598" s="1384"/>
      <c r="CW598" s="1384"/>
      <c r="CX598" s="1384">
        <f t="shared" si="14"/>
        <v>0</v>
      </c>
      <c r="CY598" s="1384"/>
      <c r="CZ598" s="1384"/>
      <c r="DA598" s="1384"/>
      <c r="DB598" s="1384"/>
      <c r="DC598" s="1384">
        <f t="shared" si="15"/>
        <v>0</v>
      </c>
      <c r="DD598" s="1384"/>
      <c r="DE598" s="1384"/>
      <c r="DF598" s="1384"/>
      <c r="DG598" s="1384"/>
      <c r="DH598" s="1384">
        <f t="shared" si="16"/>
        <v>0</v>
      </c>
      <c r="DI598" s="1384"/>
      <c r="DJ598" s="1384"/>
      <c r="DK598" s="1384"/>
      <c r="DL598" s="1384"/>
      <c r="DM598" s="1384">
        <f t="shared" si="17"/>
        <v>0</v>
      </c>
      <c r="DN598" s="1384"/>
      <c r="DO598" s="1384"/>
      <c r="DP598" s="1384"/>
      <c r="DQ598" s="1384"/>
      <c r="DR598" s="1384">
        <f t="shared" si="18"/>
        <v>0</v>
      </c>
      <c r="DS598" s="1384"/>
      <c r="DT598" s="1384"/>
      <c r="DU598" s="1384"/>
      <c r="DV598" s="1384"/>
      <c r="DX598" s="1380">
        <f t="shared" si="19"/>
        <v>929.6</v>
      </c>
      <c r="DY598" s="1381"/>
      <c r="DZ598" s="1381"/>
      <c r="EA598" s="1381"/>
      <c r="EB598" s="1382"/>
      <c r="EC598" s="1380" t="str">
        <f t="shared" si="20"/>
        <v/>
      </c>
      <c r="ED598" s="1381"/>
      <c r="EE598" s="1381"/>
      <c r="EF598" s="1381"/>
      <c r="EG598" s="1382"/>
      <c r="EH598" s="1380" t="str">
        <f t="shared" si="21"/>
        <v/>
      </c>
      <c r="EI598" s="1381"/>
      <c r="EJ598" s="1381"/>
      <c r="EK598" s="1381"/>
      <c r="EL598" s="1382"/>
      <c r="EM598" s="1380" t="str">
        <f t="shared" si="22"/>
        <v/>
      </c>
      <c r="EN598" s="1381"/>
      <c r="EO598" s="1381"/>
      <c r="EP598" s="1381"/>
      <c r="EQ598" s="1382"/>
      <c r="ER598" s="1380" t="str">
        <f t="shared" si="23"/>
        <v/>
      </c>
      <c r="ES598" s="1381"/>
      <c r="ET598" s="1381"/>
      <c r="EU598" s="1381"/>
      <c r="EV598" s="1382"/>
      <c r="EW598" s="1380" t="str">
        <f t="shared" si="24"/>
        <v/>
      </c>
      <c r="EX598" s="1381"/>
      <c r="EY598" s="1381"/>
      <c r="EZ598" s="1381"/>
      <c r="FA598" s="1382"/>
    </row>
    <row r="599" spans="1:157" ht="12.95" customHeight="1">
      <c r="A599" s="22"/>
      <c r="B599" t="s">
        <v>20</v>
      </c>
      <c r="N599" s="1435" t="s">
        <v>553</v>
      </c>
      <c r="O599" s="1435"/>
      <c r="T599" s="22"/>
      <c r="U599" t="s">
        <v>20</v>
      </c>
      <c r="AG599" s="1435" t="s">
        <v>553</v>
      </c>
      <c r="AH599" s="1435"/>
      <c r="BA599" s="4" t="s">
        <v>164</v>
      </c>
      <c r="BB599" s="3"/>
      <c r="BC599" s="3"/>
      <c r="BD599" s="3"/>
      <c r="BE599" s="1380">
        <f t="shared" si="3"/>
        <v>0</v>
      </c>
      <c r="BF599" s="1382"/>
      <c r="BG599" s="1389">
        <f t="shared" si="4"/>
        <v>0</v>
      </c>
      <c r="BH599" s="1390"/>
      <c r="BI599" s="1380">
        <f t="shared" si="5"/>
        <v>1</v>
      </c>
      <c r="BJ599" s="1382"/>
      <c r="BK599" s="1389">
        <f t="shared" si="6"/>
        <v>17</v>
      </c>
      <c r="BL599" s="1390"/>
      <c r="BM599" s="3"/>
      <c r="BN599" s="1385">
        <f t="shared" si="7"/>
        <v>17</v>
      </c>
      <c r="BO599" s="1386"/>
      <c r="BP599" s="1386"/>
      <c r="BQ599" s="1386"/>
      <c r="BR599" s="1387"/>
      <c r="BS599" s="1388">
        <f t="shared" si="8"/>
        <v>0</v>
      </c>
      <c r="BT599" s="1388"/>
      <c r="BU599" s="1388"/>
      <c r="BV599" s="1388"/>
      <c r="BW599" s="1388"/>
      <c r="BX599" s="1388">
        <f t="shared" si="9"/>
        <v>0</v>
      </c>
      <c r="BY599" s="1388"/>
      <c r="BZ599" s="1388"/>
      <c r="CA599" s="1388"/>
      <c r="CB599" s="1388"/>
      <c r="CC599" s="1388">
        <f t="shared" si="10"/>
        <v>0</v>
      </c>
      <c r="CD599" s="1388"/>
      <c r="CE599" s="1388"/>
      <c r="CF599" s="1388"/>
      <c r="CG599" s="1388"/>
      <c r="CH599" s="1388">
        <f t="shared" si="11"/>
        <v>0</v>
      </c>
      <c r="CI599" s="1388"/>
      <c r="CJ599" s="1388"/>
      <c r="CK599" s="1388"/>
      <c r="CL599" s="1388"/>
      <c r="CM599" s="1388">
        <f t="shared" si="12"/>
        <v>0</v>
      </c>
      <c r="CN599" s="1388"/>
      <c r="CO599" s="1388"/>
      <c r="CP599" s="1388"/>
      <c r="CQ599" s="1388"/>
      <c r="CR599" s="6"/>
      <c r="CS599" s="1384">
        <f t="shared" si="13"/>
        <v>17</v>
      </c>
      <c r="CT599" s="1384"/>
      <c r="CU599" s="1384"/>
      <c r="CV599" s="1384"/>
      <c r="CW599" s="1384"/>
      <c r="CX599" s="1384">
        <f t="shared" si="14"/>
        <v>0</v>
      </c>
      <c r="CY599" s="1384"/>
      <c r="CZ599" s="1384"/>
      <c r="DA599" s="1384"/>
      <c r="DB599" s="1384"/>
      <c r="DC599" s="1384">
        <f t="shared" si="15"/>
        <v>0</v>
      </c>
      <c r="DD599" s="1384"/>
      <c r="DE599" s="1384"/>
      <c r="DF599" s="1384"/>
      <c r="DG599" s="1384"/>
      <c r="DH599" s="1384">
        <f t="shared" si="16"/>
        <v>0</v>
      </c>
      <c r="DI599" s="1384"/>
      <c r="DJ599" s="1384"/>
      <c r="DK599" s="1384"/>
      <c r="DL599" s="1384"/>
      <c r="DM599" s="1384">
        <f t="shared" si="17"/>
        <v>0</v>
      </c>
      <c r="DN599" s="1384"/>
      <c r="DO599" s="1384"/>
      <c r="DP599" s="1384"/>
      <c r="DQ599" s="1384"/>
      <c r="DR599" s="1384">
        <f t="shared" si="18"/>
        <v>0</v>
      </c>
      <c r="DS599" s="1384"/>
      <c r="DT599" s="1384"/>
      <c r="DU599" s="1384"/>
      <c r="DV599" s="1384"/>
      <c r="DX599" s="1380">
        <f t="shared" si="19"/>
        <v>697</v>
      </c>
      <c r="DY599" s="1381"/>
      <c r="DZ599" s="1381"/>
      <c r="EA599" s="1381"/>
      <c r="EB599" s="1382"/>
      <c r="EC599" s="1380" t="str">
        <f t="shared" si="20"/>
        <v/>
      </c>
      <c r="ED599" s="1381"/>
      <c r="EE599" s="1381"/>
      <c r="EF599" s="1381"/>
      <c r="EG599" s="1382"/>
      <c r="EH599" s="1380" t="str">
        <f t="shared" si="21"/>
        <v/>
      </c>
      <c r="EI599" s="1381"/>
      <c r="EJ599" s="1381"/>
      <c r="EK599" s="1381"/>
      <c r="EL599" s="1382"/>
      <c r="EM599" s="1380" t="str">
        <f t="shared" si="22"/>
        <v/>
      </c>
      <c r="EN599" s="1381"/>
      <c r="EO599" s="1381"/>
      <c r="EP599" s="1381"/>
      <c r="EQ599" s="1382"/>
      <c r="ER599" s="1380" t="str">
        <f t="shared" si="23"/>
        <v/>
      </c>
      <c r="ES599" s="1381"/>
      <c r="ET599" s="1381"/>
      <c r="EU599" s="1381"/>
      <c r="EV599" s="1382"/>
      <c r="EW599" s="1380" t="str">
        <f t="shared" si="24"/>
        <v/>
      </c>
      <c r="EX599" s="1381"/>
      <c r="EY599" s="1381"/>
      <c r="EZ599" s="1381"/>
      <c r="FA599" s="1382"/>
    </row>
    <row r="600" spans="1:157" ht="12.95" customHeight="1">
      <c r="A600" s="22"/>
      <c r="T600" s="22"/>
      <c r="BA600" s="4" t="s">
        <v>165</v>
      </c>
      <c r="BB600" s="3"/>
      <c r="BC600" s="3"/>
      <c r="BD600" s="3"/>
      <c r="BE600" s="1380">
        <f t="shared" si="3"/>
        <v>0</v>
      </c>
      <c r="BF600" s="1382"/>
      <c r="BG600" s="1389">
        <f t="shared" si="4"/>
        <v>0</v>
      </c>
      <c r="BH600" s="1390"/>
      <c r="BI600" s="1380">
        <f t="shared" si="5"/>
        <v>1</v>
      </c>
      <c r="BJ600" s="1382"/>
      <c r="BK600" s="1389">
        <f t="shared" si="6"/>
        <v>6</v>
      </c>
      <c r="BL600" s="1390"/>
      <c r="BM600" s="3"/>
      <c r="BN600" s="1385">
        <f t="shared" si="7"/>
        <v>6</v>
      </c>
      <c r="BO600" s="1386"/>
      <c r="BP600" s="1386"/>
      <c r="BQ600" s="1386"/>
      <c r="BR600" s="1387"/>
      <c r="BS600" s="1388">
        <f t="shared" si="8"/>
        <v>0</v>
      </c>
      <c r="BT600" s="1388"/>
      <c r="BU600" s="1388"/>
      <c r="BV600" s="1388"/>
      <c r="BW600" s="1388"/>
      <c r="BX600" s="1388">
        <f t="shared" si="9"/>
        <v>0</v>
      </c>
      <c r="BY600" s="1388"/>
      <c r="BZ600" s="1388"/>
      <c r="CA600" s="1388"/>
      <c r="CB600" s="1388"/>
      <c r="CC600" s="1388">
        <f t="shared" si="10"/>
        <v>0</v>
      </c>
      <c r="CD600" s="1388"/>
      <c r="CE600" s="1388"/>
      <c r="CF600" s="1388"/>
      <c r="CG600" s="1388"/>
      <c r="CH600" s="1388">
        <f t="shared" si="11"/>
        <v>0</v>
      </c>
      <c r="CI600" s="1388"/>
      <c r="CJ600" s="1388"/>
      <c r="CK600" s="1388"/>
      <c r="CL600" s="1388"/>
      <c r="CM600" s="1388">
        <f t="shared" si="12"/>
        <v>0</v>
      </c>
      <c r="CN600" s="1388"/>
      <c r="CO600" s="1388"/>
      <c r="CP600" s="1388"/>
      <c r="CQ600" s="1388"/>
      <c r="CR600" s="6"/>
      <c r="CS600" s="1384">
        <f t="shared" si="13"/>
        <v>6</v>
      </c>
      <c r="CT600" s="1384"/>
      <c r="CU600" s="1384"/>
      <c r="CV600" s="1384"/>
      <c r="CW600" s="1384"/>
      <c r="CX600" s="1384">
        <f t="shared" si="14"/>
        <v>0</v>
      </c>
      <c r="CY600" s="1384"/>
      <c r="CZ600" s="1384"/>
      <c r="DA600" s="1384"/>
      <c r="DB600" s="1384"/>
      <c r="DC600" s="1384">
        <f t="shared" si="15"/>
        <v>0</v>
      </c>
      <c r="DD600" s="1384"/>
      <c r="DE600" s="1384"/>
      <c r="DF600" s="1384"/>
      <c r="DG600" s="1384"/>
      <c r="DH600" s="1384">
        <f t="shared" si="16"/>
        <v>0</v>
      </c>
      <c r="DI600" s="1384"/>
      <c r="DJ600" s="1384"/>
      <c r="DK600" s="1384"/>
      <c r="DL600" s="1384"/>
      <c r="DM600" s="1384">
        <f t="shared" si="17"/>
        <v>0</v>
      </c>
      <c r="DN600" s="1384"/>
      <c r="DO600" s="1384"/>
      <c r="DP600" s="1384"/>
      <c r="DQ600" s="1384"/>
      <c r="DR600" s="1384">
        <f t="shared" si="18"/>
        <v>0</v>
      </c>
      <c r="DS600" s="1384"/>
      <c r="DT600" s="1384"/>
      <c r="DU600" s="1384"/>
      <c r="DV600" s="1384"/>
      <c r="DX600" s="1380">
        <f t="shared" si="19"/>
        <v>609</v>
      </c>
      <c r="DY600" s="1381"/>
      <c r="DZ600" s="1381"/>
      <c r="EA600" s="1381"/>
      <c r="EB600" s="1382"/>
      <c r="EC600" s="1380" t="str">
        <f t="shared" si="20"/>
        <v/>
      </c>
      <c r="ED600" s="1381"/>
      <c r="EE600" s="1381"/>
      <c r="EF600" s="1381"/>
      <c r="EG600" s="1382"/>
      <c r="EH600" s="1380" t="str">
        <f t="shared" si="21"/>
        <v/>
      </c>
      <c r="EI600" s="1381"/>
      <c r="EJ600" s="1381"/>
      <c r="EK600" s="1381"/>
      <c r="EL600" s="1382"/>
      <c r="EM600" s="1380" t="str">
        <f t="shared" si="22"/>
        <v/>
      </c>
      <c r="EN600" s="1381"/>
      <c r="EO600" s="1381"/>
      <c r="EP600" s="1381"/>
      <c r="EQ600" s="1382"/>
      <c r="ER600" s="1380" t="str">
        <f t="shared" si="23"/>
        <v/>
      </c>
      <c r="ES600" s="1381"/>
      <c r="ET600" s="1381"/>
      <c r="EU600" s="1381"/>
      <c r="EV600" s="1382"/>
      <c r="EW600" s="1380" t="str">
        <f t="shared" si="24"/>
        <v/>
      </c>
      <c r="EX600" s="1381"/>
      <c r="EY600" s="1381"/>
      <c r="EZ600" s="1381"/>
      <c r="FA600" s="1382"/>
    </row>
    <row r="601" spans="1:157" ht="12.95" customHeight="1">
      <c r="A601" s="55" t="s">
        <v>469</v>
      </c>
      <c r="B601" t="s">
        <v>471</v>
      </c>
      <c r="G601" s="1504" t="str">
        <f>C562</f>
        <v>Deferred Developer Fee</v>
      </c>
      <c r="H601" s="1504"/>
      <c r="I601" s="1504"/>
      <c r="J601" s="1504"/>
      <c r="K601" s="1504"/>
      <c r="L601" s="1504"/>
      <c r="M601" s="1504"/>
      <c r="N601" s="1504"/>
      <c r="O601" s="1504"/>
      <c r="P601" s="1504"/>
      <c r="Q601" s="1504"/>
      <c r="R601" s="1504"/>
      <c r="T601" s="55" t="s">
        <v>654</v>
      </c>
      <c r="U601" t="s">
        <v>471</v>
      </c>
      <c r="Z601" s="1504" t="str">
        <f>C563</f>
        <v>Costs Deferred Until Conversion</v>
      </c>
      <c r="AA601" s="1504"/>
      <c r="AB601" s="1504"/>
      <c r="AC601" s="1504"/>
      <c r="AD601" s="1504"/>
      <c r="AE601" s="1504"/>
      <c r="AF601" s="1504"/>
      <c r="AG601" s="1504"/>
      <c r="AH601" s="1504"/>
      <c r="AI601" s="1504"/>
      <c r="AJ601" s="1504"/>
      <c r="AK601" s="1504"/>
      <c r="BA601" s="4" t="s">
        <v>30</v>
      </c>
      <c r="BB601" s="3"/>
      <c r="BC601" s="3"/>
      <c r="BD601" s="3"/>
      <c r="BE601" s="1380">
        <f t="shared" si="3"/>
        <v>0</v>
      </c>
      <c r="BF601" s="1382"/>
      <c r="BG601" s="1389">
        <f t="shared" si="4"/>
        <v>0</v>
      </c>
      <c r="BH601" s="1390"/>
      <c r="BI601" s="1380">
        <f t="shared" si="5"/>
        <v>1</v>
      </c>
      <c r="BJ601" s="1382"/>
      <c r="BK601" s="1389">
        <f t="shared" si="6"/>
        <v>10</v>
      </c>
      <c r="BL601" s="1390"/>
      <c r="BM601" s="3"/>
      <c r="BN601" s="1385">
        <f t="shared" si="7"/>
        <v>10</v>
      </c>
      <c r="BO601" s="1386"/>
      <c r="BP601" s="1386"/>
      <c r="BQ601" s="1386"/>
      <c r="BR601" s="1387"/>
      <c r="BS601" s="1388">
        <f t="shared" si="8"/>
        <v>0</v>
      </c>
      <c r="BT601" s="1388"/>
      <c r="BU601" s="1388"/>
      <c r="BV601" s="1388"/>
      <c r="BW601" s="1388"/>
      <c r="BX601" s="1388">
        <f t="shared" si="9"/>
        <v>0</v>
      </c>
      <c r="BY601" s="1388"/>
      <c r="BZ601" s="1388"/>
      <c r="CA601" s="1388"/>
      <c r="CB601" s="1388"/>
      <c r="CC601" s="1388">
        <f t="shared" si="10"/>
        <v>0</v>
      </c>
      <c r="CD601" s="1388"/>
      <c r="CE601" s="1388"/>
      <c r="CF601" s="1388"/>
      <c r="CG601" s="1388"/>
      <c r="CH601" s="1388">
        <f t="shared" si="11"/>
        <v>0</v>
      </c>
      <c r="CI601" s="1388"/>
      <c r="CJ601" s="1388"/>
      <c r="CK601" s="1388"/>
      <c r="CL601" s="1388"/>
      <c r="CM601" s="1388">
        <f t="shared" si="12"/>
        <v>0</v>
      </c>
      <c r="CN601" s="1388"/>
      <c r="CO601" s="1388"/>
      <c r="CP601" s="1388"/>
      <c r="CQ601" s="1388"/>
      <c r="CR601" s="6"/>
      <c r="CS601" s="1384">
        <f t="shared" si="13"/>
        <v>10</v>
      </c>
      <c r="CT601" s="1384"/>
      <c r="CU601" s="1384"/>
      <c r="CV601" s="1384"/>
      <c r="CW601" s="1384"/>
      <c r="CX601" s="1384">
        <f t="shared" si="14"/>
        <v>0</v>
      </c>
      <c r="CY601" s="1384"/>
      <c r="CZ601" s="1384"/>
      <c r="DA601" s="1384"/>
      <c r="DB601" s="1384"/>
      <c r="DC601" s="1384">
        <f t="shared" si="15"/>
        <v>0</v>
      </c>
      <c r="DD601" s="1384"/>
      <c r="DE601" s="1384"/>
      <c r="DF601" s="1384"/>
      <c r="DG601" s="1384"/>
      <c r="DH601" s="1384">
        <f t="shared" si="16"/>
        <v>0</v>
      </c>
      <c r="DI601" s="1384"/>
      <c r="DJ601" s="1384"/>
      <c r="DK601" s="1384"/>
      <c r="DL601" s="1384"/>
      <c r="DM601" s="1384">
        <f t="shared" si="17"/>
        <v>0</v>
      </c>
      <c r="DN601" s="1384"/>
      <c r="DO601" s="1384"/>
      <c r="DP601" s="1384"/>
      <c r="DQ601" s="1384"/>
      <c r="DR601" s="1384">
        <f t="shared" si="18"/>
        <v>0</v>
      </c>
      <c r="DS601" s="1384"/>
      <c r="DT601" s="1384"/>
      <c r="DU601" s="1384"/>
      <c r="DV601" s="1384"/>
      <c r="DX601" s="1380">
        <f t="shared" si="19"/>
        <v>355</v>
      </c>
      <c r="DY601" s="1381"/>
      <c r="DZ601" s="1381"/>
      <c r="EA601" s="1381"/>
      <c r="EB601" s="1382"/>
      <c r="EC601" s="1380" t="str">
        <f t="shared" si="20"/>
        <v/>
      </c>
      <c r="ED601" s="1381"/>
      <c r="EE601" s="1381"/>
      <c r="EF601" s="1381"/>
      <c r="EG601" s="1382"/>
      <c r="EH601" s="1380" t="str">
        <f t="shared" si="21"/>
        <v/>
      </c>
      <c r="EI601" s="1381"/>
      <c r="EJ601" s="1381"/>
      <c r="EK601" s="1381"/>
      <c r="EL601" s="1382"/>
      <c r="EM601" s="1380" t="str">
        <f t="shared" si="22"/>
        <v/>
      </c>
      <c r="EN601" s="1381"/>
      <c r="EO601" s="1381"/>
      <c r="EP601" s="1381"/>
      <c r="EQ601" s="1382"/>
      <c r="ER601" s="1380" t="str">
        <f t="shared" si="23"/>
        <v/>
      </c>
      <c r="ES601" s="1381"/>
      <c r="ET601" s="1381"/>
      <c r="EU601" s="1381"/>
      <c r="EV601" s="1382"/>
      <c r="EW601" s="1380" t="str">
        <f t="shared" si="24"/>
        <v/>
      </c>
      <c r="EX601" s="1381"/>
      <c r="EY601" s="1381"/>
      <c r="EZ601" s="1381"/>
      <c r="FA601" s="1382"/>
    </row>
    <row r="602" spans="1:157" ht="12.95" customHeight="1">
      <c r="A602" s="22"/>
      <c r="B602" t="s">
        <v>85</v>
      </c>
      <c r="G602" s="1467"/>
      <c r="H602" s="1467"/>
      <c r="I602" s="1467"/>
      <c r="J602" s="1467"/>
      <c r="K602" s="1467"/>
      <c r="L602" s="1467"/>
      <c r="M602" s="1467"/>
      <c r="N602" s="1467"/>
      <c r="O602" s="1467"/>
      <c r="P602" s="1467"/>
      <c r="Q602" s="1467"/>
      <c r="R602" s="1467"/>
      <c r="T602" s="22"/>
      <c r="U602" t="s">
        <v>85</v>
      </c>
      <c r="Z602" s="1467"/>
      <c r="AA602" s="1467"/>
      <c r="AB602" s="1467"/>
      <c r="AC602" s="1467"/>
      <c r="AD602" s="1467"/>
      <c r="AE602" s="1467"/>
      <c r="AF602" s="1467"/>
      <c r="AG602" s="1467"/>
      <c r="AH602" s="1467"/>
      <c r="AI602" s="1467"/>
      <c r="AJ602" s="1467"/>
      <c r="AK602" s="1467"/>
      <c r="AZ602" s="3"/>
      <c r="BA602" s="3"/>
      <c r="BB602" s="3"/>
      <c r="BC602" s="3"/>
      <c r="BD602" s="3"/>
      <c r="BE602" s="1380">
        <f t="shared" si="3"/>
        <v>0</v>
      </c>
      <c r="BF602" s="1382"/>
      <c r="BG602" s="1389">
        <f t="shared" si="4"/>
        <v>0</v>
      </c>
      <c r="BH602" s="1390"/>
      <c r="BI602" s="1380">
        <f t="shared" si="5"/>
        <v>1</v>
      </c>
      <c r="BJ602" s="1382"/>
      <c r="BK602" s="1389">
        <f t="shared" si="6"/>
        <v>1</v>
      </c>
      <c r="BL602" s="1390"/>
      <c r="BM602" s="3"/>
      <c r="BN602" s="1385">
        <f t="shared" si="7"/>
        <v>0</v>
      </c>
      <c r="BO602" s="1386"/>
      <c r="BP602" s="1386"/>
      <c r="BQ602" s="1386"/>
      <c r="BR602" s="1387"/>
      <c r="BS602" s="1388">
        <f t="shared" si="8"/>
        <v>1</v>
      </c>
      <c r="BT602" s="1388"/>
      <c r="BU602" s="1388"/>
      <c r="BV602" s="1388"/>
      <c r="BW602" s="1388"/>
      <c r="BX602" s="1388">
        <f t="shared" si="9"/>
        <v>0</v>
      </c>
      <c r="BY602" s="1388"/>
      <c r="BZ602" s="1388"/>
      <c r="CA602" s="1388"/>
      <c r="CB602" s="1388"/>
      <c r="CC602" s="1388">
        <f t="shared" si="10"/>
        <v>0</v>
      </c>
      <c r="CD602" s="1388"/>
      <c r="CE602" s="1388"/>
      <c r="CF602" s="1388"/>
      <c r="CG602" s="1388"/>
      <c r="CH602" s="1388">
        <f t="shared" si="11"/>
        <v>0</v>
      </c>
      <c r="CI602" s="1388"/>
      <c r="CJ602" s="1388"/>
      <c r="CK602" s="1388"/>
      <c r="CL602" s="1388"/>
      <c r="CM602" s="1388">
        <f t="shared" si="12"/>
        <v>0</v>
      </c>
      <c r="CN602" s="1388"/>
      <c r="CO602" s="1388"/>
      <c r="CP602" s="1388"/>
      <c r="CQ602" s="1388"/>
      <c r="CR602" s="6"/>
      <c r="CS602" s="1384">
        <f t="shared" si="13"/>
        <v>0</v>
      </c>
      <c r="CT602" s="1384"/>
      <c r="CU602" s="1384"/>
      <c r="CV602" s="1384"/>
      <c r="CW602" s="1384"/>
      <c r="CX602" s="1384">
        <f t="shared" si="14"/>
        <v>1</v>
      </c>
      <c r="CY602" s="1384"/>
      <c r="CZ602" s="1384"/>
      <c r="DA602" s="1384"/>
      <c r="DB602" s="1384"/>
      <c r="DC602" s="1384">
        <f t="shared" si="15"/>
        <v>0</v>
      </c>
      <c r="DD602" s="1384"/>
      <c r="DE602" s="1384"/>
      <c r="DF602" s="1384"/>
      <c r="DG602" s="1384"/>
      <c r="DH602" s="1384">
        <f t="shared" si="16"/>
        <v>0</v>
      </c>
      <c r="DI602" s="1384"/>
      <c r="DJ602" s="1384"/>
      <c r="DK602" s="1384"/>
      <c r="DL602" s="1384"/>
      <c r="DM602" s="1384">
        <f t="shared" si="17"/>
        <v>0</v>
      </c>
      <c r="DN602" s="1384"/>
      <c r="DO602" s="1384"/>
      <c r="DP602" s="1384"/>
      <c r="DQ602" s="1384"/>
      <c r="DR602" s="1384">
        <f t="shared" si="18"/>
        <v>0</v>
      </c>
      <c r="DS602" s="1384"/>
      <c r="DT602" s="1384"/>
      <c r="DU602" s="1384"/>
      <c r="DV602" s="1384"/>
      <c r="DX602" s="1380" t="str">
        <f t="shared" si="19"/>
        <v/>
      </c>
      <c r="DY602" s="1381"/>
      <c r="DZ602" s="1381"/>
      <c r="EA602" s="1381"/>
      <c r="EB602" s="1382"/>
      <c r="EC602" s="1380">
        <f t="shared" si="20"/>
        <v>747</v>
      </c>
      <c r="ED602" s="1381"/>
      <c r="EE602" s="1381"/>
      <c r="EF602" s="1381"/>
      <c r="EG602" s="1382"/>
      <c r="EH602" s="1380" t="str">
        <f t="shared" si="21"/>
        <v/>
      </c>
      <c r="EI602" s="1381"/>
      <c r="EJ602" s="1381"/>
      <c r="EK602" s="1381"/>
      <c r="EL602" s="1382"/>
      <c r="EM602" s="1380" t="str">
        <f t="shared" si="22"/>
        <v/>
      </c>
      <c r="EN602" s="1381"/>
      <c r="EO602" s="1381"/>
      <c r="EP602" s="1381"/>
      <c r="EQ602" s="1382"/>
      <c r="ER602" s="1380" t="str">
        <f t="shared" si="23"/>
        <v/>
      </c>
      <c r="ES602" s="1381"/>
      <c r="ET602" s="1381"/>
      <c r="EU602" s="1381"/>
      <c r="EV602" s="1382"/>
      <c r="EW602" s="1380" t="str">
        <f t="shared" si="24"/>
        <v/>
      </c>
      <c r="EX602" s="1381"/>
      <c r="EY602" s="1381"/>
      <c r="EZ602" s="1381"/>
      <c r="FA602" s="1382"/>
    </row>
    <row r="603" spans="1:157" ht="12.95" customHeight="1">
      <c r="A603" s="22"/>
      <c r="B603" t="s">
        <v>588</v>
      </c>
      <c r="G603" s="1467"/>
      <c r="H603" s="1467"/>
      <c r="I603" s="1467"/>
      <c r="J603" s="1467"/>
      <c r="K603" s="1467"/>
      <c r="L603" s="1467"/>
      <c r="M603" s="1467"/>
      <c r="N603" s="1467"/>
      <c r="O603" s="1467"/>
      <c r="P603" s="1467"/>
      <c r="Q603" s="1467"/>
      <c r="R603" s="1467"/>
      <c r="T603" s="22"/>
      <c r="U603" t="s">
        <v>588</v>
      </c>
      <c r="Z603" s="1445"/>
      <c r="AA603" s="1445"/>
      <c r="AB603" s="1445"/>
      <c r="AC603" s="1445"/>
      <c r="AD603" s="1445"/>
      <c r="AE603" s="1445"/>
      <c r="AF603" s="1445"/>
      <c r="AG603" s="1445"/>
      <c r="AH603" s="1445"/>
      <c r="AI603" s="1445"/>
      <c r="AJ603" s="1445"/>
      <c r="AK603" s="1445"/>
      <c r="AZ603" s="3"/>
      <c r="BA603" s="3"/>
      <c r="BB603" s="3"/>
      <c r="BC603" s="3"/>
      <c r="BD603" s="3"/>
      <c r="BE603" s="1380">
        <f t="shared" si="3"/>
        <v>0</v>
      </c>
      <c r="BF603" s="1382"/>
      <c r="BG603" s="1389">
        <f t="shared" si="4"/>
        <v>0</v>
      </c>
      <c r="BH603" s="1390"/>
      <c r="BI603" s="1380">
        <f t="shared" si="5"/>
        <v>1</v>
      </c>
      <c r="BJ603" s="1382"/>
      <c r="BK603" s="1389">
        <f t="shared" si="6"/>
        <v>30</v>
      </c>
      <c r="BL603" s="1390"/>
      <c r="BM603" s="3"/>
      <c r="BN603" s="1385">
        <f t="shared" si="7"/>
        <v>30</v>
      </c>
      <c r="BO603" s="1386"/>
      <c r="BP603" s="1386"/>
      <c r="BQ603" s="1386"/>
      <c r="BR603" s="1387"/>
      <c r="BS603" s="1388">
        <f t="shared" si="8"/>
        <v>0</v>
      </c>
      <c r="BT603" s="1388"/>
      <c r="BU603" s="1388"/>
      <c r="BV603" s="1388"/>
      <c r="BW603" s="1388"/>
      <c r="BX603" s="1388">
        <f t="shared" si="9"/>
        <v>0</v>
      </c>
      <c r="BY603" s="1388"/>
      <c r="BZ603" s="1388"/>
      <c r="CA603" s="1388"/>
      <c r="CB603" s="1388"/>
      <c r="CC603" s="1388">
        <f t="shared" si="10"/>
        <v>0</v>
      </c>
      <c r="CD603" s="1388"/>
      <c r="CE603" s="1388"/>
      <c r="CF603" s="1388"/>
      <c r="CG603" s="1388"/>
      <c r="CH603" s="1388">
        <f t="shared" si="11"/>
        <v>0</v>
      </c>
      <c r="CI603" s="1388"/>
      <c r="CJ603" s="1388"/>
      <c r="CK603" s="1388"/>
      <c r="CL603" s="1388"/>
      <c r="CM603" s="1388">
        <f t="shared" si="12"/>
        <v>0</v>
      </c>
      <c r="CN603" s="1388"/>
      <c r="CO603" s="1388"/>
      <c r="CP603" s="1388"/>
      <c r="CQ603" s="1388"/>
      <c r="CR603" s="6"/>
      <c r="CS603" s="1384">
        <f t="shared" si="13"/>
        <v>30</v>
      </c>
      <c r="CT603" s="1384"/>
      <c r="CU603" s="1384"/>
      <c r="CV603" s="1384"/>
      <c r="CW603" s="1384"/>
      <c r="CX603" s="1384">
        <f t="shared" si="14"/>
        <v>0</v>
      </c>
      <c r="CY603" s="1384"/>
      <c r="CZ603" s="1384"/>
      <c r="DA603" s="1384"/>
      <c r="DB603" s="1384"/>
      <c r="DC603" s="1384">
        <f t="shared" si="15"/>
        <v>0</v>
      </c>
      <c r="DD603" s="1384"/>
      <c r="DE603" s="1384"/>
      <c r="DF603" s="1384"/>
      <c r="DG603" s="1384"/>
      <c r="DH603" s="1384">
        <f t="shared" si="16"/>
        <v>0</v>
      </c>
      <c r="DI603" s="1384"/>
      <c r="DJ603" s="1384"/>
      <c r="DK603" s="1384"/>
      <c r="DL603" s="1384"/>
      <c r="DM603" s="1384">
        <f t="shared" si="17"/>
        <v>0</v>
      </c>
      <c r="DN603" s="1384"/>
      <c r="DO603" s="1384"/>
      <c r="DP603" s="1384"/>
      <c r="DQ603" s="1384"/>
      <c r="DR603" s="1384">
        <f t="shared" si="18"/>
        <v>0</v>
      </c>
      <c r="DS603" s="1384"/>
      <c r="DT603" s="1384"/>
      <c r="DU603" s="1384"/>
      <c r="DV603" s="1384"/>
      <c r="DX603" s="1380">
        <f t="shared" si="19"/>
        <v>355</v>
      </c>
      <c r="DY603" s="1381"/>
      <c r="DZ603" s="1381"/>
      <c r="EA603" s="1381"/>
      <c r="EB603" s="1382"/>
      <c r="EC603" s="1380" t="str">
        <f t="shared" si="20"/>
        <v/>
      </c>
      <c r="ED603" s="1381"/>
      <c r="EE603" s="1381"/>
      <c r="EF603" s="1381"/>
      <c r="EG603" s="1382"/>
      <c r="EH603" s="1380" t="str">
        <f t="shared" si="21"/>
        <v/>
      </c>
      <c r="EI603" s="1381"/>
      <c r="EJ603" s="1381"/>
      <c r="EK603" s="1381"/>
      <c r="EL603" s="1382"/>
      <c r="EM603" s="1380" t="str">
        <f t="shared" si="22"/>
        <v/>
      </c>
      <c r="EN603" s="1381"/>
      <c r="EO603" s="1381"/>
      <c r="EP603" s="1381"/>
      <c r="EQ603" s="1382"/>
      <c r="ER603" s="1380" t="str">
        <f t="shared" si="23"/>
        <v/>
      </c>
      <c r="ES603" s="1381"/>
      <c r="ET603" s="1381"/>
      <c r="EU603" s="1381"/>
      <c r="EV603" s="1382"/>
      <c r="EW603" s="1380" t="str">
        <f t="shared" si="24"/>
        <v/>
      </c>
      <c r="EX603" s="1381"/>
      <c r="EY603" s="1381"/>
      <c r="EZ603" s="1381"/>
      <c r="FA603" s="1382"/>
    </row>
    <row r="604" spans="1:157" ht="12.95" customHeight="1">
      <c r="A604" s="22"/>
      <c r="B604" t="s">
        <v>17</v>
      </c>
      <c r="G604" s="1467"/>
      <c r="H604" s="1467"/>
      <c r="I604" s="1467"/>
      <c r="J604" s="1467"/>
      <c r="K604" s="1467"/>
      <c r="L604" s="1467"/>
      <c r="M604" s="1467"/>
      <c r="N604" s="1467"/>
      <c r="O604" s="1467"/>
      <c r="P604" s="1467"/>
      <c r="Q604" s="1467"/>
      <c r="R604" s="1467"/>
      <c r="T604" s="22"/>
      <c r="U604" t="s">
        <v>17</v>
      </c>
      <c r="Z604" s="1445"/>
      <c r="AA604" s="1445"/>
      <c r="AB604" s="1445"/>
      <c r="AC604" s="1445"/>
      <c r="AD604" s="1445"/>
      <c r="AE604" s="1445"/>
      <c r="AF604" s="1445"/>
      <c r="AG604" s="1445"/>
      <c r="AH604" s="1445"/>
      <c r="AI604" s="1445"/>
      <c r="AJ604" s="1445"/>
      <c r="AK604" s="1445"/>
      <c r="AZ604" s="3"/>
      <c r="BA604" s="3"/>
      <c r="BB604" s="3"/>
      <c r="BC604" s="3"/>
      <c r="BD604" s="3"/>
      <c r="BE604" s="1380">
        <f t="shared" si="3"/>
        <v>0</v>
      </c>
      <c r="BF604" s="1382"/>
      <c r="BG604" s="1389">
        <f t="shared" si="4"/>
        <v>0</v>
      </c>
      <c r="BH604" s="1390"/>
      <c r="BI604" s="1380">
        <f t="shared" si="5"/>
        <v>1</v>
      </c>
      <c r="BJ604" s="1382"/>
      <c r="BK604" s="1389">
        <f t="shared" si="6"/>
        <v>33</v>
      </c>
      <c r="BL604" s="1390"/>
      <c r="BM604" s="3"/>
      <c r="BN604" s="1385">
        <f t="shared" si="7"/>
        <v>33</v>
      </c>
      <c r="BO604" s="1386"/>
      <c r="BP604" s="1386"/>
      <c r="BQ604" s="1386"/>
      <c r="BR604" s="1387"/>
      <c r="BS604" s="1388">
        <f t="shared" si="8"/>
        <v>0</v>
      </c>
      <c r="BT604" s="1388"/>
      <c r="BU604" s="1388"/>
      <c r="BV604" s="1388"/>
      <c r="BW604" s="1388"/>
      <c r="BX604" s="1388">
        <f t="shared" si="9"/>
        <v>0</v>
      </c>
      <c r="BY604" s="1388"/>
      <c r="BZ604" s="1388"/>
      <c r="CA604" s="1388"/>
      <c r="CB604" s="1388"/>
      <c r="CC604" s="1388">
        <f t="shared" si="10"/>
        <v>0</v>
      </c>
      <c r="CD604" s="1388"/>
      <c r="CE604" s="1388"/>
      <c r="CF604" s="1388"/>
      <c r="CG604" s="1388"/>
      <c r="CH604" s="1388">
        <f t="shared" si="11"/>
        <v>0</v>
      </c>
      <c r="CI604" s="1388"/>
      <c r="CJ604" s="1388"/>
      <c r="CK604" s="1388"/>
      <c r="CL604" s="1388"/>
      <c r="CM604" s="1388">
        <f t="shared" si="12"/>
        <v>0</v>
      </c>
      <c r="CN604" s="1388"/>
      <c r="CO604" s="1388"/>
      <c r="CP604" s="1388"/>
      <c r="CQ604" s="1388"/>
      <c r="CR604" s="6"/>
      <c r="CS604" s="1384">
        <f t="shared" si="13"/>
        <v>33</v>
      </c>
      <c r="CT604" s="1384"/>
      <c r="CU604" s="1384"/>
      <c r="CV604" s="1384"/>
      <c r="CW604" s="1384"/>
      <c r="CX604" s="1384">
        <f t="shared" si="14"/>
        <v>0</v>
      </c>
      <c r="CY604" s="1384"/>
      <c r="CZ604" s="1384"/>
      <c r="DA604" s="1384"/>
      <c r="DB604" s="1384"/>
      <c r="DC604" s="1384">
        <f t="shared" si="15"/>
        <v>0</v>
      </c>
      <c r="DD604" s="1384"/>
      <c r="DE604" s="1384"/>
      <c r="DF604" s="1384"/>
      <c r="DG604" s="1384"/>
      <c r="DH604" s="1384">
        <f t="shared" si="16"/>
        <v>0</v>
      </c>
      <c r="DI604" s="1384"/>
      <c r="DJ604" s="1384"/>
      <c r="DK604" s="1384"/>
      <c r="DL604" s="1384"/>
      <c r="DM604" s="1384">
        <f t="shared" si="17"/>
        <v>0</v>
      </c>
      <c r="DN604" s="1384"/>
      <c r="DO604" s="1384"/>
      <c r="DP604" s="1384"/>
      <c r="DQ604" s="1384"/>
      <c r="DR604" s="1384">
        <f t="shared" si="18"/>
        <v>0</v>
      </c>
      <c r="DS604" s="1384"/>
      <c r="DT604" s="1384"/>
      <c r="DU604" s="1384"/>
      <c r="DV604" s="1384"/>
      <c r="DX604" s="1380">
        <f t="shared" si="19"/>
        <v>465</v>
      </c>
      <c r="DY604" s="1381"/>
      <c r="DZ604" s="1381"/>
      <c r="EA604" s="1381"/>
      <c r="EB604" s="1382"/>
      <c r="EC604" s="1380" t="str">
        <f t="shared" si="20"/>
        <v/>
      </c>
      <c r="ED604" s="1381"/>
      <c r="EE604" s="1381"/>
      <c r="EF604" s="1381"/>
      <c r="EG604" s="1382"/>
      <c r="EH604" s="1380" t="str">
        <f t="shared" si="21"/>
        <v/>
      </c>
      <c r="EI604" s="1381"/>
      <c r="EJ604" s="1381"/>
      <c r="EK604" s="1381"/>
      <c r="EL604" s="1382"/>
      <c r="EM604" s="1380" t="str">
        <f t="shared" si="22"/>
        <v/>
      </c>
      <c r="EN604" s="1381"/>
      <c r="EO604" s="1381"/>
      <c r="EP604" s="1381"/>
      <c r="EQ604" s="1382"/>
      <c r="ER604" s="1380" t="str">
        <f t="shared" si="23"/>
        <v/>
      </c>
      <c r="ES604" s="1381"/>
      <c r="ET604" s="1381"/>
      <c r="EU604" s="1381"/>
      <c r="EV604" s="1382"/>
      <c r="EW604" s="1380" t="str">
        <f t="shared" si="24"/>
        <v/>
      </c>
      <c r="EX604" s="1381"/>
      <c r="EY604" s="1381"/>
      <c r="EZ604" s="1381"/>
      <c r="FA604" s="1382"/>
    </row>
    <row r="605" spans="1:157" s="4" customFormat="1" ht="12.95" customHeight="1">
      <c r="A605" s="22"/>
      <c r="B605" t="s">
        <v>317</v>
      </c>
      <c r="C605"/>
      <c r="D605"/>
      <c r="E605"/>
      <c r="F605"/>
      <c r="G605" s="1479"/>
      <c r="H605" s="1479"/>
      <c r="I605" s="1479"/>
      <c r="J605" s="1479"/>
      <c r="K605" s="1479"/>
      <c r="L605" s="1479"/>
      <c r="M605"/>
      <c r="N605"/>
      <c r="O605" s="33" t="s">
        <v>207</v>
      </c>
      <c r="P605" s="1487"/>
      <c r="Q605" s="1487"/>
      <c r="R605" s="1487"/>
      <c r="S605"/>
      <c r="T605" s="22"/>
      <c r="U605" t="s">
        <v>317</v>
      </c>
      <c r="V605"/>
      <c r="W605"/>
      <c r="X605"/>
      <c r="Y605"/>
      <c r="Z605" s="1479"/>
      <c r="AA605" s="1479"/>
      <c r="AB605" s="1479"/>
      <c r="AC605" s="1479"/>
      <c r="AD605" s="1479"/>
      <c r="AE605" s="1479"/>
      <c r="AF605"/>
      <c r="AG605"/>
      <c r="AH605" s="33" t="s">
        <v>207</v>
      </c>
      <c r="AI605" s="1487"/>
      <c r="AJ605" s="1487"/>
      <c r="AK605" s="1487"/>
      <c r="AL605"/>
      <c r="AM605"/>
      <c r="AN605"/>
      <c r="AO605"/>
      <c r="AP605"/>
      <c r="AQ605"/>
      <c r="AR605"/>
      <c r="AS605"/>
      <c r="AT605"/>
      <c r="AU605"/>
      <c r="AV605"/>
      <c r="AW605"/>
      <c r="AX605"/>
      <c r="AY605"/>
      <c r="AZ605" s="3"/>
      <c r="BA605" s="3"/>
      <c r="BB605" s="3"/>
      <c r="BC605" s="3"/>
      <c r="BD605" s="3"/>
      <c r="BE605" s="1380">
        <f t="shared" si="3"/>
        <v>0</v>
      </c>
      <c r="BF605" s="1382"/>
      <c r="BG605" s="1389">
        <f t="shared" si="4"/>
        <v>0</v>
      </c>
      <c r="BH605" s="1390"/>
      <c r="BI605" s="1380">
        <f t="shared" si="5"/>
        <v>0</v>
      </c>
      <c r="BJ605" s="1382"/>
      <c r="BK605" s="1389">
        <f t="shared" si="6"/>
        <v>0</v>
      </c>
      <c r="BL605" s="1390"/>
      <c r="BM605" s="3"/>
      <c r="BN605" s="1385">
        <f t="shared" si="7"/>
        <v>0</v>
      </c>
      <c r="BO605" s="1386"/>
      <c r="BP605" s="1386"/>
      <c r="BQ605" s="1386"/>
      <c r="BR605" s="1387"/>
      <c r="BS605" s="1388">
        <f t="shared" si="8"/>
        <v>0</v>
      </c>
      <c r="BT605" s="1388"/>
      <c r="BU605" s="1388"/>
      <c r="BV605" s="1388"/>
      <c r="BW605" s="1388"/>
      <c r="BX605" s="1388">
        <f t="shared" si="9"/>
        <v>0</v>
      </c>
      <c r="BY605" s="1388"/>
      <c r="BZ605" s="1388"/>
      <c r="CA605" s="1388"/>
      <c r="CB605" s="1388"/>
      <c r="CC605" s="1388">
        <f t="shared" si="10"/>
        <v>0</v>
      </c>
      <c r="CD605" s="1388"/>
      <c r="CE605" s="1388"/>
      <c r="CF605" s="1388"/>
      <c r="CG605" s="1388"/>
      <c r="CH605" s="1388">
        <f t="shared" si="11"/>
        <v>0</v>
      </c>
      <c r="CI605" s="1388"/>
      <c r="CJ605" s="1388"/>
      <c r="CK605" s="1388"/>
      <c r="CL605" s="1388"/>
      <c r="CM605" s="1388">
        <f t="shared" si="12"/>
        <v>0</v>
      </c>
      <c r="CN605" s="1388"/>
      <c r="CO605" s="1388"/>
      <c r="CP605" s="1388"/>
      <c r="CQ605" s="1388"/>
      <c r="CR605" s="6"/>
      <c r="CS605" s="1384">
        <f t="shared" si="13"/>
        <v>0</v>
      </c>
      <c r="CT605" s="1384"/>
      <c r="CU605" s="1384"/>
      <c r="CV605" s="1384"/>
      <c r="CW605" s="1384"/>
      <c r="CX605" s="1384">
        <f t="shared" si="14"/>
        <v>0</v>
      </c>
      <c r="CY605" s="1384"/>
      <c r="CZ605" s="1384"/>
      <c r="DA605" s="1384"/>
      <c r="DB605" s="1384"/>
      <c r="DC605" s="1384">
        <f t="shared" si="15"/>
        <v>0</v>
      </c>
      <c r="DD605" s="1384"/>
      <c r="DE605" s="1384"/>
      <c r="DF605" s="1384"/>
      <c r="DG605" s="1384"/>
      <c r="DH605" s="1384">
        <f t="shared" si="16"/>
        <v>0</v>
      </c>
      <c r="DI605" s="1384"/>
      <c r="DJ605" s="1384"/>
      <c r="DK605" s="1384"/>
      <c r="DL605" s="1384"/>
      <c r="DM605" s="1384">
        <f t="shared" si="17"/>
        <v>0</v>
      </c>
      <c r="DN605" s="1384"/>
      <c r="DO605" s="1384"/>
      <c r="DP605" s="1384"/>
      <c r="DQ605" s="1384"/>
      <c r="DR605" s="1384">
        <f t="shared" si="18"/>
        <v>0</v>
      </c>
      <c r="DS605" s="1384"/>
      <c r="DT605" s="1384"/>
      <c r="DU605" s="1384"/>
      <c r="DV605" s="1384"/>
      <c r="DX605" s="1380" t="str">
        <f t="shared" si="19"/>
        <v/>
      </c>
      <c r="DY605" s="1381"/>
      <c r="DZ605" s="1381"/>
      <c r="EA605" s="1381"/>
      <c r="EB605" s="1382"/>
      <c r="EC605" s="1380" t="str">
        <f t="shared" si="20"/>
        <v/>
      </c>
      <c r="ED605" s="1381"/>
      <c r="EE605" s="1381"/>
      <c r="EF605" s="1381"/>
      <c r="EG605" s="1382"/>
      <c r="EH605" s="1380" t="str">
        <f t="shared" si="21"/>
        <v/>
      </c>
      <c r="EI605" s="1381"/>
      <c r="EJ605" s="1381"/>
      <c r="EK605" s="1381"/>
      <c r="EL605" s="1382"/>
      <c r="EM605" s="1380" t="str">
        <f t="shared" si="22"/>
        <v/>
      </c>
      <c r="EN605" s="1381"/>
      <c r="EO605" s="1381"/>
      <c r="EP605" s="1381"/>
      <c r="EQ605" s="1382"/>
      <c r="ER605" s="1380" t="str">
        <f t="shared" si="23"/>
        <v/>
      </c>
      <c r="ES605" s="1381"/>
      <c r="ET605" s="1381"/>
      <c r="EU605" s="1381"/>
      <c r="EV605" s="1382"/>
      <c r="EW605" s="1380" t="str">
        <f t="shared" si="24"/>
        <v/>
      </c>
      <c r="EX605" s="1381"/>
      <c r="EY605" s="1381"/>
      <c r="EZ605" s="1381"/>
      <c r="FA605" s="1382"/>
    </row>
    <row r="606" spans="1:157" s="4" customFormat="1" ht="12.95" customHeight="1">
      <c r="A606" s="22"/>
      <c r="B606" t="s">
        <v>18</v>
      </c>
      <c r="C606"/>
      <c r="D606"/>
      <c r="E606"/>
      <c r="F606"/>
      <c r="G606"/>
      <c r="H606" s="1467"/>
      <c r="I606" s="1467"/>
      <c r="J606" s="1467"/>
      <c r="K606" s="1467"/>
      <c r="L606" s="1467"/>
      <c r="M606" s="1467"/>
      <c r="N606" s="1467"/>
      <c r="O606" s="1467"/>
      <c r="P606" s="1467"/>
      <c r="Q606" s="1467"/>
      <c r="R606" s="1467"/>
      <c r="S606"/>
      <c r="T606" s="22"/>
      <c r="U606" t="s">
        <v>18</v>
      </c>
      <c r="V606"/>
      <c r="W606"/>
      <c r="X606"/>
      <c r="Y606"/>
      <c r="Z606"/>
      <c r="AA606" s="1467"/>
      <c r="AB606" s="1467"/>
      <c r="AC606" s="1467"/>
      <c r="AD606" s="1467"/>
      <c r="AE606" s="1467"/>
      <c r="AF606" s="1467"/>
      <c r="AG606" s="1467"/>
      <c r="AH606" s="1467"/>
      <c r="AI606" s="1467"/>
      <c r="AJ606" s="1467"/>
      <c r="AK606" s="1467"/>
      <c r="AL606"/>
      <c r="AM606"/>
      <c r="AN606"/>
      <c r="AO606"/>
      <c r="AP606"/>
      <c r="AQ606"/>
      <c r="AR606"/>
      <c r="AS606"/>
      <c r="AT606"/>
      <c r="AU606"/>
      <c r="AV606"/>
      <c r="AW606"/>
      <c r="AX606"/>
      <c r="AY606"/>
      <c r="AZ606" s="3"/>
      <c r="BA606" s="3"/>
      <c r="BB606" s="3"/>
      <c r="BC606" s="3"/>
      <c r="BD606" s="3"/>
      <c r="BE606" s="1380">
        <f t="shared" si="3"/>
        <v>0</v>
      </c>
      <c r="BF606" s="1382"/>
      <c r="BG606" s="1389">
        <f t="shared" si="4"/>
        <v>0</v>
      </c>
      <c r="BH606" s="1390"/>
      <c r="BI606" s="1380">
        <f t="shared" si="5"/>
        <v>0</v>
      </c>
      <c r="BJ606" s="1382"/>
      <c r="BK606" s="1389">
        <f t="shared" si="6"/>
        <v>0</v>
      </c>
      <c r="BL606" s="1390"/>
      <c r="BM606" s="3"/>
      <c r="BN606" s="1385">
        <f t="shared" si="7"/>
        <v>0</v>
      </c>
      <c r="BO606" s="1386"/>
      <c r="BP606" s="1386"/>
      <c r="BQ606" s="1386"/>
      <c r="BR606" s="1387"/>
      <c r="BS606" s="1388">
        <f t="shared" si="8"/>
        <v>0</v>
      </c>
      <c r="BT606" s="1388"/>
      <c r="BU606" s="1388"/>
      <c r="BV606" s="1388"/>
      <c r="BW606" s="1388"/>
      <c r="BX606" s="1388">
        <f t="shared" si="9"/>
        <v>0</v>
      </c>
      <c r="BY606" s="1388"/>
      <c r="BZ606" s="1388"/>
      <c r="CA606" s="1388"/>
      <c r="CB606" s="1388"/>
      <c r="CC606" s="1388">
        <f t="shared" si="10"/>
        <v>0</v>
      </c>
      <c r="CD606" s="1388"/>
      <c r="CE606" s="1388"/>
      <c r="CF606" s="1388"/>
      <c r="CG606" s="1388"/>
      <c r="CH606" s="1388">
        <f t="shared" si="11"/>
        <v>0</v>
      </c>
      <c r="CI606" s="1388"/>
      <c r="CJ606" s="1388"/>
      <c r="CK606" s="1388"/>
      <c r="CL606" s="1388"/>
      <c r="CM606" s="1388">
        <f t="shared" si="12"/>
        <v>0</v>
      </c>
      <c r="CN606" s="1388"/>
      <c r="CO606" s="1388"/>
      <c r="CP606" s="1388"/>
      <c r="CQ606" s="1388"/>
      <c r="CR606" s="6"/>
      <c r="CS606" s="1384">
        <f t="shared" si="13"/>
        <v>0</v>
      </c>
      <c r="CT606" s="1384"/>
      <c r="CU606" s="1384"/>
      <c r="CV606" s="1384"/>
      <c r="CW606" s="1384"/>
      <c r="CX606" s="1384">
        <f t="shared" si="14"/>
        <v>0</v>
      </c>
      <c r="CY606" s="1384"/>
      <c r="CZ606" s="1384"/>
      <c r="DA606" s="1384"/>
      <c r="DB606" s="1384"/>
      <c r="DC606" s="1384">
        <f t="shared" si="15"/>
        <v>0</v>
      </c>
      <c r="DD606" s="1384"/>
      <c r="DE606" s="1384"/>
      <c r="DF606" s="1384"/>
      <c r="DG606" s="1384"/>
      <c r="DH606" s="1384">
        <f t="shared" si="16"/>
        <v>0</v>
      </c>
      <c r="DI606" s="1384"/>
      <c r="DJ606" s="1384"/>
      <c r="DK606" s="1384"/>
      <c r="DL606" s="1384"/>
      <c r="DM606" s="1384">
        <f t="shared" si="17"/>
        <v>0</v>
      </c>
      <c r="DN606" s="1384"/>
      <c r="DO606" s="1384"/>
      <c r="DP606" s="1384"/>
      <c r="DQ606" s="1384"/>
      <c r="DR606" s="1384">
        <f t="shared" si="18"/>
        <v>0</v>
      </c>
      <c r="DS606" s="1384"/>
      <c r="DT606" s="1384"/>
      <c r="DU606" s="1384"/>
      <c r="DV606" s="1384"/>
      <c r="DX606" s="1380" t="str">
        <f t="shared" si="19"/>
        <v/>
      </c>
      <c r="DY606" s="1381"/>
      <c r="DZ606" s="1381"/>
      <c r="EA606" s="1381"/>
      <c r="EB606" s="1382"/>
      <c r="EC606" s="1380" t="str">
        <f t="shared" si="20"/>
        <v/>
      </c>
      <c r="ED606" s="1381"/>
      <c r="EE606" s="1381"/>
      <c r="EF606" s="1381"/>
      <c r="EG606" s="1382"/>
      <c r="EH606" s="1380" t="str">
        <f t="shared" si="21"/>
        <v/>
      </c>
      <c r="EI606" s="1381"/>
      <c r="EJ606" s="1381"/>
      <c r="EK606" s="1381"/>
      <c r="EL606" s="1382"/>
      <c r="EM606" s="1380" t="str">
        <f t="shared" si="22"/>
        <v/>
      </c>
      <c r="EN606" s="1381"/>
      <c r="EO606" s="1381"/>
      <c r="EP606" s="1381"/>
      <c r="EQ606" s="1382"/>
      <c r="ER606" s="1380" t="str">
        <f t="shared" si="23"/>
        <v/>
      </c>
      <c r="ES606" s="1381"/>
      <c r="ET606" s="1381"/>
      <c r="EU606" s="1381"/>
      <c r="EV606" s="1382"/>
      <c r="EW606" s="1380" t="str">
        <f t="shared" si="24"/>
        <v/>
      </c>
      <c r="EX606" s="1381"/>
      <c r="EY606" s="1381"/>
      <c r="EZ606" s="1381"/>
      <c r="FA606" s="1382"/>
    </row>
    <row r="607" spans="1:157" s="4" customFormat="1" ht="12.95" customHeight="1">
      <c r="A607" s="22"/>
      <c r="B607" t="s">
        <v>20</v>
      </c>
      <c r="C607"/>
      <c r="D607"/>
      <c r="E607"/>
      <c r="F607"/>
      <c r="G607"/>
      <c r="H607"/>
      <c r="I607"/>
      <c r="J607"/>
      <c r="K607"/>
      <c r="L607"/>
      <c r="M607"/>
      <c r="N607" s="1435" t="s">
        <v>677</v>
      </c>
      <c r="O607" s="1435"/>
      <c r="P607"/>
      <c r="Q607"/>
      <c r="R607"/>
      <c r="S607"/>
      <c r="T607" s="22"/>
      <c r="U607" t="s">
        <v>20</v>
      </c>
      <c r="V607"/>
      <c r="W607"/>
      <c r="X607"/>
      <c r="Y607"/>
      <c r="Z607"/>
      <c r="AA607"/>
      <c r="AB607"/>
      <c r="AC607"/>
      <c r="AD607"/>
      <c r="AE607"/>
      <c r="AF607"/>
      <c r="AG607" s="1435" t="s">
        <v>677</v>
      </c>
      <c r="AH607" s="1435"/>
      <c r="AI607"/>
      <c r="AJ607"/>
      <c r="AK607"/>
      <c r="AL607"/>
      <c r="AM607"/>
      <c r="AN607"/>
      <c r="AO607"/>
      <c r="AP607"/>
      <c r="AQ607"/>
      <c r="AR607"/>
      <c r="AS607"/>
      <c r="AT607"/>
      <c r="AU607"/>
      <c r="AV607"/>
      <c r="AW607"/>
      <c r="AX607"/>
      <c r="AY607"/>
      <c r="AZ607" s="3"/>
      <c r="BA607" s="3"/>
      <c r="BB607" s="3"/>
      <c r="BC607" s="3"/>
      <c r="BD607" s="3"/>
      <c r="BE607" s="1380">
        <f t="shared" si="3"/>
        <v>0</v>
      </c>
      <c r="BF607" s="1382"/>
      <c r="BG607" s="1389">
        <f t="shared" si="4"/>
        <v>0</v>
      </c>
      <c r="BH607" s="1390"/>
      <c r="BI607" s="1380">
        <f t="shared" si="5"/>
        <v>0</v>
      </c>
      <c r="BJ607" s="1382"/>
      <c r="BK607" s="1389">
        <f t="shared" si="6"/>
        <v>0</v>
      </c>
      <c r="BL607" s="1390"/>
      <c r="BM607" s="3"/>
      <c r="BN607" s="1385">
        <f t="shared" si="7"/>
        <v>0</v>
      </c>
      <c r="BO607" s="1386"/>
      <c r="BP607" s="1386"/>
      <c r="BQ607" s="1386"/>
      <c r="BR607" s="1387"/>
      <c r="BS607" s="1388">
        <f t="shared" si="8"/>
        <v>0</v>
      </c>
      <c r="BT607" s="1388"/>
      <c r="BU607" s="1388"/>
      <c r="BV607" s="1388"/>
      <c r="BW607" s="1388"/>
      <c r="BX607" s="1388">
        <f t="shared" si="9"/>
        <v>0</v>
      </c>
      <c r="BY607" s="1388"/>
      <c r="BZ607" s="1388"/>
      <c r="CA607" s="1388"/>
      <c r="CB607" s="1388"/>
      <c r="CC607" s="1388">
        <f t="shared" si="10"/>
        <v>0</v>
      </c>
      <c r="CD607" s="1388"/>
      <c r="CE607" s="1388"/>
      <c r="CF607" s="1388"/>
      <c r="CG607" s="1388"/>
      <c r="CH607" s="1388">
        <f t="shared" si="11"/>
        <v>0</v>
      </c>
      <c r="CI607" s="1388"/>
      <c r="CJ607" s="1388"/>
      <c r="CK607" s="1388"/>
      <c r="CL607" s="1388"/>
      <c r="CM607" s="1388">
        <f t="shared" si="12"/>
        <v>0</v>
      </c>
      <c r="CN607" s="1388"/>
      <c r="CO607" s="1388"/>
      <c r="CP607" s="1388"/>
      <c r="CQ607" s="1388"/>
      <c r="CR607" s="6"/>
      <c r="CS607" s="1384">
        <f t="shared" si="13"/>
        <v>0</v>
      </c>
      <c r="CT607" s="1384"/>
      <c r="CU607" s="1384"/>
      <c r="CV607" s="1384"/>
      <c r="CW607" s="1384"/>
      <c r="CX607" s="1384">
        <f t="shared" si="14"/>
        <v>0</v>
      </c>
      <c r="CY607" s="1384"/>
      <c r="CZ607" s="1384"/>
      <c r="DA607" s="1384"/>
      <c r="DB607" s="1384"/>
      <c r="DC607" s="1384">
        <f t="shared" si="15"/>
        <v>0</v>
      </c>
      <c r="DD607" s="1384"/>
      <c r="DE607" s="1384"/>
      <c r="DF607" s="1384"/>
      <c r="DG607" s="1384"/>
      <c r="DH607" s="1384">
        <f t="shared" si="16"/>
        <v>0</v>
      </c>
      <c r="DI607" s="1384"/>
      <c r="DJ607" s="1384"/>
      <c r="DK607" s="1384"/>
      <c r="DL607" s="1384"/>
      <c r="DM607" s="1384">
        <f t="shared" si="17"/>
        <v>0</v>
      </c>
      <c r="DN607" s="1384"/>
      <c r="DO607" s="1384"/>
      <c r="DP607" s="1384"/>
      <c r="DQ607" s="1384"/>
      <c r="DR607" s="1384">
        <f t="shared" si="18"/>
        <v>0</v>
      </c>
      <c r="DS607" s="1384"/>
      <c r="DT607" s="1384"/>
      <c r="DU607" s="1384"/>
      <c r="DV607" s="1384"/>
      <c r="DX607" s="1380" t="str">
        <f t="shared" si="19"/>
        <v/>
      </c>
      <c r="DY607" s="1381"/>
      <c r="DZ607" s="1381"/>
      <c r="EA607" s="1381"/>
      <c r="EB607" s="1382"/>
      <c r="EC607" s="1380" t="str">
        <f t="shared" si="20"/>
        <v/>
      </c>
      <c r="ED607" s="1381"/>
      <c r="EE607" s="1381"/>
      <c r="EF607" s="1381"/>
      <c r="EG607" s="1382"/>
      <c r="EH607" s="1380" t="str">
        <f t="shared" si="21"/>
        <v/>
      </c>
      <c r="EI607" s="1381"/>
      <c r="EJ607" s="1381"/>
      <c r="EK607" s="1381"/>
      <c r="EL607" s="1382"/>
      <c r="EM607" s="1380" t="str">
        <f t="shared" si="22"/>
        <v/>
      </c>
      <c r="EN607" s="1381"/>
      <c r="EO607" s="1381"/>
      <c r="EP607" s="1381"/>
      <c r="EQ607" s="1382"/>
      <c r="ER607" s="1380" t="str">
        <f t="shared" si="23"/>
        <v/>
      </c>
      <c r="ES607" s="1381"/>
      <c r="ET607" s="1381"/>
      <c r="EU607" s="1381"/>
      <c r="EV607" s="1382"/>
      <c r="EW607" s="1380" t="str">
        <f t="shared" si="24"/>
        <v/>
      </c>
      <c r="EX607" s="1381"/>
      <c r="EY607" s="1381"/>
      <c r="EZ607" s="1381"/>
      <c r="FA607" s="1382"/>
    </row>
    <row r="608" spans="1:157" ht="12.95" customHeight="1">
      <c r="A608" s="22"/>
      <c r="T608" s="22"/>
      <c r="AZ608" s="3"/>
      <c r="BA608" s="3"/>
      <c r="BB608" s="3"/>
      <c r="BC608" s="3"/>
      <c r="BD608" s="3"/>
      <c r="BE608" s="1380">
        <f t="shared" si="3"/>
        <v>0</v>
      </c>
      <c r="BF608" s="1382"/>
      <c r="BG608" s="1389">
        <f t="shared" si="4"/>
        <v>0</v>
      </c>
      <c r="BH608" s="1390"/>
      <c r="BI608" s="1380">
        <f t="shared" si="5"/>
        <v>0</v>
      </c>
      <c r="BJ608" s="1382"/>
      <c r="BK608" s="1389">
        <f t="shared" si="6"/>
        <v>0</v>
      </c>
      <c r="BL608" s="1390"/>
      <c r="BM608" s="3"/>
      <c r="BN608" s="1385">
        <f t="shared" si="7"/>
        <v>0</v>
      </c>
      <c r="BO608" s="1386"/>
      <c r="BP608" s="1386"/>
      <c r="BQ608" s="1386"/>
      <c r="BR608" s="1387"/>
      <c r="BS608" s="1388">
        <f t="shared" si="8"/>
        <v>0</v>
      </c>
      <c r="BT608" s="1388"/>
      <c r="BU608" s="1388"/>
      <c r="BV608" s="1388"/>
      <c r="BW608" s="1388"/>
      <c r="BX608" s="1388">
        <f t="shared" si="9"/>
        <v>0</v>
      </c>
      <c r="BY608" s="1388"/>
      <c r="BZ608" s="1388"/>
      <c r="CA608" s="1388"/>
      <c r="CB608" s="1388"/>
      <c r="CC608" s="1388">
        <f t="shared" si="10"/>
        <v>0</v>
      </c>
      <c r="CD608" s="1388"/>
      <c r="CE608" s="1388"/>
      <c r="CF608" s="1388"/>
      <c r="CG608" s="1388"/>
      <c r="CH608" s="1388">
        <f t="shared" si="11"/>
        <v>0</v>
      </c>
      <c r="CI608" s="1388"/>
      <c r="CJ608" s="1388"/>
      <c r="CK608" s="1388"/>
      <c r="CL608" s="1388"/>
      <c r="CM608" s="1388">
        <f t="shared" si="12"/>
        <v>0</v>
      </c>
      <c r="CN608" s="1388"/>
      <c r="CO608" s="1388"/>
      <c r="CP608" s="1388"/>
      <c r="CQ608" s="1388"/>
      <c r="CR608" s="6"/>
      <c r="CS608" s="1384">
        <f t="shared" si="13"/>
        <v>0</v>
      </c>
      <c r="CT608" s="1384"/>
      <c r="CU608" s="1384"/>
      <c r="CV608" s="1384"/>
      <c r="CW608" s="1384"/>
      <c r="CX608" s="1384">
        <f t="shared" si="14"/>
        <v>0</v>
      </c>
      <c r="CY608" s="1384"/>
      <c r="CZ608" s="1384"/>
      <c r="DA608" s="1384"/>
      <c r="DB608" s="1384"/>
      <c r="DC608" s="1384">
        <f t="shared" si="15"/>
        <v>0</v>
      </c>
      <c r="DD608" s="1384"/>
      <c r="DE608" s="1384"/>
      <c r="DF608" s="1384"/>
      <c r="DG608" s="1384"/>
      <c r="DH608" s="1384">
        <f t="shared" si="16"/>
        <v>0</v>
      </c>
      <c r="DI608" s="1384"/>
      <c r="DJ608" s="1384"/>
      <c r="DK608" s="1384"/>
      <c r="DL608" s="1384"/>
      <c r="DM608" s="1384">
        <f t="shared" si="17"/>
        <v>0</v>
      </c>
      <c r="DN608" s="1384"/>
      <c r="DO608" s="1384"/>
      <c r="DP608" s="1384"/>
      <c r="DQ608" s="1384"/>
      <c r="DR608" s="1384">
        <f t="shared" si="18"/>
        <v>0</v>
      </c>
      <c r="DS608" s="1384"/>
      <c r="DT608" s="1384"/>
      <c r="DU608" s="1384"/>
      <c r="DV608" s="1384"/>
      <c r="DX608" s="1380" t="str">
        <f t="shared" si="19"/>
        <v/>
      </c>
      <c r="DY608" s="1381"/>
      <c r="DZ608" s="1381"/>
      <c r="EA608" s="1381"/>
      <c r="EB608" s="1382"/>
      <c r="EC608" s="1380" t="str">
        <f t="shared" si="20"/>
        <v/>
      </c>
      <c r="ED608" s="1381"/>
      <c r="EE608" s="1381"/>
      <c r="EF608" s="1381"/>
      <c r="EG608" s="1382"/>
      <c r="EH608" s="1380" t="str">
        <f t="shared" si="21"/>
        <v/>
      </c>
      <c r="EI608" s="1381"/>
      <c r="EJ608" s="1381"/>
      <c r="EK608" s="1381"/>
      <c r="EL608" s="1382"/>
      <c r="EM608" s="1380" t="str">
        <f t="shared" si="22"/>
        <v/>
      </c>
      <c r="EN608" s="1381"/>
      <c r="EO608" s="1381"/>
      <c r="EP608" s="1381"/>
      <c r="EQ608" s="1382"/>
      <c r="ER608" s="1380" t="str">
        <f t="shared" si="23"/>
        <v/>
      </c>
      <c r="ES608" s="1381"/>
      <c r="ET608" s="1381"/>
      <c r="EU608" s="1381"/>
      <c r="EV608" s="1382"/>
      <c r="EW608" s="1380" t="str">
        <f t="shared" si="24"/>
        <v/>
      </c>
      <c r="EX608" s="1381"/>
      <c r="EY608" s="1381"/>
      <c r="EZ608" s="1381"/>
      <c r="FA608" s="1382"/>
    </row>
    <row r="609" spans="1:157" ht="12.95" customHeight="1">
      <c r="A609" s="55" t="s">
        <v>363</v>
      </c>
      <c r="B609" t="s">
        <v>471</v>
      </c>
      <c r="G609" s="1504" t="str">
        <f>C564</f>
        <v>LP Equity</v>
      </c>
      <c r="H609" s="1504"/>
      <c r="I609" s="1504"/>
      <c r="J609" s="1504"/>
      <c r="K609" s="1504"/>
      <c r="L609" s="1504"/>
      <c r="M609" s="1504"/>
      <c r="N609" s="1504"/>
      <c r="O609" s="1504"/>
      <c r="P609" s="1504"/>
      <c r="Q609" s="1504"/>
      <c r="R609" s="1504"/>
      <c r="T609" s="55" t="s">
        <v>364</v>
      </c>
      <c r="U609" t="s">
        <v>471</v>
      </c>
      <c r="Z609" s="1504">
        <f>C565</f>
        <v>0</v>
      </c>
      <c r="AA609" s="1504"/>
      <c r="AB609" s="1504"/>
      <c r="AC609" s="1504"/>
      <c r="AD609" s="1504"/>
      <c r="AE609" s="1504"/>
      <c r="AF609" s="1504"/>
      <c r="AG609" s="1504"/>
      <c r="AH609" s="1504"/>
      <c r="AI609" s="1504"/>
      <c r="AJ609" s="1504"/>
      <c r="AK609" s="1504"/>
      <c r="AZ609" s="3"/>
      <c r="BA609" s="3"/>
      <c r="BB609" s="3"/>
      <c r="BC609" s="3"/>
      <c r="BD609" s="3"/>
      <c r="BE609" s="1380">
        <f t="shared" si="3"/>
        <v>0</v>
      </c>
      <c r="BF609" s="1382"/>
      <c r="BG609" s="1389">
        <f t="shared" si="4"/>
        <v>0</v>
      </c>
      <c r="BH609" s="1390"/>
      <c r="BI609" s="1380">
        <f t="shared" si="5"/>
        <v>0</v>
      </c>
      <c r="BJ609" s="1382"/>
      <c r="BK609" s="1389">
        <f t="shared" si="6"/>
        <v>0</v>
      </c>
      <c r="BL609" s="1390"/>
      <c r="BM609" s="3"/>
      <c r="BN609" s="1385">
        <f t="shared" si="7"/>
        <v>0</v>
      </c>
      <c r="BO609" s="1386"/>
      <c r="BP609" s="1386"/>
      <c r="BQ609" s="1386"/>
      <c r="BR609" s="1387"/>
      <c r="BS609" s="1388">
        <f t="shared" si="8"/>
        <v>0</v>
      </c>
      <c r="BT609" s="1388"/>
      <c r="BU609" s="1388"/>
      <c r="BV609" s="1388"/>
      <c r="BW609" s="1388"/>
      <c r="BX609" s="1388">
        <f t="shared" si="9"/>
        <v>0</v>
      </c>
      <c r="BY609" s="1388"/>
      <c r="BZ609" s="1388"/>
      <c r="CA609" s="1388"/>
      <c r="CB609" s="1388"/>
      <c r="CC609" s="1388">
        <f t="shared" si="10"/>
        <v>0</v>
      </c>
      <c r="CD609" s="1388"/>
      <c r="CE609" s="1388"/>
      <c r="CF609" s="1388"/>
      <c r="CG609" s="1388"/>
      <c r="CH609" s="1388">
        <f t="shared" si="11"/>
        <v>0</v>
      </c>
      <c r="CI609" s="1388"/>
      <c r="CJ609" s="1388"/>
      <c r="CK609" s="1388"/>
      <c r="CL609" s="1388"/>
      <c r="CM609" s="1388">
        <f t="shared" si="12"/>
        <v>0</v>
      </c>
      <c r="CN609" s="1388"/>
      <c r="CO609" s="1388"/>
      <c r="CP609" s="1388"/>
      <c r="CQ609" s="1388"/>
      <c r="CR609" s="6"/>
      <c r="CS609" s="1384">
        <f t="shared" si="13"/>
        <v>0</v>
      </c>
      <c r="CT609" s="1384"/>
      <c r="CU609" s="1384"/>
      <c r="CV609" s="1384"/>
      <c r="CW609" s="1384"/>
      <c r="CX609" s="1384">
        <f t="shared" si="14"/>
        <v>0</v>
      </c>
      <c r="CY609" s="1384"/>
      <c r="CZ609" s="1384"/>
      <c r="DA609" s="1384"/>
      <c r="DB609" s="1384"/>
      <c r="DC609" s="1384">
        <f t="shared" si="15"/>
        <v>0</v>
      </c>
      <c r="DD609" s="1384"/>
      <c r="DE609" s="1384"/>
      <c r="DF609" s="1384"/>
      <c r="DG609" s="1384"/>
      <c r="DH609" s="1384">
        <f t="shared" si="16"/>
        <v>0</v>
      </c>
      <c r="DI609" s="1384"/>
      <c r="DJ609" s="1384"/>
      <c r="DK609" s="1384"/>
      <c r="DL609" s="1384"/>
      <c r="DM609" s="1384">
        <f t="shared" si="17"/>
        <v>0</v>
      </c>
      <c r="DN609" s="1384"/>
      <c r="DO609" s="1384"/>
      <c r="DP609" s="1384"/>
      <c r="DQ609" s="1384"/>
      <c r="DR609" s="1384">
        <f t="shared" si="18"/>
        <v>0</v>
      </c>
      <c r="DS609" s="1384"/>
      <c r="DT609" s="1384"/>
      <c r="DU609" s="1384"/>
      <c r="DV609" s="1384"/>
      <c r="DX609" s="1380" t="str">
        <f t="shared" si="19"/>
        <v/>
      </c>
      <c r="DY609" s="1381"/>
      <c r="DZ609" s="1381"/>
      <c r="EA609" s="1381"/>
      <c r="EB609" s="1382"/>
      <c r="EC609" s="1380" t="str">
        <f t="shared" si="20"/>
        <v/>
      </c>
      <c r="ED609" s="1381"/>
      <c r="EE609" s="1381"/>
      <c r="EF609" s="1381"/>
      <c r="EG609" s="1382"/>
      <c r="EH609" s="1380" t="str">
        <f t="shared" si="21"/>
        <v/>
      </c>
      <c r="EI609" s="1381"/>
      <c r="EJ609" s="1381"/>
      <c r="EK609" s="1381"/>
      <c r="EL609" s="1382"/>
      <c r="EM609" s="1380" t="str">
        <f t="shared" si="22"/>
        <v/>
      </c>
      <c r="EN609" s="1381"/>
      <c r="EO609" s="1381"/>
      <c r="EP609" s="1381"/>
      <c r="EQ609" s="1382"/>
      <c r="ER609" s="1380" t="str">
        <f t="shared" si="23"/>
        <v/>
      </c>
      <c r="ES609" s="1381"/>
      <c r="ET609" s="1381"/>
      <c r="EU609" s="1381"/>
      <c r="EV609" s="1382"/>
      <c r="EW609" s="1380" t="str">
        <f t="shared" si="24"/>
        <v/>
      </c>
      <c r="EX609" s="1381"/>
      <c r="EY609" s="1381"/>
      <c r="EZ609" s="1381"/>
      <c r="FA609" s="1382"/>
    </row>
    <row r="610" spans="1:157" ht="12.95" customHeight="1">
      <c r="B610" t="s">
        <v>85</v>
      </c>
      <c r="G610" s="1467"/>
      <c r="H610" s="1467"/>
      <c r="I610" s="1467"/>
      <c r="J610" s="1467"/>
      <c r="K610" s="1467"/>
      <c r="L610" s="1467"/>
      <c r="M610" s="1467"/>
      <c r="N610" s="1467"/>
      <c r="O610" s="1467"/>
      <c r="P610" s="1467"/>
      <c r="Q610" s="1467"/>
      <c r="R610" s="1467"/>
      <c r="U610" t="s">
        <v>85</v>
      </c>
      <c r="Z610" s="1467"/>
      <c r="AA610" s="1467"/>
      <c r="AB610" s="1467"/>
      <c r="AC610" s="1467"/>
      <c r="AD610" s="1467"/>
      <c r="AE610" s="1467"/>
      <c r="AF610" s="1467"/>
      <c r="AG610" s="1467"/>
      <c r="AH610" s="1467"/>
      <c r="AI610" s="1467"/>
      <c r="AJ610" s="1467"/>
      <c r="AK610" s="1467"/>
      <c r="AZ610" s="3"/>
      <c r="BA610" s="3"/>
      <c r="BB610" s="3"/>
      <c r="BC610" s="3"/>
      <c r="BD610" s="3"/>
      <c r="BE610" s="1380">
        <f t="shared" si="3"/>
        <v>0</v>
      </c>
      <c r="BF610" s="1382"/>
      <c r="BG610" s="1389">
        <f t="shared" si="4"/>
        <v>0</v>
      </c>
      <c r="BH610" s="1390"/>
      <c r="BI610" s="1380">
        <f t="shared" si="5"/>
        <v>0</v>
      </c>
      <c r="BJ610" s="1382"/>
      <c r="BK610" s="1389">
        <f t="shared" si="6"/>
        <v>0</v>
      </c>
      <c r="BL610" s="1390"/>
      <c r="BM610" s="3"/>
      <c r="BN610" s="1385">
        <f t="shared" si="7"/>
        <v>0</v>
      </c>
      <c r="BO610" s="1386"/>
      <c r="BP610" s="1386"/>
      <c r="BQ610" s="1386"/>
      <c r="BR610" s="1387"/>
      <c r="BS610" s="1388">
        <f t="shared" si="8"/>
        <v>0</v>
      </c>
      <c r="BT610" s="1388"/>
      <c r="BU610" s="1388"/>
      <c r="BV610" s="1388"/>
      <c r="BW610" s="1388"/>
      <c r="BX610" s="1388">
        <f t="shared" si="9"/>
        <v>0</v>
      </c>
      <c r="BY610" s="1388"/>
      <c r="BZ610" s="1388"/>
      <c r="CA610" s="1388"/>
      <c r="CB610" s="1388"/>
      <c r="CC610" s="1388">
        <f t="shared" si="10"/>
        <v>0</v>
      </c>
      <c r="CD610" s="1388"/>
      <c r="CE610" s="1388"/>
      <c r="CF610" s="1388"/>
      <c r="CG610" s="1388"/>
      <c r="CH610" s="1388">
        <f t="shared" si="11"/>
        <v>0</v>
      </c>
      <c r="CI610" s="1388"/>
      <c r="CJ610" s="1388"/>
      <c r="CK610" s="1388"/>
      <c r="CL610" s="1388"/>
      <c r="CM610" s="1388">
        <f t="shared" si="12"/>
        <v>0</v>
      </c>
      <c r="CN610" s="1388"/>
      <c r="CO610" s="1388"/>
      <c r="CP610" s="1388"/>
      <c r="CQ610" s="1388"/>
      <c r="CR610" s="6"/>
      <c r="CS610" s="1384">
        <f t="shared" si="13"/>
        <v>0</v>
      </c>
      <c r="CT610" s="1384"/>
      <c r="CU610" s="1384"/>
      <c r="CV610" s="1384"/>
      <c r="CW610" s="1384"/>
      <c r="CX610" s="1384">
        <f t="shared" si="14"/>
        <v>0</v>
      </c>
      <c r="CY610" s="1384"/>
      <c r="CZ610" s="1384"/>
      <c r="DA610" s="1384"/>
      <c r="DB610" s="1384"/>
      <c r="DC610" s="1384">
        <f t="shared" si="15"/>
        <v>0</v>
      </c>
      <c r="DD610" s="1384"/>
      <c r="DE610" s="1384"/>
      <c r="DF610" s="1384"/>
      <c r="DG610" s="1384"/>
      <c r="DH610" s="1384">
        <f t="shared" si="16"/>
        <v>0</v>
      </c>
      <c r="DI610" s="1384"/>
      <c r="DJ610" s="1384"/>
      <c r="DK610" s="1384"/>
      <c r="DL610" s="1384"/>
      <c r="DM610" s="1384">
        <f t="shared" si="17"/>
        <v>0</v>
      </c>
      <c r="DN610" s="1384"/>
      <c r="DO610" s="1384"/>
      <c r="DP610" s="1384"/>
      <c r="DQ610" s="1384"/>
      <c r="DR610" s="1384">
        <f t="shared" si="18"/>
        <v>0</v>
      </c>
      <c r="DS610" s="1384"/>
      <c r="DT610" s="1384"/>
      <c r="DU610" s="1384"/>
      <c r="DV610" s="1384"/>
      <c r="DX610" s="1380" t="str">
        <f t="shared" si="19"/>
        <v/>
      </c>
      <c r="DY610" s="1381"/>
      <c r="DZ610" s="1381"/>
      <c r="EA610" s="1381"/>
      <c r="EB610" s="1382"/>
      <c r="EC610" s="1380" t="str">
        <f t="shared" si="20"/>
        <v/>
      </c>
      <c r="ED610" s="1381"/>
      <c r="EE610" s="1381"/>
      <c r="EF610" s="1381"/>
      <c r="EG610" s="1382"/>
      <c r="EH610" s="1380" t="str">
        <f t="shared" si="21"/>
        <v/>
      </c>
      <c r="EI610" s="1381"/>
      <c r="EJ610" s="1381"/>
      <c r="EK610" s="1381"/>
      <c r="EL610" s="1382"/>
      <c r="EM610" s="1380" t="str">
        <f t="shared" si="22"/>
        <v/>
      </c>
      <c r="EN610" s="1381"/>
      <c r="EO610" s="1381"/>
      <c r="EP610" s="1381"/>
      <c r="EQ610" s="1382"/>
      <c r="ER610" s="1380" t="str">
        <f t="shared" si="23"/>
        <v/>
      </c>
      <c r="ES610" s="1381"/>
      <c r="ET610" s="1381"/>
      <c r="EU610" s="1381"/>
      <c r="EV610" s="1382"/>
      <c r="EW610" s="1380" t="str">
        <f t="shared" si="24"/>
        <v/>
      </c>
      <c r="EX610" s="1381"/>
      <c r="EY610" s="1381"/>
      <c r="EZ610" s="1381"/>
      <c r="FA610" s="1382"/>
    </row>
    <row r="611" spans="1:157" ht="12.95" customHeight="1">
      <c r="B611" t="s">
        <v>588</v>
      </c>
      <c r="G611" s="1467"/>
      <c r="H611" s="1467"/>
      <c r="I611" s="1467"/>
      <c r="J611" s="1467"/>
      <c r="K611" s="1467"/>
      <c r="L611" s="1467"/>
      <c r="M611" s="1467"/>
      <c r="N611" s="1467"/>
      <c r="O611" s="1467"/>
      <c r="P611" s="1467"/>
      <c r="Q611" s="1467"/>
      <c r="R611" s="1467"/>
      <c r="U611" t="s">
        <v>588</v>
      </c>
      <c r="Z611" s="1445"/>
      <c r="AA611" s="1445"/>
      <c r="AB611" s="1445"/>
      <c r="AC611" s="1445"/>
      <c r="AD611" s="1445"/>
      <c r="AE611" s="1445"/>
      <c r="AF611" s="1445"/>
      <c r="AG611" s="1445"/>
      <c r="AH611" s="1445"/>
      <c r="AI611" s="1445"/>
      <c r="AJ611" s="1445"/>
      <c r="AK611" s="1445"/>
      <c r="AZ611" s="3"/>
      <c r="BA611" s="3"/>
      <c r="BB611" s="3"/>
      <c r="BC611" s="3"/>
      <c r="BD611" s="3"/>
      <c r="BE611" s="1380">
        <f t="shared" si="3"/>
        <v>0</v>
      </c>
      <c r="BF611" s="1382"/>
      <c r="BG611" s="1389">
        <f t="shared" si="4"/>
        <v>0</v>
      </c>
      <c r="BH611" s="1390"/>
      <c r="BI611" s="1380">
        <f t="shared" si="5"/>
        <v>0</v>
      </c>
      <c r="BJ611" s="1382"/>
      <c r="BK611" s="1389">
        <f t="shared" si="6"/>
        <v>0</v>
      </c>
      <c r="BL611" s="1390"/>
      <c r="BM611" s="3"/>
      <c r="BN611" s="1385">
        <f t="shared" si="7"/>
        <v>0</v>
      </c>
      <c r="BO611" s="1386"/>
      <c r="BP611" s="1386"/>
      <c r="BQ611" s="1386"/>
      <c r="BR611" s="1387"/>
      <c r="BS611" s="1388">
        <f t="shared" si="8"/>
        <v>0</v>
      </c>
      <c r="BT611" s="1388"/>
      <c r="BU611" s="1388"/>
      <c r="BV611" s="1388"/>
      <c r="BW611" s="1388"/>
      <c r="BX611" s="1388">
        <f t="shared" si="9"/>
        <v>0</v>
      </c>
      <c r="BY611" s="1388"/>
      <c r="BZ611" s="1388"/>
      <c r="CA611" s="1388"/>
      <c r="CB611" s="1388"/>
      <c r="CC611" s="1388">
        <f t="shared" si="10"/>
        <v>0</v>
      </c>
      <c r="CD611" s="1388"/>
      <c r="CE611" s="1388"/>
      <c r="CF611" s="1388"/>
      <c r="CG611" s="1388"/>
      <c r="CH611" s="1388">
        <f t="shared" si="11"/>
        <v>0</v>
      </c>
      <c r="CI611" s="1388"/>
      <c r="CJ611" s="1388"/>
      <c r="CK611" s="1388"/>
      <c r="CL611" s="1388"/>
      <c r="CM611" s="1388">
        <f t="shared" si="12"/>
        <v>0</v>
      </c>
      <c r="CN611" s="1388"/>
      <c r="CO611" s="1388"/>
      <c r="CP611" s="1388"/>
      <c r="CQ611" s="1388"/>
      <c r="CR611" s="6"/>
      <c r="CS611" s="1384">
        <f t="shared" si="13"/>
        <v>0</v>
      </c>
      <c r="CT611" s="1384"/>
      <c r="CU611" s="1384"/>
      <c r="CV611" s="1384"/>
      <c r="CW611" s="1384"/>
      <c r="CX611" s="1384">
        <f t="shared" si="14"/>
        <v>0</v>
      </c>
      <c r="CY611" s="1384"/>
      <c r="CZ611" s="1384"/>
      <c r="DA611" s="1384"/>
      <c r="DB611" s="1384"/>
      <c r="DC611" s="1384">
        <f t="shared" si="15"/>
        <v>0</v>
      </c>
      <c r="DD611" s="1384"/>
      <c r="DE611" s="1384"/>
      <c r="DF611" s="1384"/>
      <c r="DG611" s="1384"/>
      <c r="DH611" s="1384">
        <f t="shared" si="16"/>
        <v>0</v>
      </c>
      <c r="DI611" s="1384"/>
      <c r="DJ611" s="1384"/>
      <c r="DK611" s="1384"/>
      <c r="DL611" s="1384"/>
      <c r="DM611" s="1384">
        <f t="shared" si="17"/>
        <v>0</v>
      </c>
      <c r="DN611" s="1384"/>
      <c r="DO611" s="1384"/>
      <c r="DP611" s="1384"/>
      <c r="DQ611" s="1384"/>
      <c r="DR611" s="1384">
        <f t="shared" si="18"/>
        <v>0</v>
      </c>
      <c r="DS611" s="1384"/>
      <c r="DT611" s="1384"/>
      <c r="DU611" s="1384"/>
      <c r="DV611" s="1384"/>
      <c r="DX611" s="1380" t="str">
        <f t="shared" si="19"/>
        <v/>
      </c>
      <c r="DY611" s="1381"/>
      <c r="DZ611" s="1381"/>
      <c r="EA611" s="1381"/>
      <c r="EB611" s="1382"/>
      <c r="EC611" s="1380" t="str">
        <f t="shared" si="20"/>
        <v/>
      </c>
      <c r="ED611" s="1381"/>
      <c r="EE611" s="1381"/>
      <c r="EF611" s="1381"/>
      <c r="EG611" s="1382"/>
      <c r="EH611" s="1380" t="str">
        <f t="shared" si="21"/>
        <v/>
      </c>
      <c r="EI611" s="1381"/>
      <c r="EJ611" s="1381"/>
      <c r="EK611" s="1381"/>
      <c r="EL611" s="1382"/>
      <c r="EM611" s="1380" t="str">
        <f t="shared" si="22"/>
        <v/>
      </c>
      <c r="EN611" s="1381"/>
      <c r="EO611" s="1381"/>
      <c r="EP611" s="1381"/>
      <c r="EQ611" s="1382"/>
      <c r="ER611" s="1380" t="str">
        <f t="shared" si="23"/>
        <v/>
      </c>
      <c r="ES611" s="1381"/>
      <c r="ET611" s="1381"/>
      <c r="EU611" s="1381"/>
      <c r="EV611" s="1382"/>
      <c r="EW611" s="1380" t="str">
        <f t="shared" si="24"/>
        <v/>
      </c>
      <c r="EX611" s="1381"/>
      <c r="EY611" s="1381"/>
      <c r="EZ611" s="1381"/>
      <c r="FA611" s="1382"/>
    </row>
    <row r="612" spans="1:157" ht="12.95" customHeight="1">
      <c r="B612" t="s">
        <v>17</v>
      </c>
      <c r="G612" s="1467"/>
      <c r="H612" s="1467"/>
      <c r="I612" s="1467"/>
      <c r="J612" s="1467"/>
      <c r="K612" s="1467"/>
      <c r="L612" s="1467"/>
      <c r="M612" s="1467"/>
      <c r="N612" s="1467"/>
      <c r="O612" s="1467"/>
      <c r="P612" s="1467"/>
      <c r="Q612" s="1467"/>
      <c r="R612" s="1467"/>
      <c r="U612" t="s">
        <v>17</v>
      </c>
      <c r="Z612" s="1445"/>
      <c r="AA612" s="1445"/>
      <c r="AB612" s="1445"/>
      <c r="AC612" s="1445"/>
      <c r="AD612" s="1445"/>
      <c r="AE612" s="1445"/>
      <c r="AF612" s="1445"/>
      <c r="AG612" s="1445"/>
      <c r="AH612" s="1445"/>
      <c r="AI612" s="1445"/>
      <c r="AJ612" s="1445"/>
      <c r="AK612" s="1445"/>
      <c r="AZ612" s="3"/>
      <c r="BA612" s="3"/>
      <c r="BB612" s="3"/>
      <c r="BC612" s="3"/>
      <c r="BD612" s="3"/>
      <c r="BE612" s="1380">
        <f t="shared" si="3"/>
        <v>0</v>
      </c>
      <c r="BF612" s="1382"/>
      <c r="BG612" s="1389">
        <f t="shared" si="4"/>
        <v>0</v>
      </c>
      <c r="BH612" s="1390"/>
      <c r="BI612" s="1380">
        <f t="shared" si="5"/>
        <v>0</v>
      </c>
      <c r="BJ612" s="1382"/>
      <c r="BK612" s="1389">
        <f t="shared" si="6"/>
        <v>0</v>
      </c>
      <c r="BL612" s="1390"/>
      <c r="BM612" s="3"/>
      <c r="BN612" s="1385">
        <f t="shared" si="7"/>
        <v>0</v>
      </c>
      <c r="BO612" s="1386"/>
      <c r="BP612" s="1386"/>
      <c r="BQ612" s="1386"/>
      <c r="BR612" s="1387"/>
      <c r="BS612" s="1388">
        <f t="shared" si="8"/>
        <v>0</v>
      </c>
      <c r="BT612" s="1388"/>
      <c r="BU612" s="1388"/>
      <c r="BV612" s="1388"/>
      <c r="BW612" s="1388"/>
      <c r="BX612" s="1388">
        <f t="shared" si="9"/>
        <v>0</v>
      </c>
      <c r="BY612" s="1388"/>
      <c r="BZ612" s="1388"/>
      <c r="CA612" s="1388"/>
      <c r="CB612" s="1388"/>
      <c r="CC612" s="1388">
        <f t="shared" si="10"/>
        <v>0</v>
      </c>
      <c r="CD612" s="1388"/>
      <c r="CE612" s="1388"/>
      <c r="CF612" s="1388"/>
      <c r="CG612" s="1388"/>
      <c r="CH612" s="1388">
        <f t="shared" si="11"/>
        <v>0</v>
      </c>
      <c r="CI612" s="1388"/>
      <c r="CJ612" s="1388"/>
      <c r="CK612" s="1388"/>
      <c r="CL612" s="1388"/>
      <c r="CM612" s="1388">
        <f t="shared" si="12"/>
        <v>0</v>
      </c>
      <c r="CN612" s="1388"/>
      <c r="CO612" s="1388"/>
      <c r="CP612" s="1388"/>
      <c r="CQ612" s="1388"/>
      <c r="CR612" s="6"/>
      <c r="CS612" s="1384">
        <f t="shared" si="13"/>
        <v>0</v>
      </c>
      <c r="CT612" s="1384"/>
      <c r="CU612" s="1384"/>
      <c r="CV612" s="1384"/>
      <c r="CW612" s="1384"/>
      <c r="CX612" s="1384">
        <f t="shared" si="14"/>
        <v>0</v>
      </c>
      <c r="CY612" s="1384"/>
      <c r="CZ612" s="1384"/>
      <c r="DA612" s="1384"/>
      <c r="DB612" s="1384"/>
      <c r="DC612" s="1384">
        <f t="shared" si="15"/>
        <v>0</v>
      </c>
      <c r="DD612" s="1384"/>
      <c r="DE612" s="1384"/>
      <c r="DF612" s="1384"/>
      <c r="DG612" s="1384"/>
      <c r="DH612" s="1384">
        <f t="shared" si="16"/>
        <v>0</v>
      </c>
      <c r="DI612" s="1384"/>
      <c r="DJ612" s="1384"/>
      <c r="DK612" s="1384"/>
      <c r="DL612" s="1384"/>
      <c r="DM612" s="1384">
        <f t="shared" si="17"/>
        <v>0</v>
      </c>
      <c r="DN612" s="1384"/>
      <c r="DO612" s="1384"/>
      <c r="DP612" s="1384"/>
      <c r="DQ612" s="1384"/>
      <c r="DR612" s="1384">
        <f t="shared" si="18"/>
        <v>0</v>
      </c>
      <c r="DS612" s="1384"/>
      <c r="DT612" s="1384"/>
      <c r="DU612" s="1384"/>
      <c r="DV612" s="1384"/>
      <c r="DX612" s="1380" t="str">
        <f t="shared" si="19"/>
        <v/>
      </c>
      <c r="DY612" s="1381"/>
      <c r="DZ612" s="1381"/>
      <c r="EA612" s="1381"/>
      <c r="EB612" s="1382"/>
      <c r="EC612" s="1380" t="str">
        <f t="shared" si="20"/>
        <v/>
      </c>
      <c r="ED612" s="1381"/>
      <c r="EE612" s="1381"/>
      <c r="EF612" s="1381"/>
      <c r="EG612" s="1382"/>
      <c r="EH612" s="1380" t="str">
        <f t="shared" si="21"/>
        <v/>
      </c>
      <c r="EI612" s="1381"/>
      <c r="EJ612" s="1381"/>
      <c r="EK612" s="1381"/>
      <c r="EL612" s="1382"/>
      <c r="EM612" s="1380" t="str">
        <f t="shared" si="22"/>
        <v/>
      </c>
      <c r="EN612" s="1381"/>
      <c r="EO612" s="1381"/>
      <c r="EP612" s="1381"/>
      <c r="EQ612" s="1382"/>
      <c r="ER612" s="1380" t="str">
        <f t="shared" si="23"/>
        <v/>
      </c>
      <c r="ES612" s="1381"/>
      <c r="ET612" s="1381"/>
      <c r="EU612" s="1381"/>
      <c r="EV612" s="1382"/>
      <c r="EW612" s="1380" t="str">
        <f t="shared" si="24"/>
        <v/>
      </c>
      <c r="EX612" s="1381"/>
      <c r="EY612" s="1381"/>
      <c r="EZ612" s="1381"/>
      <c r="FA612" s="1382"/>
    </row>
    <row r="613" spans="1:157" ht="12.95" customHeight="1">
      <c r="B613" t="s">
        <v>317</v>
      </c>
      <c r="G613" s="1479"/>
      <c r="H613" s="1479"/>
      <c r="I613" s="1479"/>
      <c r="J613" s="1479"/>
      <c r="K613" s="1479"/>
      <c r="L613" s="1479"/>
      <c r="O613" s="33" t="s">
        <v>207</v>
      </c>
      <c r="P613" s="1487"/>
      <c r="Q613" s="1487"/>
      <c r="R613" s="1487"/>
      <c r="U613" t="s">
        <v>317</v>
      </c>
      <c r="Z613" s="1479"/>
      <c r="AA613" s="1479"/>
      <c r="AB613" s="1479"/>
      <c r="AC613" s="1479"/>
      <c r="AD613" s="1479"/>
      <c r="AE613" s="1479"/>
      <c r="AH613" s="33" t="s">
        <v>207</v>
      </c>
      <c r="AI613" s="1487"/>
      <c r="AJ613" s="1487"/>
      <c r="AK613" s="1487"/>
      <c r="AZ613" s="3"/>
      <c r="BA613" s="3"/>
      <c r="BB613" s="3"/>
      <c r="BC613" s="3"/>
      <c r="BD613" s="3"/>
      <c r="BE613" s="1380">
        <f t="shared" si="3"/>
        <v>0</v>
      </c>
      <c r="BF613" s="1382"/>
      <c r="BG613" s="1389">
        <f t="shared" si="4"/>
        <v>0</v>
      </c>
      <c r="BH613" s="1390"/>
      <c r="BI613" s="1380">
        <f t="shared" si="5"/>
        <v>0</v>
      </c>
      <c r="BJ613" s="1382"/>
      <c r="BK613" s="1389">
        <f t="shared" si="6"/>
        <v>0</v>
      </c>
      <c r="BL613" s="1390"/>
      <c r="BM613" s="3"/>
      <c r="BN613" s="1385">
        <f t="shared" si="7"/>
        <v>0</v>
      </c>
      <c r="BO613" s="1386"/>
      <c r="BP613" s="1386"/>
      <c r="BQ613" s="1386"/>
      <c r="BR613" s="1387"/>
      <c r="BS613" s="1388">
        <f t="shared" si="8"/>
        <v>0</v>
      </c>
      <c r="BT613" s="1388"/>
      <c r="BU613" s="1388"/>
      <c r="BV613" s="1388"/>
      <c r="BW613" s="1388"/>
      <c r="BX613" s="1388">
        <f t="shared" si="9"/>
        <v>0</v>
      </c>
      <c r="BY613" s="1388"/>
      <c r="BZ613" s="1388"/>
      <c r="CA613" s="1388"/>
      <c r="CB613" s="1388"/>
      <c r="CC613" s="1388">
        <f t="shared" si="10"/>
        <v>0</v>
      </c>
      <c r="CD613" s="1388"/>
      <c r="CE613" s="1388"/>
      <c r="CF613" s="1388"/>
      <c r="CG613" s="1388"/>
      <c r="CH613" s="1388">
        <f t="shared" si="11"/>
        <v>0</v>
      </c>
      <c r="CI613" s="1388"/>
      <c r="CJ613" s="1388"/>
      <c r="CK613" s="1388"/>
      <c r="CL613" s="1388"/>
      <c r="CM613" s="1388">
        <f t="shared" si="12"/>
        <v>0</v>
      </c>
      <c r="CN613" s="1388"/>
      <c r="CO613" s="1388"/>
      <c r="CP613" s="1388"/>
      <c r="CQ613" s="1388"/>
      <c r="CR613" s="6"/>
      <c r="CS613" s="1384">
        <f t="shared" si="13"/>
        <v>0</v>
      </c>
      <c r="CT613" s="1384"/>
      <c r="CU613" s="1384"/>
      <c r="CV613" s="1384"/>
      <c r="CW613" s="1384"/>
      <c r="CX613" s="1384">
        <f t="shared" si="14"/>
        <v>0</v>
      </c>
      <c r="CY613" s="1384"/>
      <c r="CZ613" s="1384"/>
      <c r="DA613" s="1384"/>
      <c r="DB613" s="1384"/>
      <c r="DC613" s="1384">
        <f t="shared" si="15"/>
        <v>0</v>
      </c>
      <c r="DD613" s="1384"/>
      <c r="DE613" s="1384"/>
      <c r="DF613" s="1384"/>
      <c r="DG613" s="1384"/>
      <c r="DH613" s="1384">
        <f t="shared" si="16"/>
        <v>0</v>
      </c>
      <c r="DI613" s="1384"/>
      <c r="DJ613" s="1384"/>
      <c r="DK613" s="1384"/>
      <c r="DL613" s="1384"/>
      <c r="DM613" s="1384">
        <f t="shared" si="17"/>
        <v>0</v>
      </c>
      <c r="DN613" s="1384"/>
      <c r="DO613" s="1384"/>
      <c r="DP613" s="1384"/>
      <c r="DQ613" s="1384"/>
      <c r="DR613" s="1384">
        <f t="shared" si="18"/>
        <v>0</v>
      </c>
      <c r="DS613" s="1384"/>
      <c r="DT613" s="1384"/>
      <c r="DU613" s="1384"/>
      <c r="DV613" s="1384"/>
      <c r="DX613" s="1380" t="str">
        <f t="shared" si="19"/>
        <v/>
      </c>
      <c r="DY613" s="1381"/>
      <c r="DZ613" s="1381"/>
      <c r="EA613" s="1381"/>
      <c r="EB613" s="1382"/>
      <c r="EC613" s="1380" t="str">
        <f t="shared" si="20"/>
        <v/>
      </c>
      <c r="ED613" s="1381"/>
      <c r="EE613" s="1381"/>
      <c r="EF613" s="1381"/>
      <c r="EG613" s="1382"/>
      <c r="EH613" s="1380" t="str">
        <f t="shared" si="21"/>
        <v/>
      </c>
      <c r="EI613" s="1381"/>
      <c r="EJ613" s="1381"/>
      <c r="EK613" s="1381"/>
      <c r="EL613" s="1382"/>
      <c r="EM613" s="1380" t="str">
        <f t="shared" si="22"/>
        <v/>
      </c>
      <c r="EN613" s="1381"/>
      <c r="EO613" s="1381"/>
      <c r="EP613" s="1381"/>
      <c r="EQ613" s="1382"/>
      <c r="ER613" s="1380" t="str">
        <f t="shared" si="23"/>
        <v/>
      </c>
      <c r="ES613" s="1381"/>
      <c r="ET613" s="1381"/>
      <c r="EU613" s="1381"/>
      <c r="EV613" s="1382"/>
      <c r="EW613" s="1380" t="str">
        <f t="shared" si="24"/>
        <v/>
      </c>
      <c r="EX613" s="1381"/>
      <c r="EY613" s="1381"/>
      <c r="EZ613" s="1381"/>
      <c r="FA613" s="1382"/>
    </row>
    <row r="614" spans="1:157" ht="12.95" customHeight="1">
      <c r="B614" t="s">
        <v>18</v>
      </c>
      <c r="H614" s="1467"/>
      <c r="I614" s="1467"/>
      <c r="J614" s="1467"/>
      <c r="K614" s="1467"/>
      <c r="L614" s="1467"/>
      <c r="M614" s="1467"/>
      <c r="N614" s="1467"/>
      <c r="O614" s="1467"/>
      <c r="P614" s="1467"/>
      <c r="Q614" s="1467"/>
      <c r="R614" s="1467"/>
      <c r="U614" t="s">
        <v>18</v>
      </c>
      <c r="AA614" s="1467"/>
      <c r="AB614" s="1467"/>
      <c r="AC614" s="1467"/>
      <c r="AD614" s="1467"/>
      <c r="AE614" s="1467"/>
      <c r="AF614" s="1467"/>
      <c r="AG614" s="1467"/>
      <c r="AH614" s="1467"/>
      <c r="AI614" s="1467"/>
      <c r="AJ614" s="1467"/>
      <c r="AK614" s="1467"/>
      <c r="AU614" s="934"/>
      <c r="AV614" s="934"/>
      <c r="AW614" s="934"/>
      <c r="AX614" s="934"/>
      <c r="AY614" s="934"/>
      <c r="AZ614" s="3"/>
      <c r="BA614" s="3"/>
      <c r="BB614" s="3"/>
      <c r="BC614" s="3"/>
      <c r="BD614" s="3"/>
      <c r="BE614" s="1380">
        <f t="shared" si="3"/>
        <v>0</v>
      </c>
      <c r="BF614" s="1382"/>
      <c r="BG614" s="1389">
        <f t="shared" si="4"/>
        <v>0</v>
      </c>
      <c r="BH614" s="1390"/>
      <c r="BI614" s="1380">
        <f t="shared" si="5"/>
        <v>0</v>
      </c>
      <c r="BJ614" s="1382"/>
      <c r="BK614" s="1389">
        <f t="shared" si="6"/>
        <v>0</v>
      </c>
      <c r="BL614" s="1390"/>
      <c r="BM614" s="3"/>
      <c r="BN614" s="1385">
        <f t="shared" si="7"/>
        <v>0</v>
      </c>
      <c r="BO614" s="1386"/>
      <c r="BP614" s="1386"/>
      <c r="BQ614" s="1386"/>
      <c r="BR614" s="1387"/>
      <c r="BS614" s="1388">
        <f t="shared" si="8"/>
        <v>0</v>
      </c>
      <c r="BT614" s="1388"/>
      <c r="BU614" s="1388"/>
      <c r="BV614" s="1388"/>
      <c r="BW614" s="1388"/>
      <c r="BX614" s="1388">
        <f t="shared" si="9"/>
        <v>0</v>
      </c>
      <c r="BY614" s="1388"/>
      <c r="BZ614" s="1388"/>
      <c r="CA614" s="1388"/>
      <c r="CB614" s="1388"/>
      <c r="CC614" s="1388">
        <f t="shared" si="10"/>
        <v>0</v>
      </c>
      <c r="CD614" s="1388"/>
      <c r="CE614" s="1388"/>
      <c r="CF614" s="1388"/>
      <c r="CG614" s="1388"/>
      <c r="CH614" s="1388">
        <f t="shared" si="11"/>
        <v>0</v>
      </c>
      <c r="CI614" s="1388"/>
      <c r="CJ614" s="1388"/>
      <c r="CK614" s="1388"/>
      <c r="CL614" s="1388"/>
      <c r="CM614" s="1388">
        <f t="shared" si="12"/>
        <v>0</v>
      </c>
      <c r="CN614" s="1388"/>
      <c r="CO614" s="1388"/>
      <c r="CP614" s="1388"/>
      <c r="CQ614" s="1388"/>
      <c r="CR614" s="6"/>
      <c r="CS614" s="1384">
        <f t="shared" si="13"/>
        <v>0</v>
      </c>
      <c r="CT614" s="1384"/>
      <c r="CU614" s="1384"/>
      <c r="CV614" s="1384"/>
      <c r="CW614" s="1384"/>
      <c r="CX614" s="1384">
        <f t="shared" si="14"/>
        <v>0</v>
      </c>
      <c r="CY614" s="1384"/>
      <c r="CZ614" s="1384"/>
      <c r="DA614" s="1384"/>
      <c r="DB614" s="1384"/>
      <c r="DC614" s="1384">
        <f t="shared" si="15"/>
        <v>0</v>
      </c>
      <c r="DD614" s="1384"/>
      <c r="DE614" s="1384"/>
      <c r="DF614" s="1384"/>
      <c r="DG614" s="1384"/>
      <c r="DH614" s="1384">
        <f t="shared" si="16"/>
        <v>0</v>
      </c>
      <c r="DI614" s="1384"/>
      <c r="DJ614" s="1384"/>
      <c r="DK614" s="1384"/>
      <c r="DL614" s="1384"/>
      <c r="DM614" s="1384">
        <f t="shared" si="17"/>
        <v>0</v>
      </c>
      <c r="DN614" s="1384"/>
      <c r="DO614" s="1384"/>
      <c r="DP614" s="1384"/>
      <c r="DQ614" s="1384"/>
      <c r="DR614" s="1384">
        <f t="shared" si="18"/>
        <v>0</v>
      </c>
      <c r="DS614" s="1384"/>
      <c r="DT614" s="1384"/>
      <c r="DU614" s="1384"/>
      <c r="DV614" s="1384"/>
      <c r="DX614" s="1380" t="str">
        <f t="shared" si="19"/>
        <v/>
      </c>
      <c r="DY614" s="1381"/>
      <c r="DZ614" s="1381"/>
      <c r="EA614" s="1381"/>
      <c r="EB614" s="1382"/>
      <c r="EC614" s="1380" t="str">
        <f t="shared" si="20"/>
        <v/>
      </c>
      <c r="ED614" s="1381"/>
      <c r="EE614" s="1381"/>
      <c r="EF614" s="1381"/>
      <c r="EG614" s="1382"/>
      <c r="EH614" s="1380" t="str">
        <f t="shared" si="21"/>
        <v/>
      </c>
      <c r="EI614" s="1381"/>
      <c r="EJ614" s="1381"/>
      <c r="EK614" s="1381"/>
      <c r="EL614" s="1382"/>
      <c r="EM614" s="1380" t="str">
        <f t="shared" si="22"/>
        <v/>
      </c>
      <c r="EN614" s="1381"/>
      <c r="EO614" s="1381"/>
      <c r="EP614" s="1381"/>
      <c r="EQ614" s="1382"/>
      <c r="ER614" s="1380" t="str">
        <f t="shared" si="23"/>
        <v/>
      </c>
      <c r="ES614" s="1381"/>
      <c r="ET614" s="1381"/>
      <c r="EU614" s="1381"/>
      <c r="EV614" s="1382"/>
      <c r="EW614" s="1380" t="str">
        <f t="shared" si="24"/>
        <v/>
      </c>
      <c r="EX614" s="1381"/>
      <c r="EY614" s="1381"/>
      <c r="EZ614" s="1381"/>
      <c r="FA614" s="1382"/>
    </row>
    <row r="615" spans="1:157" ht="12.95" customHeight="1">
      <c r="B615" t="s">
        <v>20</v>
      </c>
      <c r="N615" s="1435" t="s">
        <v>553</v>
      </c>
      <c r="O615" s="1435"/>
      <c r="U615" t="s">
        <v>20</v>
      </c>
      <c r="AG615" s="1435" t="s">
        <v>677</v>
      </c>
      <c r="AH615" s="1435"/>
      <c r="AU615" s="934"/>
      <c r="AV615" s="934"/>
      <c r="AW615" s="934"/>
      <c r="AX615" s="934"/>
      <c r="AY615" s="934"/>
      <c r="AZ615" s="3"/>
      <c r="BA615" s="3"/>
      <c r="BB615" s="3"/>
      <c r="BC615" s="3"/>
      <c r="BD615" s="3"/>
      <c r="BE615" s="1380">
        <f t="shared" si="3"/>
        <v>0</v>
      </c>
      <c r="BF615" s="1382"/>
      <c r="BG615" s="1389">
        <f t="shared" si="4"/>
        <v>0</v>
      </c>
      <c r="BH615" s="1390"/>
      <c r="BI615" s="1380">
        <f t="shared" si="5"/>
        <v>0</v>
      </c>
      <c r="BJ615" s="1382"/>
      <c r="BK615" s="1389">
        <f t="shared" si="6"/>
        <v>0</v>
      </c>
      <c r="BL615" s="1390"/>
      <c r="BM615" s="3"/>
      <c r="BN615" s="1385">
        <f t="shared" si="7"/>
        <v>0</v>
      </c>
      <c r="BO615" s="1386"/>
      <c r="BP615" s="1386"/>
      <c r="BQ615" s="1386"/>
      <c r="BR615" s="1387"/>
      <c r="BS615" s="1388">
        <f t="shared" si="8"/>
        <v>0</v>
      </c>
      <c r="BT615" s="1388"/>
      <c r="BU615" s="1388"/>
      <c r="BV615" s="1388"/>
      <c r="BW615" s="1388"/>
      <c r="BX615" s="1388">
        <f t="shared" si="9"/>
        <v>0</v>
      </c>
      <c r="BY615" s="1388"/>
      <c r="BZ615" s="1388"/>
      <c r="CA615" s="1388"/>
      <c r="CB615" s="1388"/>
      <c r="CC615" s="1388">
        <f t="shared" si="10"/>
        <v>0</v>
      </c>
      <c r="CD615" s="1388"/>
      <c r="CE615" s="1388"/>
      <c r="CF615" s="1388"/>
      <c r="CG615" s="1388"/>
      <c r="CH615" s="1388">
        <f t="shared" si="11"/>
        <v>0</v>
      </c>
      <c r="CI615" s="1388"/>
      <c r="CJ615" s="1388"/>
      <c r="CK615" s="1388"/>
      <c r="CL615" s="1388"/>
      <c r="CM615" s="1388">
        <f t="shared" si="12"/>
        <v>0</v>
      </c>
      <c r="CN615" s="1388"/>
      <c r="CO615" s="1388"/>
      <c r="CP615" s="1388"/>
      <c r="CQ615" s="1388"/>
      <c r="CR615" s="6"/>
      <c r="CS615" s="1384">
        <f t="shared" si="13"/>
        <v>0</v>
      </c>
      <c r="CT615" s="1384"/>
      <c r="CU615" s="1384"/>
      <c r="CV615" s="1384"/>
      <c r="CW615" s="1384"/>
      <c r="CX615" s="1384">
        <f t="shared" si="14"/>
        <v>0</v>
      </c>
      <c r="CY615" s="1384"/>
      <c r="CZ615" s="1384"/>
      <c r="DA615" s="1384"/>
      <c r="DB615" s="1384"/>
      <c r="DC615" s="1384">
        <f t="shared" si="15"/>
        <v>0</v>
      </c>
      <c r="DD615" s="1384"/>
      <c r="DE615" s="1384"/>
      <c r="DF615" s="1384"/>
      <c r="DG615" s="1384"/>
      <c r="DH615" s="1384">
        <f t="shared" si="16"/>
        <v>0</v>
      </c>
      <c r="DI615" s="1384"/>
      <c r="DJ615" s="1384"/>
      <c r="DK615" s="1384"/>
      <c r="DL615" s="1384"/>
      <c r="DM615" s="1384">
        <f t="shared" si="17"/>
        <v>0</v>
      </c>
      <c r="DN615" s="1384"/>
      <c r="DO615" s="1384"/>
      <c r="DP615" s="1384"/>
      <c r="DQ615" s="1384"/>
      <c r="DR615" s="1384">
        <f t="shared" si="18"/>
        <v>0</v>
      </c>
      <c r="DS615" s="1384"/>
      <c r="DT615" s="1384"/>
      <c r="DU615" s="1384"/>
      <c r="DV615" s="1384"/>
      <c r="DX615" s="1380" t="str">
        <f t="shared" si="19"/>
        <v/>
      </c>
      <c r="DY615" s="1381"/>
      <c r="DZ615" s="1381"/>
      <c r="EA615" s="1381"/>
      <c r="EB615" s="1382"/>
      <c r="EC615" s="1380" t="str">
        <f t="shared" si="20"/>
        <v/>
      </c>
      <c r="ED615" s="1381"/>
      <c r="EE615" s="1381"/>
      <c r="EF615" s="1381"/>
      <c r="EG615" s="1382"/>
      <c r="EH615" s="1380" t="str">
        <f t="shared" si="21"/>
        <v/>
      </c>
      <c r="EI615" s="1381"/>
      <c r="EJ615" s="1381"/>
      <c r="EK615" s="1381"/>
      <c r="EL615" s="1382"/>
      <c r="EM615" s="1380" t="str">
        <f t="shared" si="22"/>
        <v/>
      </c>
      <c r="EN615" s="1381"/>
      <c r="EO615" s="1381"/>
      <c r="EP615" s="1381"/>
      <c r="EQ615" s="1382"/>
      <c r="ER615" s="1380" t="str">
        <f t="shared" si="23"/>
        <v/>
      </c>
      <c r="ES615" s="1381"/>
      <c r="ET615" s="1381"/>
      <c r="EU615" s="1381"/>
      <c r="EV615" s="1382"/>
      <c r="EW615" s="1380" t="str">
        <f t="shared" si="24"/>
        <v/>
      </c>
      <c r="EX615" s="1381"/>
      <c r="EY615" s="1381"/>
      <c r="EZ615" s="1381"/>
      <c r="FA615" s="1382"/>
    </row>
    <row r="616" spans="1:157" ht="12.95" customHeight="1">
      <c r="AZ616" s="3"/>
      <c r="BA616" s="3"/>
      <c r="BB616" s="3"/>
      <c r="BC616" s="3"/>
      <c r="BD616" s="3"/>
      <c r="BE616" s="1380">
        <f t="shared" si="3"/>
        <v>0</v>
      </c>
      <c r="BF616" s="1382"/>
      <c r="BG616" s="1389">
        <f t="shared" si="4"/>
        <v>0</v>
      </c>
      <c r="BH616" s="1390"/>
      <c r="BI616" s="1380">
        <f t="shared" si="5"/>
        <v>0</v>
      </c>
      <c r="BJ616" s="1382"/>
      <c r="BK616" s="1389">
        <f t="shared" si="6"/>
        <v>0</v>
      </c>
      <c r="BL616" s="1390"/>
      <c r="BM616" s="3"/>
      <c r="BN616" s="1385">
        <f t="shared" si="7"/>
        <v>0</v>
      </c>
      <c r="BO616" s="1386"/>
      <c r="BP616" s="1386"/>
      <c r="BQ616" s="1386"/>
      <c r="BR616" s="1387"/>
      <c r="BS616" s="1388">
        <f t="shared" si="8"/>
        <v>0</v>
      </c>
      <c r="BT616" s="1388"/>
      <c r="BU616" s="1388"/>
      <c r="BV616" s="1388"/>
      <c r="BW616" s="1388"/>
      <c r="BX616" s="1388">
        <f t="shared" si="9"/>
        <v>0</v>
      </c>
      <c r="BY616" s="1388"/>
      <c r="BZ616" s="1388"/>
      <c r="CA616" s="1388"/>
      <c r="CB616" s="1388"/>
      <c r="CC616" s="1388">
        <f t="shared" si="10"/>
        <v>0</v>
      </c>
      <c r="CD616" s="1388"/>
      <c r="CE616" s="1388"/>
      <c r="CF616" s="1388"/>
      <c r="CG616" s="1388"/>
      <c r="CH616" s="1388">
        <f t="shared" si="11"/>
        <v>0</v>
      </c>
      <c r="CI616" s="1388"/>
      <c r="CJ616" s="1388"/>
      <c r="CK616" s="1388"/>
      <c r="CL616" s="1388"/>
      <c r="CM616" s="1388">
        <f t="shared" si="12"/>
        <v>0</v>
      </c>
      <c r="CN616" s="1388"/>
      <c r="CO616" s="1388"/>
      <c r="CP616" s="1388"/>
      <c r="CQ616" s="1388"/>
      <c r="CR616" s="6"/>
      <c r="CS616" s="1384">
        <f t="shared" si="13"/>
        <v>0</v>
      </c>
      <c r="CT616" s="1384"/>
      <c r="CU616" s="1384"/>
      <c r="CV616" s="1384"/>
      <c r="CW616" s="1384"/>
      <c r="CX616" s="1384">
        <f t="shared" si="14"/>
        <v>0</v>
      </c>
      <c r="CY616" s="1384"/>
      <c r="CZ616" s="1384"/>
      <c r="DA616" s="1384"/>
      <c r="DB616" s="1384"/>
      <c r="DC616" s="1384">
        <f t="shared" si="15"/>
        <v>0</v>
      </c>
      <c r="DD616" s="1384"/>
      <c r="DE616" s="1384"/>
      <c r="DF616" s="1384"/>
      <c r="DG616" s="1384"/>
      <c r="DH616" s="1384">
        <f t="shared" si="16"/>
        <v>0</v>
      </c>
      <c r="DI616" s="1384"/>
      <c r="DJ616" s="1384"/>
      <c r="DK616" s="1384"/>
      <c r="DL616" s="1384"/>
      <c r="DM616" s="1384">
        <f t="shared" si="17"/>
        <v>0</v>
      </c>
      <c r="DN616" s="1384"/>
      <c r="DO616" s="1384"/>
      <c r="DP616" s="1384"/>
      <c r="DQ616" s="1384"/>
      <c r="DR616" s="1384">
        <f t="shared" si="18"/>
        <v>0</v>
      </c>
      <c r="DS616" s="1384"/>
      <c r="DT616" s="1384"/>
      <c r="DU616" s="1384"/>
      <c r="DV616" s="1384"/>
      <c r="DX616" s="1380" t="str">
        <f t="shared" si="19"/>
        <v/>
      </c>
      <c r="DY616" s="1381"/>
      <c r="DZ616" s="1381"/>
      <c r="EA616" s="1381"/>
      <c r="EB616" s="1382"/>
      <c r="EC616" s="1380" t="str">
        <f t="shared" si="20"/>
        <v/>
      </c>
      <c r="ED616" s="1381"/>
      <c r="EE616" s="1381"/>
      <c r="EF616" s="1381"/>
      <c r="EG616" s="1382"/>
      <c r="EH616" s="1380" t="str">
        <f t="shared" si="21"/>
        <v/>
      </c>
      <c r="EI616" s="1381"/>
      <c r="EJ616" s="1381"/>
      <c r="EK616" s="1381"/>
      <c r="EL616" s="1382"/>
      <c r="EM616" s="1380" t="str">
        <f t="shared" si="22"/>
        <v/>
      </c>
      <c r="EN616" s="1381"/>
      <c r="EO616" s="1381"/>
      <c r="EP616" s="1381"/>
      <c r="EQ616" s="1382"/>
      <c r="ER616" s="1380" t="str">
        <f t="shared" si="23"/>
        <v/>
      </c>
      <c r="ES616" s="1381"/>
      <c r="ET616" s="1381"/>
      <c r="EU616" s="1381"/>
      <c r="EV616" s="1382"/>
      <c r="EW616" s="1380" t="str">
        <f t="shared" si="24"/>
        <v/>
      </c>
      <c r="EX616" s="1381"/>
      <c r="EY616" s="1381"/>
      <c r="EZ616" s="1381"/>
      <c r="FA616" s="1382"/>
    </row>
    <row r="617" spans="1:157" ht="12.95"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0">
        <f t="shared" si="3"/>
        <v>0</v>
      </c>
      <c r="BF617" s="1382"/>
      <c r="BG617" s="1389">
        <f t="shared" si="4"/>
        <v>0</v>
      </c>
      <c r="BH617" s="1390"/>
      <c r="BI617" s="1380">
        <f t="shared" si="5"/>
        <v>0</v>
      </c>
      <c r="BJ617" s="1382"/>
      <c r="BK617" s="1389">
        <f t="shared" si="6"/>
        <v>0</v>
      </c>
      <c r="BL617" s="1390"/>
      <c r="BM617" s="3"/>
      <c r="BN617" s="1385">
        <f t="shared" si="7"/>
        <v>0</v>
      </c>
      <c r="BO617" s="1386"/>
      <c r="BP617" s="1386"/>
      <c r="BQ617" s="1386"/>
      <c r="BR617" s="1387"/>
      <c r="BS617" s="1388">
        <f t="shared" si="8"/>
        <v>0</v>
      </c>
      <c r="BT617" s="1388"/>
      <c r="BU617" s="1388"/>
      <c r="BV617" s="1388"/>
      <c r="BW617" s="1388"/>
      <c r="BX617" s="1388">
        <f t="shared" si="9"/>
        <v>0</v>
      </c>
      <c r="BY617" s="1388"/>
      <c r="BZ617" s="1388"/>
      <c r="CA617" s="1388"/>
      <c r="CB617" s="1388"/>
      <c r="CC617" s="1388">
        <f t="shared" si="10"/>
        <v>0</v>
      </c>
      <c r="CD617" s="1388"/>
      <c r="CE617" s="1388"/>
      <c r="CF617" s="1388"/>
      <c r="CG617" s="1388"/>
      <c r="CH617" s="1388">
        <f t="shared" si="11"/>
        <v>0</v>
      </c>
      <c r="CI617" s="1388"/>
      <c r="CJ617" s="1388"/>
      <c r="CK617" s="1388"/>
      <c r="CL617" s="1388"/>
      <c r="CM617" s="1388">
        <f t="shared" si="12"/>
        <v>0</v>
      </c>
      <c r="CN617" s="1388"/>
      <c r="CO617" s="1388"/>
      <c r="CP617" s="1388"/>
      <c r="CQ617" s="1388"/>
      <c r="CR617" s="6"/>
      <c r="CS617" s="1384">
        <f t="shared" si="13"/>
        <v>0</v>
      </c>
      <c r="CT617" s="1384"/>
      <c r="CU617" s="1384"/>
      <c r="CV617" s="1384"/>
      <c r="CW617" s="1384"/>
      <c r="CX617" s="1384">
        <f t="shared" si="14"/>
        <v>0</v>
      </c>
      <c r="CY617" s="1384"/>
      <c r="CZ617" s="1384"/>
      <c r="DA617" s="1384"/>
      <c r="DB617" s="1384"/>
      <c r="DC617" s="1384">
        <f t="shared" si="15"/>
        <v>0</v>
      </c>
      <c r="DD617" s="1384"/>
      <c r="DE617" s="1384"/>
      <c r="DF617" s="1384"/>
      <c r="DG617" s="1384"/>
      <c r="DH617" s="1384">
        <f t="shared" si="16"/>
        <v>0</v>
      </c>
      <c r="DI617" s="1384"/>
      <c r="DJ617" s="1384"/>
      <c r="DK617" s="1384"/>
      <c r="DL617" s="1384"/>
      <c r="DM617" s="1384">
        <f t="shared" si="17"/>
        <v>0</v>
      </c>
      <c r="DN617" s="1384"/>
      <c r="DO617" s="1384"/>
      <c r="DP617" s="1384"/>
      <c r="DQ617" s="1384"/>
      <c r="DR617" s="1384">
        <f t="shared" si="18"/>
        <v>0</v>
      </c>
      <c r="DS617" s="1384"/>
      <c r="DT617" s="1384"/>
      <c r="DU617" s="1384"/>
      <c r="DV617" s="1384"/>
      <c r="DX617" s="1380" t="str">
        <f t="shared" si="19"/>
        <v/>
      </c>
      <c r="DY617" s="1381"/>
      <c r="DZ617" s="1381"/>
      <c r="EA617" s="1381"/>
      <c r="EB617" s="1382"/>
      <c r="EC617" s="1380" t="str">
        <f t="shared" si="20"/>
        <v/>
      </c>
      <c r="ED617" s="1381"/>
      <c r="EE617" s="1381"/>
      <c r="EF617" s="1381"/>
      <c r="EG617" s="1382"/>
      <c r="EH617" s="1380" t="str">
        <f t="shared" si="21"/>
        <v/>
      </c>
      <c r="EI617" s="1381"/>
      <c r="EJ617" s="1381"/>
      <c r="EK617" s="1381"/>
      <c r="EL617" s="1382"/>
      <c r="EM617" s="1380" t="str">
        <f t="shared" si="22"/>
        <v/>
      </c>
      <c r="EN617" s="1381"/>
      <c r="EO617" s="1381"/>
      <c r="EP617" s="1381"/>
      <c r="EQ617" s="1382"/>
      <c r="ER617" s="1380" t="str">
        <f t="shared" si="23"/>
        <v/>
      </c>
      <c r="ES617" s="1381"/>
      <c r="ET617" s="1381"/>
      <c r="EU617" s="1381"/>
      <c r="EV617" s="1382"/>
      <c r="EW617" s="1380" t="str">
        <f t="shared" si="24"/>
        <v/>
      </c>
      <c r="EX617" s="1381"/>
      <c r="EY617" s="1381"/>
      <c r="EZ617" s="1381"/>
      <c r="FA617" s="1382"/>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0">
        <f t="shared" si="3"/>
        <v>0</v>
      </c>
      <c r="BF618" s="1382"/>
      <c r="BG618" s="1389">
        <f t="shared" si="4"/>
        <v>0</v>
      </c>
      <c r="BH618" s="1390"/>
      <c r="BI618" s="1380">
        <f t="shared" si="5"/>
        <v>0</v>
      </c>
      <c r="BJ618" s="1382"/>
      <c r="BK618" s="1389">
        <f t="shared" si="6"/>
        <v>0</v>
      </c>
      <c r="BL618" s="1390"/>
      <c r="BM618" s="3"/>
      <c r="BN618" s="1385">
        <f t="shared" si="7"/>
        <v>0</v>
      </c>
      <c r="BO618" s="1386"/>
      <c r="BP618" s="1386"/>
      <c r="BQ618" s="1386"/>
      <c r="BR618" s="1387"/>
      <c r="BS618" s="1388">
        <f t="shared" si="8"/>
        <v>0</v>
      </c>
      <c r="BT618" s="1388"/>
      <c r="BU618" s="1388"/>
      <c r="BV618" s="1388"/>
      <c r="BW618" s="1388"/>
      <c r="BX618" s="1388">
        <f t="shared" si="9"/>
        <v>0</v>
      </c>
      <c r="BY618" s="1388"/>
      <c r="BZ618" s="1388"/>
      <c r="CA618" s="1388"/>
      <c r="CB618" s="1388"/>
      <c r="CC618" s="1388">
        <f t="shared" si="10"/>
        <v>0</v>
      </c>
      <c r="CD618" s="1388"/>
      <c r="CE618" s="1388"/>
      <c r="CF618" s="1388"/>
      <c r="CG618" s="1388"/>
      <c r="CH618" s="1388">
        <f t="shared" si="11"/>
        <v>0</v>
      </c>
      <c r="CI618" s="1388"/>
      <c r="CJ618" s="1388"/>
      <c r="CK618" s="1388"/>
      <c r="CL618" s="1388"/>
      <c r="CM618" s="1388">
        <f t="shared" si="12"/>
        <v>0</v>
      </c>
      <c r="CN618" s="1388"/>
      <c r="CO618" s="1388"/>
      <c r="CP618" s="1388"/>
      <c r="CQ618" s="1388"/>
      <c r="CR618" s="6"/>
      <c r="CS618" s="1384">
        <f t="shared" si="13"/>
        <v>0</v>
      </c>
      <c r="CT618" s="1384"/>
      <c r="CU618" s="1384"/>
      <c r="CV618" s="1384"/>
      <c r="CW618" s="1384"/>
      <c r="CX618" s="1384">
        <f t="shared" si="14"/>
        <v>0</v>
      </c>
      <c r="CY618" s="1384"/>
      <c r="CZ618" s="1384"/>
      <c r="DA618" s="1384"/>
      <c r="DB618" s="1384"/>
      <c r="DC618" s="1384">
        <f t="shared" si="15"/>
        <v>0</v>
      </c>
      <c r="DD618" s="1384"/>
      <c r="DE618" s="1384"/>
      <c r="DF618" s="1384"/>
      <c r="DG618" s="1384"/>
      <c r="DH618" s="1384">
        <f t="shared" si="16"/>
        <v>0</v>
      </c>
      <c r="DI618" s="1384"/>
      <c r="DJ618" s="1384"/>
      <c r="DK618" s="1384"/>
      <c r="DL618" s="1384"/>
      <c r="DM618" s="1384">
        <f t="shared" si="17"/>
        <v>0</v>
      </c>
      <c r="DN618" s="1384"/>
      <c r="DO618" s="1384"/>
      <c r="DP618" s="1384"/>
      <c r="DQ618" s="1384"/>
      <c r="DR618" s="1384">
        <f t="shared" si="18"/>
        <v>0</v>
      </c>
      <c r="DS618" s="1384"/>
      <c r="DT618" s="1384"/>
      <c r="DU618" s="1384"/>
      <c r="DV618" s="1384"/>
      <c r="DX618" s="1380" t="str">
        <f t="shared" si="19"/>
        <v/>
      </c>
      <c r="DY618" s="1381"/>
      <c r="DZ618" s="1381"/>
      <c r="EA618" s="1381"/>
      <c r="EB618" s="1382"/>
      <c r="EC618" s="1380" t="str">
        <f t="shared" si="20"/>
        <v/>
      </c>
      <c r="ED618" s="1381"/>
      <c r="EE618" s="1381"/>
      <c r="EF618" s="1381"/>
      <c r="EG618" s="1382"/>
      <c r="EH618" s="1380" t="str">
        <f t="shared" si="21"/>
        <v/>
      </c>
      <c r="EI618" s="1381"/>
      <c r="EJ618" s="1381"/>
      <c r="EK618" s="1381"/>
      <c r="EL618" s="1382"/>
      <c r="EM618" s="1380" t="str">
        <f t="shared" si="22"/>
        <v/>
      </c>
      <c r="EN618" s="1381"/>
      <c r="EO618" s="1381"/>
      <c r="EP618" s="1381"/>
      <c r="EQ618" s="1382"/>
      <c r="ER618" s="1380" t="str">
        <f t="shared" si="23"/>
        <v/>
      </c>
      <c r="ES618" s="1381"/>
      <c r="ET618" s="1381"/>
      <c r="EU618" s="1381"/>
      <c r="EV618" s="1382"/>
      <c r="EW618" s="1380" t="str">
        <f t="shared" si="24"/>
        <v/>
      </c>
      <c r="EX618" s="1381"/>
      <c r="EY618" s="1381"/>
      <c r="EZ618" s="1381"/>
      <c r="FA618" s="1382"/>
    </row>
    <row r="619" spans="1:157" ht="12.95" customHeight="1">
      <c r="AZ619" s="3"/>
      <c r="BA619" s="3"/>
      <c r="BB619" s="3"/>
      <c r="BC619" s="3"/>
      <c r="BD619" s="3"/>
      <c r="BE619" s="1380">
        <f t="shared" si="3"/>
        <v>0</v>
      </c>
      <c r="BF619" s="1382"/>
      <c r="BG619" s="1389">
        <f t="shared" si="4"/>
        <v>0</v>
      </c>
      <c r="BH619" s="1390"/>
      <c r="BI619" s="1380">
        <f t="shared" si="5"/>
        <v>0</v>
      </c>
      <c r="BJ619" s="1382"/>
      <c r="BK619" s="1389">
        <f t="shared" si="6"/>
        <v>0</v>
      </c>
      <c r="BL619" s="1390"/>
      <c r="BM619" s="3"/>
      <c r="BN619" s="1385">
        <f t="shared" si="7"/>
        <v>0</v>
      </c>
      <c r="BO619" s="1386"/>
      <c r="BP619" s="1386"/>
      <c r="BQ619" s="1386"/>
      <c r="BR619" s="1387"/>
      <c r="BS619" s="1388">
        <f t="shared" si="8"/>
        <v>0</v>
      </c>
      <c r="BT619" s="1388"/>
      <c r="BU619" s="1388"/>
      <c r="BV619" s="1388"/>
      <c r="BW619" s="1388"/>
      <c r="BX619" s="1388">
        <f t="shared" si="9"/>
        <v>0</v>
      </c>
      <c r="BY619" s="1388"/>
      <c r="BZ619" s="1388"/>
      <c r="CA619" s="1388"/>
      <c r="CB619" s="1388"/>
      <c r="CC619" s="1388">
        <f t="shared" si="10"/>
        <v>0</v>
      </c>
      <c r="CD619" s="1388"/>
      <c r="CE619" s="1388"/>
      <c r="CF619" s="1388"/>
      <c r="CG619" s="1388"/>
      <c r="CH619" s="1388">
        <f t="shared" si="11"/>
        <v>0</v>
      </c>
      <c r="CI619" s="1388"/>
      <c r="CJ619" s="1388"/>
      <c r="CK619" s="1388"/>
      <c r="CL619" s="1388"/>
      <c r="CM619" s="1388">
        <f t="shared" si="12"/>
        <v>0</v>
      </c>
      <c r="CN619" s="1388"/>
      <c r="CO619" s="1388"/>
      <c r="CP619" s="1388"/>
      <c r="CQ619" s="1388"/>
      <c r="CR619" s="6"/>
      <c r="CS619" s="1384">
        <f t="shared" si="13"/>
        <v>0</v>
      </c>
      <c r="CT619" s="1384"/>
      <c r="CU619" s="1384"/>
      <c r="CV619" s="1384"/>
      <c r="CW619" s="1384"/>
      <c r="CX619" s="1384">
        <f t="shared" si="14"/>
        <v>0</v>
      </c>
      <c r="CY619" s="1384"/>
      <c r="CZ619" s="1384"/>
      <c r="DA619" s="1384"/>
      <c r="DB619" s="1384"/>
      <c r="DC619" s="1384">
        <f t="shared" si="15"/>
        <v>0</v>
      </c>
      <c r="DD619" s="1384"/>
      <c r="DE619" s="1384"/>
      <c r="DF619" s="1384"/>
      <c r="DG619" s="1384"/>
      <c r="DH619" s="1384">
        <f t="shared" si="16"/>
        <v>0</v>
      </c>
      <c r="DI619" s="1384"/>
      <c r="DJ619" s="1384"/>
      <c r="DK619" s="1384"/>
      <c r="DL619" s="1384"/>
      <c r="DM619" s="1384">
        <f t="shared" si="17"/>
        <v>0</v>
      </c>
      <c r="DN619" s="1384"/>
      <c r="DO619" s="1384"/>
      <c r="DP619" s="1384"/>
      <c r="DQ619" s="1384"/>
      <c r="DR619" s="1384">
        <f t="shared" si="18"/>
        <v>0</v>
      </c>
      <c r="DS619" s="1384"/>
      <c r="DT619" s="1384"/>
      <c r="DU619" s="1384"/>
      <c r="DV619" s="1384"/>
      <c r="DX619" s="1380" t="str">
        <f t="shared" si="19"/>
        <v/>
      </c>
      <c r="DY619" s="1381"/>
      <c r="DZ619" s="1381"/>
      <c r="EA619" s="1381"/>
      <c r="EB619" s="1382"/>
      <c r="EC619" s="1380" t="str">
        <f t="shared" si="20"/>
        <v/>
      </c>
      <c r="ED619" s="1381"/>
      <c r="EE619" s="1381"/>
      <c r="EF619" s="1381"/>
      <c r="EG619" s="1382"/>
      <c r="EH619" s="1380" t="str">
        <f t="shared" si="21"/>
        <v/>
      </c>
      <c r="EI619" s="1381"/>
      <c r="EJ619" s="1381"/>
      <c r="EK619" s="1381"/>
      <c r="EL619" s="1382"/>
      <c r="EM619" s="1380" t="str">
        <f t="shared" si="22"/>
        <v/>
      </c>
      <c r="EN619" s="1381"/>
      <c r="EO619" s="1381"/>
      <c r="EP619" s="1381"/>
      <c r="EQ619" s="1382"/>
      <c r="ER619" s="1380" t="str">
        <f t="shared" si="23"/>
        <v/>
      </c>
      <c r="ES619" s="1381"/>
      <c r="ET619" s="1381"/>
      <c r="EU619" s="1381"/>
      <c r="EV619" s="1382"/>
      <c r="EW619" s="1380" t="str">
        <f t="shared" si="24"/>
        <v/>
      </c>
      <c r="EX619" s="1381"/>
      <c r="EY619" s="1381"/>
      <c r="EZ619" s="1381"/>
      <c r="FA619" s="1382"/>
    </row>
    <row r="620" spans="1:157" ht="12.95" customHeight="1">
      <c r="A620" s="2" t="s">
        <v>320</v>
      </c>
      <c r="B620" s="2"/>
      <c r="C620" s="2" t="s">
        <v>21</v>
      </c>
      <c r="AZ620" s="3"/>
      <c r="BA620" s="3"/>
      <c r="BB620" s="3"/>
      <c r="BC620" s="3"/>
      <c r="BD620" s="3"/>
      <c r="BE620" s="1380">
        <f t="shared" si="3"/>
        <v>0</v>
      </c>
      <c r="BF620" s="1382"/>
      <c r="BG620" s="1389">
        <f t="shared" si="4"/>
        <v>0</v>
      </c>
      <c r="BH620" s="1390"/>
      <c r="BI620" s="1380">
        <f t="shared" si="5"/>
        <v>0</v>
      </c>
      <c r="BJ620" s="1382"/>
      <c r="BK620" s="1389">
        <f t="shared" si="6"/>
        <v>0</v>
      </c>
      <c r="BL620" s="1390"/>
      <c r="BM620" s="3"/>
      <c r="BN620" s="1385">
        <f t="shared" si="7"/>
        <v>0</v>
      </c>
      <c r="BO620" s="1386"/>
      <c r="BP620" s="1386"/>
      <c r="BQ620" s="1386"/>
      <c r="BR620" s="1387"/>
      <c r="BS620" s="1388">
        <f t="shared" si="8"/>
        <v>0</v>
      </c>
      <c r="BT620" s="1388"/>
      <c r="BU620" s="1388"/>
      <c r="BV620" s="1388"/>
      <c r="BW620" s="1388"/>
      <c r="BX620" s="1388">
        <f t="shared" si="9"/>
        <v>0</v>
      </c>
      <c r="BY620" s="1388"/>
      <c r="BZ620" s="1388"/>
      <c r="CA620" s="1388"/>
      <c r="CB620" s="1388"/>
      <c r="CC620" s="1388">
        <f t="shared" si="10"/>
        <v>0</v>
      </c>
      <c r="CD620" s="1388"/>
      <c r="CE620" s="1388"/>
      <c r="CF620" s="1388"/>
      <c r="CG620" s="1388"/>
      <c r="CH620" s="1388">
        <f t="shared" si="11"/>
        <v>0</v>
      </c>
      <c r="CI620" s="1388"/>
      <c r="CJ620" s="1388"/>
      <c r="CK620" s="1388"/>
      <c r="CL620" s="1388"/>
      <c r="CM620" s="1388">
        <f t="shared" si="12"/>
        <v>0</v>
      </c>
      <c r="CN620" s="1388"/>
      <c r="CO620" s="1388"/>
      <c r="CP620" s="1388"/>
      <c r="CQ620" s="1388"/>
      <c r="CR620" s="6"/>
      <c r="CS620" s="1384">
        <f t="shared" si="13"/>
        <v>0</v>
      </c>
      <c r="CT620" s="1384"/>
      <c r="CU620" s="1384"/>
      <c r="CV620" s="1384"/>
      <c r="CW620" s="1384"/>
      <c r="CX620" s="1384">
        <f t="shared" si="14"/>
        <v>0</v>
      </c>
      <c r="CY620" s="1384"/>
      <c r="CZ620" s="1384"/>
      <c r="DA620" s="1384"/>
      <c r="DB620" s="1384"/>
      <c r="DC620" s="1384">
        <f t="shared" si="15"/>
        <v>0</v>
      </c>
      <c r="DD620" s="1384"/>
      <c r="DE620" s="1384"/>
      <c r="DF620" s="1384"/>
      <c r="DG620" s="1384"/>
      <c r="DH620" s="1384">
        <f t="shared" si="16"/>
        <v>0</v>
      </c>
      <c r="DI620" s="1384"/>
      <c r="DJ620" s="1384"/>
      <c r="DK620" s="1384"/>
      <c r="DL620" s="1384"/>
      <c r="DM620" s="1384">
        <f t="shared" si="17"/>
        <v>0</v>
      </c>
      <c r="DN620" s="1384"/>
      <c r="DO620" s="1384"/>
      <c r="DP620" s="1384"/>
      <c r="DQ620" s="1384"/>
      <c r="DR620" s="1384">
        <f t="shared" si="18"/>
        <v>0</v>
      </c>
      <c r="DS620" s="1384"/>
      <c r="DT620" s="1384"/>
      <c r="DU620" s="1384"/>
      <c r="DV620" s="1384"/>
      <c r="DX620" s="1380" t="str">
        <f t="shared" si="19"/>
        <v/>
      </c>
      <c r="DY620" s="1381"/>
      <c r="DZ620" s="1381"/>
      <c r="EA620" s="1381"/>
      <c r="EB620" s="1382"/>
      <c r="EC620" s="1380" t="str">
        <f t="shared" si="20"/>
        <v/>
      </c>
      <c r="ED620" s="1381"/>
      <c r="EE620" s="1381"/>
      <c r="EF620" s="1381"/>
      <c r="EG620" s="1382"/>
      <c r="EH620" s="1380" t="str">
        <f t="shared" si="21"/>
        <v/>
      </c>
      <c r="EI620" s="1381"/>
      <c r="EJ620" s="1381"/>
      <c r="EK620" s="1381"/>
      <c r="EL620" s="1382"/>
      <c r="EM620" s="1380" t="str">
        <f t="shared" si="22"/>
        <v/>
      </c>
      <c r="EN620" s="1381"/>
      <c r="EO620" s="1381"/>
      <c r="EP620" s="1381"/>
      <c r="EQ620" s="1382"/>
      <c r="ER620" s="1380" t="str">
        <f t="shared" si="23"/>
        <v/>
      </c>
      <c r="ES620" s="1381"/>
      <c r="ET620" s="1381"/>
      <c r="EU620" s="1381"/>
      <c r="EV620" s="1382"/>
      <c r="EW620" s="1380" t="str">
        <f t="shared" si="24"/>
        <v/>
      </c>
      <c r="EX620" s="1381"/>
      <c r="EY620" s="1381"/>
      <c r="EZ620" s="1381"/>
      <c r="FA620" s="1382"/>
    </row>
    <row r="621" spans="1:157" ht="12.95" customHeight="1">
      <c r="A621" s="2"/>
      <c r="B621" s="2"/>
      <c r="C621" s="2"/>
      <c r="AZ621" s="3"/>
      <c r="BA621" s="3"/>
      <c r="BB621" s="3"/>
      <c r="BC621" s="3"/>
      <c r="BD621" s="3"/>
      <c r="BE621" s="1380">
        <f t="shared" si="3"/>
        <v>0</v>
      </c>
      <c r="BF621" s="1382"/>
      <c r="BG621" s="1389">
        <f t="shared" si="4"/>
        <v>0</v>
      </c>
      <c r="BH621" s="1390"/>
      <c r="BI621" s="1380">
        <f t="shared" si="5"/>
        <v>0</v>
      </c>
      <c r="BJ621" s="1382"/>
      <c r="BK621" s="1389">
        <f t="shared" si="6"/>
        <v>0</v>
      </c>
      <c r="BL621" s="1390"/>
      <c r="BM621" s="3"/>
      <c r="BN621" s="1385">
        <f t="shared" si="7"/>
        <v>0</v>
      </c>
      <c r="BO621" s="1386"/>
      <c r="BP621" s="1386"/>
      <c r="BQ621" s="1386"/>
      <c r="BR621" s="1387"/>
      <c r="BS621" s="1388">
        <f t="shared" si="8"/>
        <v>0</v>
      </c>
      <c r="BT621" s="1388"/>
      <c r="BU621" s="1388"/>
      <c r="BV621" s="1388"/>
      <c r="BW621" s="1388"/>
      <c r="BX621" s="1388">
        <f t="shared" si="9"/>
        <v>0</v>
      </c>
      <c r="BY621" s="1388"/>
      <c r="BZ621" s="1388"/>
      <c r="CA621" s="1388"/>
      <c r="CB621" s="1388"/>
      <c r="CC621" s="1388">
        <f t="shared" si="10"/>
        <v>0</v>
      </c>
      <c r="CD621" s="1388"/>
      <c r="CE621" s="1388"/>
      <c r="CF621" s="1388"/>
      <c r="CG621" s="1388"/>
      <c r="CH621" s="1388">
        <f t="shared" si="11"/>
        <v>0</v>
      </c>
      <c r="CI621" s="1388"/>
      <c r="CJ621" s="1388"/>
      <c r="CK621" s="1388"/>
      <c r="CL621" s="1388"/>
      <c r="CM621" s="1388">
        <f t="shared" si="12"/>
        <v>0</v>
      </c>
      <c r="CN621" s="1388"/>
      <c r="CO621" s="1388"/>
      <c r="CP621" s="1388"/>
      <c r="CQ621" s="1388"/>
      <c r="CR621" s="6"/>
      <c r="CS621" s="1384">
        <f t="shared" si="13"/>
        <v>0</v>
      </c>
      <c r="CT621" s="1384"/>
      <c r="CU621" s="1384"/>
      <c r="CV621" s="1384"/>
      <c r="CW621" s="1384"/>
      <c r="CX621" s="1384">
        <f t="shared" si="14"/>
        <v>0</v>
      </c>
      <c r="CY621" s="1384"/>
      <c r="CZ621" s="1384"/>
      <c r="DA621" s="1384"/>
      <c r="DB621" s="1384"/>
      <c r="DC621" s="1384">
        <f t="shared" si="15"/>
        <v>0</v>
      </c>
      <c r="DD621" s="1384"/>
      <c r="DE621" s="1384"/>
      <c r="DF621" s="1384"/>
      <c r="DG621" s="1384"/>
      <c r="DH621" s="1384">
        <f t="shared" si="16"/>
        <v>0</v>
      </c>
      <c r="DI621" s="1384"/>
      <c r="DJ621" s="1384"/>
      <c r="DK621" s="1384"/>
      <c r="DL621" s="1384"/>
      <c r="DM621" s="1384">
        <f t="shared" si="17"/>
        <v>0</v>
      </c>
      <c r="DN621" s="1384"/>
      <c r="DO621" s="1384"/>
      <c r="DP621" s="1384"/>
      <c r="DQ621" s="1384"/>
      <c r="DR621" s="1384">
        <f t="shared" si="18"/>
        <v>0</v>
      </c>
      <c r="DS621" s="1384"/>
      <c r="DT621" s="1384"/>
      <c r="DU621" s="1384"/>
      <c r="DV621" s="1384"/>
      <c r="DX621" s="1380" t="str">
        <f t="shared" si="19"/>
        <v/>
      </c>
      <c r="DY621" s="1381"/>
      <c r="DZ621" s="1381"/>
      <c r="EA621" s="1381"/>
      <c r="EB621" s="1382"/>
      <c r="EC621" s="1380" t="str">
        <f t="shared" si="20"/>
        <v/>
      </c>
      <c r="ED621" s="1381"/>
      <c r="EE621" s="1381"/>
      <c r="EF621" s="1381"/>
      <c r="EG621" s="1382"/>
      <c r="EH621" s="1380" t="str">
        <f t="shared" si="21"/>
        <v/>
      </c>
      <c r="EI621" s="1381"/>
      <c r="EJ621" s="1381"/>
      <c r="EK621" s="1381"/>
      <c r="EL621" s="1382"/>
      <c r="EM621" s="1380" t="str">
        <f t="shared" si="22"/>
        <v/>
      </c>
      <c r="EN621" s="1381"/>
      <c r="EO621" s="1381"/>
      <c r="EP621" s="1381"/>
      <c r="EQ621" s="1382"/>
      <c r="ER621" s="1380" t="str">
        <f t="shared" si="23"/>
        <v/>
      </c>
      <c r="ES621" s="1381"/>
      <c r="ET621" s="1381"/>
      <c r="EU621" s="1381"/>
      <c r="EV621" s="1382"/>
      <c r="EW621" s="1380" t="str">
        <f t="shared" si="24"/>
        <v/>
      </c>
      <c r="EX621" s="1381"/>
      <c r="EY621" s="1381"/>
      <c r="EZ621" s="1381"/>
      <c r="FA621" s="1382"/>
    </row>
    <row r="622" spans="1:157" ht="12.95" customHeight="1">
      <c r="C622" s="2" t="s">
        <v>2420</v>
      </c>
      <c r="AZ622" s="3"/>
      <c r="BA622" s="3"/>
      <c r="BB622" s="3"/>
      <c r="BC622" s="3"/>
      <c r="BD622" s="3"/>
      <c r="BE622" s="1380">
        <f t="shared" si="3"/>
        <v>0</v>
      </c>
      <c r="BF622" s="1382"/>
      <c r="BG622" s="1389">
        <f t="shared" si="4"/>
        <v>0</v>
      </c>
      <c r="BH622" s="1390"/>
      <c r="BI622" s="1380">
        <f t="shared" si="5"/>
        <v>0</v>
      </c>
      <c r="BJ622" s="1382"/>
      <c r="BK622" s="1389">
        <f t="shared" si="6"/>
        <v>0</v>
      </c>
      <c r="BL622" s="1390"/>
      <c r="BM622" s="3"/>
      <c r="BN622" s="1385">
        <f t="shared" si="7"/>
        <v>0</v>
      </c>
      <c r="BO622" s="1386"/>
      <c r="BP622" s="1386"/>
      <c r="BQ622" s="1386"/>
      <c r="BR622" s="1387"/>
      <c r="BS622" s="1388">
        <f t="shared" si="8"/>
        <v>0</v>
      </c>
      <c r="BT622" s="1388"/>
      <c r="BU622" s="1388"/>
      <c r="BV622" s="1388"/>
      <c r="BW622" s="1388"/>
      <c r="BX622" s="1388">
        <f t="shared" si="9"/>
        <v>0</v>
      </c>
      <c r="BY622" s="1388"/>
      <c r="BZ622" s="1388"/>
      <c r="CA622" s="1388"/>
      <c r="CB622" s="1388"/>
      <c r="CC622" s="1388">
        <f t="shared" si="10"/>
        <v>0</v>
      </c>
      <c r="CD622" s="1388"/>
      <c r="CE622" s="1388"/>
      <c r="CF622" s="1388"/>
      <c r="CG622" s="1388"/>
      <c r="CH622" s="1388">
        <f t="shared" si="11"/>
        <v>0</v>
      </c>
      <c r="CI622" s="1388"/>
      <c r="CJ622" s="1388"/>
      <c r="CK622" s="1388"/>
      <c r="CL622" s="1388"/>
      <c r="CM622" s="1388">
        <f t="shared" si="12"/>
        <v>0</v>
      </c>
      <c r="CN622" s="1388"/>
      <c r="CO622" s="1388"/>
      <c r="CP622" s="1388"/>
      <c r="CQ622" s="1388"/>
      <c r="CR622" s="6"/>
      <c r="CS622" s="1384">
        <f t="shared" si="13"/>
        <v>0</v>
      </c>
      <c r="CT622" s="1384"/>
      <c r="CU622" s="1384"/>
      <c r="CV622" s="1384"/>
      <c r="CW622" s="1384"/>
      <c r="CX622" s="1384">
        <f t="shared" si="14"/>
        <v>0</v>
      </c>
      <c r="CY622" s="1384"/>
      <c r="CZ622" s="1384"/>
      <c r="DA622" s="1384"/>
      <c r="DB622" s="1384"/>
      <c r="DC622" s="1384">
        <f t="shared" si="15"/>
        <v>0</v>
      </c>
      <c r="DD622" s="1384"/>
      <c r="DE622" s="1384"/>
      <c r="DF622" s="1384"/>
      <c r="DG622" s="1384"/>
      <c r="DH622" s="1384">
        <f t="shared" si="16"/>
        <v>0</v>
      </c>
      <c r="DI622" s="1384"/>
      <c r="DJ622" s="1384"/>
      <c r="DK622" s="1384"/>
      <c r="DL622" s="1384"/>
      <c r="DM622" s="1384">
        <f t="shared" si="17"/>
        <v>0</v>
      </c>
      <c r="DN622" s="1384"/>
      <c r="DO622" s="1384"/>
      <c r="DP622" s="1384"/>
      <c r="DQ622" s="1384"/>
      <c r="DR622" s="1384">
        <f t="shared" si="18"/>
        <v>0</v>
      </c>
      <c r="DS622" s="1384"/>
      <c r="DT622" s="1384"/>
      <c r="DU622" s="1384"/>
      <c r="DV622" s="1384"/>
      <c r="DX622" s="1380" t="str">
        <f t="shared" si="19"/>
        <v/>
      </c>
      <c r="DY622" s="1381"/>
      <c r="DZ622" s="1381"/>
      <c r="EA622" s="1381"/>
      <c r="EB622" s="1382"/>
      <c r="EC622" s="1380" t="str">
        <f t="shared" si="20"/>
        <v/>
      </c>
      <c r="ED622" s="1381"/>
      <c r="EE622" s="1381"/>
      <c r="EF622" s="1381"/>
      <c r="EG622" s="1382"/>
      <c r="EH622" s="1380" t="str">
        <f t="shared" si="21"/>
        <v/>
      </c>
      <c r="EI622" s="1381"/>
      <c r="EJ622" s="1381"/>
      <c r="EK622" s="1381"/>
      <c r="EL622" s="1382"/>
      <c r="EM622" s="1380" t="str">
        <f t="shared" si="22"/>
        <v/>
      </c>
      <c r="EN622" s="1381"/>
      <c r="EO622" s="1381"/>
      <c r="EP622" s="1381"/>
      <c r="EQ622" s="1382"/>
      <c r="ER622" s="1380" t="str">
        <f t="shared" si="23"/>
        <v/>
      </c>
      <c r="ES622" s="1381"/>
      <c r="ET622" s="1381"/>
      <c r="EU622" s="1381"/>
      <c r="EV622" s="1382"/>
      <c r="EW622" s="1380" t="str">
        <f t="shared" si="24"/>
        <v/>
      </c>
      <c r="EX622" s="1381"/>
      <c r="EY622" s="1381"/>
      <c r="EZ622" s="1381"/>
      <c r="FA622" s="1382"/>
    </row>
    <row r="623" spans="1:157" ht="12.95" customHeight="1">
      <c r="B623" s="546"/>
      <c r="C623" s="2"/>
      <c r="AU623" s="3"/>
      <c r="AZ623" s="3"/>
      <c r="BA623" s="3"/>
      <c r="BB623" s="3"/>
      <c r="BC623" s="3"/>
      <c r="BD623" s="3"/>
      <c r="BE623" s="1380">
        <f t="shared" si="3"/>
        <v>0</v>
      </c>
      <c r="BF623" s="1382"/>
      <c r="BG623" s="1389">
        <f t="shared" si="4"/>
        <v>0</v>
      </c>
      <c r="BH623" s="1390"/>
      <c r="BI623" s="1380">
        <f t="shared" si="5"/>
        <v>0</v>
      </c>
      <c r="BJ623" s="1382"/>
      <c r="BK623" s="1389">
        <f t="shared" si="6"/>
        <v>0</v>
      </c>
      <c r="BL623" s="1390"/>
      <c r="BM623" s="3"/>
      <c r="BN623" s="1385">
        <f t="shared" si="7"/>
        <v>0</v>
      </c>
      <c r="BO623" s="1386"/>
      <c r="BP623" s="1386"/>
      <c r="BQ623" s="1386"/>
      <c r="BR623" s="1387"/>
      <c r="BS623" s="1388">
        <f t="shared" si="8"/>
        <v>0</v>
      </c>
      <c r="BT623" s="1388"/>
      <c r="BU623" s="1388"/>
      <c r="BV623" s="1388"/>
      <c r="BW623" s="1388"/>
      <c r="BX623" s="1388">
        <f t="shared" si="9"/>
        <v>0</v>
      </c>
      <c r="BY623" s="1388"/>
      <c r="BZ623" s="1388"/>
      <c r="CA623" s="1388"/>
      <c r="CB623" s="1388"/>
      <c r="CC623" s="1388">
        <f t="shared" si="10"/>
        <v>0</v>
      </c>
      <c r="CD623" s="1388"/>
      <c r="CE623" s="1388"/>
      <c r="CF623" s="1388"/>
      <c r="CG623" s="1388"/>
      <c r="CH623" s="1388">
        <f t="shared" si="11"/>
        <v>0</v>
      </c>
      <c r="CI623" s="1388"/>
      <c r="CJ623" s="1388"/>
      <c r="CK623" s="1388"/>
      <c r="CL623" s="1388"/>
      <c r="CM623" s="1388">
        <f t="shared" si="12"/>
        <v>0</v>
      </c>
      <c r="CN623" s="1388"/>
      <c r="CO623" s="1388"/>
      <c r="CP623" s="1388"/>
      <c r="CQ623" s="1388"/>
      <c r="CR623" s="6"/>
      <c r="CS623" s="1384">
        <f t="shared" si="13"/>
        <v>0</v>
      </c>
      <c r="CT623" s="1384"/>
      <c r="CU623" s="1384"/>
      <c r="CV623" s="1384"/>
      <c r="CW623" s="1384"/>
      <c r="CX623" s="1384">
        <f t="shared" si="14"/>
        <v>0</v>
      </c>
      <c r="CY623" s="1384"/>
      <c r="CZ623" s="1384"/>
      <c r="DA623" s="1384"/>
      <c r="DB623" s="1384"/>
      <c r="DC623" s="1384">
        <f t="shared" si="15"/>
        <v>0</v>
      </c>
      <c r="DD623" s="1384"/>
      <c r="DE623" s="1384"/>
      <c r="DF623" s="1384"/>
      <c r="DG623" s="1384"/>
      <c r="DH623" s="1384">
        <f t="shared" si="16"/>
        <v>0</v>
      </c>
      <c r="DI623" s="1384"/>
      <c r="DJ623" s="1384"/>
      <c r="DK623" s="1384"/>
      <c r="DL623" s="1384"/>
      <c r="DM623" s="1384">
        <f t="shared" si="17"/>
        <v>0</v>
      </c>
      <c r="DN623" s="1384"/>
      <c r="DO623" s="1384"/>
      <c r="DP623" s="1384"/>
      <c r="DQ623" s="1384"/>
      <c r="DR623" s="1384">
        <f t="shared" si="18"/>
        <v>0</v>
      </c>
      <c r="DS623" s="1384"/>
      <c r="DT623" s="1384"/>
      <c r="DU623" s="1384"/>
      <c r="DV623" s="1384"/>
      <c r="DX623" s="1380" t="str">
        <f t="shared" si="19"/>
        <v/>
      </c>
      <c r="DY623" s="1381"/>
      <c r="DZ623" s="1381"/>
      <c r="EA623" s="1381"/>
      <c r="EB623" s="1382"/>
      <c r="EC623" s="1380" t="str">
        <f t="shared" si="20"/>
        <v/>
      </c>
      <c r="ED623" s="1381"/>
      <c r="EE623" s="1381"/>
      <c r="EF623" s="1381"/>
      <c r="EG623" s="1382"/>
      <c r="EH623" s="1380" t="str">
        <f t="shared" si="21"/>
        <v/>
      </c>
      <c r="EI623" s="1381"/>
      <c r="EJ623" s="1381"/>
      <c r="EK623" s="1381"/>
      <c r="EL623" s="1382"/>
      <c r="EM623" s="1380" t="str">
        <f t="shared" si="22"/>
        <v/>
      </c>
      <c r="EN623" s="1381"/>
      <c r="EO623" s="1381"/>
      <c r="EP623" s="1381"/>
      <c r="EQ623" s="1382"/>
      <c r="ER623" s="1380" t="str">
        <f t="shared" si="23"/>
        <v/>
      </c>
      <c r="ES623" s="1381"/>
      <c r="ET623" s="1381"/>
      <c r="EU623" s="1381"/>
      <c r="EV623" s="1382"/>
      <c r="EW623" s="1380" t="str">
        <f t="shared" si="24"/>
        <v/>
      </c>
      <c r="EX623" s="1381"/>
      <c r="EY623" s="1381"/>
      <c r="EZ623" s="1381"/>
      <c r="FA623" s="1382"/>
    </row>
    <row r="624" spans="1:157" ht="12.95" customHeight="1">
      <c r="B624" s="1724" t="s">
        <v>2422</v>
      </c>
      <c r="C624" s="1724"/>
      <c r="D624" s="1724"/>
      <c r="E624" s="1724"/>
      <c r="F624" s="1724"/>
      <c r="G624" s="1724"/>
      <c r="H624" s="1724"/>
      <c r="I624" s="1724"/>
      <c r="J624" s="1724"/>
      <c r="K624" s="1724"/>
      <c r="L624" s="1724"/>
      <c r="M624" s="1703" t="s">
        <v>2423</v>
      </c>
      <c r="N624" s="1703"/>
      <c r="O624" s="1703"/>
      <c r="P624" s="1703"/>
      <c r="Q624" s="1703" t="s">
        <v>2044</v>
      </c>
      <c r="R624" s="1703"/>
      <c r="S624" s="1703"/>
      <c r="T624" s="1703" t="s">
        <v>2042</v>
      </c>
      <c r="U624" s="1703"/>
      <c r="V624" s="1703"/>
      <c r="W624" s="1848" t="s">
        <v>461</v>
      </c>
      <c r="X624" s="1848"/>
      <c r="Y624" s="1848"/>
      <c r="Z624" s="1399" t="s">
        <v>2452</v>
      </c>
      <c r="AA624" s="1399"/>
      <c r="AB624" s="1400"/>
      <c r="AC624" s="1709" t="s">
        <v>1865</v>
      </c>
      <c r="AD624" s="1710"/>
      <c r="AE624" s="1711"/>
      <c r="AF624" s="1398" t="s">
        <v>2231</v>
      </c>
      <c r="AG624" s="1399"/>
      <c r="AH624" s="1399"/>
      <c r="AI624" s="1399"/>
      <c r="AJ624" s="1400"/>
      <c r="AK624" s="1773" t="s">
        <v>2232</v>
      </c>
      <c r="AL624" s="1774"/>
      <c r="AM624" s="1774"/>
      <c r="AN624" s="1775"/>
      <c r="AO624" s="1703" t="s">
        <v>462</v>
      </c>
      <c r="AP624" s="1703"/>
      <c r="AQ624" s="1703"/>
      <c r="AR624" s="1703"/>
      <c r="AS624" s="1703"/>
      <c r="AU624" s="3"/>
      <c r="AZ624" s="3"/>
      <c r="BA624" s="3"/>
      <c r="BB624" s="3"/>
      <c r="BC624" s="3"/>
      <c r="BD624" s="3"/>
      <c r="BE624" s="1380">
        <f t="shared" si="3"/>
        <v>0</v>
      </c>
      <c r="BF624" s="1382"/>
      <c r="BG624" s="1389">
        <f t="shared" si="4"/>
        <v>0</v>
      </c>
      <c r="BH624" s="1390"/>
      <c r="BI624" s="1380">
        <f t="shared" si="5"/>
        <v>0</v>
      </c>
      <c r="BJ624" s="1382"/>
      <c r="BK624" s="1389">
        <f t="shared" si="6"/>
        <v>0</v>
      </c>
      <c r="BL624" s="1390"/>
      <c r="BM624" s="3"/>
      <c r="BN624" s="1385">
        <f t="shared" si="7"/>
        <v>0</v>
      </c>
      <c r="BO624" s="1386"/>
      <c r="BP624" s="1386"/>
      <c r="BQ624" s="1386"/>
      <c r="BR624" s="1387"/>
      <c r="BS624" s="1388">
        <f t="shared" si="8"/>
        <v>0</v>
      </c>
      <c r="BT624" s="1388"/>
      <c r="BU624" s="1388"/>
      <c r="BV624" s="1388"/>
      <c r="BW624" s="1388"/>
      <c r="BX624" s="1388">
        <f t="shared" si="9"/>
        <v>0</v>
      </c>
      <c r="BY624" s="1388"/>
      <c r="BZ624" s="1388"/>
      <c r="CA624" s="1388"/>
      <c r="CB624" s="1388"/>
      <c r="CC624" s="1388">
        <f t="shared" si="10"/>
        <v>0</v>
      </c>
      <c r="CD624" s="1388"/>
      <c r="CE624" s="1388"/>
      <c r="CF624" s="1388"/>
      <c r="CG624" s="1388"/>
      <c r="CH624" s="1388">
        <f t="shared" si="11"/>
        <v>0</v>
      </c>
      <c r="CI624" s="1388"/>
      <c r="CJ624" s="1388"/>
      <c r="CK624" s="1388"/>
      <c r="CL624" s="1388"/>
      <c r="CM624" s="1388">
        <f t="shared" si="12"/>
        <v>0</v>
      </c>
      <c r="CN624" s="1388"/>
      <c r="CO624" s="1388"/>
      <c r="CP624" s="1388"/>
      <c r="CQ624" s="1388"/>
      <c r="CR624" s="6"/>
      <c r="CS624" s="1384">
        <f t="shared" si="13"/>
        <v>0</v>
      </c>
      <c r="CT624" s="1384"/>
      <c r="CU624" s="1384"/>
      <c r="CV624" s="1384"/>
      <c r="CW624" s="1384"/>
      <c r="CX624" s="1384">
        <f t="shared" si="14"/>
        <v>0</v>
      </c>
      <c r="CY624" s="1384"/>
      <c r="CZ624" s="1384"/>
      <c r="DA624" s="1384"/>
      <c r="DB624" s="1384"/>
      <c r="DC624" s="1384">
        <f t="shared" si="15"/>
        <v>0</v>
      </c>
      <c r="DD624" s="1384"/>
      <c r="DE624" s="1384"/>
      <c r="DF624" s="1384"/>
      <c r="DG624" s="1384"/>
      <c r="DH624" s="1384">
        <f t="shared" si="16"/>
        <v>0</v>
      </c>
      <c r="DI624" s="1384"/>
      <c r="DJ624" s="1384"/>
      <c r="DK624" s="1384"/>
      <c r="DL624" s="1384"/>
      <c r="DM624" s="1384">
        <f t="shared" si="17"/>
        <v>0</v>
      </c>
      <c r="DN624" s="1384"/>
      <c r="DO624" s="1384"/>
      <c r="DP624" s="1384"/>
      <c r="DQ624" s="1384"/>
      <c r="DR624" s="1384">
        <f t="shared" si="18"/>
        <v>0</v>
      </c>
      <c r="DS624" s="1384"/>
      <c r="DT624" s="1384"/>
      <c r="DU624" s="1384"/>
      <c r="DV624" s="1384"/>
      <c r="DX624" s="1380" t="str">
        <f t="shared" si="19"/>
        <v/>
      </c>
      <c r="DY624" s="1381"/>
      <c r="DZ624" s="1381"/>
      <c r="EA624" s="1381"/>
      <c r="EB624" s="1382"/>
      <c r="EC624" s="1380" t="str">
        <f t="shared" si="20"/>
        <v/>
      </c>
      <c r="ED624" s="1381"/>
      <c r="EE624" s="1381"/>
      <c r="EF624" s="1381"/>
      <c r="EG624" s="1382"/>
      <c r="EH624" s="1380" t="str">
        <f t="shared" si="21"/>
        <v/>
      </c>
      <c r="EI624" s="1381"/>
      <c r="EJ624" s="1381"/>
      <c r="EK624" s="1381"/>
      <c r="EL624" s="1382"/>
      <c r="EM624" s="1380" t="str">
        <f t="shared" si="22"/>
        <v/>
      </c>
      <c r="EN624" s="1381"/>
      <c r="EO624" s="1381"/>
      <c r="EP624" s="1381"/>
      <c r="EQ624" s="1382"/>
      <c r="ER624" s="1380" t="str">
        <f t="shared" si="23"/>
        <v/>
      </c>
      <c r="ES624" s="1381"/>
      <c r="ET624" s="1381"/>
      <c r="EU624" s="1381"/>
      <c r="EV624" s="1382"/>
      <c r="EW624" s="1380" t="str">
        <f t="shared" si="24"/>
        <v/>
      </c>
      <c r="EX624" s="1381"/>
      <c r="EY624" s="1381"/>
      <c r="EZ624" s="1381"/>
      <c r="FA624" s="1382"/>
    </row>
    <row r="625" spans="2:157" ht="12.95" customHeight="1">
      <c r="B625" s="1724"/>
      <c r="C625" s="1724"/>
      <c r="D625" s="1724"/>
      <c r="E625" s="1724"/>
      <c r="F625" s="1724"/>
      <c r="G625" s="1724"/>
      <c r="H625" s="1724"/>
      <c r="I625" s="1724"/>
      <c r="J625" s="1724"/>
      <c r="K625" s="1724"/>
      <c r="L625" s="1724"/>
      <c r="M625" s="1703"/>
      <c r="N625" s="1703"/>
      <c r="O625" s="1703"/>
      <c r="P625" s="1703"/>
      <c r="Q625" s="1703"/>
      <c r="R625" s="1703"/>
      <c r="S625" s="1703"/>
      <c r="T625" s="1703"/>
      <c r="U625" s="1703"/>
      <c r="V625" s="1703"/>
      <c r="W625" s="1848"/>
      <c r="X625" s="1848"/>
      <c r="Y625" s="1848"/>
      <c r="Z625" s="1402"/>
      <c r="AA625" s="1402"/>
      <c r="AB625" s="1403"/>
      <c r="AC625" s="1712"/>
      <c r="AD625" s="1713"/>
      <c r="AE625" s="1714"/>
      <c r="AF625" s="1401"/>
      <c r="AG625" s="1402"/>
      <c r="AH625" s="1402"/>
      <c r="AI625" s="1402"/>
      <c r="AJ625" s="1403"/>
      <c r="AK625" s="1776"/>
      <c r="AL625" s="1777"/>
      <c r="AM625" s="1777"/>
      <c r="AN625" s="1778"/>
      <c r="AO625" s="1703"/>
      <c r="AP625" s="1703"/>
      <c r="AQ625" s="1703"/>
      <c r="AR625" s="1703"/>
      <c r="AS625" s="1703"/>
      <c r="AU625" s="3"/>
      <c r="AZ625" s="3"/>
      <c r="BA625" s="3"/>
      <c r="BB625" s="3"/>
      <c r="BC625" s="3"/>
      <c r="BD625" s="3"/>
      <c r="BE625" s="1380">
        <f t="shared" si="3"/>
        <v>0</v>
      </c>
      <c r="BF625" s="1382"/>
      <c r="BG625" s="1389">
        <f t="shared" si="4"/>
        <v>0</v>
      </c>
      <c r="BH625" s="1390"/>
      <c r="BI625" s="1380">
        <f t="shared" si="5"/>
        <v>0</v>
      </c>
      <c r="BJ625" s="1382"/>
      <c r="BK625" s="1389">
        <f t="shared" si="6"/>
        <v>0</v>
      </c>
      <c r="BL625" s="1390"/>
      <c r="BM625" s="3"/>
      <c r="BN625" s="1385">
        <f t="shared" si="7"/>
        <v>0</v>
      </c>
      <c r="BO625" s="1386"/>
      <c r="BP625" s="1386"/>
      <c r="BQ625" s="1386"/>
      <c r="BR625" s="1387"/>
      <c r="BS625" s="1388">
        <f t="shared" si="8"/>
        <v>0</v>
      </c>
      <c r="BT625" s="1388"/>
      <c r="BU625" s="1388"/>
      <c r="BV625" s="1388"/>
      <c r="BW625" s="1388"/>
      <c r="BX625" s="1388">
        <f t="shared" si="9"/>
        <v>0</v>
      </c>
      <c r="BY625" s="1388"/>
      <c r="BZ625" s="1388"/>
      <c r="CA625" s="1388"/>
      <c r="CB625" s="1388"/>
      <c r="CC625" s="1388">
        <f t="shared" si="10"/>
        <v>0</v>
      </c>
      <c r="CD625" s="1388"/>
      <c r="CE625" s="1388"/>
      <c r="CF625" s="1388"/>
      <c r="CG625" s="1388"/>
      <c r="CH625" s="1388">
        <f t="shared" si="11"/>
        <v>0</v>
      </c>
      <c r="CI625" s="1388"/>
      <c r="CJ625" s="1388"/>
      <c r="CK625" s="1388"/>
      <c r="CL625" s="1388"/>
      <c r="CM625" s="1388">
        <f t="shared" si="12"/>
        <v>0</v>
      </c>
      <c r="CN625" s="1388"/>
      <c r="CO625" s="1388"/>
      <c r="CP625" s="1388"/>
      <c r="CQ625" s="1388"/>
      <c r="CR625" s="6"/>
      <c r="CS625" s="1384">
        <f t="shared" si="13"/>
        <v>0</v>
      </c>
      <c r="CT625" s="1384"/>
      <c r="CU625" s="1384"/>
      <c r="CV625" s="1384"/>
      <c r="CW625" s="1384"/>
      <c r="CX625" s="1384">
        <f t="shared" si="14"/>
        <v>0</v>
      </c>
      <c r="CY625" s="1384"/>
      <c r="CZ625" s="1384"/>
      <c r="DA625" s="1384"/>
      <c r="DB625" s="1384"/>
      <c r="DC625" s="1384">
        <f t="shared" si="15"/>
        <v>0</v>
      </c>
      <c r="DD625" s="1384"/>
      <c r="DE625" s="1384"/>
      <c r="DF625" s="1384"/>
      <c r="DG625" s="1384"/>
      <c r="DH625" s="1384">
        <f t="shared" si="16"/>
        <v>0</v>
      </c>
      <c r="DI625" s="1384"/>
      <c r="DJ625" s="1384"/>
      <c r="DK625" s="1384"/>
      <c r="DL625" s="1384"/>
      <c r="DM625" s="1384">
        <f t="shared" si="17"/>
        <v>0</v>
      </c>
      <c r="DN625" s="1384"/>
      <c r="DO625" s="1384"/>
      <c r="DP625" s="1384"/>
      <c r="DQ625" s="1384"/>
      <c r="DR625" s="1384">
        <f t="shared" si="18"/>
        <v>0</v>
      </c>
      <c r="DS625" s="1384"/>
      <c r="DT625" s="1384"/>
      <c r="DU625" s="1384"/>
      <c r="DV625" s="1384"/>
      <c r="DX625" s="1380" t="str">
        <f t="shared" si="19"/>
        <v/>
      </c>
      <c r="DY625" s="1381"/>
      <c r="DZ625" s="1381"/>
      <c r="EA625" s="1381"/>
      <c r="EB625" s="1382"/>
      <c r="EC625" s="1380" t="str">
        <f t="shared" si="20"/>
        <v/>
      </c>
      <c r="ED625" s="1381"/>
      <c r="EE625" s="1381"/>
      <c r="EF625" s="1381"/>
      <c r="EG625" s="1382"/>
      <c r="EH625" s="1380" t="str">
        <f t="shared" si="21"/>
        <v/>
      </c>
      <c r="EI625" s="1381"/>
      <c r="EJ625" s="1381"/>
      <c r="EK625" s="1381"/>
      <c r="EL625" s="1382"/>
      <c r="EM625" s="1380" t="str">
        <f t="shared" si="22"/>
        <v/>
      </c>
      <c r="EN625" s="1381"/>
      <c r="EO625" s="1381"/>
      <c r="EP625" s="1381"/>
      <c r="EQ625" s="1382"/>
      <c r="ER625" s="1380" t="str">
        <f t="shared" si="23"/>
        <v/>
      </c>
      <c r="ES625" s="1381"/>
      <c r="ET625" s="1381"/>
      <c r="EU625" s="1381"/>
      <c r="EV625" s="1382"/>
      <c r="EW625" s="1380" t="str">
        <f t="shared" si="24"/>
        <v/>
      </c>
      <c r="EX625" s="1381"/>
      <c r="EY625" s="1381"/>
      <c r="EZ625" s="1381"/>
      <c r="FA625" s="1382"/>
    </row>
    <row r="626" spans="2:157" ht="12.95" customHeight="1">
      <c r="B626" s="1724"/>
      <c r="C626" s="1724"/>
      <c r="D626" s="1724"/>
      <c r="E626" s="1724"/>
      <c r="F626" s="1724"/>
      <c r="G626" s="1724"/>
      <c r="H626" s="1724"/>
      <c r="I626" s="1724"/>
      <c r="J626" s="1724"/>
      <c r="K626" s="1724"/>
      <c r="L626" s="1724"/>
      <c r="M626" s="1703"/>
      <c r="N626" s="1703"/>
      <c r="O626" s="1703"/>
      <c r="P626" s="1703"/>
      <c r="Q626" s="1703"/>
      <c r="R626" s="1703"/>
      <c r="S626" s="1703"/>
      <c r="T626" s="1703"/>
      <c r="U626" s="1703"/>
      <c r="V626" s="1703"/>
      <c r="W626" s="1848"/>
      <c r="X626" s="1848"/>
      <c r="Y626" s="1848"/>
      <c r="Z626" s="1405"/>
      <c r="AA626" s="1405"/>
      <c r="AB626" s="1406"/>
      <c r="AC626" s="1715"/>
      <c r="AD626" s="1716"/>
      <c r="AE626" s="1717"/>
      <c r="AF626" s="1404"/>
      <c r="AG626" s="1405"/>
      <c r="AH626" s="1405"/>
      <c r="AI626" s="1405"/>
      <c r="AJ626" s="1406"/>
      <c r="AK626" s="1779"/>
      <c r="AL626" s="1780"/>
      <c r="AM626" s="1780"/>
      <c r="AN626" s="1781"/>
      <c r="AO626" s="1703"/>
      <c r="AP626" s="1703"/>
      <c r="AQ626" s="1703"/>
      <c r="AR626" s="1703"/>
      <c r="AS626" s="1703"/>
      <c r="AT626" s="3"/>
      <c r="AU626" s="3"/>
      <c r="AZ626" s="3"/>
      <c r="BA626" s="3"/>
      <c r="BB626" s="3"/>
      <c r="BC626" s="3"/>
      <c r="BD626" s="3"/>
      <c r="BE626" s="1380">
        <f t="shared" si="3"/>
        <v>0</v>
      </c>
      <c r="BF626" s="1382"/>
      <c r="BG626" s="1389">
        <f t="shared" si="4"/>
        <v>0</v>
      </c>
      <c r="BH626" s="1390"/>
      <c r="BI626" s="1380">
        <f t="shared" si="5"/>
        <v>0</v>
      </c>
      <c r="BJ626" s="1382"/>
      <c r="BK626" s="1389">
        <f t="shared" si="6"/>
        <v>0</v>
      </c>
      <c r="BL626" s="1390"/>
      <c r="BM626" s="3"/>
      <c r="BN626" s="1385">
        <f t="shared" si="7"/>
        <v>0</v>
      </c>
      <c r="BO626" s="1386"/>
      <c r="BP626" s="1386"/>
      <c r="BQ626" s="1386"/>
      <c r="BR626" s="1387"/>
      <c r="BS626" s="1388">
        <f t="shared" si="8"/>
        <v>0</v>
      </c>
      <c r="BT626" s="1388"/>
      <c r="BU626" s="1388"/>
      <c r="BV626" s="1388"/>
      <c r="BW626" s="1388"/>
      <c r="BX626" s="1388">
        <f t="shared" si="9"/>
        <v>0</v>
      </c>
      <c r="BY626" s="1388"/>
      <c r="BZ626" s="1388"/>
      <c r="CA626" s="1388"/>
      <c r="CB626" s="1388"/>
      <c r="CC626" s="1388">
        <f t="shared" si="10"/>
        <v>0</v>
      </c>
      <c r="CD626" s="1388"/>
      <c r="CE626" s="1388"/>
      <c r="CF626" s="1388"/>
      <c r="CG626" s="1388"/>
      <c r="CH626" s="1388">
        <f t="shared" si="11"/>
        <v>0</v>
      </c>
      <c r="CI626" s="1388"/>
      <c r="CJ626" s="1388"/>
      <c r="CK626" s="1388"/>
      <c r="CL626" s="1388"/>
      <c r="CM626" s="1388">
        <f t="shared" si="12"/>
        <v>0</v>
      </c>
      <c r="CN626" s="1388"/>
      <c r="CO626" s="1388"/>
      <c r="CP626" s="1388"/>
      <c r="CQ626" s="1388"/>
      <c r="CR626" s="6"/>
      <c r="CS626" s="1384">
        <f t="shared" si="13"/>
        <v>0</v>
      </c>
      <c r="CT626" s="1384"/>
      <c r="CU626" s="1384"/>
      <c r="CV626" s="1384"/>
      <c r="CW626" s="1384"/>
      <c r="CX626" s="1384">
        <f t="shared" si="14"/>
        <v>0</v>
      </c>
      <c r="CY626" s="1384"/>
      <c r="CZ626" s="1384"/>
      <c r="DA626" s="1384"/>
      <c r="DB626" s="1384"/>
      <c r="DC626" s="1384">
        <f t="shared" si="15"/>
        <v>0</v>
      </c>
      <c r="DD626" s="1384"/>
      <c r="DE626" s="1384"/>
      <c r="DF626" s="1384"/>
      <c r="DG626" s="1384"/>
      <c r="DH626" s="1384">
        <f t="shared" si="16"/>
        <v>0</v>
      </c>
      <c r="DI626" s="1384"/>
      <c r="DJ626" s="1384"/>
      <c r="DK626" s="1384"/>
      <c r="DL626" s="1384"/>
      <c r="DM626" s="1384">
        <f t="shared" si="17"/>
        <v>0</v>
      </c>
      <c r="DN626" s="1384"/>
      <c r="DO626" s="1384"/>
      <c r="DP626" s="1384"/>
      <c r="DQ626" s="1384"/>
      <c r="DR626" s="1384">
        <f t="shared" si="18"/>
        <v>0</v>
      </c>
      <c r="DS626" s="1384"/>
      <c r="DT626" s="1384"/>
      <c r="DU626" s="1384"/>
      <c r="DV626" s="1384"/>
      <c r="DX626" s="1380" t="str">
        <f t="shared" si="19"/>
        <v/>
      </c>
      <c r="DY626" s="1381"/>
      <c r="DZ626" s="1381"/>
      <c r="EA626" s="1381"/>
      <c r="EB626" s="1382"/>
      <c r="EC626" s="1380" t="str">
        <f t="shared" si="20"/>
        <v/>
      </c>
      <c r="ED626" s="1381"/>
      <c r="EE626" s="1381"/>
      <c r="EF626" s="1381"/>
      <c r="EG626" s="1382"/>
      <c r="EH626" s="1380" t="str">
        <f t="shared" si="21"/>
        <v/>
      </c>
      <c r="EI626" s="1381"/>
      <c r="EJ626" s="1381"/>
      <c r="EK626" s="1381"/>
      <c r="EL626" s="1382"/>
      <c r="EM626" s="1380" t="str">
        <f t="shared" si="22"/>
        <v/>
      </c>
      <c r="EN626" s="1381"/>
      <c r="EO626" s="1381"/>
      <c r="EP626" s="1381"/>
      <c r="EQ626" s="1382"/>
      <c r="ER626" s="1380" t="str">
        <f t="shared" si="23"/>
        <v/>
      </c>
      <c r="ES626" s="1381"/>
      <c r="ET626" s="1381"/>
      <c r="EU626" s="1381"/>
      <c r="EV626" s="1382"/>
      <c r="EW626" s="1380" t="str">
        <f t="shared" si="24"/>
        <v/>
      </c>
      <c r="EX626" s="1381"/>
      <c r="EY626" s="1381"/>
      <c r="EZ626" s="1381"/>
      <c r="FA626" s="1382"/>
    </row>
    <row r="627" spans="2:157" ht="12.95" customHeight="1">
      <c r="B627" s="51" t="s">
        <v>112</v>
      </c>
      <c r="C627" s="1704" t="str">
        <f>C555</f>
        <v>Seller Carryback Loan</v>
      </c>
      <c r="D627" s="1704"/>
      <c r="E627" s="1704"/>
      <c r="F627" s="1704"/>
      <c r="G627" s="1704"/>
      <c r="H627" s="1704"/>
      <c r="I627" s="1704"/>
      <c r="J627" s="1704"/>
      <c r="K627" s="1704"/>
      <c r="L627" s="1704"/>
      <c r="M627" s="1706" t="s">
        <v>2436</v>
      </c>
      <c r="N627" s="1706"/>
      <c r="O627" s="1706"/>
      <c r="P627" s="1706"/>
      <c r="Q627" s="1563">
        <v>660</v>
      </c>
      <c r="R627" s="1563"/>
      <c r="S627" s="1708"/>
      <c r="T627" s="1707"/>
      <c r="U627" s="1563"/>
      <c r="V627" s="1708"/>
      <c r="W627" s="1578">
        <v>4.4499999999999998E-2</v>
      </c>
      <c r="X627" s="1579"/>
      <c r="Y627" s="1580"/>
      <c r="Z627" s="1506" t="s">
        <v>465</v>
      </c>
      <c r="AA627" s="1507"/>
      <c r="AB627" s="1508"/>
      <c r="AC627" s="1461"/>
      <c r="AD627" s="1462"/>
      <c r="AE627" s="1463"/>
      <c r="AF627" s="1575"/>
      <c r="AG627" s="1576"/>
      <c r="AH627" s="1576"/>
      <c r="AI627" s="1576"/>
      <c r="AJ627" s="1577"/>
      <c r="AK627" s="1718"/>
      <c r="AL627" s="1719"/>
      <c r="AM627" s="1719"/>
      <c r="AN627" s="1720"/>
      <c r="AO627" s="1619">
        <v>14551777</v>
      </c>
      <c r="AP627" s="1619"/>
      <c r="AQ627" s="1619"/>
      <c r="AR627" s="1619"/>
      <c r="AS627" s="1619"/>
      <c r="AT627" s="3"/>
      <c r="AU627" s="3"/>
      <c r="AZ627" s="3"/>
      <c r="BA627" s="3"/>
      <c r="BB627" s="3"/>
      <c r="BC627" s="3"/>
      <c r="BD627" s="3"/>
      <c r="BE627" s="1380">
        <f t="shared" si="3"/>
        <v>0</v>
      </c>
      <c r="BF627" s="1382"/>
      <c r="BG627" s="1389">
        <f t="shared" si="4"/>
        <v>0</v>
      </c>
      <c r="BH627" s="1390"/>
      <c r="BI627" s="1380">
        <f t="shared" si="5"/>
        <v>0</v>
      </c>
      <c r="BJ627" s="1382"/>
      <c r="BK627" s="1389">
        <f t="shared" si="6"/>
        <v>0</v>
      </c>
      <c r="BL627" s="1390"/>
      <c r="BM627" s="3"/>
      <c r="BN627" s="1385">
        <f t="shared" si="7"/>
        <v>0</v>
      </c>
      <c r="BO627" s="1386"/>
      <c r="BP627" s="1386"/>
      <c r="BQ627" s="1386"/>
      <c r="BR627" s="1387"/>
      <c r="BS627" s="1388">
        <f t="shared" si="8"/>
        <v>0</v>
      </c>
      <c r="BT627" s="1388"/>
      <c r="BU627" s="1388"/>
      <c r="BV627" s="1388"/>
      <c r="BW627" s="1388"/>
      <c r="BX627" s="1388">
        <f t="shared" si="9"/>
        <v>0</v>
      </c>
      <c r="BY627" s="1388"/>
      <c r="BZ627" s="1388"/>
      <c r="CA627" s="1388"/>
      <c r="CB627" s="1388"/>
      <c r="CC627" s="1388">
        <f t="shared" si="10"/>
        <v>0</v>
      </c>
      <c r="CD627" s="1388"/>
      <c r="CE627" s="1388"/>
      <c r="CF627" s="1388"/>
      <c r="CG627" s="1388"/>
      <c r="CH627" s="1388">
        <f t="shared" si="11"/>
        <v>0</v>
      </c>
      <c r="CI627" s="1388"/>
      <c r="CJ627" s="1388"/>
      <c r="CK627" s="1388"/>
      <c r="CL627" s="1388"/>
      <c r="CM627" s="1388">
        <f t="shared" si="12"/>
        <v>0</v>
      </c>
      <c r="CN627" s="1388"/>
      <c r="CO627" s="1388"/>
      <c r="CP627" s="1388"/>
      <c r="CQ627" s="1388"/>
      <c r="CR627" s="6"/>
      <c r="CS627" s="1384">
        <f t="shared" si="13"/>
        <v>0</v>
      </c>
      <c r="CT627" s="1384"/>
      <c r="CU627" s="1384"/>
      <c r="CV627" s="1384"/>
      <c r="CW627" s="1384"/>
      <c r="CX627" s="1384">
        <f t="shared" si="14"/>
        <v>0</v>
      </c>
      <c r="CY627" s="1384"/>
      <c r="CZ627" s="1384"/>
      <c r="DA627" s="1384"/>
      <c r="DB627" s="1384"/>
      <c r="DC627" s="1384">
        <f t="shared" si="15"/>
        <v>0</v>
      </c>
      <c r="DD627" s="1384"/>
      <c r="DE627" s="1384"/>
      <c r="DF627" s="1384"/>
      <c r="DG627" s="1384"/>
      <c r="DH627" s="1384">
        <f t="shared" si="16"/>
        <v>0</v>
      </c>
      <c r="DI627" s="1384"/>
      <c r="DJ627" s="1384"/>
      <c r="DK627" s="1384"/>
      <c r="DL627" s="1384"/>
      <c r="DM627" s="1384">
        <f t="shared" si="17"/>
        <v>0</v>
      </c>
      <c r="DN627" s="1384"/>
      <c r="DO627" s="1384"/>
      <c r="DP627" s="1384"/>
      <c r="DQ627" s="1384"/>
      <c r="DR627" s="1384">
        <f t="shared" si="18"/>
        <v>0</v>
      </c>
      <c r="DS627" s="1384"/>
      <c r="DT627" s="1384"/>
      <c r="DU627" s="1384"/>
      <c r="DV627" s="1384"/>
      <c r="DX627" s="1380" t="str">
        <f t="shared" si="19"/>
        <v/>
      </c>
      <c r="DY627" s="1381"/>
      <c r="DZ627" s="1381"/>
      <c r="EA627" s="1381"/>
      <c r="EB627" s="1382"/>
      <c r="EC627" s="1380" t="str">
        <f t="shared" si="20"/>
        <v/>
      </c>
      <c r="ED627" s="1381"/>
      <c r="EE627" s="1381"/>
      <c r="EF627" s="1381"/>
      <c r="EG627" s="1382"/>
      <c r="EH627" s="1380" t="str">
        <f t="shared" si="21"/>
        <v/>
      </c>
      <c r="EI627" s="1381"/>
      <c r="EJ627" s="1381"/>
      <c r="EK627" s="1381"/>
      <c r="EL627" s="1382"/>
      <c r="EM627" s="1380" t="str">
        <f t="shared" si="22"/>
        <v/>
      </c>
      <c r="EN627" s="1381"/>
      <c r="EO627" s="1381"/>
      <c r="EP627" s="1381"/>
      <c r="EQ627" s="1382"/>
      <c r="ER627" s="1380" t="str">
        <f t="shared" si="23"/>
        <v/>
      </c>
      <c r="ES627" s="1381"/>
      <c r="ET627" s="1381"/>
      <c r="EU627" s="1381"/>
      <c r="EV627" s="1382"/>
      <c r="EW627" s="1380" t="str">
        <f t="shared" si="24"/>
        <v/>
      </c>
      <c r="EX627" s="1381"/>
      <c r="EY627" s="1381"/>
      <c r="EZ627" s="1381"/>
      <c r="FA627" s="1382"/>
    </row>
    <row r="628" spans="2:157" ht="12.95" customHeight="1">
      <c r="B628" s="52" t="s">
        <v>113</v>
      </c>
      <c r="C628" s="1704" t="s">
        <v>2723</v>
      </c>
      <c r="D628" s="1704"/>
      <c r="E628" s="1704"/>
      <c r="F628" s="1704"/>
      <c r="G628" s="1704"/>
      <c r="H628" s="1704"/>
      <c r="I628" s="1704"/>
      <c r="J628" s="1704"/>
      <c r="K628" s="1704"/>
      <c r="L628" s="1704"/>
      <c r="M628" s="1706" t="s">
        <v>2435</v>
      </c>
      <c r="N628" s="1706"/>
      <c r="O628" s="1706"/>
      <c r="P628" s="1706"/>
      <c r="Q628" s="1707">
        <v>660</v>
      </c>
      <c r="R628" s="1563"/>
      <c r="S628" s="1708"/>
      <c r="T628" s="1707"/>
      <c r="U628" s="1563"/>
      <c r="V628" s="1708"/>
      <c r="W628" s="1578">
        <v>4.4499999999999998E-2</v>
      </c>
      <c r="X628" s="1579"/>
      <c r="Y628" s="1580"/>
      <c r="Z628" s="1506" t="s">
        <v>465</v>
      </c>
      <c r="AA628" s="1507"/>
      <c r="AB628" s="1508"/>
      <c r="AC628" s="1461"/>
      <c r="AD628" s="1462"/>
      <c r="AE628" s="1463"/>
      <c r="AF628" s="1575"/>
      <c r="AG628" s="1576"/>
      <c r="AH628" s="1576"/>
      <c r="AI628" s="1576"/>
      <c r="AJ628" s="1577"/>
      <c r="AK628" s="1718"/>
      <c r="AL628" s="1719"/>
      <c r="AM628" s="1719"/>
      <c r="AN628" s="1720"/>
      <c r="AO628" s="1571">
        <v>14670783</v>
      </c>
      <c r="AP628" s="1572"/>
      <c r="AQ628" s="1572"/>
      <c r="AR628" s="1572"/>
      <c r="AS628" s="1573"/>
      <c r="AT628" s="1192" t="str">
        <f>IF(AND(NOT(C627=""),C628="",NOT(C629="")),"!","")</f>
        <v/>
      </c>
      <c r="AU628" s="3"/>
      <c r="AZ628" s="3"/>
      <c r="BA628" s="3"/>
      <c r="BB628" s="3"/>
      <c r="BC628" s="3"/>
      <c r="BD628" s="3"/>
      <c r="BE628" s="1380">
        <f t="shared" si="3"/>
        <v>0</v>
      </c>
      <c r="BF628" s="1382"/>
      <c r="BG628" s="1389">
        <f t="shared" si="4"/>
        <v>0</v>
      </c>
      <c r="BH628" s="1390"/>
      <c r="BI628" s="1380">
        <f t="shared" si="5"/>
        <v>0</v>
      </c>
      <c r="BJ628" s="1382"/>
      <c r="BK628" s="1389">
        <f t="shared" si="6"/>
        <v>0</v>
      </c>
      <c r="BL628" s="1390"/>
      <c r="BM628" s="3"/>
      <c r="BN628" s="1385">
        <f t="shared" si="7"/>
        <v>0</v>
      </c>
      <c r="BO628" s="1386"/>
      <c r="BP628" s="1386"/>
      <c r="BQ628" s="1386"/>
      <c r="BR628" s="1387"/>
      <c r="BS628" s="1388">
        <f t="shared" si="8"/>
        <v>0</v>
      </c>
      <c r="BT628" s="1388"/>
      <c r="BU628" s="1388"/>
      <c r="BV628" s="1388"/>
      <c r="BW628" s="1388"/>
      <c r="BX628" s="1388">
        <f t="shared" si="9"/>
        <v>0</v>
      </c>
      <c r="BY628" s="1388"/>
      <c r="BZ628" s="1388"/>
      <c r="CA628" s="1388"/>
      <c r="CB628" s="1388"/>
      <c r="CC628" s="1388">
        <f t="shared" si="10"/>
        <v>0</v>
      </c>
      <c r="CD628" s="1388"/>
      <c r="CE628" s="1388"/>
      <c r="CF628" s="1388"/>
      <c r="CG628" s="1388"/>
      <c r="CH628" s="1388">
        <f t="shared" si="11"/>
        <v>0</v>
      </c>
      <c r="CI628" s="1388"/>
      <c r="CJ628" s="1388"/>
      <c r="CK628" s="1388"/>
      <c r="CL628" s="1388"/>
      <c r="CM628" s="1388">
        <f t="shared" si="12"/>
        <v>0</v>
      </c>
      <c r="CN628" s="1388"/>
      <c r="CO628" s="1388"/>
      <c r="CP628" s="1388"/>
      <c r="CQ628" s="1388"/>
      <c r="CR628" s="6"/>
      <c r="CS628" s="1384">
        <f t="shared" si="13"/>
        <v>0</v>
      </c>
      <c r="CT628" s="1384"/>
      <c r="CU628" s="1384"/>
      <c r="CV628" s="1384"/>
      <c r="CW628" s="1384"/>
      <c r="CX628" s="1384">
        <f t="shared" si="14"/>
        <v>0</v>
      </c>
      <c r="CY628" s="1384"/>
      <c r="CZ628" s="1384"/>
      <c r="DA628" s="1384"/>
      <c r="DB628" s="1384"/>
      <c r="DC628" s="1384">
        <f t="shared" si="15"/>
        <v>0</v>
      </c>
      <c r="DD628" s="1384"/>
      <c r="DE628" s="1384"/>
      <c r="DF628" s="1384"/>
      <c r="DG628" s="1384"/>
      <c r="DH628" s="1384">
        <f t="shared" si="16"/>
        <v>0</v>
      </c>
      <c r="DI628" s="1384"/>
      <c r="DJ628" s="1384"/>
      <c r="DK628" s="1384"/>
      <c r="DL628" s="1384"/>
      <c r="DM628" s="1384">
        <f t="shared" si="17"/>
        <v>0</v>
      </c>
      <c r="DN628" s="1384"/>
      <c r="DO628" s="1384"/>
      <c r="DP628" s="1384"/>
      <c r="DQ628" s="1384"/>
      <c r="DR628" s="1384">
        <f t="shared" si="18"/>
        <v>0</v>
      </c>
      <c r="DS628" s="1384"/>
      <c r="DT628" s="1384"/>
      <c r="DU628" s="1384"/>
      <c r="DV628" s="1384"/>
      <c r="DX628" s="1380" t="str">
        <f t="shared" si="19"/>
        <v/>
      </c>
      <c r="DY628" s="1381"/>
      <c r="DZ628" s="1381"/>
      <c r="EA628" s="1381"/>
      <c r="EB628" s="1382"/>
      <c r="EC628" s="1380" t="str">
        <f t="shared" si="20"/>
        <v/>
      </c>
      <c r="ED628" s="1381"/>
      <c r="EE628" s="1381"/>
      <c r="EF628" s="1381"/>
      <c r="EG628" s="1382"/>
      <c r="EH628" s="1380" t="str">
        <f t="shared" si="21"/>
        <v/>
      </c>
      <c r="EI628" s="1381"/>
      <c r="EJ628" s="1381"/>
      <c r="EK628" s="1381"/>
      <c r="EL628" s="1382"/>
      <c r="EM628" s="1380" t="str">
        <f t="shared" si="22"/>
        <v/>
      </c>
      <c r="EN628" s="1381"/>
      <c r="EO628" s="1381"/>
      <c r="EP628" s="1381"/>
      <c r="EQ628" s="1382"/>
      <c r="ER628" s="1380" t="str">
        <f t="shared" si="23"/>
        <v/>
      </c>
      <c r="ES628" s="1381"/>
      <c r="ET628" s="1381"/>
      <c r="EU628" s="1381"/>
      <c r="EV628" s="1382"/>
      <c r="EW628" s="1380" t="str">
        <f t="shared" si="24"/>
        <v/>
      </c>
      <c r="EX628" s="1381"/>
      <c r="EY628" s="1381"/>
      <c r="EZ628" s="1381"/>
      <c r="FA628" s="1382"/>
    </row>
    <row r="629" spans="2:157" ht="12.95" customHeight="1">
      <c r="B629" s="52" t="s">
        <v>119</v>
      </c>
      <c r="C629" s="1704" t="str">
        <f>C556</f>
        <v>County of Ventura General Funds</v>
      </c>
      <c r="D629" s="1704"/>
      <c r="E629" s="1704"/>
      <c r="F629" s="1704"/>
      <c r="G629" s="1704"/>
      <c r="H629" s="1704"/>
      <c r="I629" s="1704"/>
      <c r="J629" s="1704"/>
      <c r="K629" s="1704"/>
      <c r="L629" s="1704"/>
      <c r="M629" s="1706" t="s">
        <v>2435</v>
      </c>
      <c r="N629" s="1706"/>
      <c r="O629" s="1706"/>
      <c r="P629" s="1706"/>
      <c r="Q629" s="1707">
        <v>660</v>
      </c>
      <c r="R629" s="1563"/>
      <c r="S629" s="1708"/>
      <c r="T629" s="1707"/>
      <c r="U629" s="1563"/>
      <c r="V629" s="1708"/>
      <c r="W629" s="1578">
        <v>0.03</v>
      </c>
      <c r="X629" s="1579"/>
      <c r="Y629" s="1580"/>
      <c r="Z629" s="1506" t="s">
        <v>465</v>
      </c>
      <c r="AA629" s="1507"/>
      <c r="AB629" s="1508"/>
      <c r="AC629" s="1461"/>
      <c r="AD629" s="1462"/>
      <c r="AE629" s="1463"/>
      <c r="AF629" s="1575"/>
      <c r="AG629" s="1576"/>
      <c r="AH629" s="1576"/>
      <c r="AI629" s="1576"/>
      <c r="AJ629" s="1577"/>
      <c r="AK629" s="1718"/>
      <c r="AL629" s="1719"/>
      <c r="AM629" s="1719"/>
      <c r="AN629" s="1720"/>
      <c r="AO629" s="1571">
        <v>5500000</v>
      </c>
      <c r="AP629" s="1572"/>
      <c r="AQ629" s="1572"/>
      <c r="AR629" s="1572"/>
      <c r="AS629" s="1573"/>
      <c r="AT629" s="1192" t="str">
        <f t="shared" ref="AT629:AT638" si="25">IF(AND(NOT(C628=""),C629="",NOT(C630="")),"!","")</f>
        <v/>
      </c>
      <c r="AU629" s="3"/>
      <c r="AZ629" s="3"/>
      <c r="BA629" s="3"/>
      <c r="BB629" s="3"/>
      <c r="BC629" s="3"/>
      <c r="BD629" s="3"/>
      <c r="BE629" s="1380">
        <f t="shared" si="3"/>
        <v>0</v>
      </c>
      <c r="BF629" s="1382"/>
      <c r="BG629" s="1389">
        <f t="shared" si="4"/>
        <v>0</v>
      </c>
      <c r="BH629" s="1390"/>
      <c r="BI629" s="1380">
        <f t="shared" si="5"/>
        <v>0</v>
      </c>
      <c r="BJ629" s="1382"/>
      <c r="BK629" s="1389">
        <f t="shared" si="6"/>
        <v>0</v>
      </c>
      <c r="BL629" s="1390"/>
      <c r="BM629" s="3"/>
      <c r="BN629" s="1385">
        <f t="shared" si="7"/>
        <v>0</v>
      </c>
      <c r="BO629" s="1386"/>
      <c r="BP629" s="1386"/>
      <c r="BQ629" s="1386"/>
      <c r="BR629" s="1387"/>
      <c r="BS629" s="1388">
        <f t="shared" si="8"/>
        <v>0</v>
      </c>
      <c r="BT629" s="1388"/>
      <c r="BU629" s="1388"/>
      <c r="BV629" s="1388"/>
      <c r="BW629" s="1388"/>
      <c r="BX629" s="1388">
        <f t="shared" si="9"/>
        <v>0</v>
      </c>
      <c r="BY629" s="1388"/>
      <c r="BZ629" s="1388"/>
      <c r="CA629" s="1388"/>
      <c r="CB629" s="1388"/>
      <c r="CC629" s="1388">
        <f t="shared" si="10"/>
        <v>0</v>
      </c>
      <c r="CD629" s="1388"/>
      <c r="CE629" s="1388"/>
      <c r="CF629" s="1388"/>
      <c r="CG629" s="1388"/>
      <c r="CH629" s="1388">
        <f t="shared" si="11"/>
        <v>0</v>
      </c>
      <c r="CI629" s="1388"/>
      <c r="CJ629" s="1388"/>
      <c r="CK629" s="1388"/>
      <c r="CL629" s="1388"/>
      <c r="CM629" s="1388">
        <f t="shared" si="12"/>
        <v>0</v>
      </c>
      <c r="CN629" s="1388"/>
      <c r="CO629" s="1388"/>
      <c r="CP629" s="1388"/>
      <c r="CQ629" s="1388"/>
      <c r="CR629" s="6"/>
      <c r="CS629" s="1384">
        <f t="shared" si="13"/>
        <v>0</v>
      </c>
      <c r="CT629" s="1384"/>
      <c r="CU629" s="1384"/>
      <c r="CV629" s="1384"/>
      <c r="CW629" s="1384"/>
      <c r="CX629" s="1384">
        <f t="shared" si="14"/>
        <v>0</v>
      </c>
      <c r="CY629" s="1384"/>
      <c r="CZ629" s="1384"/>
      <c r="DA629" s="1384"/>
      <c r="DB629" s="1384"/>
      <c r="DC629" s="1384">
        <f t="shared" si="15"/>
        <v>0</v>
      </c>
      <c r="DD629" s="1384"/>
      <c r="DE629" s="1384"/>
      <c r="DF629" s="1384"/>
      <c r="DG629" s="1384"/>
      <c r="DH629" s="1384">
        <f t="shared" si="16"/>
        <v>0</v>
      </c>
      <c r="DI629" s="1384"/>
      <c r="DJ629" s="1384"/>
      <c r="DK629" s="1384"/>
      <c r="DL629" s="1384"/>
      <c r="DM629" s="1384">
        <f t="shared" si="17"/>
        <v>0</v>
      </c>
      <c r="DN629" s="1384"/>
      <c r="DO629" s="1384"/>
      <c r="DP629" s="1384"/>
      <c r="DQ629" s="1384"/>
      <c r="DR629" s="1384">
        <f t="shared" si="18"/>
        <v>0</v>
      </c>
      <c r="DS629" s="1384"/>
      <c r="DT629" s="1384"/>
      <c r="DU629" s="1384"/>
      <c r="DV629" s="1384"/>
      <c r="DX629" s="1380" t="str">
        <f t="shared" si="19"/>
        <v/>
      </c>
      <c r="DY629" s="1381"/>
      <c r="DZ629" s="1381"/>
      <c r="EA629" s="1381"/>
      <c r="EB629" s="1382"/>
      <c r="EC629" s="1380" t="str">
        <f t="shared" si="20"/>
        <v/>
      </c>
      <c r="ED629" s="1381"/>
      <c r="EE629" s="1381"/>
      <c r="EF629" s="1381"/>
      <c r="EG629" s="1382"/>
      <c r="EH629" s="1380" t="str">
        <f t="shared" si="21"/>
        <v/>
      </c>
      <c r="EI629" s="1381"/>
      <c r="EJ629" s="1381"/>
      <c r="EK629" s="1381"/>
      <c r="EL629" s="1382"/>
      <c r="EM629" s="1380" t="str">
        <f t="shared" si="22"/>
        <v/>
      </c>
      <c r="EN629" s="1381"/>
      <c r="EO629" s="1381"/>
      <c r="EP629" s="1381"/>
      <c r="EQ629" s="1382"/>
      <c r="ER629" s="1380" t="str">
        <f t="shared" si="23"/>
        <v/>
      </c>
      <c r="ES629" s="1381"/>
      <c r="ET629" s="1381"/>
      <c r="EU629" s="1381"/>
      <c r="EV629" s="1382"/>
      <c r="EW629" s="1380" t="str">
        <f t="shared" si="24"/>
        <v/>
      </c>
      <c r="EX629" s="1381"/>
      <c r="EY629" s="1381"/>
      <c r="EZ629" s="1381"/>
      <c r="FA629" s="1382"/>
    </row>
    <row r="630" spans="2:157" ht="12.95" customHeight="1">
      <c r="B630" s="52" t="s">
        <v>589</v>
      </c>
      <c r="C630" s="1704" t="str">
        <f t="shared" ref="C630:C633" si="26">C557</f>
        <v>HACSB Development Loan</v>
      </c>
      <c r="D630" s="1705"/>
      <c r="E630" s="1705"/>
      <c r="F630" s="1705"/>
      <c r="G630" s="1705"/>
      <c r="H630" s="1705"/>
      <c r="I630" s="1705"/>
      <c r="J630" s="1705"/>
      <c r="K630" s="1705"/>
      <c r="L630" s="1705"/>
      <c r="M630" s="1706" t="s">
        <v>2435</v>
      </c>
      <c r="N630" s="1706"/>
      <c r="O630" s="1706"/>
      <c r="P630" s="1706"/>
      <c r="Q630" s="1707">
        <v>660</v>
      </c>
      <c r="R630" s="1563"/>
      <c r="S630" s="1708"/>
      <c r="T630" s="1707"/>
      <c r="U630" s="1563"/>
      <c r="V630" s="1708"/>
      <c r="W630" s="1578">
        <v>0.03</v>
      </c>
      <c r="X630" s="1579"/>
      <c r="Y630" s="1580"/>
      <c r="Z630" s="1506" t="s">
        <v>465</v>
      </c>
      <c r="AA630" s="1507"/>
      <c r="AB630" s="1508"/>
      <c r="AC630" s="1461"/>
      <c r="AD630" s="1462"/>
      <c r="AE630" s="1463"/>
      <c r="AF630" s="1575"/>
      <c r="AG630" s="1576"/>
      <c r="AH630" s="1576"/>
      <c r="AI630" s="1576"/>
      <c r="AJ630" s="1577"/>
      <c r="AK630" s="1718"/>
      <c r="AL630" s="1719"/>
      <c r="AM630" s="1719"/>
      <c r="AN630" s="1720"/>
      <c r="AO630" s="1571">
        <v>1000000</v>
      </c>
      <c r="AP630" s="1572"/>
      <c r="AQ630" s="1572"/>
      <c r="AR630" s="1572"/>
      <c r="AS630" s="1573"/>
      <c r="AT630" s="1192" t="str">
        <f t="shared" si="25"/>
        <v/>
      </c>
      <c r="AU630" s="3"/>
      <c r="AZ630" s="3"/>
      <c r="BA630" s="3"/>
      <c r="BB630" s="3"/>
      <c r="BC630" s="3"/>
      <c r="BD630" s="3"/>
      <c r="BE630" s="1380">
        <f t="shared" si="3"/>
        <v>0</v>
      </c>
      <c r="BF630" s="1382"/>
      <c r="BG630" s="1389">
        <f t="shared" si="4"/>
        <v>0</v>
      </c>
      <c r="BH630" s="1390"/>
      <c r="BI630" s="1380">
        <f t="shared" si="5"/>
        <v>0</v>
      </c>
      <c r="BJ630" s="1382"/>
      <c r="BK630" s="1389">
        <f t="shared" si="6"/>
        <v>0</v>
      </c>
      <c r="BL630" s="1390"/>
      <c r="BM630" s="3"/>
      <c r="BN630" s="1385">
        <f t="shared" si="7"/>
        <v>0</v>
      </c>
      <c r="BO630" s="1386"/>
      <c r="BP630" s="1386"/>
      <c r="BQ630" s="1386"/>
      <c r="BR630" s="1387"/>
      <c r="BS630" s="1388">
        <f t="shared" si="8"/>
        <v>0</v>
      </c>
      <c r="BT630" s="1388"/>
      <c r="BU630" s="1388"/>
      <c r="BV630" s="1388"/>
      <c r="BW630" s="1388"/>
      <c r="BX630" s="1388">
        <f t="shared" si="9"/>
        <v>0</v>
      </c>
      <c r="BY630" s="1388"/>
      <c r="BZ630" s="1388"/>
      <c r="CA630" s="1388"/>
      <c r="CB630" s="1388"/>
      <c r="CC630" s="1388">
        <f t="shared" si="10"/>
        <v>0</v>
      </c>
      <c r="CD630" s="1388"/>
      <c r="CE630" s="1388"/>
      <c r="CF630" s="1388"/>
      <c r="CG630" s="1388"/>
      <c r="CH630" s="1388">
        <f t="shared" si="11"/>
        <v>0</v>
      </c>
      <c r="CI630" s="1388"/>
      <c r="CJ630" s="1388"/>
      <c r="CK630" s="1388"/>
      <c r="CL630" s="1388"/>
      <c r="CM630" s="1388">
        <f t="shared" si="12"/>
        <v>0</v>
      </c>
      <c r="CN630" s="1388"/>
      <c r="CO630" s="1388"/>
      <c r="CP630" s="1388"/>
      <c r="CQ630" s="1388"/>
      <c r="CR630" s="6"/>
      <c r="CS630" s="1384">
        <f t="shared" si="13"/>
        <v>0</v>
      </c>
      <c r="CT630" s="1384"/>
      <c r="CU630" s="1384"/>
      <c r="CV630" s="1384"/>
      <c r="CW630" s="1384"/>
      <c r="CX630" s="1384">
        <f t="shared" si="14"/>
        <v>0</v>
      </c>
      <c r="CY630" s="1384"/>
      <c r="CZ630" s="1384"/>
      <c r="DA630" s="1384"/>
      <c r="DB630" s="1384"/>
      <c r="DC630" s="1384">
        <f t="shared" si="15"/>
        <v>0</v>
      </c>
      <c r="DD630" s="1384"/>
      <c r="DE630" s="1384"/>
      <c r="DF630" s="1384"/>
      <c r="DG630" s="1384"/>
      <c r="DH630" s="1384">
        <f t="shared" si="16"/>
        <v>0</v>
      </c>
      <c r="DI630" s="1384"/>
      <c r="DJ630" s="1384"/>
      <c r="DK630" s="1384"/>
      <c r="DL630" s="1384"/>
      <c r="DM630" s="1384">
        <f t="shared" si="17"/>
        <v>0</v>
      </c>
      <c r="DN630" s="1384"/>
      <c r="DO630" s="1384"/>
      <c r="DP630" s="1384"/>
      <c r="DQ630" s="1384"/>
      <c r="DR630" s="1384">
        <f t="shared" si="18"/>
        <v>0</v>
      </c>
      <c r="DS630" s="1384"/>
      <c r="DT630" s="1384"/>
      <c r="DU630" s="1384"/>
      <c r="DV630" s="1384"/>
      <c r="DX630" s="1380" t="str">
        <f t="shared" si="19"/>
        <v/>
      </c>
      <c r="DY630" s="1381"/>
      <c r="DZ630" s="1381"/>
      <c r="EA630" s="1381"/>
      <c r="EB630" s="1382"/>
      <c r="EC630" s="1380" t="str">
        <f t="shared" si="20"/>
        <v/>
      </c>
      <c r="ED630" s="1381"/>
      <c r="EE630" s="1381"/>
      <c r="EF630" s="1381"/>
      <c r="EG630" s="1382"/>
      <c r="EH630" s="1380" t="str">
        <f t="shared" si="21"/>
        <v/>
      </c>
      <c r="EI630" s="1381"/>
      <c r="EJ630" s="1381"/>
      <c r="EK630" s="1381"/>
      <c r="EL630" s="1382"/>
      <c r="EM630" s="1380" t="str">
        <f t="shared" si="22"/>
        <v/>
      </c>
      <c r="EN630" s="1381"/>
      <c r="EO630" s="1381"/>
      <c r="EP630" s="1381"/>
      <c r="EQ630" s="1382"/>
      <c r="ER630" s="1380" t="str">
        <f t="shared" si="23"/>
        <v/>
      </c>
      <c r="ES630" s="1381"/>
      <c r="ET630" s="1381"/>
      <c r="EU630" s="1381"/>
      <c r="EV630" s="1382"/>
      <c r="EW630" s="1380" t="str">
        <f t="shared" si="24"/>
        <v/>
      </c>
      <c r="EX630" s="1381"/>
      <c r="EY630" s="1381"/>
      <c r="EZ630" s="1381"/>
      <c r="FA630" s="1382"/>
    </row>
    <row r="631" spans="2:157" ht="12.95" customHeight="1">
      <c r="B631" s="52" t="s">
        <v>772</v>
      </c>
      <c r="C631" s="1705" t="str">
        <f t="shared" si="26"/>
        <v>Project Homekey COSR</v>
      </c>
      <c r="D631" s="1705"/>
      <c r="E631" s="1705"/>
      <c r="F631" s="1705"/>
      <c r="G631" s="1705"/>
      <c r="H631" s="1705"/>
      <c r="I631" s="1705"/>
      <c r="J631" s="1705"/>
      <c r="K631" s="1705"/>
      <c r="L631" s="1705"/>
      <c r="M631" s="1706" t="s">
        <v>2435</v>
      </c>
      <c r="N631" s="1706"/>
      <c r="O631" s="1706"/>
      <c r="P631" s="1706"/>
      <c r="Q631" s="1707">
        <v>660</v>
      </c>
      <c r="R631" s="1563"/>
      <c r="S631" s="1708"/>
      <c r="T631" s="1707"/>
      <c r="U631" s="1563"/>
      <c r="V631" s="1708"/>
      <c r="W631" s="1578">
        <v>0</v>
      </c>
      <c r="X631" s="1579"/>
      <c r="Y631" s="1580"/>
      <c r="Z631" s="1506" t="s">
        <v>1290</v>
      </c>
      <c r="AA631" s="1507"/>
      <c r="AB631" s="1508"/>
      <c r="AC631" s="1461"/>
      <c r="AD631" s="1462"/>
      <c r="AE631" s="1463"/>
      <c r="AF631" s="1575"/>
      <c r="AG631" s="1576"/>
      <c r="AH631" s="1576"/>
      <c r="AI631" s="1576"/>
      <c r="AJ631" s="1577"/>
      <c r="AK631" s="1718"/>
      <c r="AL631" s="1719"/>
      <c r="AM631" s="1719"/>
      <c r="AN631" s="1720"/>
      <c r="AO631" s="1571">
        <v>1418427</v>
      </c>
      <c r="AP631" s="1572"/>
      <c r="AQ631" s="1572"/>
      <c r="AR631" s="1572"/>
      <c r="AS631" s="1573"/>
      <c r="AT631" s="1192" t="str">
        <f t="shared" si="25"/>
        <v/>
      </c>
      <c r="AU631" s="3"/>
      <c r="AZ631" s="3"/>
      <c r="BA631" s="3"/>
      <c r="BB631" s="3"/>
      <c r="BC631" s="3"/>
      <c r="BD631" s="3"/>
      <c r="BE631" s="1380">
        <f t="shared" si="3"/>
        <v>0</v>
      </c>
      <c r="BF631" s="1382"/>
      <c r="BG631" s="1389">
        <f t="shared" si="4"/>
        <v>0</v>
      </c>
      <c r="BH631" s="1390"/>
      <c r="BI631" s="1380">
        <f t="shared" si="5"/>
        <v>0</v>
      </c>
      <c r="BJ631" s="1382"/>
      <c r="BK631" s="1389">
        <f t="shared" si="6"/>
        <v>0</v>
      </c>
      <c r="BL631" s="1390"/>
      <c r="BM631" s="3"/>
      <c r="BN631" s="1385">
        <f t="shared" si="7"/>
        <v>0</v>
      </c>
      <c r="BO631" s="1386"/>
      <c r="BP631" s="1386"/>
      <c r="BQ631" s="1386"/>
      <c r="BR631" s="1387"/>
      <c r="BS631" s="1388">
        <f t="shared" si="8"/>
        <v>0</v>
      </c>
      <c r="BT631" s="1388"/>
      <c r="BU631" s="1388"/>
      <c r="BV631" s="1388"/>
      <c r="BW631" s="1388"/>
      <c r="BX631" s="1388">
        <f t="shared" si="9"/>
        <v>0</v>
      </c>
      <c r="BY631" s="1388"/>
      <c r="BZ631" s="1388"/>
      <c r="CA631" s="1388"/>
      <c r="CB631" s="1388"/>
      <c r="CC631" s="1388">
        <f t="shared" si="10"/>
        <v>0</v>
      </c>
      <c r="CD631" s="1388"/>
      <c r="CE631" s="1388"/>
      <c r="CF631" s="1388"/>
      <c r="CG631" s="1388"/>
      <c r="CH631" s="1388">
        <f t="shared" si="11"/>
        <v>0</v>
      </c>
      <c r="CI631" s="1388"/>
      <c r="CJ631" s="1388"/>
      <c r="CK631" s="1388"/>
      <c r="CL631" s="1388"/>
      <c r="CM631" s="1388">
        <f t="shared" si="12"/>
        <v>0</v>
      </c>
      <c r="CN631" s="1388"/>
      <c r="CO631" s="1388"/>
      <c r="CP631" s="1388"/>
      <c r="CQ631" s="1388"/>
      <c r="CR631" s="6"/>
      <c r="CS631" s="1384">
        <f t="shared" si="13"/>
        <v>0</v>
      </c>
      <c r="CT631" s="1384"/>
      <c r="CU631" s="1384"/>
      <c r="CV631" s="1384"/>
      <c r="CW631" s="1384"/>
      <c r="CX631" s="1384">
        <f t="shared" si="14"/>
        <v>0</v>
      </c>
      <c r="CY631" s="1384"/>
      <c r="CZ631" s="1384"/>
      <c r="DA631" s="1384"/>
      <c r="DB631" s="1384"/>
      <c r="DC631" s="1384">
        <f t="shared" si="15"/>
        <v>0</v>
      </c>
      <c r="DD631" s="1384"/>
      <c r="DE631" s="1384"/>
      <c r="DF631" s="1384"/>
      <c r="DG631" s="1384"/>
      <c r="DH631" s="1384">
        <f t="shared" si="16"/>
        <v>0</v>
      </c>
      <c r="DI631" s="1384"/>
      <c r="DJ631" s="1384"/>
      <c r="DK631" s="1384"/>
      <c r="DL631" s="1384"/>
      <c r="DM631" s="1384">
        <f t="shared" si="17"/>
        <v>0</v>
      </c>
      <c r="DN631" s="1384"/>
      <c r="DO631" s="1384"/>
      <c r="DP631" s="1384"/>
      <c r="DQ631" s="1384"/>
      <c r="DR631" s="1384">
        <f t="shared" si="18"/>
        <v>0</v>
      </c>
      <c r="DS631" s="1384"/>
      <c r="DT631" s="1384"/>
      <c r="DU631" s="1384"/>
      <c r="DV631" s="1384"/>
      <c r="DX631" s="1380" t="str">
        <f t="shared" si="19"/>
        <v/>
      </c>
      <c r="DY631" s="1381"/>
      <c r="DZ631" s="1381"/>
      <c r="EA631" s="1381"/>
      <c r="EB631" s="1382"/>
      <c r="EC631" s="1380" t="str">
        <f t="shared" si="20"/>
        <v/>
      </c>
      <c r="ED631" s="1381"/>
      <c r="EE631" s="1381"/>
      <c r="EF631" s="1381"/>
      <c r="EG631" s="1382"/>
      <c r="EH631" s="1380" t="str">
        <f t="shared" si="21"/>
        <v/>
      </c>
      <c r="EI631" s="1381"/>
      <c r="EJ631" s="1381"/>
      <c r="EK631" s="1381"/>
      <c r="EL631" s="1382"/>
      <c r="EM631" s="1380" t="str">
        <f t="shared" si="22"/>
        <v/>
      </c>
      <c r="EN631" s="1381"/>
      <c r="EO631" s="1381"/>
      <c r="EP631" s="1381"/>
      <c r="EQ631" s="1382"/>
      <c r="ER631" s="1380" t="str">
        <f t="shared" si="23"/>
        <v/>
      </c>
      <c r="ES631" s="1381"/>
      <c r="ET631" s="1381"/>
      <c r="EU631" s="1381"/>
      <c r="EV631" s="1382"/>
      <c r="EW631" s="1380" t="str">
        <f t="shared" si="24"/>
        <v/>
      </c>
      <c r="EX631" s="1381"/>
      <c r="EY631" s="1381"/>
      <c r="EZ631" s="1381"/>
      <c r="FA631" s="1382"/>
    </row>
    <row r="632" spans="2:157" ht="12.95" customHeight="1">
      <c r="B632" s="52" t="s">
        <v>592</v>
      </c>
      <c r="C632" s="1705" t="str">
        <f t="shared" si="26"/>
        <v>City of Ventura PLHA</v>
      </c>
      <c r="D632" s="1705"/>
      <c r="E632" s="1705"/>
      <c r="F632" s="1705"/>
      <c r="G632" s="1705"/>
      <c r="H632" s="1705"/>
      <c r="I632" s="1705"/>
      <c r="J632" s="1705"/>
      <c r="K632" s="1705"/>
      <c r="L632" s="1705"/>
      <c r="M632" s="1706" t="s">
        <v>2435</v>
      </c>
      <c r="N632" s="1706"/>
      <c r="O632" s="1706"/>
      <c r="P632" s="1706"/>
      <c r="Q632" s="1707">
        <v>660</v>
      </c>
      <c r="R632" s="1563"/>
      <c r="S632" s="1708"/>
      <c r="T632" s="1707"/>
      <c r="U632" s="1563"/>
      <c r="V632" s="1708"/>
      <c r="W632" s="1578">
        <v>0.03</v>
      </c>
      <c r="X632" s="1579"/>
      <c r="Y632" s="1580"/>
      <c r="Z632" s="1506" t="s">
        <v>465</v>
      </c>
      <c r="AA632" s="1507"/>
      <c r="AB632" s="1508"/>
      <c r="AC632" s="1461"/>
      <c r="AD632" s="1462"/>
      <c r="AE632" s="1463"/>
      <c r="AF632" s="1575"/>
      <c r="AG632" s="1576"/>
      <c r="AH632" s="1576"/>
      <c r="AI632" s="1576"/>
      <c r="AJ632" s="1577"/>
      <c r="AK632" s="1718"/>
      <c r="AL632" s="1719"/>
      <c r="AM632" s="1719"/>
      <c r="AN632" s="1720"/>
      <c r="AO632" s="1571">
        <v>1739292</v>
      </c>
      <c r="AP632" s="1572"/>
      <c r="AQ632" s="1572"/>
      <c r="AR632" s="1572"/>
      <c r="AS632" s="1573"/>
      <c r="AT632" s="1192" t="str">
        <f t="shared" si="25"/>
        <v/>
      </c>
      <c r="AU632" s="3"/>
      <c r="AZ632" s="3"/>
      <c r="BA632" s="3"/>
      <c r="BB632" s="3"/>
      <c r="BC632" s="3"/>
      <c r="BD632" s="3"/>
      <c r="BE632" s="3"/>
      <c r="BF632" s="3"/>
      <c r="BG632" s="1380">
        <f>SUM(BG597:BH631)</f>
        <v>37</v>
      </c>
      <c r="BH632" s="1382"/>
      <c r="BI632" s="3"/>
      <c r="BJ632" s="3"/>
      <c r="BK632" s="1380">
        <f>SUM(BK597:BL631)</f>
        <v>97</v>
      </c>
      <c r="BL632" s="1382"/>
      <c r="BM632" s="3"/>
      <c r="BN632" s="1380">
        <f>SUM(BN597:BR631)</f>
        <v>133</v>
      </c>
      <c r="BO632" s="1381"/>
      <c r="BP632" s="1381"/>
      <c r="BQ632" s="1381"/>
      <c r="BR632" s="1382"/>
      <c r="BS632" s="1383">
        <f>SUM(BS597:BW631)</f>
        <v>1</v>
      </c>
      <c r="BT632" s="1383"/>
      <c r="BU632" s="1383"/>
      <c r="BV632" s="1383"/>
      <c r="BW632" s="1383"/>
      <c r="BX632" s="1383">
        <f>SUM(BX597:CB631)</f>
        <v>0</v>
      </c>
      <c r="BY632" s="1383"/>
      <c r="BZ632" s="1383"/>
      <c r="CA632" s="1383"/>
      <c r="CB632" s="1383"/>
      <c r="CC632" s="1383">
        <f>SUM(CC597:CG631)</f>
        <v>0</v>
      </c>
      <c r="CD632" s="1383"/>
      <c r="CE632" s="1383"/>
      <c r="CF632" s="1383"/>
      <c r="CG632" s="1383"/>
      <c r="CH632" s="1383">
        <f>SUM(CH597:CL631)</f>
        <v>0</v>
      </c>
      <c r="CI632" s="1383"/>
      <c r="CJ632" s="1383"/>
      <c r="CK632" s="1383"/>
      <c r="CL632" s="1383"/>
      <c r="CM632" s="1383">
        <f>SUM(CM597:CQ631)</f>
        <v>0</v>
      </c>
      <c r="CN632" s="1383"/>
      <c r="CO632" s="1383"/>
      <c r="CP632" s="1383"/>
      <c r="CQ632" s="1383"/>
      <c r="CR632" s="385"/>
      <c r="CS632" s="1383">
        <f>SUM(CS597:CW631)</f>
        <v>96</v>
      </c>
      <c r="CT632" s="1383"/>
      <c r="CU632" s="1383"/>
      <c r="CV632" s="1383"/>
      <c r="CW632" s="1383"/>
      <c r="CX632" s="1383">
        <f>SUM(CX597:DB631)</f>
        <v>1</v>
      </c>
      <c r="CY632" s="1383"/>
      <c r="CZ632" s="1383"/>
      <c r="DA632" s="1383"/>
      <c r="DB632" s="1383"/>
      <c r="DC632" s="1383">
        <f>SUM(DC597:DG631)</f>
        <v>0</v>
      </c>
      <c r="DD632" s="1383"/>
      <c r="DE632" s="1383"/>
      <c r="DF632" s="1383"/>
      <c r="DG632" s="1383"/>
      <c r="DH632" s="1383">
        <f>SUM(DH597:DL631)</f>
        <v>0</v>
      </c>
      <c r="DI632" s="1383"/>
      <c r="DJ632" s="1383"/>
      <c r="DK632" s="1383"/>
      <c r="DL632" s="1383"/>
      <c r="DM632" s="1383">
        <f>SUM(DM597:DQ631)</f>
        <v>0</v>
      </c>
      <c r="DN632" s="1383"/>
      <c r="DO632" s="1383"/>
      <c r="DP632" s="1383"/>
      <c r="DQ632" s="1383"/>
      <c r="DR632" s="1383">
        <f>SUM(DR597:DV631)</f>
        <v>0</v>
      </c>
      <c r="DS632" s="1383"/>
      <c r="DT632" s="1383"/>
      <c r="DU632" s="1383"/>
      <c r="DV632" s="1383"/>
      <c r="DX632" s="1383">
        <f>SUM(DX597:EB631)</f>
        <v>4572.6000000000004</v>
      </c>
      <c r="DY632" s="1383"/>
      <c r="DZ632" s="1383"/>
      <c r="EA632" s="1383"/>
      <c r="EB632" s="1383"/>
      <c r="EC632" s="1383">
        <f>SUM(EC597:EG631)</f>
        <v>747</v>
      </c>
      <c r="ED632" s="1383"/>
      <c r="EE632" s="1383"/>
      <c r="EF632" s="1383"/>
      <c r="EG632" s="1383"/>
      <c r="EH632" s="1383">
        <f>SUM(EH597:EL631)</f>
        <v>0</v>
      </c>
      <c r="EI632" s="1383"/>
      <c r="EJ632" s="1383"/>
      <c r="EK632" s="1383"/>
      <c r="EL632" s="1383"/>
      <c r="EM632" s="1383">
        <f>SUM(EM597:EQ631)</f>
        <v>0</v>
      </c>
      <c r="EN632" s="1383"/>
      <c r="EO632" s="1383"/>
      <c r="EP632" s="1383"/>
      <c r="EQ632" s="1383"/>
      <c r="ER632" s="1383">
        <f>SUM(ER597:EV631)</f>
        <v>0</v>
      </c>
      <c r="ES632" s="1383"/>
      <c r="ET632" s="1383"/>
      <c r="EU632" s="1383"/>
      <c r="EV632" s="1383"/>
      <c r="EW632" s="1383">
        <f>SUM(EW597:FA631)</f>
        <v>0</v>
      </c>
      <c r="EX632" s="1383"/>
      <c r="EY632" s="1383"/>
      <c r="EZ632" s="1383"/>
      <c r="FA632" s="1383"/>
    </row>
    <row r="633" spans="2:157" ht="12.95" customHeight="1">
      <c r="B633" s="52" t="s">
        <v>463</v>
      </c>
      <c r="C633" s="1705" t="str">
        <f t="shared" si="26"/>
        <v>HACSB Loan</v>
      </c>
      <c r="D633" s="1705"/>
      <c r="E633" s="1705"/>
      <c r="F633" s="1705"/>
      <c r="G633" s="1705"/>
      <c r="H633" s="1705"/>
      <c r="I633" s="1705"/>
      <c r="J633" s="1705"/>
      <c r="K633" s="1705"/>
      <c r="L633" s="1705"/>
      <c r="M633" s="1706" t="s">
        <v>2435</v>
      </c>
      <c r="N633" s="1706"/>
      <c r="O633" s="1706"/>
      <c r="P633" s="1706"/>
      <c r="Q633" s="1707">
        <v>660</v>
      </c>
      <c r="R633" s="1563"/>
      <c r="S633" s="1708"/>
      <c r="T633" s="1707"/>
      <c r="U633" s="1563"/>
      <c r="V633" s="1708"/>
      <c r="W633" s="1578">
        <v>4.4499999999999998E-2</v>
      </c>
      <c r="X633" s="1579"/>
      <c r="Y633" s="1580"/>
      <c r="Z633" s="1506" t="s">
        <v>465</v>
      </c>
      <c r="AA633" s="1507"/>
      <c r="AB633" s="1508"/>
      <c r="AC633" s="1461"/>
      <c r="AD633" s="1462"/>
      <c r="AE633" s="1463"/>
      <c r="AF633" s="1575"/>
      <c r="AG633" s="1576"/>
      <c r="AH633" s="1576"/>
      <c r="AI633" s="1576"/>
      <c r="AJ633" s="1577"/>
      <c r="AK633" s="1718"/>
      <c r="AL633" s="1719"/>
      <c r="AM633" s="1719"/>
      <c r="AN633" s="1720"/>
      <c r="AO633" s="1571">
        <v>1369513</v>
      </c>
      <c r="AP633" s="1572"/>
      <c r="AQ633" s="1572"/>
      <c r="AR633" s="1572"/>
      <c r="AS633" s="1573"/>
      <c r="AT633" s="1192" t="str">
        <f t="shared" si="25"/>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0">
        <f>BN632+BS632+BX632+CC632+CH632+CM632</f>
        <v>134</v>
      </c>
      <c r="CN633" s="1381"/>
      <c r="CO633" s="1381"/>
      <c r="CP633" s="1381"/>
      <c r="CQ633" s="1382"/>
      <c r="CR633" s="385"/>
      <c r="CS633" s="3"/>
      <c r="CT633" s="3"/>
      <c r="CU633" s="3"/>
      <c r="CV633" s="3"/>
      <c r="CW633" s="3"/>
      <c r="CX633" s="3"/>
      <c r="CY633" s="3"/>
      <c r="CZ633" s="3"/>
      <c r="DA633" s="3"/>
      <c r="DB633" s="3"/>
      <c r="DC633" s="3"/>
      <c r="DD633" s="3"/>
      <c r="DE633" s="3"/>
      <c r="DF633" s="3"/>
    </row>
    <row r="634" spans="2:157" ht="12.95" customHeight="1">
      <c r="B634" s="52" t="s">
        <v>464</v>
      </c>
      <c r="C634" s="1704" t="s">
        <v>1851</v>
      </c>
      <c r="D634" s="1705"/>
      <c r="E634" s="1705"/>
      <c r="F634" s="1705"/>
      <c r="G634" s="1705"/>
      <c r="H634" s="1705"/>
      <c r="I634" s="1705"/>
      <c r="J634" s="1705"/>
      <c r="K634" s="1705"/>
      <c r="L634" s="1705"/>
      <c r="M634" s="1706" t="s">
        <v>2426</v>
      </c>
      <c r="N634" s="1706"/>
      <c r="O634" s="1706"/>
      <c r="P634" s="1706"/>
      <c r="Q634" s="1707">
        <v>660</v>
      </c>
      <c r="R634" s="1563"/>
      <c r="S634" s="1708"/>
      <c r="T634" s="1707"/>
      <c r="U634" s="1563"/>
      <c r="V634" s="1708"/>
      <c r="W634" s="1578"/>
      <c r="X634" s="1579"/>
      <c r="Y634" s="1580"/>
      <c r="Z634" s="1506" t="s">
        <v>1290</v>
      </c>
      <c r="AA634" s="1507"/>
      <c r="AB634" s="1508"/>
      <c r="AC634" s="1461"/>
      <c r="AD634" s="1462"/>
      <c r="AE634" s="1463"/>
      <c r="AF634" s="1575"/>
      <c r="AG634" s="1576"/>
      <c r="AH634" s="1576"/>
      <c r="AI634" s="1576"/>
      <c r="AJ634" s="1577"/>
      <c r="AK634" s="1718"/>
      <c r="AL634" s="1719"/>
      <c r="AM634" s="1719"/>
      <c r="AN634" s="1720"/>
      <c r="AO634" s="1571">
        <v>6868384</v>
      </c>
      <c r="AP634" s="1572"/>
      <c r="AQ634" s="1572"/>
      <c r="AR634" s="1572"/>
      <c r="AS634" s="1573"/>
      <c r="AT634" s="1192" t="str">
        <f t="shared" si="25"/>
        <v/>
      </c>
      <c r="AU634" s="3"/>
      <c r="AV634" s="3"/>
      <c r="AW634" s="3"/>
      <c r="AX634" s="3"/>
      <c r="AY634" s="3"/>
      <c r="AZ634" s="3"/>
      <c r="BA634" s="3" t="s">
        <v>1290</v>
      </c>
      <c r="BB634" s="3"/>
      <c r="BC634" s="3"/>
      <c r="BD634" s="3"/>
      <c r="BE634" s="3"/>
      <c r="BF634" s="3"/>
      <c r="BG634" s="3"/>
      <c r="BH634" s="3"/>
      <c r="BI634" s="3"/>
      <c r="BJ634" s="3"/>
      <c r="BK634" s="3"/>
      <c r="BL634" s="3"/>
      <c r="BM634" s="3"/>
      <c r="BR634" s="895">
        <f>BN632*1</f>
        <v>133</v>
      </c>
      <c r="BS634" s="3"/>
      <c r="BT634" s="3"/>
      <c r="BU634" s="3"/>
      <c r="BV634" s="3"/>
      <c r="BW634" s="895">
        <f>BS632*1</f>
        <v>1</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134</v>
      </c>
      <c r="CT634" s="57" t="s">
        <v>2054</v>
      </c>
      <c r="CU634" s="3"/>
      <c r="CV634" s="3"/>
      <c r="CW634" s="3"/>
      <c r="CX634" s="3"/>
      <c r="CY634" s="3"/>
      <c r="CZ634" s="3"/>
      <c r="DA634" s="3"/>
      <c r="DB634" s="3"/>
      <c r="DC634" s="3"/>
      <c r="DD634" s="3"/>
      <c r="DE634" s="3"/>
      <c r="DF634" s="3"/>
    </row>
    <row r="635" spans="2:157" ht="12.95" customHeight="1">
      <c r="B635" s="52" t="s">
        <v>469</v>
      </c>
      <c r="C635" s="1705" t="str">
        <f>C561</f>
        <v>Accrued/Deferred interest</v>
      </c>
      <c r="D635" s="1705"/>
      <c r="E635" s="1705"/>
      <c r="F635" s="1705"/>
      <c r="G635" s="1705"/>
      <c r="H635" s="1705"/>
      <c r="I635" s="1705"/>
      <c r="J635" s="1705"/>
      <c r="K635" s="1705"/>
      <c r="L635" s="1705"/>
      <c r="M635" s="1706" t="s">
        <v>2424</v>
      </c>
      <c r="N635" s="1706"/>
      <c r="O635" s="1706"/>
      <c r="P635" s="1706"/>
      <c r="Q635" s="1707">
        <v>660</v>
      </c>
      <c r="R635" s="1563"/>
      <c r="S635" s="1708"/>
      <c r="T635" s="1707"/>
      <c r="U635" s="1563"/>
      <c r="V635" s="1708"/>
      <c r="W635" s="1578"/>
      <c r="X635" s="1579"/>
      <c r="Y635" s="1580"/>
      <c r="Z635" s="1506" t="s">
        <v>1290</v>
      </c>
      <c r="AA635" s="1507"/>
      <c r="AB635" s="1508"/>
      <c r="AC635" s="1461"/>
      <c r="AD635" s="1462"/>
      <c r="AE635" s="1463"/>
      <c r="AF635" s="1575"/>
      <c r="AG635" s="1576"/>
      <c r="AH635" s="1576"/>
      <c r="AI635" s="1576"/>
      <c r="AJ635" s="1577"/>
      <c r="AK635" s="1718"/>
      <c r="AL635" s="1719"/>
      <c r="AM635" s="1719"/>
      <c r="AN635" s="1720"/>
      <c r="AO635" s="1571">
        <f>AM561</f>
        <v>1948170</v>
      </c>
      <c r="AP635" s="1572"/>
      <c r="AQ635" s="1572"/>
      <c r="AR635" s="1572"/>
      <c r="AS635" s="1573"/>
      <c r="AT635" s="1192" t="str">
        <f t="shared" si="25"/>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4">
        <f>DX597*(BN597/$BN$632)</f>
        <v>297.05263157894734</v>
      </c>
      <c r="DY635" s="1364"/>
      <c r="DZ635" s="1364"/>
      <c r="EA635" s="1364"/>
      <c r="EB635" s="1364"/>
      <c r="EC635" s="1364" t="e">
        <f t="shared" ref="EC635:EC657" si="27">EC597*(BS597/$BS$632)</f>
        <v>#VALUE!</v>
      </c>
      <c r="ED635" s="1364"/>
      <c r="EE635" s="1364"/>
      <c r="EF635" s="1364"/>
      <c r="EG635" s="1364"/>
      <c r="EH635" s="1364" t="e">
        <f t="shared" ref="EH635:EH657" si="28">EH597*(BX597/$BX$632)</f>
        <v>#VALUE!</v>
      </c>
      <c r="EI635" s="1364"/>
      <c r="EJ635" s="1364"/>
      <c r="EK635" s="1364"/>
      <c r="EL635" s="1364"/>
      <c r="EM635" s="1364" t="e">
        <f t="shared" ref="EM635:EM657" si="29">EM597*(CC597/$CC$632)</f>
        <v>#VALUE!</v>
      </c>
      <c r="EN635" s="1364"/>
      <c r="EO635" s="1364"/>
      <c r="EP635" s="1364"/>
      <c r="EQ635" s="1364"/>
      <c r="ER635" s="1364" t="e">
        <f t="shared" ref="ER635:ER657" si="30">ER597*(CH597/$CH$632)</f>
        <v>#VALUE!</v>
      </c>
      <c r="ES635" s="1364"/>
      <c r="ET635" s="1364"/>
      <c r="EU635" s="1364"/>
      <c r="EV635" s="1364"/>
      <c r="EW635" s="1364" t="e">
        <f t="shared" ref="EW635:EW657" si="31">EW597*(CM597/$CM$632)</f>
        <v>#VALUE!</v>
      </c>
      <c r="EX635" s="1364"/>
      <c r="EY635" s="1364"/>
      <c r="EZ635" s="1364"/>
      <c r="FA635" s="1364"/>
    </row>
    <row r="636" spans="2:157" ht="12.95" customHeight="1">
      <c r="B636" s="52" t="s">
        <v>654</v>
      </c>
      <c r="C636" s="1704" t="s">
        <v>2568</v>
      </c>
      <c r="D636" s="1705"/>
      <c r="E636" s="1705"/>
      <c r="F636" s="1705"/>
      <c r="G636" s="1705"/>
      <c r="H636" s="1705"/>
      <c r="I636" s="1705"/>
      <c r="J636" s="1705"/>
      <c r="K636" s="1705"/>
      <c r="L636" s="1705"/>
      <c r="M636" s="1706" t="s">
        <v>2432</v>
      </c>
      <c r="N636" s="1706"/>
      <c r="O636" s="1706"/>
      <c r="P636" s="1706"/>
      <c r="Q636" s="1707">
        <v>660</v>
      </c>
      <c r="R636" s="1563"/>
      <c r="S636" s="1708"/>
      <c r="T636" s="1707"/>
      <c r="U636" s="1563"/>
      <c r="V636" s="1708"/>
      <c r="W636" s="1578"/>
      <c r="X636" s="1579"/>
      <c r="Y636" s="1580"/>
      <c r="Z636" s="1506" t="s">
        <v>1290</v>
      </c>
      <c r="AA636" s="1507"/>
      <c r="AB636" s="1508"/>
      <c r="AC636" s="1461"/>
      <c r="AD636" s="1462"/>
      <c r="AE636" s="1463"/>
      <c r="AF636" s="1575"/>
      <c r="AG636" s="1576"/>
      <c r="AH636" s="1576"/>
      <c r="AI636" s="1576"/>
      <c r="AJ636" s="1577"/>
      <c r="AK636" s="1718"/>
      <c r="AL636" s="1719"/>
      <c r="AM636" s="1719"/>
      <c r="AN636" s="1720"/>
      <c r="AO636" s="1571">
        <v>1000000</v>
      </c>
      <c r="AP636" s="1572"/>
      <c r="AQ636" s="1572"/>
      <c r="AR636" s="1572"/>
      <c r="AS636" s="1573"/>
      <c r="AT636" s="1192" t="str">
        <f t="shared" si="25"/>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4">
        <f t="shared" ref="DX636:DX657" si="32">DX598*(BN598/$BN$632)</f>
        <v>20.968421052631577</v>
      </c>
      <c r="DY636" s="1364"/>
      <c r="DZ636" s="1364"/>
      <c r="EA636" s="1364"/>
      <c r="EB636" s="1364"/>
      <c r="EC636" s="1364" t="e">
        <f t="shared" si="27"/>
        <v>#VALUE!</v>
      </c>
      <c r="ED636" s="1364"/>
      <c r="EE636" s="1364"/>
      <c r="EF636" s="1364"/>
      <c r="EG636" s="1364"/>
      <c r="EH636" s="1364" t="e">
        <f t="shared" si="28"/>
        <v>#VALUE!</v>
      </c>
      <c r="EI636" s="1364"/>
      <c r="EJ636" s="1364"/>
      <c r="EK636" s="1364"/>
      <c r="EL636" s="1364"/>
      <c r="EM636" s="1364" t="e">
        <f t="shared" si="29"/>
        <v>#VALUE!</v>
      </c>
      <c r="EN636" s="1364"/>
      <c r="EO636" s="1364"/>
      <c r="EP636" s="1364"/>
      <c r="EQ636" s="1364"/>
      <c r="ER636" s="1364" t="e">
        <f t="shared" si="30"/>
        <v>#VALUE!</v>
      </c>
      <c r="ES636" s="1364"/>
      <c r="ET636" s="1364"/>
      <c r="EU636" s="1364"/>
      <c r="EV636" s="1364"/>
      <c r="EW636" s="1364" t="e">
        <f t="shared" si="31"/>
        <v>#VALUE!</v>
      </c>
      <c r="EX636" s="1364"/>
      <c r="EY636" s="1364"/>
      <c r="EZ636" s="1364"/>
      <c r="FA636" s="1364"/>
    </row>
    <row r="637" spans="2:157" ht="12.95" customHeight="1">
      <c r="B637" s="52" t="s">
        <v>363</v>
      </c>
      <c r="C637" s="1704" t="s">
        <v>2780</v>
      </c>
      <c r="D637" s="1705"/>
      <c r="E637" s="1705"/>
      <c r="F637" s="1705"/>
      <c r="G637" s="1705"/>
      <c r="H637" s="1705"/>
      <c r="I637" s="1705"/>
      <c r="J637" s="1705"/>
      <c r="K637" s="1705"/>
      <c r="L637" s="1705"/>
      <c r="M637" s="1706" t="s">
        <v>2425</v>
      </c>
      <c r="N637" s="1706"/>
      <c r="O637" s="1706"/>
      <c r="P637" s="1706"/>
      <c r="Q637" s="1707"/>
      <c r="R637" s="1563"/>
      <c r="S637" s="1708"/>
      <c r="T637" s="1707"/>
      <c r="U637" s="1563"/>
      <c r="V637" s="1708"/>
      <c r="W637" s="1578"/>
      <c r="X637" s="1579"/>
      <c r="Y637" s="1580"/>
      <c r="Z637" s="1506" t="s">
        <v>1290</v>
      </c>
      <c r="AA637" s="1507"/>
      <c r="AB637" s="1508"/>
      <c r="AC637" s="1461"/>
      <c r="AD637" s="1462"/>
      <c r="AE637" s="1463"/>
      <c r="AF637" s="1575"/>
      <c r="AG637" s="1576"/>
      <c r="AH637" s="1576"/>
      <c r="AI637" s="1576"/>
      <c r="AJ637" s="1577"/>
      <c r="AK637" s="1718"/>
      <c r="AL637" s="1719"/>
      <c r="AM637" s="1719"/>
      <c r="AN637" s="1720"/>
      <c r="AO637" s="1571">
        <v>1200000</v>
      </c>
      <c r="AP637" s="1572"/>
      <c r="AQ637" s="1572"/>
      <c r="AR637" s="1572"/>
      <c r="AS637" s="1573"/>
      <c r="AT637" s="1192" t="str">
        <f t="shared" si="25"/>
        <v/>
      </c>
      <c r="AV637" s="3"/>
      <c r="AW637" s="3"/>
      <c r="AX637" s="3"/>
      <c r="AY637" s="3"/>
      <c r="AZ637" s="34"/>
      <c r="BA637" s="3" t="s">
        <v>2451</v>
      </c>
      <c r="BB637" s="34"/>
      <c r="BC637" s="34"/>
      <c r="BD637" s="34"/>
      <c r="BE637" s="34"/>
      <c r="BF637" s="34"/>
      <c r="BG637" s="34"/>
      <c r="BH637" s="34"/>
      <c r="BI637" s="34"/>
      <c r="BJ637" s="34"/>
      <c r="BK637" s="34"/>
      <c r="BL637" s="34"/>
      <c r="BM637" s="34"/>
      <c r="BN637" s="1385">
        <f>IF(J773="SRO/Studio",O773,0)</f>
        <v>0</v>
      </c>
      <c r="BO637" s="1386"/>
      <c r="BP637" s="1386"/>
      <c r="BQ637" s="1386"/>
      <c r="BR637" s="1387"/>
      <c r="BS637" s="1388">
        <f>IF(J773="1 Bedroom",O773,0)</f>
        <v>2</v>
      </c>
      <c r="BT637" s="1388"/>
      <c r="BU637" s="1388"/>
      <c r="BV637" s="1388"/>
      <c r="BW637" s="1388"/>
      <c r="BX637" s="1388">
        <f>IF(J773="2 Bedrooms",O773,0)</f>
        <v>0</v>
      </c>
      <c r="BY637" s="1388"/>
      <c r="BZ637" s="1388"/>
      <c r="CA637" s="1388"/>
      <c r="CB637" s="1388"/>
      <c r="CC637" s="1388">
        <f>IF(J773="3 Bedrooms",O773,0)</f>
        <v>0</v>
      </c>
      <c r="CD637" s="1388"/>
      <c r="CE637" s="1388"/>
      <c r="CF637" s="1388"/>
      <c r="CG637" s="1388"/>
      <c r="CH637" s="1388">
        <f>IF(J773="4 Bedrooms",O773,0)</f>
        <v>0</v>
      </c>
      <c r="CI637" s="1388"/>
      <c r="CJ637" s="1388"/>
      <c r="CK637" s="1388"/>
      <c r="CL637" s="1388"/>
      <c r="CM637" s="1388">
        <f>IF(J773="5 Bedrooms",O773,0)</f>
        <v>0</v>
      </c>
      <c r="CN637" s="1388"/>
      <c r="CO637" s="1388"/>
      <c r="CP637" s="1388"/>
      <c r="CQ637" s="1388"/>
      <c r="CR637" s="6"/>
      <c r="CS637" s="3"/>
      <c r="CT637" s="3"/>
      <c r="CU637" s="3"/>
      <c r="CV637" s="3"/>
      <c r="CW637" s="3"/>
      <c r="CX637" s="3"/>
      <c r="CY637" s="3"/>
      <c r="CZ637" s="3"/>
      <c r="DA637" s="3"/>
      <c r="DB637" s="3"/>
      <c r="DC637" s="3"/>
      <c r="DD637" s="3"/>
      <c r="DE637" s="3"/>
      <c r="DF637" s="3"/>
      <c r="DX637" s="1364">
        <f t="shared" si="32"/>
        <v>89.090225563909769</v>
      </c>
      <c r="DY637" s="1364"/>
      <c r="DZ637" s="1364"/>
      <c r="EA637" s="1364"/>
      <c r="EB637" s="1364"/>
      <c r="EC637" s="1364" t="e">
        <f t="shared" si="27"/>
        <v>#VALUE!</v>
      </c>
      <c r="ED637" s="1364"/>
      <c r="EE637" s="1364"/>
      <c r="EF637" s="1364"/>
      <c r="EG637" s="1364"/>
      <c r="EH637" s="1364" t="e">
        <f t="shared" si="28"/>
        <v>#VALUE!</v>
      </c>
      <c r="EI637" s="1364"/>
      <c r="EJ637" s="1364"/>
      <c r="EK637" s="1364"/>
      <c r="EL637" s="1364"/>
      <c r="EM637" s="1364" t="e">
        <f t="shared" si="29"/>
        <v>#VALUE!</v>
      </c>
      <c r="EN637" s="1364"/>
      <c r="EO637" s="1364"/>
      <c r="EP637" s="1364"/>
      <c r="EQ637" s="1364"/>
      <c r="ER637" s="1364" t="e">
        <f t="shared" si="30"/>
        <v>#VALUE!</v>
      </c>
      <c r="ES637" s="1364"/>
      <c r="ET637" s="1364"/>
      <c r="EU637" s="1364"/>
      <c r="EV637" s="1364"/>
      <c r="EW637" s="1364" t="e">
        <f t="shared" si="31"/>
        <v>#VALUE!</v>
      </c>
      <c r="EX637" s="1364"/>
      <c r="EY637" s="1364"/>
      <c r="EZ637" s="1364"/>
      <c r="FA637" s="1364"/>
    </row>
    <row r="638" spans="2:157" ht="12.95" customHeight="1">
      <c r="B638" s="52" t="s">
        <v>364</v>
      </c>
      <c r="C638" s="1705"/>
      <c r="D638" s="1705"/>
      <c r="E638" s="1705"/>
      <c r="F638" s="1705"/>
      <c r="G638" s="1705"/>
      <c r="H638" s="1705"/>
      <c r="I638" s="1705"/>
      <c r="J638" s="1705"/>
      <c r="K638" s="1705"/>
      <c r="L638" s="1705"/>
      <c r="M638" s="1706" t="s">
        <v>1290</v>
      </c>
      <c r="N638" s="1706"/>
      <c r="O638" s="1706"/>
      <c r="P638" s="1706"/>
      <c r="Q638" s="1707"/>
      <c r="R638" s="1563"/>
      <c r="S638" s="1708"/>
      <c r="T638" s="1707"/>
      <c r="U638" s="1563"/>
      <c r="V638" s="1708"/>
      <c r="W638" s="1578"/>
      <c r="X638" s="1579"/>
      <c r="Y638" s="1580"/>
      <c r="Z638" s="1506" t="s">
        <v>1290</v>
      </c>
      <c r="AA638" s="1507"/>
      <c r="AB638" s="1508"/>
      <c r="AC638" s="1461"/>
      <c r="AD638" s="1462"/>
      <c r="AE638" s="1463"/>
      <c r="AF638" s="1575"/>
      <c r="AG638" s="1576"/>
      <c r="AH638" s="1576"/>
      <c r="AI638" s="1576"/>
      <c r="AJ638" s="1577"/>
      <c r="AK638" s="1718"/>
      <c r="AL638" s="1719"/>
      <c r="AM638" s="1719"/>
      <c r="AN638" s="1720"/>
      <c r="AO638" s="1571"/>
      <c r="AP638" s="1572"/>
      <c r="AQ638" s="1572"/>
      <c r="AR638" s="1572"/>
      <c r="AS638" s="1573"/>
      <c r="AT638" s="1192" t="str">
        <f t="shared" si="25"/>
        <v/>
      </c>
      <c r="AV638" s="3"/>
      <c r="AW638" s="3"/>
      <c r="AX638" s="3"/>
      <c r="AY638" s="3"/>
      <c r="AZ638" s="34"/>
      <c r="BA638" s="3" t="s">
        <v>301</v>
      </c>
      <c r="BB638" s="34"/>
      <c r="BC638" s="34"/>
      <c r="BD638" s="34"/>
      <c r="BE638" s="34"/>
      <c r="BF638" s="34"/>
      <c r="BG638" s="34"/>
      <c r="BH638" s="34"/>
      <c r="BI638" s="34"/>
      <c r="BJ638" s="34"/>
      <c r="BK638" s="34"/>
      <c r="BL638" s="34"/>
      <c r="BM638" s="34"/>
      <c r="BN638" s="1385">
        <f>IF(J774="SRO/Studio",O774,0)</f>
        <v>0</v>
      </c>
      <c r="BO638" s="1386"/>
      <c r="BP638" s="1386"/>
      <c r="BQ638" s="1386"/>
      <c r="BR638" s="1387"/>
      <c r="BS638" s="1388">
        <f>IF(J774="1 Bedroom",O774,0)</f>
        <v>0</v>
      </c>
      <c r="BT638" s="1388"/>
      <c r="BU638" s="1388"/>
      <c r="BV638" s="1388"/>
      <c r="BW638" s="1388"/>
      <c r="BX638" s="1388">
        <f>IF(J774="2 Bedrooms",O774,0)</f>
        <v>0</v>
      </c>
      <c r="BY638" s="1388"/>
      <c r="BZ638" s="1388"/>
      <c r="CA638" s="1388"/>
      <c r="CB638" s="1388"/>
      <c r="CC638" s="1388">
        <f>IF(J774="3 Bedrooms",O774,0)</f>
        <v>0</v>
      </c>
      <c r="CD638" s="1388"/>
      <c r="CE638" s="1388"/>
      <c r="CF638" s="1388"/>
      <c r="CG638" s="1388"/>
      <c r="CH638" s="1388">
        <f>IF(J774="4 Bedrooms",O774,0)</f>
        <v>0</v>
      </c>
      <c r="CI638" s="1388"/>
      <c r="CJ638" s="1388"/>
      <c r="CK638" s="1388"/>
      <c r="CL638" s="1388"/>
      <c r="CM638" s="1388">
        <f>IF(J774="5 Bedrooms",O774,0)</f>
        <v>0</v>
      </c>
      <c r="CN638" s="1388"/>
      <c r="CO638" s="1388"/>
      <c r="CP638" s="1388"/>
      <c r="CQ638" s="1388"/>
      <c r="CR638" s="6"/>
      <c r="CS638" s="3"/>
      <c r="CT638" s="3"/>
      <c r="CU638" s="3"/>
      <c r="CV638" s="3"/>
      <c r="CW638" s="3"/>
      <c r="CX638" s="3"/>
      <c r="CY638" s="3"/>
      <c r="CZ638" s="3"/>
      <c r="DA638" s="3"/>
      <c r="DB638" s="3"/>
      <c r="DC638" s="3"/>
      <c r="DD638" s="3"/>
      <c r="DE638" s="3"/>
      <c r="DF638" s="3"/>
      <c r="DX638" s="1364">
        <f t="shared" si="32"/>
        <v>27.473684210526315</v>
      </c>
      <c r="DY638" s="1364"/>
      <c r="DZ638" s="1364"/>
      <c r="EA638" s="1364"/>
      <c r="EB638" s="1364"/>
      <c r="EC638" s="1364" t="e">
        <f t="shared" si="27"/>
        <v>#VALUE!</v>
      </c>
      <c r="ED638" s="1364"/>
      <c r="EE638" s="1364"/>
      <c r="EF638" s="1364"/>
      <c r="EG638" s="1364"/>
      <c r="EH638" s="1364" t="e">
        <f t="shared" si="28"/>
        <v>#VALUE!</v>
      </c>
      <c r="EI638" s="1364"/>
      <c r="EJ638" s="1364"/>
      <c r="EK638" s="1364"/>
      <c r="EL638" s="1364"/>
      <c r="EM638" s="1364" t="e">
        <f t="shared" si="29"/>
        <v>#VALUE!</v>
      </c>
      <c r="EN638" s="1364"/>
      <c r="EO638" s="1364"/>
      <c r="EP638" s="1364"/>
      <c r="EQ638" s="1364"/>
      <c r="ER638" s="1364" t="e">
        <f t="shared" si="30"/>
        <v>#VALUE!</v>
      </c>
      <c r="ES638" s="1364"/>
      <c r="ET638" s="1364"/>
      <c r="EU638" s="1364"/>
      <c r="EV638" s="1364"/>
      <c r="EW638" s="1364" t="e">
        <f t="shared" si="31"/>
        <v>#VALUE!</v>
      </c>
      <c r="EX638" s="1364"/>
      <c r="EY638" s="1364"/>
      <c r="EZ638" s="1364"/>
      <c r="FA638" s="1364"/>
    </row>
    <row r="639" spans="2:157" ht="12.95" customHeight="1">
      <c r="B639" s="1581" t="s">
        <v>128</v>
      </c>
      <c r="C639" s="1582"/>
      <c r="D639" s="1582"/>
      <c r="E639" s="1582"/>
      <c r="F639" s="1582"/>
      <c r="G639" s="1582"/>
      <c r="H639" s="1582"/>
      <c r="I639" s="1582"/>
      <c r="J639" s="1582"/>
      <c r="K639" s="1582"/>
      <c r="L639" s="1582"/>
      <c r="M639" s="1582"/>
      <c r="N639" s="1582"/>
      <c r="O639" s="1582"/>
      <c r="P639" s="1582"/>
      <c r="Q639" s="1582"/>
      <c r="R639" s="1582"/>
      <c r="S639" s="1582"/>
      <c r="T639" s="1582"/>
      <c r="U639" s="1582"/>
      <c r="V639" s="1582"/>
      <c r="W639" s="1582"/>
      <c r="X639" s="1582"/>
      <c r="Y639" s="1582"/>
      <c r="Z639" s="1582"/>
      <c r="AA639" s="1582"/>
      <c r="AB639" s="1582"/>
      <c r="AC639" s="1582"/>
      <c r="AD639" s="1582"/>
      <c r="AE639" s="1582"/>
      <c r="AF639" s="1582"/>
      <c r="AG639" s="1582"/>
      <c r="AH639" s="1582"/>
      <c r="AI639" s="1582"/>
      <c r="AJ639" s="1582"/>
      <c r="AK639" s="1582"/>
      <c r="AL639" s="1582"/>
      <c r="AM639" s="1582"/>
      <c r="AN639" s="1583"/>
      <c r="AO639" s="1615">
        <f>SUM(AO627:AR638)</f>
        <v>51266346</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BN639" s="1385">
        <f>IF(J775="SRO/Studio",O775,0)</f>
        <v>0</v>
      </c>
      <c r="BO639" s="1386"/>
      <c r="BP639" s="1386"/>
      <c r="BQ639" s="1386"/>
      <c r="BR639" s="1387"/>
      <c r="BS639" s="1388">
        <f>IF(J775="1 Bedroom",O775,0)</f>
        <v>0</v>
      </c>
      <c r="BT639" s="1388"/>
      <c r="BU639" s="1388"/>
      <c r="BV639" s="1388"/>
      <c r="BW639" s="1388"/>
      <c r="BX639" s="1388">
        <f>IF(J775="2 Bedrooms",O775,0)</f>
        <v>0</v>
      </c>
      <c r="BY639" s="1388"/>
      <c r="BZ639" s="1388"/>
      <c r="CA639" s="1388"/>
      <c r="CB639" s="1388"/>
      <c r="CC639" s="1388">
        <f>IF(J775="3 Bedrooms",O775,0)</f>
        <v>0</v>
      </c>
      <c r="CD639" s="1388"/>
      <c r="CE639" s="1388"/>
      <c r="CF639" s="1388"/>
      <c r="CG639" s="1388"/>
      <c r="CH639" s="1388">
        <f>IF(J775="4 Bedrooms",O775,0)</f>
        <v>0</v>
      </c>
      <c r="CI639" s="1388"/>
      <c r="CJ639" s="1388"/>
      <c r="CK639" s="1388"/>
      <c r="CL639" s="1388"/>
      <c r="CM639" s="1388">
        <f>IF(J775="5 Bedrooms",O775,0)</f>
        <v>0</v>
      </c>
      <c r="CN639" s="1388"/>
      <c r="CO639" s="1388"/>
      <c r="CP639" s="1388"/>
      <c r="CQ639" s="1388"/>
      <c r="CR639" s="1047"/>
      <c r="CV639" s="3"/>
      <c r="CW639" s="3"/>
      <c r="CX639" s="3"/>
      <c r="CY639" s="3"/>
      <c r="CZ639" s="3"/>
      <c r="DA639" s="3"/>
      <c r="DB639" s="3"/>
      <c r="DC639" s="3"/>
      <c r="DD639" s="3"/>
      <c r="DE639" s="3"/>
      <c r="DF639" s="3"/>
      <c r="DX639" s="1364">
        <f t="shared" si="32"/>
        <v>26.69172932330827</v>
      </c>
      <c r="DY639" s="1364"/>
      <c r="DZ639" s="1364"/>
      <c r="EA639" s="1364"/>
      <c r="EB639" s="1364"/>
      <c r="EC639" s="1364" t="e">
        <f t="shared" si="27"/>
        <v>#VALUE!</v>
      </c>
      <c r="ED639" s="1364"/>
      <c r="EE639" s="1364"/>
      <c r="EF639" s="1364"/>
      <c r="EG639" s="1364"/>
      <c r="EH639" s="1364" t="e">
        <f t="shared" si="28"/>
        <v>#VALUE!</v>
      </c>
      <c r="EI639" s="1364"/>
      <c r="EJ639" s="1364"/>
      <c r="EK639" s="1364"/>
      <c r="EL639" s="1364"/>
      <c r="EM639" s="1364" t="e">
        <f t="shared" si="29"/>
        <v>#VALUE!</v>
      </c>
      <c r="EN639" s="1364"/>
      <c r="EO639" s="1364"/>
      <c r="EP639" s="1364"/>
      <c r="EQ639" s="1364"/>
      <c r="ER639" s="1364" t="e">
        <f t="shared" si="30"/>
        <v>#VALUE!</v>
      </c>
      <c r="ES639" s="1364"/>
      <c r="ET639" s="1364"/>
      <c r="EU639" s="1364"/>
      <c r="EV639" s="1364"/>
      <c r="EW639" s="1364" t="e">
        <f t="shared" si="31"/>
        <v>#VALUE!</v>
      </c>
      <c r="EX639" s="1364"/>
      <c r="EY639" s="1364"/>
      <c r="EZ639" s="1364"/>
      <c r="FA639" s="1364"/>
    </row>
    <row r="640" spans="2:157" ht="12.95" customHeight="1">
      <c r="B640" s="1581" t="s">
        <v>268</v>
      </c>
      <c r="C640" s="1582"/>
      <c r="D640" s="1582"/>
      <c r="E640" s="1582"/>
      <c r="F640" s="1582"/>
      <c r="G640" s="1582"/>
      <c r="H640" s="1582"/>
      <c r="I640" s="1582"/>
      <c r="J640" s="1582"/>
      <c r="K640" s="1582"/>
      <c r="L640" s="1582"/>
      <c r="M640" s="1582"/>
      <c r="N640" s="1582"/>
      <c r="O640" s="1582"/>
      <c r="P640" s="1582"/>
      <c r="Q640" s="1582"/>
      <c r="R640" s="1582"/>
      <c r="S640" s="1582"/>
      <c r="T640" s="1582"/>
      <c r="U640" s="1582"/>
      <c r="V640" s="1582"/>
      <c r="W640" s="1582"/>
      <c r="X640" s="1582"/>
      <c r="Y640" s="1582"/>
      <c r="Z640" s="1582"/>
      <c r="AA640" s="1582"/>
      <c r="AB640" s="1582"/>
      <c r="AC640" s="1582"/>
      <c r="AD640" s="1582"/>
      <c r="AE640" s="1582"/>
      <c r="AF640" s="1582"/>
      <c r="AG640" s="1582"/>
      <c r="AH640" s="1582"/>
      <c r="AI640" s="1582"/>
      <c r="AJ640" s="1582"/>
      <c r="AK640" s="1582"/>
      <c r="AL640" s="1582"/>
      <c r="AM640" s="1582"/>
      <c r="AN640" s="1583"/>
      <c r="AO640" s="1571">
        <f>40308382-169021</f>
        <v>40139361</v>
      </c>
      <c r="AP640" s="1572"/>
      <c r="AQ640" s="1572"/>
      <c r="AR640" s="1572"/>
      <c r="AS640" s="1573"/>
      <c r="AV640" s="3"/>
      <c r="AW640" s="3"/>
      <c r="AX640" s="3"/>
      <c r="AY640" s="3"/>
      <c r="AZ640" s="34"/>
      <c r="BA640" s="34"/>
      <c r="BB640" s="34"/>
      <c r="BC640" s="34"/>
      <c r="BD640" s="34"/>
      <c r="BE640" s="34"/>
      <c r="BF640" s="34"/>
      <c r="BG640" s="34"/>
      <c r="BH640" s="34"/>
      <c r="BI640" s="34"/>
      <c r="BJ640" s="34"/>
      <c r="BK640" s="34"/>
      <c r="BL640" s="34"/>
      <c r="BM640" s="34"/>
      <c r="BN640" s="1385">
        <f>IF(J776="SRO/Studio",O776,0)</f>
        <v>0</v>
      </c>
      <c r="BO640" s="1386"/>
      <c r="BP640" s="1386"/>
      <c r="BQ640" s="1386"/>
      <c r="BR640" s="1387"/>
      <c r="BS640" s="1388">
        <f>IF(J776="1 Bedroom",O776,0)</f>
        <v>0</v>
      </c>
      <c r="BT640" s="1388"/>
      <c r="BU640" s="1388"/>
      <c r="BV640" s="1388"/>
      <c r="BW640" s="1388"/>
      <c r="BX640" s="1388">
        <f>IF(J776="2 Bedrooms",O776,0)</f>
        <v>0</v>
      </c>
      <c r="BY640" s="1388"/>
      <c r="BZ640" s="1388"/>
      <c r="CA640" s="1388"/>
      <c r="CB640" s="1388"/>
      <c r="CC640" s="1388">
        <f>IF(J776="3 Bedrooms",O776,0)</f>
        <v>0</v>
      </c>
      <c r="CD640" s="1388"/>
      <c r="CE640" s="1388"/>
      <c r="CF640" s="1388"/>
      <c r="CG640" s="1388"/>
      <c r="CH640" s="1388">
        <f>IF(J776="4 Bedrooms",O776,0)</f>
        <v>0</v>
      </c>
      <c r="CI640" s="1388"/>
      <c r="CJ640" s="1388"/>
      <c r="CK640" s="1388"/>
      <c r="CL640" s="1388"/>
      <c r="CM640" s="1388">
        <f>IF(J776="5 Bedrooms",O776,0)</f>
        <v>0</v>
      </c>
      <c r="CN640" s="1388"/>
      <c r="CO640" s="1388"/>
      <c r="CP640" s="1388"/>
      <c r="CQ640" s="1388"/>
      <c r="CV640" s="3"/>
      <c r="CW640" s="3"/>
      <c r="CX640" s="3"/>
      <c r="CY640" s="3"/>
      <c r="CZ640" s="3"/>
      <c r="DA640" s="3"/>
      <c r="DB640" s="3"/>
      <c r="DC640" s="3"/>
      <c r="DD640" s="3"/>
      <c r="DE640" s="3"/>
      <c r="DF640" s="3"/>
      <c r="DX640" s="1364" t="e">
        <f t="shared" si="32"/>
        <v>#VALUE!</v>
      </c>
      <c r="DY640" s="1364"/>
      <c r="DZ640" s="1364"/>
      <c r="EA640" s="1364"/>
      <c r="EB640" s="1364"/>
      <c r="EC640" s="1364">
        <f t="shared" si="27"/>
        <v>747</v>
      </c>
      <c r="ED640" s="1364"/>
      <c r="EE640" s="1364"/>
      <c r="EF640" s="1364"/>
      <c r="EG640" s="1364"/>
      <c r="EH640" s="1364" t="e">
        <f t="shared" si="28"/>
        <v>#VALUE!</v>
      </c>
      <c r="EI640" s="1364"/>
      <c r="EJ640" s="1364"/>
      <c r="EK640" s="1364"/>
      <c r="EL640" s="1364"/>
      <c r="EM640" s="1364" t="e">
        <f t="shared" si="29"/>
        <v>#VALUE!</v>
      </c>
      <c r="EN640" s="1364"/>
      <c r="EO640" s="1364"/>
      <c r="EP640" s="1364"/>
      <c r="EQ640" s="1364"/>
      <c r="ER640" s="1364" t="e">
        <f t="shared" si="30"/>
        <v>#VALUE!</v>
      </c>
      <c r="ES640" s="1364"/>
      <c r="ET640" s="1364"/>
      <c r="EU640" s="1364"/>
      <c r="EV640" s="1364"/>
      <c r="EW640" s="1364" t="e">
        <f t="shared" si="31"/>
        <v>#VALUE!</v>
      </c>
      <c r="EX640" s="1364"/>
      <c r="EY640" s="1364"/>
      <c r="EZ640" s="1364"/>
      <c r="FA640" s="1364"/>
    </row>
    <row r="641" spans="1:157" ht="12.95" customHeight="1">
      <c r="B641" s="1584" t="s">
        <v>269</v>
      </c>
      <c r="C641" s="1585"/>
      <c r="D641" s="1585"/>
      <c r="E641" s="1585"/>
      <c r="F641" s="1585"/>
      <c r="G641" s="1585"/>
      <c r="H641" s="1585"/>
      <c r="I641" s="1585"/>
      <c r="J641" s="1585"/>
      <c r="K641" s="1585"/>
      <c r="L641" s="1585"/>
      <c r="M641" s="1585"/>
      <c r="N641" s="1585"/>
      <c r="O641" s="1585"/>
      <c r="P641" s="1585"/>
      <c r="Q641" s="1585"/>
      <c r="R641" s="1585"/>
      <c r="S641" s="1585"/>
      <c r="T641" s="1585"/>
      <c r="U641" s="1585"/>
      <c r="V641" s="1585"/>
      <c r="W641" s="1585"/>
      <c r="X641" s="1585"/>
      <c r="Y641" s="1585"/>
      <c r="Z641" s="1585"/>
      <c r="AA641" s="1585"/>
      <c r="AB641" s="1585"/>
      <c r="AC641" s="1585"/>
      <c r="AD641" s="1585"/>
      <c r="AE641" s="1585"/>
      <c r="AF641" s="1585"/>
      <c r="AG641" s="1585"/>
      <c r="AH641" s="1585"/>
      <c r="AI641" s="1585"/>
      <c r="AJ641" s="1585"/>
      <c r="AK641" s="1585"/>
      <c r="AL641" s="1585"/>
      <c r="AM641" s="1585"/>
      <c r="AN641" s="1586"/>
      <c r="AO641" s="1615">
        <f>AO639+AO640</f>
        <v>91405707</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BN641" s="1389">
        <f>SUM(BN637:BR640)</f>
        <v>0</v>
      </c>
      <c r="BO641" s="1505"/>
      <c r="BP641" s="1505"/>
      <c r="BQ641" s="1505"/>
      <c r="BR641" s="1390"/>
      <c r="BS641" s="1721">
        <f>SUM(BS637:BW640)</f>
        <v>2</v>
      </c>
      <c r="BT641" s="1722"/>
      <c r="BU641" s="1722"/>
      <c r="BV641" s="1722"/>
      <c r="BW641" s="1723"/>
      <c r="BX641" s="1721">
        <f>SUM(BX637:CB640)</f>
        <v>0</v>
      </c>
      <c r="BY641" s="1722"/>
      <c r="BZ641" s="1722"/>
      <c r="CA641" s="1722"/>
      <c r="CB641" s="1723"/>
      <c r="CC641" s="1721">
        <f>SUM(CC637:CG640)</f>
        <v>0</v>
      </c>
      <c r="CD641" s="1722"/>
      <c r="CE641" s="1722"/>
      <c r="CF641" s="1722"/>
      <c r="CG641" s="1723"/>
      <c r="CH641" s="1721">
        <f>SUM(CH637:CL640)</f>
        <v>0</v>
      </c>
      <c r="CI641" s="1722"/>
      <c r="CJ641" s="1722"/>
      <c r="CK641" s="1722"/>
      <c r="CL641" s="1723"/>
      <c r="CM641" s="1721">
        <f>SUM(CM637:CQ640)</f>
        <v>0</v>
      </c>
      <c r="CN641" s="1722"/>
      <c r="CO641" s="1722"/>
      <c r="CP641" s="1722"/>
      <c r="CQ641" s="1723"/>
      <c r="CS641" s="895">
        <f>BN641+BS641+BX641+CC641+CH641+CM641</f>
        <v>2</v>
      </c>
      <c r="CT641" s="57" t="s">
        <v>2051</v>
      </c>
      <c r="CU641" s="3"/>
      <c r="CV641" s="3"/>
      <c r="CW641" s="3"/>
      <c r="CX641" s="3"/>
      <c r="CY641" s="3"/>
      <c r="CZ641" s="3"/>
      <c r="DA641" s="3"/>
      <c r="DB641" s="3"/>
      <c r="DC641" s="3"/>
      <c r="DD641" s="3"/>
      <c r="DE641" s="3"/>
      <c r="DF641" s="3"/>
      <c r="DX641" s="1364">
        <f t="shared" si="32"/>
        <v>80.075187969924812</v>
      </c>
      <c r="DY641" s="1364"/>
      <c r="DZ641" s="1364"/>
      <c r="EA641" s="1364"/>
      <c r="EB641" s="1364"/>
      <c r="EC641" s="1364" t="e">
        <f t="shared" si="27"/>
        <v>#VALUE!</v>
      </c>
      <c r="ED641" s="1364"/>
      <c r="EE641" s="1364"/>
      <c r="EF641" s="1364"/>
      <c r="EG641" s="1364"/>
      <c r="EH641" s="1364" t="e">
        <f t="shared" si="28"/>
        <v>#VALUE!</v>
      </c>
      <c r="EI641" s="1364"/>
      <c r="EJ641" s="1364"/>
      <c r="EK641" s="1364"/>
      <c r="EL641" s="1364"/>
      <c r="EM641" s="1364" t="e">
        <f t="shared" si="29"/>
        <v>#VALUE!</v>
      </c>
      <c r="EN641" s="1364"/>
      <c r="EO641" s="1364"/>
      <c r="EP641" s="1364"/>
      <c r="EQ641" s="1364"/>
      <c r="ER641" s="1364" t="e">
        <f t="shared" si="30"/>
        <v>#VALUE!</v>
      </c>
      <c r="ES641" s="1364"/>
      <c r="ET641" s="1364"/>
      <c r="EU641" s="1364"/>
      <c r="EV641" s="1364"/>
      <c r="EW641" s="1364" t="e">
        <f t="shared" si="31"/>
        <v>#VALUE!</v>
      </c>
      <c r="EX641" s="1364"/>
      <c r="EY641" s="1364"/>
      <c r="EZ641" s="1364"/>
      <c r="FA641" s="136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2</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364">
        <f t="shared" si="32"/>
        <v>115.37593984962406</v>
      </c>
      <c r="DY642" s="1364"/>
      <c r="DZ642" s="1364"/>
      <c r="EA642" s="1364"/>
      <c r="EB642" s="1364"/>
      <c r="EC642" s="1364" t="e">
        <f t="shared" si="27"/>
        <v>#VALUE!</v>
      </c>
      <c r="ED642" s="1364"/>
      <c r="EE642" s="1364"/>
      <c r="EF642" s="1364"/>
      <c r="EG642" s="1364"/>
      <c r="EH642" s="1364" t="e">
        <f t="shared" si="28"/>
        <v>#VALUE!</v>
      </c>
      <c r="EI642" s="1364"/>
      <c r="EJ642" s="1364"/>
      <c r="EK642" s="1364"/>
      <c r="EL642" s="1364"/>
      <c r="EM642" s="1364" t="e">
        <f t="shared" si="29"/>
        <v>#VALUE!</v>
      </c>
      <c r="EN642" s="1364"/>
      <c r="EO642" s="1364"/>
      <c r="EP642" s="1364"/>
      <c r="EQ642" s="1364"/>
      <c r="ER642" s="1364" t="e">
        <f t="shared" si="30"/>
        <v>#VALUE!</v>
      </c>
      <c r="ES642" s="1364"/>
      <c r="ET642" s="1364"/>
      <c r="EU642" s="1364"/>
      <c r="EV642" s="1364"/>
      <c r="EW642" s="1364" t="e">
        <f t="shared" si="31"/>
        <v>#VALUE!</v>
      </c>
      <c r="EX642" s="1364"/>
      <c r="EY642" s="1364"/>
      <c r="EZ642" s="1364"/>
      <c r="FA642" s="1364"/>
    </row>
    <row r="643" spans="1:157" ht="12.95" customHeight="1">
      <c r="A643" s="55" t="s">
        <v>112</v>
      </c>
      <c r="B643" t="s">
        <v>471</v>
      </c>
      <c r="G643" s="1504" t="str">
        <f>C627</f>
        <v>Seller Carryback Loan</v>
      </c>
      <c r="H643" s="1504"/>
      <c r="I643" s="1504"/>
      <c r="J643" s="1504"/>
      <c r="K643" s="1504"/>
      <c r="L643" s="1504"/>
      <c r="M643" s="1504"/>
      <c r="N643" s="1504"/>
      <c r="O643" s="1504"/>
      <c r="P643" s="1504"/>
      <c r="Q643" s="1504"/>
      <c r="R643" s="1504"/>
      <c r="S643" s="8"/>
      <c r="T643" s="55" t="s">
        <v>113</v>
      </c>
      <c r="U643" t="s">
        <v>471</v>
      </c>
      <c r="Z643" s="1504" t="str">
        <f>C628</f>
        <v>HACSB GP Perm Loan</v>
      </c>
      <c r="AA643" s="1504"/>
      <c r="AB643" s="1504"/>
      <c r="AC643" s="1504"/>
      <c r="AD643" s="1504"/>
      <c r="AE643" s="1504"/>
      <c r="AF643" s="1504"/>
      <c r="AG643" s="1504"/>
      <c r="AH643" s="1504"/>
      <c r="AI643" s="1504"/>
      <c r="AJ643" s="1504"/>
      <c r="AK643" s="150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4" t="e">
        <f t="shared" si="32"/>
        <v>#VALUE!</v>
      </c>
      <c r="DY643" s="1364"/>
      <c r="DZ643" s="1364"/>
      <c r="EA643" s="1364"/>
      <c r="EB643" s="1364"/>
      <c r="EC643" s="1364" t="e">
        <f t="shared" si="27"/>
        <v>#VALUE!</v>
      </c>
      <c r="ED643" s="1364"/>
      <c r="EE643" s="1364"/>
      <c r="EF643" s="1364"/>
      <c r="EG643" s="1364"/>
      <c r="EH643" s="1364" t="e">
        <f t="shared" si="28"/>
        <v>#VALUE!</v>
      </c>
      <c r="EI643" s="1364"/>
      <c r="EJ643" s="1364"/>
      <c r="EK643" s="1364"/>
      <c r="EL643" s="1364"/>
      <c r="EM643" s="1364" t="e">
        <f t="shared" si="29"/>
        <v>#VALUE!</v>
      </c>
      <c r="EN643" s="1364"/>
      <c r="EO643" s="1364"/>
      <c r="EP643" s="1364"/>
      <c r="EQ643" s="1364"/>
      <c r="ER643" s="1364" t="e">
        <f t="shared" si="30"/>
        <v>#VALUE!</v>
      </c>
      <c r="ES643" s="1364"/>
      <c r="ET643" s="1364"/>
      <c r="EU643" s="1364"/>
      <c r="EV643" s="1364"/>
      <c r="EW643" s="1364" t="e">
        <f t="shared" si="31"/>
        <v>#VALUE!</v>
      </c>
      <c r="EX643" s="1364"/>
      <c r="EY643" s="1364"/>
      <c r="EZ643" s="1364"/>
      <c r="FA643" s="1364"/>
    </row>
    <row r="644" spans="1:157" ht="12.95" customHeight="1">
      <c r="A644" s="22"/>
      <c r="B644" t="s">
        <v>85</v>
      </c>
      <c r="G644" s="1467" t="str">
        <f>Z569</f>
        <v>995 Riverside St</v>
      </c>
      <c r="H644" s="1467"/>
      <c r="I644" s="1467"/>
      <c r="J644" s="1467"/>
      <c r="K644" s="1467"/>
      <c r="L644" s="1467"/>
      <c r="M644" s="1467"/>
      <c r="N644" s="1467"/>
      <c r="O644" s="1467"/>
      <c r="P644" s="1467"/>
      <c r="Q644" s="1467"/>
      <c r="R644" s="1467"/>
      <c r="S644" s="8"/>
      <c r="T644" s="22"/>
      <c r="U644" t="s">
        <v>85</v>
      </c>
      <c r="Z644" s="1467" t="str">
        <f>G644</f>
        <v>995 Riverside St</v>
      </c>
      <c r="AA644" s="1467"/>
      <c r="AB644" s="1467"/>
      <c r="AC644" s="1467"/>
      <c r="AD644" s="1467"/>
      <c r="AE644" s="1467"/>
      <c r="AF644" s="1467"/>
      <c r="AG644" s="1467"/>
      <c r="AH644" s="1467"/>
      <c r="AI644" s="1467"/>
      <c r="AJ644" s="1467"/>
      <c r="AK644" s="146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64" t="e">
        <f t="shared" si="32"/>
        <v>#VALUE!</v>
      </c>
      <c r="DY644" s="1364"/>
      <c r="DZ644" s="1364"/>
      <c r="EA644" s="1364"/>
      <c r="EB644" s="1364"/>
      <c r="EC644" s="1364" t="e">
        <f t="shared" si="27"/>
        <v>#VALUE!</v>
      </c>
      <c r="ED644" s="1364"/>
      <c r="EE644" s="1364"/>
      <c r="EF644" s="1364"/>
      <c r="EG644" s="1364"/>
      <c r="EH644" s="1364" t="e">
        <f t="shared" si="28"/>
        <v>#VALUE!</v>
      </c>
      <c r="EI644" s="1364"/>
      <c r="EJ644" s="1364"/>
      <c r="EK644" s="1364"/>
      <c r="EL644" s="1364"/>
      <c r="EM644" s="1364" t="e">
        <f t="shared" si="29"/>
        <v>#VALUE!</v>
      </c>
      <c r="EN644" s="1364"/>
      <c r="EO644" s="1364"/>
      <c r="EP644" s="1364"/>
      <c r="EQ644" s="1364"/>
      <c r="ER644" s="1364" t="e">
        <f t="shared" si="30"/>
        <v>#VALUE!</v>
      </c>
      <c r="ES644" s="1364"/>
      <c r="ET644" s="1364"/>
      <c r="EU644" s="1364"/>
      <c r="EV644" s="1364"/>
      <c r="EW644" s="1364" t="e">
        <f t="shared" si="31"/>
        <v>#VALUE!</v>
      </c>
      <c r="EX644" s="1364"/>
      <c r="EY644" s="1364"/>
      <c r="EZ644" s="1364"/>
      <c r="FA644" s="1364"/>
    </row>
    <row r="645" spans="1:157" ht="12.95" customHeight="1">
      <c r="A645" s="22"/>
      <c r="B645" t="s">
        <v>588</v>
      </c>
      <c r="G645" s="1467" t="str">
        <f t="shared" ref="G645:G646" si="33">Z570</f>
        <v>Ventura</v>
      </c>
      <c r="H645" s="1467"/>
      <c r="I645" s="1467"/>
      <c r="J645" s="1467"/>
      <c r="K645" s="1467"/>
      <c r="L645" s="1467"/>
      <c r="M645" s="1467"/>
      <c r="N645" s="1467"/>
      <c r="O645" s="1467"/>
      <c r="P645" s="1467"/>
      <c r="Q645" s="1467"/>
      <c r="R645" s="1467"/>
      <c r="T645" s="22"/>
      <c r="U645" t="s">
        <v>588</v>
      </c>
      <c r="Z645" s="1445" t="str">
        <f t="shared" ref="Z645:Z646" si="34">G645</f>
        <v>Ventura</v>
      </c>
      <c r="AA645" s="1445"/>
      <c r="AB645" s="1445"/>
      <c r="AC645" s="1445"/>
      <c r="AD645" s="1445"/>
      <c r="AE645" s="1445"/>
      <c r="AF645" s="1445"/>
      <c r="AG645" s="1445"/>
      <c r="AH645" s="1445"/>
      <c r="AI645" s="1445"/>
      <c r="AJ645" s="1445"/>
      <c r="AK645" s="1445"/>
      <c r="AV645" s="3"/>
      <c r="AW645" s="3"/>
      <c r="AX645" s="3"/>
      <c r="AY645" s="3"/>
      <c r="AZ645" s="3"/>
      <c r="BA645" s="3"/>
      <c r="BB645" s="3"/>
      <c r="BC645" s="3"/>
      <c r="BD645" s="3"/>
      <c r="BE645" s="3"/>
      <c r="BF645" s="3"/>
      <c r="BG645" s="3"/>
      <c r="BH645" s="3"/>
      <c r="BI645" s="3"/>
      <c r="BJ645" s="3"/>
      <c r="BK645" s="3"/>
      <c r="BL645" s="3"/>
      <c r="BM645" s="3"/>
      <c r="BN645" s="1385">
        <f t="shared" ref="BN645:BN654" si="35">IF(J787="SRO/Studio",O787,0)</f>
        <v>0</v>
      </c>
      <c r="BO645" s="1386"/>
      <c r="BP645" s="1386"/>
      <c r="BQ645" s="1386"/>
      <c r="BR645" s="1387"/>
      <c r="BS645" s="1388">
        <f t="shared" ref="BS645:BS654" si="36">IF(J787="1 Bedroom",O787,0)</f>
        <v>0</v>
      </c>
      <c r="BT645" s="1388"/>
      <c r="BU645" s="1388"/>
      <c r="BV645" s="1388"/>
      <c r="BW645" s="1388"/>
      <c r="BX645" s="1388">
        <f t="shared" ref="BX645:BX654" si="37">IF(J787="2 Bedrooms",O787,0)</f>
        <v>0</v>
      </c>
      <c r="BY645" s="1388"/>
      <c r="BZ645" s="1388"/>
      <c r="CA645" s="1388"/>
      <c r="CB645" s="1388"/>
      <c r="CC645" s="1388">
        <f t="shared" ref="CC645:CC654" si="38">IF(J787="3 Bedrooms",O787,0)</f>
        <v>0</v>
      </c>
      <c r="CD645" s="1388"/>
      <c r="CE645" s="1388"/>
      <c r="CF645" s="1388"/>
      <c r="CG645" s="1388"/>
      <c r="CH645" s="1388">
        <f t="shared" ref="CH645:CH654" si="39">IF(J787="4 Bedrooms",O787,0)</f>
        <v>0</v>
      </c>
      <c r="CI645" s="1388"/>
      <c r="CJ645" s="1388"/>
      <c r="CK645" s="1388"/>
      <c r="CL645" s="1388"/>
      <c r="CM645" s="1388">
        <f t="shared" ref="CM645:CM654" si="40">IF(J787="5 Bedrooms",O787,0)</f>
        <v>0</v>
      </c>
      <c r="CN645" s="1388"/>
      <c r="CO645" s="1388"/>
      <c r="CP645" s="1388"/>
      <c r="CQ645" s="1388"/>
      <c r="CR645" s="6"/>
      <c r="CS645" s="1385">
        <f t="shared" ref="CS645:CS654" si="41">IF(AND(BN645&gt;=1,AH787&gt;=0.1,AH787&lt;=1),O787,0)</f>
        <v>0</v>
      </c>
      <c r="CT645" s="1386"/>
      <c r="CU645" s="1386"/>
      <c r="CV645" s="1386"/>
      <c r="CW645" s="1387"/>
      <c r="CX645" s="1385">
        <f t="shared" ref="CX645:CX654" si="42">IF(AND(BS645&gt;=1,AH787&gt;=0.1,AH787&lt;=1),O787,0)</f>
        <v>0</v>
      </c>
      <c r="CY645" s="1386"/>
      <c r="CZ645" s="1386"/>
      <c r="DA645" s="1386"/>
      <c r="DB645" s="1387"/>
      <c r="DC645" s="1385">
        <f t="shared" ref="DC645:DC654" si="43">IF(AND(BX645&gt;=1,AH787&gt;=0.1,AH787&lt;=1),O787,0)</f>
        <v>0</v>
      </c>
      <c r="DD645" s="1386"/>
      <c r="DE645" s="1386"/>
      <c r="DF645" s="1386"/>
      <c r="DG645" s="1387"/>
      <c r="DH645" s="1385">
        <f t="shared" ref="DH645:DH654" si="44">IF(AND(CC645&gt;=1,AH787&gt;=0.1,AH787&lt;=1),O787,0)</f>
        <v>0</v>
      </c>
      <c r="DI645" s="1386"/>
      <c r="DJ645" s="1386"/>
      <c r="DK645" s="1386"/>
      <c r="DL645" s="1387"/>
      <c r="DM645" s="1385">
        <f t="shared" ref="DM645:DM654" si="45">IF(AND(CH645&gt;=1,AH787&gt;=0.1,AH787&lt;=1),O787,0)</f>
        <v>0</v>
      </c>
      <c r="DN645" s="1386"/>
      <c r="DO645" s="1386"/>
      <c r="DP645" s="1386"/>
      <c r="DQ645" s="1387"/>
      <c r="DR645" s="1385">
        <f t="shared" ref="DR645:DR654" si="46">IF(AND(CM645&gt;=1,AH787&gt;=0.1,AH787&lt;=1),O787,0)</f>
        <v>0</v>
      </c>
      <c r="DS645" s="1386"/>
      <c r="DT645" s="1386"/>
      <c r="DU645" s="1386"/>
      <c r="DV645" s="1387"/>
      <c r="DX645" s="1364" t="e">
        <f t="shared" si="32"/>
        <v>#VALUE!</v>
      </c>
      <c r="DY645" s="1364"/>
      <c r="DZ645" s="1364"/>
      <c r="EA645" s="1364"/>
      <c r="EB645" s="1364"/>
      <c r="EC645" s="1364" t="e">
        <f t="shared" si="27"/>
        <v>#VALUE!</v>
      </c>
      <c r="ED645" s="1364"/>
      <c r="EE645" s="1364"/>
      <c r="EF645" s="1364"/>
      <c r="EG645" s="1364"/>
      <c r="EH645" s="1364" t="e">
        <f t="shared" si="28"/>
        <v>#VALUE!</v>
      </c>
      <c r="EI645" s="1364"/>
      <c r="EJ645" s="1364"/>
      <c r="EK645" s="1364"/>
      <c r="EL645" s="1364"/>
      <c r="EM645" s="1364" t="e">
        <f t="shared" si="29"/>
        <v>#VALUE!</v>
      </c>
      <c r="EN645" s="1364"/>
      <c r="EO645" s="1364"/>
      <c r="EP645" s="1364"/>
      <c r="EQ645" s="1364"/>
      <c r="ER645" s="1364" t="e">
        <f t="shared" si="30"/>
        <v>#VALUE!</v>
      </c>
      <c r="ES645" s="1364"/>
      <c r="ET645" s="1364"/>
      <c r="EU645" s="1364"/>
      <c r="EV645" s="1364"/>
      <c r="EW645" s="1364" t="e">
        <f t="shared" si="31"/>
        <v>#VALUE!</v>
      </c>
      <c r="EX645" s="1364"/>
      <c r="EY645" s="1364"/>
      <c r="EZ645" s="1364"/>
      <c r="FA645" s="1364"/>
    </row>
    <row r="646" spans="1:157" ht="12.95" customHeight="1">
      <c r="A646" s="22"/>
      <c r="B646" t="s">
        <v>17</v>
      </c>
      <c r="G646" s="1467" t="str">
        <f t="shared" si="33"/>
        <v>Karen Flock</v>
      </c>
      <c r="H646" s="1467"/>
      <c r="I646" s="1467"/>
      <c r="J646" s="1467"/>
      <c r="K646" s="1467"/>
      <c r="L646" s="1467"/>
      <c r="M646" s="1467"/>
      <c r="N646" s="1467"/>
      <c r="O646" s="1467"/>
      <c r="P646" s="1467"/>
      <c r="Q646" s="1467"/>
      <c r="R646" s="1467"/>
      <c r="S646" s="8"/>
      <c r="T646" s="22"/>
      <c r="U646" t="s">
        <v>17</v>
      </c>
      <c r="Z646" s="1445" t="str">
        <f t="shared" si="34"/>
        <v>Karen Flock</v>
      </c>
      <c r="AA646" s="1445"/>
      <c r="AB646" s="1445"/>
      <c r="AC646" s="1445"/>
      <c r="AD646" s="1445"/>
      <c r="AE646" s="1445"/>
      <c r="AF646" s="1445"/>
      <c r="AG646" s="1445"/>
      <c r="AH646" s="1445"/>
      <c r="AI646" s="1445"/>
      <c r="AJ646" s="1445"/>
      <c r="AK646" s="1445"/>
      <c r="AZ646" s="3"/>
      <c r="BA646" s="3"/>
      <c r="BB646" s="3"/>
      <c r="BC646" s="3"/>
      <c r="BD646" s="3"/>
      <c r="BE646" s="3"/>
      <c r="BF646" s="3"/>
      <c r="BG646" s="3"/>
      <c r="BH646" s="3"/>
      <c r="BI646" s="3"/>
      <c r="BJ646" s="3"/>
      <c r="BK646" s="3"/>
      <c r="BL646" s="3"/>
      <c r="BM646" s="3"/>
      <c r="BN646" s="1385">
        <f t="shared" si="35"/>
        <v>0</v>
      </c>
      <c r="BO646" s="1386"/>
      <c r="BP646" s="1386"/>
      <c r="BQ646" s="1386"/>
      <c r="BR646" s="1387"/>
      <c r="BS646" s="1388">
        <f t="shared" si="36"/>
        <v>0</v>
      </c>
      <c r="BT646" s="1388"/>
      <c r="BU646" s="1388"/>
      <c r="BV646" s="1388"/>
      <c r="BW646" s="1388"/>
      <c r="BX646" s="1388">
        <f t="shared" si="37"/>
        <v>0</v>
      </c>
      <c r="BY646" s="1388"/>
      <c r="BZ646" s="1388"/>
      <c r="CA646" s="1388"/>
      <c r="CB646" s="1388"/>
      <c r="CC646" s="1388">
        <f t="shared" si="38"/>
        <v>0</v>
      </c>
      <c r="CD646" s="1388"/>
      <c r="CE646" s="1388"/>
      <c r="CF646" s="1388"/>
      <c r="CG646" s="1388"/>
      <c r="CH646" s="1388">
        <f t="shared" si="39"/>
        <v>0</v>
      </c>
      <c r="CI646" s="1388"/>
      <c r="CJ646" s="1388"/>
      <c r="CK646" s="1388"/>
      <c r="CL646" s="1388"/>
      <c r="CM646" s="1388">
        <f t="shared" si="40"/>
        <v>0</v>
      </c>
      <c r="CN646" s="1388"/>
      <c r="CO646" s="1388"/>
      <c r="CP646" s="1388"/>
      <c r="CQ646" s="1388"/>
      <c r="CR646" s="6"/>
      <c r="CS646" s="1385">
        <f t="shared" si="41"/>
        <v>0</v>
      </c>
      <c r="CT646" s="1386"/>
      <c r="CU646" s="1386"/>
      <c r="CV646" s="1386"/>
      <c r="CW646" s="1387"/>
      <c r="CX646" s="1385">
        <f t="shared" si="42"/>
        <v>0</v>
      </c>
      <c r="CY646" s="1386"/>
      <c r="CZ646" s="1386"/>
      <c r="DA646" s="1386"/>
      <c r="DB646" s="1387"/>
      <c r="DC646" s="1385">
        <f t="shared" si="43"/>
        <v>0</v>
      </c>
      <c r="DD646" s="1386"/>
      <c r="DE646" s="1386"/>
      <c r="DF646" s="1386"/>
      <c r="DG646" s="1387"/>
      <c r="DH646" s="1385">
        <f t="shared" si="44"/>
        <v>0</v>
      </c>
      <c r="DI646" s="1386"/>
      <c r="DJ646" s="1386"/>
      <c r="DK646" s="1386"/>
      <c r="DL646" s="1387"/>
      <c r="DM646" s="1385">
        <f t="shared" si="45"/>
        <v>0</v>
      </c>
      <c r="DN646" s="1386"/>
      <c r="DO646" s="1386"/>
      <c r="DP646" s="1386"/>
      <c r="DQ646" s="1387"/>
      <c r="DR646" s="1385">
        <f t="shared" si="46"/>
        <v>0</v>
      </c>
      <c r="DS646" s="1386"/>
      <c r="DT646" s="1386"/>
      <c r="DU646" s="1386"/>
      <c r="DV646" s="1387"/>
      <c r="DX646" s="1364" t="e">
        <f t="shared" si="32"/>
        <v>#VALUE!</v>
      </c>
      <c r="DY646" s="1364"/>
      <c r="DZ646" s="1364"/>
      <c r="EA646" s="1364"/>
      <c r="EB646" s="1364"/>
      <c r="EC646" s="1364" t="e">
        <f t="shared" si="27"/>
        <v>#VALUE!</v>
      </c>
      <c r="ED646" s="1364"/>
      <c r="EE646" s="1364"/>
      <c r="EF646" s="1364"/>
      <c r="EG646" s="1364"/>
      <c r="EH646" s="1364" t="e">
        <f t="shared" si="28"/>
        <v>#VALUE!</v>
      </c>
      <c r="EI646" s="1364"/>
      <c r="EJ646" s="1364"/>
      <c r="EK646" s="1364"/>
      <c r="EL646" s="1364"/>
      <c r="EM646" s="1364" t="e">
        <f t="shared" si="29"/>
        <v>#VALUE!</v>
      </c>
      <c r="EN646" s="1364"/>
      <c r="EO646" s="1364"/>
      <c r="EP646" s="1364"/>
      <c r="EQ646" s="1364"/>
      <c r="ER646" s="1364" t="e">
        <f t="shared" si="30"/>
        <v>#VALUE!</v>
      </c>
      <c r="ES646" s="1364"/>
      <c r="ET646" s="1364"/>
      <c r="EU646" s="1364"/>
      <c r="EV646" s="1364"/>
      <c r="EW646" s="1364" t="e">
        <f t="shared" si="31"/>
        <v>#VALUE!</v>
      </c>
      <c r="EX646" s="1364"/>
      <c r="EY646" s="1364"/>
      <c r="EZ646" s="1364"/>
      <c r="FA646" s="1364"/>
    </row>
    <row r="647" spans="1:157" ht="12.95" customHeight="1">
      <c r="A647" s="22"/>
      <c r="B647" t="s">
        <v>317</v>
      </c>
      <c r="G647" s="1479">
        <f>Z572</f>
        <v>8056485008</v>
      </c>
      <c r="H647" s="1479"/>
      <c r="I647" s="1479"/>
      <c r="J647" s="1479"/>
      <c r="K647" s="1479"/>
      <c r="L647" s="1479"/>
      <c r="O647" s="33" t="s">
        <v>207</v>
      </c>
      <c r="P647" s="1487"/>
      <c r="Q647" s="1487"/>
      <c r="R647" s="1487"/>
      <c r="S647" s="10"/>
      <c r="T647" s="22"/>
      <c r="U647" t="s">
        <v>317</v>
      </c>
      <c r="Z647" s="1479">
        <f>G647</f>
        <v>8056485008</v>
      </c>
      <c r="AA647" s="1479"/>
      <c r="AB647" s="1479"/>
      <c r="AC647" s="1479"/>
      <c r="AD647" s="1479"/>
      <c r="AE647" s="1479"/>
      <c r="AH647" s="33" t="s">
        <v>207</v>
      </c>
      <c r="AI647" s="1487"/>
      <c r="AJ647" s="1487"/>
      <c r="AK647" s="1487"/>
      <c r="AZ647" s="34"/>
      <c r="BA647" s="34"/>
      <c r="BB647" s="34"/>
      <c r="BC647" s="34"/>
      <c r="BD647" s="34"/>
      <c r="BE647" s="34"/>
      <c r="BF647" s="34"/>
      <c r="BG647" s="34"/>
      <c r="BH647" s="34"/>
      <c r="BI647" s="34"/>
      <c r="BJ647" s="34"/>
      <c r="BK647" s="34"/>
      <c r="BL647" s="34"/>
      <c r="BM647" s="34"/>
      <c r="BN647" s="1385">
        <f t="shared" si="35"/>
        <v>0</v>
      </c>
      <c r="BO647" s="1386"/>
      <c r="BP647" s="1386"/>
      <c r="BQ647" s="1386"/>
      <c r="BR647" s="1387"/>
      <c r="BS647" s="1388">
        <f t="shared" si="36"/>
        <v>0</v>
      </c>
      <c r="BT647" s="1388"/>
      <c r="BU647" s="1388"/>
      <c r="BV647" s="1388"/>
      <c r="BW647" s="1388"/>
      <c r="BX647" s="1388">
        <f t="shared" si="37"/>
        <v>0</v>
      </c>
      <c r="BY647" s="1388"/>
      <c r="BZ647" s="1388"/>
      <c r="CA647" s="1388"/>
      <c r="CB647" s="1388"/>
      <c r="CC647" s="1388">
        <f t="shared" si="38"/>
        <v>0</v>
      </c>
      <c r="CD647" s="1388"/>
      <c r="CE647" s="1388"/>
      <c r="CF647" s="1388"/>
      <c r="CG647" s="1388"/>
      <c r="CH647" s="1388">
        <f t="shared" si="39"/>
        <v>0</v>
      </c>
      <c r="CI647" s="1388"/>
      <c r="CJ647" s="1388"/>
      <c r="CK647" s="1388"/>
      <c r="CL647" s="1388"/>
      <c r="CM647" s="1388">
        <f t="shared" si="40"/>
        <v>0</v>
      </c>
      <c r="CN647" s="1388"/>
      <c r="CO647" s="1388"/>
      <c r="CP647" s="1388"/>
      <c r="CQ647" s="1388"/>
      <c r="CR647" s="6"/>
      <c r="CS647" s="1385">
        <f t="shared" si="41"/>
        <v>0</v>
      </c>
      <c r="CT647" s="1386"/>
      <c r="CU647" s="1386"/>
      <c r="CV647" s="1386"/>
      <c r="CW647" s="1387"/>
      <c r="CX647" s="1385">
        <f t="shared" si="42"/>
        <v>0</v>
      </c>
      <c r="CY647" s="1386"/>
      <c r="CZ647" s="1386"/>
      <c r="DA647" s="1386"/>
      <c r="DB647" s="1387"/>
      <c r="DC647" s="1385">
        <f t="shared" si="43"/>
        <v>0</v>
      </c>
      <c r="DD647" s="1386"/>
      <c r="DE647" s="1386"/>
      <c r="DF647" s="1386"/>
      <c r="DG647" s="1387"/>
      <c r="DH647" s="1385">
        <f t="shared" si="44"/>
        <v>0</v>
      </c>
      <c r="DI647" s="1386"/>
      <c r="DJ647" s="1386"/>
      <c r="DK647" s="1386"/>
      <c r="DL647" s="1387"/>
      <c r="DM647" s="1385">
        <f t="shared" si="45"/>
        <v>0</v>
      </c>
      <c r="DN647" s="1386"/>
      <c r="DO647" s="1386"/>
      <c r="DP647" s="1386"/>
      <c r="DQ647" s="1387"/>
      <c r="DR647" s="1385">
        <f t="shared" si="46"/>
        <v>0</v>
      </c>
      <c r="DS647" s="1386"/>
      <c r="DT647" s="1386"/>
      <c r="DU647" s="1386"/>
      <c r="DV647" s="1387"/>
      <c r="DX647" s="1364" t="e">
        <f t="shared" si="32"/>
        <v>#VALUE!</v>
      </c>
      <c r="DY647" s="1364"/>
      <c r="DZ647" s="1364"/>
      <c r="EA647" s="1364"/>
      <c r="EB647" s="1364"/>
      <c r="EC647" s="1364" t="e">
        <f t="shared" si="27"/>
        <v>#VALUE!</v>
      </c>
      <c r="ED647" s="1364"/>
      <c r="EE647" s="1364"/>
      <c r="EF647" s="1364"/>
      <c r="EG647" s="1364"/>
      <c r="EH647" s="1364" t="e">
        <f t="shared" si="28"/>
        <v>#VALUE!</v>
      </c>
      <c r="EI647" s="1364"/>
      <c r="EJ647" s="1364"/>
      <c r="EK647" s="1364"/>
      <c r="EL647" s="1364"/>
      <c r="EM647" s="1364" t="e">
        <f t="shared" si="29"/>
        <v>#VALUE!</v>
      </c>
      <c r="EN647" s="1364"/>
      <c r="EO647" s="1364"/>
      <c r="EP647" s="1364"/>
      <c r="EQ647" s="1364"/>
      <c r="ER647" s="1364" t="e">
        <f t="shared" si="30"/>
        <v>#VALUE!</v>
      </c>
      <c r="ES647" s="1364"/>
      <c r="ET647" s="1364"/>
      <c r="EU647" s="1364"/>
      <c r="EV647" s="1364"/>
      <c r="EW647" s="1364" t="e">
        <f t="shared" si="31"/>
        <v>#VALUE!</v>
      </c>
      <c r="EX647" s="1364"/>
      <c r="EY647" s="1364"/>
      <c r="EZ647" s="1364"/>
      <c r="FA647" s="1364"/>
    </row>
    <row r="648" spans="1:157" ht="12.95" customHeight="1">
      <c r="A648" s="22"/>
      <c r="B648" t="s">
        <v>18</v>
      </c>
      <c r="H648" s="1550" t="str">
        <f>AA573</f>
        <v>Seller Note</v>
      </c>
      <c r="I648" s="1467"/>
      <c r="J648" s="1467"/>
      <c r="K648" s="1467"/>
      <c r="L648" s="1467"/>
      <c r="M648" s="1467"/>
      <c r="N648" s="1467"/>
      <c r="O648" s="1467"/>
      <c r="P648" s="1467"/>
      <c r="Q648" s="1467"/>
      <c r="R648" s="1467"/>
      <c r="S648" s="8"/>
      <c r="T648" s="22"/>
      <c r="U648" t="s">
        <v>18</v>
      </c>
      <c r="AA648" s="1467" t="s">
        <v>2767</v>
      </c>
      <c r="AB648" s="1467"/>
      <c r="AC648" s="1467"/>
      <c r="AD648" s="1467"/>
      <c r="AE648" s="1467"/>
      <c r="AF648" s="1467"/>
      <c r="AG648" s="1467"/>
      <c r="AH648" s="1467"/>
      <c r="AI648" s="1467"/>
      <c r="AJ648" s="1467"/>
      <c r="AK648" s="1467"/>
      <c r="AZ648" s="34"/>
      <c r="BA648" s="34"/>
      <c r="BB648" s="34"/>
      <c r="BC648" s="34"/>
      <c r="BD648" s="34"/>
      <c r="BE648" s="34"/>
      <c r="BF648" s="34"/>
      <c r="BG648" s="34"/>
      <c r="BH648" s="34"/>
      <c r="BI648" s="34"/>
      <c r="BJ648" s="34"/>
      <c r="BK648" s="34"/>
      <c r="BL648" s="34"/>
      <c r="BM648" s="34"/>
      <c r="BN648" s="1385">
        <f t="shared" si="35"/>
        <v>0</v>
      </c>
      <c r="BO648" s="1386"/>
      <c r="BP648" s="1386"/>
      <c r="BQ648" s="1386"/>
      <c r="BR648" s="1387"/>
      <c r="BS648" s="1388">
        <f t="shared" si="36"/>
        <v>0</v>
      </c>
      <c r="BT648" s="1388"/>
      <c r="BU648" s="1388"/>
      <c r="BV648" s="1388"/>
      <c r="BW648" s="1388"/>
      <c r="BX648" s="1388">
        <f t="shared" si="37"/>
        <v>0</v>
      </c>
      <c r="BY648" s="1388"/>
      <c r="BZ648" s="1388"/>
      <c r="CA648" s="1388"/>
      <c r="CB648" s="1388"/>
      <c r="CC648" s="1388">
        <f t="shared" si="38"/>
        <v>0</v>
      </c>
      <c r="CD648" s="1388"/>
      <c r="CE648" s="1388"/>
      <c r="CF648" s="1388"/>
      <c r="CG648" s="1388"/>
      <c r="CH648" s="1388">
        <f t="shared" si="39"/>
        <v>0</v>
      </c>
      <c r="CI648" s="1388"/>
      <c r="CJ648" s="1388"/>
      <c r="CK648" s="1388"/>
      <c r="CL648" s="1388"/>
      <c r="CM648" s="1388">
        <f t="shared" si="40"/>
        <v>0</v>
      </c>
      <c r="CN648" s="1388"/>
      <c r="CO648" s="1388"/>
      <c r="CP648" s="1388"/>
      <c r="CQ648" s="1388"/>
      <c r="CR648" s="6"/>
      <c r="CS648" s="1385">
        <f t="shared" si="41"/>
        <v>0</v>
      </c>
      <c r="CT648" s="1386"/>
      <c r="CU648" s="1386"/>
      <c r="CV648" s="1386"/>
      <c r="CW648" s="1387"/>
      <c r="CX648" s="1385">
        <f t="shared" si="42"/>
        <v>0</v>
      </c>
      <c r="CY648" s="1386"/>
      <c r="CZ648" s="1386"/>
      <c r="DA648" s="1386"/>
      <c r="DB648" s="1387"/>
      <c r="DC648" s="1385">
        <f t="shared" si="43"/>
        <v>0</v>
      </c>
      <c r="DD648" s="1386"/>
      <c r="DE648" s="1386"/>
      <c r="DF648" s="1386"/>
      <c r="DG648" s="1387"/>
      <c r="DH648" s="1385">
        <f t="shared" si="44"/>
        <v>0</v>
      </c>
      <c r="DI648" s="1386"/>
      <c r="DJ648" s="1386"/>
      <c r="DK648" s="1386"/>
      <c r="DL648" s="1387"/>
      <c r="DM648" s="1385">
        <f t="shared" si="45"/>
        <v>0</v>
      </c>
      <c r="DN648" s="1386"/>
      <c r="DO648" s="1386"/>
      <c r="DP648" s="1386"/>
      <c r="DQ648" s="1387"/>
      <c r="DR648" s="1385">
        <f t="shared" si="46"/>
        <v>0</v>
      </c>
      <c r="DS648" s="1386"/>
      <c r="DT648" s="1386"/>
      <c r="DU648" s="1386"/>
      <c r="DV648" s="1387"/>
      <c r="DX648" s="1364" t="e">
        <f t="shared" si="32"/>
        <v>#VALUE!</v>
      </c>
      <c r="DY648" s="1364"/>
      <c r="DZ648" s="1364"/>
      <c r="EA648" s="1364"/>
      <c r="EB648" s="1364"/>
      <c r="EC648" s="1364" t="e">
        <f t="shared" si="27"/>
        <v>#VALUE!</v>
      </c>
      <c r="ED648" s="1364"/>
      <c r="EE648" s="1364"/>
      <c r="EF648" s="1364"/>
      <c r="EG648" s="1364"/>
      <c r="EH648" s="1364" t="e">
        <f t="shared" si="28"/>
        <v>#VALUE!</v>
      </c>
      <c r="EI648" s="1364"/>
      <c r="EJ648" s="1364"/>
      <c r="EK648" s="1364"/>
      <c r="EL648" s="1364"/>
      <c r="EM648" s="1364" t="e">
        <f t="shared" si="29"/>
        <v>#VALUE!</v>
      </c>
      <c r="EN648" s="1364"/>
      <c r="EO648" s="1364"/>
      <c r="EP648" s="1364"/>
      <c r="EQ648" s="1364"/>
      <c r="ER648" s="1364" t="e">
        <f t="shared" si="30"/>
        <v>#VALUE!</v>
      </c>
      <c r="ES648" s="1364"/>
      <c r="ET648" s="1364"/>
      <c r="EU648" s="1364"/>
      <c r="EV648" s="1364"/>
      <c r="EW648" s="1364" t="e">
        <f t="shared" si="31"/>
        <v>#VALUE!</v>
      </c>
      <c r="EX648" s="1364"/>
      <c r="EY648" s="1364"/>
      <c r="EZ648" s="1364"/>
      <c r="FA648" s="1364"/>
    </row>
    <row r="649" spans="1:157" ht="12.95" customHeight="1">
      <c r="A649" s="22"/>
      <c r="B649" t="s">
        <v>20</v>
      </c>
      <c r="N649" s="1435" t="s">
        <v>553</v>
      </c>
      <c r="O649" s="1435"/>
      <c r="T649" s="22"/>
      <c r="U649" t="s">
        <v>20</v>
      </c>
      <c r="AG649" s="1435" t="s">
        <v>553</v>
      </c>
      <c r="AH649" s="1435"/>
      <c r="AZ649" s="34"/>
      <c r="BA649" s="34"/>
      <c r="BB649" s="34"/>
      <c r="BC649" s="34"/>
      <c r="BD649" s="34"/>
      <c r="BE649" s="34"/>
      <c r="BF649" s="34"/>
      <c r="BG649" s="34"/>
      <c r="BH649" s="34"/>
      <c r="BI649" s="34"/>
      <c r="BJ649" s="34"/>
      <c r="BK649" s="34"/>
      <c r="BL649" s="34"/>
      <c r="BM649" s="34"/>
      <c r="BN649" s="1385">
        <f t="shared" si="35"/>
        <v>0</v>
      </c>
      <c r="BO649" s="1386"/>
      <c r="BP649" s="1386"/>
      <c r="BQ649" s="1386"/>
      <c r="BR649" s="1387"/>
      <c r="BS649" s="1388">
        <f t="shared" si="36"/>
        <v>0</v>
      </c>
      <c r="BT649" s="1388"/>
      <c r="BU649" s="1388"/>
      <c r="BV649" s="1388"/>
      <c r="BW649" s="1388"/>
      <c r="BX649" s="1388">
        <f t="shared" si="37"/>
        <v>0</v>
      </c>
      <c r="BY649" s="1388"/>
      <c r="BZ649" s="1388"/>
      <c r="CA649" s="1388"/>
      <c r="CB649" s="1388"/>
      <c r="CC649" s="1388">
        <f t="shared" si="38"/>
        <v>0</v>
      </c>
      <c r="CD649" s="1388"/>
      <c r="CE649" s="1388"/>
      <c r="CF649" s="1388"/>
      <c r="CG649" s="1388"/>
      <c r="CH649" s="1388">
        <f t="shared" si="39"/>
        <v>0</v>
      </c>
      <c r="CI649" s="1388"/>
      <c r="CJ649" s="1388"/>
      <c r="CK649" s="1388"/>
      <c r="CL649" s="1388"/>
      <c r="CM649" s="1388">
        <f t="shared" si="40"/>
        <v>0</v>
      </c>
      <c r="CN649" s="1388"/>
      <c r="CO649" s="1388"/>
      <c r="CP649" s="1388"/>
      <c r="CQ649" s="1388"/>
      <c r="CR649" s="6"/>
      <c r="CS649" s="1385">
        <f t="shared" si="41"/>
        <v>0</v>
      </c>
      <c r="CT649" s="1386"/>
      <c r="CU649" s="1386"/>
      <c r="CV649" s="1386"/>
      <c r="CW649" s="1387"/>
      <c r="CX649" s="1385">
        <f t="shared" si="42"/>
        <v>0</v>
      </c>
      <c r="CY649" s="1386"/>
      <c r="CZ649" s="1386"/>
      <c r="DA649" s="1386"/>
      <c r="DB649" s="1387"/>
      <c r="DC649" s="1385">
        <f t="shared" si="43"/>
        <v>0</v>
      </c>
      <c r="DD649" s="1386"/>
      <c r="DE649" s="1386"/>
      <c r="DF649" s="1386"/>
      <c r="DG649" s="1387"/>
      <c r="DH649" s="1385">
        <f t="shared" si="44"/>
        <v>0</v>
      </c>
      <c r="DI649" s="1386"/>
      <c r="DJ649" s="1386"/>
      <c r="DK649" s="1386"/>
      <c r="DL649" s="1387"/>
      <c r="DM649" s="1385">
        <f t="shared" si="45"/>
        <v>0</v>
      </c>
      <c r="DN649" s="1386"/>
      <c r="DO649" s="1386"/>
      <c r="DP649" s="1386"/>
      <c r="DQ649" s="1387"/>
      <c r="DR649" s="1385">
        <f t="shared" si="46"/>
        <v>0</v>
      </c>
      <c r="DS649" s="1386"/>
      <c r="DT649" s="1386"/>
      <c r="DU649" s="1386"/>
      <c r="DV649" s="1387"/>
      <c r="DX649" s="1364" t="e">
        <f t="shared" si="32"/>
        <v>#VALUE!</v>
      </c>
      <c r="DY649" s="1364"/>
      <c r="DZ649" s="1364"/>
      <c r="EA649" s="1364"/>
      <c r="EB649" s="1364"/>
      <c r="EC649" s="1364" t="e">
        <f t="shared" si="27"/>
        <v>#VALUE!</v>
      </c>
      <c r="ED649" s="1364"/>
      <c r="EE649" s="1364"/>
      <c r="EF649" s="1364"/>
      <c r="EG649" s="1364"/>
      <c r="EH649" s="1364" t="e">
        <f t="shared" si="28"/>
        <v>#VALUE!</v>
      </c>
      <c r="EI649" s="1364"/>
      <c r="EJ649" s="1364"/>
      <c r="EK649" s="1364"/>
      <c r="EL649" s="1364"/>
      <c r="EM649" s="1364" t="e">
        <f t="shared" si="29"/>
        <v>#VALUE!</v>
      </c>
      <c r="EN649" s="1364"/>
      <c r="EO649" s="1364"/>
      <c r="EP649" s="1364"/>
      <c r="EQ649" s="1364"/>
      <c r="ER649" s="1364" t="e">
        <f t="shared" si="30"/>
        <v>#VALUE!</v>
      </c>
      <c r="ES649" s="1364"/>
      <c r="ET649" s="1364"/>
      <c r="EU649" s="1364"/>
      <c r="EV649" s="1364"/>
      <c r="EW649" s="1364" t="e">
        <f t="shared" si="31"/>
        <v>#VALUE!</v>
      </c>
      <c r="EX649" s="1364"/>
      <c r="EY649" s="1364"/>
      <c r="EZ649" s="1364"/>
      <c r="FA649" s="1364"/>
    </row>
    <row r="650" spans="1:157" ht="12.95" customHeight="1">
      <c r="A650" s="22"/>
      <c r="T650" s="22"/>
      <c r="AZ650" s="34"/>
      <c r="BA650" s="34"/>
      <c r="BB650" s="34"/>
      <c r="BC650" s="34"/>
      <c r="BD650" s="34"/>
      <c r="BE650" s="34"/>
      <c r="BF650" s="34"/>
      <c r="BG650" s="34"/>
      <c r="BH650" s="34"/>
      <c r="BI650" s="34"/>
      <c r="BJ650" s="34"/>
      <c r="BK650" s="34"/>
      <c r="BL650" s="34"/>
      <c r="BM650" s="34"/>
      <c r="BN650" s="1385">
        <f t="shared" si="35"/>
        <v>0</v>
      </c>
      <c r="BO650" s="1386"/>
      <c r="BP650" s="1386"/>
      <c r="BQ650" s="1386"/>
      <c r="BR650" s="1387"/>
      <c r="BS650" s="1388">
        <f t="shared" si="36"/>
        <v>0</v>
      </c>
      <c r="BT650" s="1388"/>
      <c r="BU650" s="1388"/>
      <c r="BV650" s="1388"/>
      <c r="BW650" s="1388"/>
      <c r="BX650" s="1388">
        <f t="shared" si="37"/>
        <v>0</v>
      </c>
      <c r="BY650" s="1388"/>
      <c r="BZ650" s="1388"/>
      <c r="CA650" s="1388"/>
      <c r="CB650" s="1388"/>
      <c r="CC650" s="1388">
        <f t="shared" si="38"/>
        <v>0</v>
      </c>
      <c r="CD650" s="1388"/>
      <c r="CE650" s="1388"/>
      <c r="CF650" s="1388"/>
      <c r="CG650" s="1388"/>
      <c r="CH650" s="1388">
        <f t="shared" si="39"/>
        <v>0</v>
      </c>
      <c r="CI650" s="1388"/>
      <c r="CJ650" s="1388"/>
      <c r="CK650" s="1388"/>
      <c r="CL650" s="1388"/>
      <c r="CM650" s="1388">
        <f t="shared" si="40"/>
        <v>0</v>
      </c>
      <c r="CN650" s="1388"/>
      <c r="CO650" s="1388"/>
      <c r="CP650" s="1388"/>
      <c r="CQ650" s="1388"/>
      <c r="CR650" s="6"/>
      <c r="CS650" s="1385">
        <f t="shared" si="41"/>
        <v>0</v>
      </c>
      <c r="CT650" s="1386"/>
      <c r="CU650" s="1386"/>
      <c r="CV650" s="1386"/>
      <c r="CW650" s="1387"/>
      <c r="CX650" s="1385">
        <f t="shared" si="42"/>
        <v>0</v>
      </c>
      <c r="CY650" s="1386"/>
      <c r="CZ650" s="1386"/>
      <c r="DA650" s="1386"/>
      <c r="DB650" s="1387"/>
      <c r="DC650" s="1385">
        <f t="shared" si="43"/>
        <v>0</v>
      </c>
      <c r="DD650" s="1386"/>
      <c r="DE650" s="1386"/>
      <c r="DF650" s="1386"/>
      <c r="DG650" s="1387"/>
      <c r="DH650" s="1385">
        <f t="shared" si="44"/>
        <v>0</v>
      </c>
      <c r="DI650" s="1386"/>
      <c r="DJ650" s="1386"/>
      <c r="DK650" s="1386"/>
      <c r="DL650" s="1387"/>
      <c r="DM650" s="1385">
        <f t="shared" si="45"/>
        <v>0</v>
      </c>
      <c r="DN650" s="1386"/>
      <c r="DO650" s="1386"/>
      <c r="DP650" s="1386"/>
      <c r="DQ650" s="1387"/>
      <c r="DR650" s="1385">
        <f t="shared" si="46"/>
        <v>0</v>
      </c>
      <c r="DS650" s="1386"/>
      <c r="DT650" s="1386"/>
      <c r="DU650" s="1386"/>
      <c r="DV650" s="1387"/>
      <c r="DX650" s="1364" t="e">
        <f t="shared" si="32"/>
        <v>#VALUE!</v>
      </c>
      <c r="DY650" s="1364"/>
      <c r="DZ650" s="1364"/>
      <c r="EA650" s="1364"/>
      <c r="EB650" s="1364"/>
      <c r="EC650" s="1364" t="e">
        <f t="shared" si="27"/>
        <v>#VALUE!</v>
      </c>
      <c r="ED650" s="1364"/>
      <c r="EE650" s="1364"/>
      <c r="EF650" s="1364"/>
      <c r="EG650" s="1364"/>
      <c r="EH650" s="1364" t="e">
        <f t="shared" si="28"/>
        <v>#VALUE!</v>
      </c>
      <c r="EI650" s="1364"/>
      <c r="EJ650" s="1364"/>
      <c r="EK650" s="1364"/>
      <c r="EL650" s="1364"/>
      <c r="EM650" s="1364" t="e">
        <f t="shared" si="29"/>
        <v>#VALUE!</v>
      </c>
      <c r="EN650" s="1364"/>
      <c r="EO650" s="1364"/>
      <c r="EP650" s="1364"/>
      <c r="EQ650" s="1364"/>
      <c r="ER650" s="1364" t="e">
        <f t="shared" si="30"/>
        <v>#VALUE!</v>
      </c>
      <c r="ES650" s="1364"/>
      <c r="ET650" s="1364"/>
      <c r="EU650" s="1364"/>
      <c r="EV650" s="1364"/>
      <c r="EW650" s="1364" t="e">
        <f t="shared" si="31"/>
        <v>#VALUE!</v>
      </c>
      <c r="EX650" s="1364"/>
      <c r="EY650" s="1364"/>
      <c r="EZ650" s="1364"/>
      <c r="FA650" s="1364"/>
    </row>
    <row r="651" spans="1:157" ht="12.95" customHeight="1">
      <c r="A651" s="55" t="s">
        <v>119</v>
      </c>
      <c r="B651" t="s">
        <v>471</v>
      </c>
      <c r="G651" s="1504" t="str">
        <f>C629</f>
        <v>County of Ventura General Funds</v>
      </c>
      <c r="H651" s="1504"/>
      <c r="I651" s="1504"/>
      <c r="J651" s="1504"/>
      <c r="K651" s="1504"/>
      <c r="L651" s="1504"/>
      <c r="M651" s="1504"/>
      <c r="N651" s="1504"/>
      <c r="O651" s="1504"/>
      <c r="P651" s="1504"/>
      <c r="Q651" s="1504"/>
      <c r="R651" s="1504"/>
      <c r="T651" s="55" t="s">
        <v>589</v>
      </c>
      <c r="U651" t="s">
        <v>471</v>
      </c>
      <c r="Z651" s="1504" t="str">
        <f>C630</f>
        <v>HACSB Development Loan</v>
      </c>
      <c r="AA651" s="1504"/>
      <c r="AB651" s="1504"/>
      <c r="AC651" s="1504"/>
      <c r="AD651" s="1504"/>
      <c r="AE651" s="1504"/>
      <c r="AF651" s="1504"/>
      <c r="AG651" s="1504"/>
      <c r="AH651" s="1504"/>
      <c r="AI651" s="1504"/>
      <c r="AJ651" s="1504"/>
      <c r="AK651" s="1504"/>
      <c r="AZ651" s="34"/>
      <c r="BA651" s="34"/>
      <c r="BB651" s="34"/>
      <c r="BC651" s="34"/>
      <c r="BD651" s="34"/>
      <c r="BE651" s="34"/>
      <c r="BF651" s="34"/>
      <c r="BG651" s="34"/>
      <c r="BH651" s="34"/>
      <c r="BI651" s="34"/>
      <c r="BJ651" s="34"/>
      <c r="BK651" s="34"/>
      <c r="BL651" s="34"/>
      <c r="BM651" s="34"/>
      <c r="BN651" s="1385">
        <f t="shared" si="35"/>
        <v>0</v>
      </c>
      <c r="BO651" s="1386"/>
      <c r="BP651" s="1386"/>
      <c r="BQ651" s="1386"/>
      <c r="BR651" s="1387"/>
      <c r="BS651" s="1388">
        <f t="shared" si="36"/>
        <v>0</v>
      </c>
      <c r="BT651" s="1388"/>
      <c r="BU651" s="1388"/>
      <c r="BV651" s="1388"/>
      <c r="BW651" s="1388"/>
      <c r="BX651" s="1388">
        <f t="shared" si="37"/>
        <v>0</v>
      </c>
      <c r="BY651" s="1388"/>
      <c r="BZ651" s="1388"/>
      <c r="CA651" s="1388"/>
      <c r="CB651" s="1388"/>
      <c r="CC651" s="1388">
        <f t="shared" si="38"/>
        <v>0</v>
      </c>
      <c r="CD651" s="1388"/>
      <c r="CE651" s="1388"/>
      <c r="CF651" s="1388"/>
      <c r="CG651" s="1388"/>
      <c r="CH651" s="1388">
        <f t="shared" si="39"/>
        <v>0</v>
      </c>
      <c r="CI651" s="1388"/>
      <c r="CJ651" s="1388"/>
      <c r="CK651" s="1388"/>
      <c r="CL651" s="1388"/>
      <c r="CM651" s="1388">
        <f t="shared" si="40"/>
        <v>0</v>
      </c>
      <c r="CN651" s="1388"/>
      <c r="CO651" s="1388"/>
      <c r="CP651" s="1388"/>
      <c r="CQ651" s="1388"/>
      <c r="CR651" s="6"/>
      <c r="CS651" s="1385">
        <f t="shared" si="41"/>
        <v>0</v>
      </c>
      <c r="CT651" s="1386"/>
      <c r="CU651" s="1386"/>
      <c r="CV651" s="1386"/>
      <c r="CW651" s="1387"/>
      <c r="CX651" s="1385">
        <f t="shared" si="42"/>
        <v>0</v>
      </c>
      <c r="CY651" s="1386"/>
      <c r="CZ651" s="1386"/>
      <c r="DA651" s="1386"/>
      <c r="DB651" s="1387"/>
      <c r="DC651" s="1385">
        <f t="shared" si="43"/>
        <v>0</v>
      </c>
      <c r="DD651" s="1386"/>
      <c r="DE651" s="1386"/>
      <c r="DF651" s="1386"/>
      <c r="DG651" s="1387"/>
      <c r="DH651" s="1385">
        <f t="shared" si="44"/>
        <v>0</v>
      </c>
      <c r="DI651" s="1386"/>
      <c r="DJ651" s="1386"/>
      <c r="DK651" s="1386"/>
      <c r="DL651" s="1387"/>
      <c r="DM651" s="1385">
        <f t="shared" si="45"/>
        <v>0</v>
      </c>
      <c r="DN651" s="1386"/>
      <c r="DO651" s="1386"/>
      <c r="DP651" s="1386"/>
      <c r="DQ651" s="1387"/>
      <c r="DR651" s="1385">
        <f t="shared" si="46"/>
        <v>0</v>
      </c>
      <c r="DS651" s="1386"/>
      <c r="DT651" s="1386"/>
      <c r="DU651" s="1386"/>
      <c r="DV651" s="1387"/>
      <c r="DX651" s="1364" t="e">
        <f t="shared" si="32"/>
        <v>#VALUE!</v>
      </c>
      <c r="DY651" s="1364"/>
      <c r="DZ651" s="1364"/>
      <c r="EA651" s="1364"/>
      <c r="EB651" s="1364"/>
      <c r="EC651" s="1364" t="e">
        <f t="shared" si="27"/>
        <v>#VALUE!</v>
      </c>
      <c r="ED651" s="1364"/>
      <c r="EE651" s="1364"/>
      <c r="EF651" s="1364"/>
      <c r="EG651" s="1364"/>
      <c r="EH651" s="1364" t="e">
        <f t="shared" si="28"/>
        <v>#VALUE!</v>
      </c>
      <c r="EI651" s="1364"/>
      <c r="EJ651" s="1364"/>
      <c r="EK651" s="1364"/>
      <c r="EL651" s="1364"/>
      <c r="EM651" s="1364" t="e">
        <f t="shared" si="29"/>
        <v>#VALUE!</v>
      </c>
      <c r="EN651" s="1364"/>
      <c r="EO651" s="1364"/>
      <c r="EP651" s="1364"/>
      <c r="EQ651" s="1364"/>
      <c r="ER651" s="1364" t="e">
        <f t="shared" si="30"/>
        <v>#VALUE!</v>
      </c>
      <c r="ES651" s="1364"/>
      <c r="ET651" s="1364"/>
      <c r="EU651" s="1364"/>
      <c r="EV651" s="1364"/>
      <c r="EW651" s="1364" t="e">
        <f t="shared" si="31"/>
        <v>#VALUE!</v>
      </c>
      <c r="EX651" s="1364"/>
      <c r="EY651" s="1364"/>
      <c r="EZ651" s="1364"/>
      <c r="FA651" s="1364"/>
    </row>
    <row r="652" spans="1:157" ht="12.95" customHeight="1">
      <c r="A652" s="22"/>
      <c r="B652" t="s">
        <v>85</v>
      </c>
      <c r="G652" s="1467" t="str">
        <f>G578</f>
        <v>800 S. Victoria Avenue</v>
      </c>
      <c r="H652" s="1467"/>
      <c r="I652" s="1467"/>
      <c r="J652" s="1467"/>
      <c r="K652" s="1467"/>
      <c r="L652" s="1467"/>
      <c r="M652" s="1467"/>
      <c r="N652" s="1467"/>
      <c r="O652" s="1467"/>
      <c r="P652" s="1467"/>
      <c r="Q652" s="1467"/>
      <c r="R652" s="1467"/>
      <c r="T652" s="22"/>
      <c r="U652" t="s">
        <v>85</v>
      </c>
      <c r="Z652" s="1467" t="str">
        <f>Z644</f>
        <v>995 Riverside St</v>
      </c>
      <c r="AA652" s="1467"/>
      <c r="AB652" s="1467"/>
      <c r="AC652" s="1467"/>
      <c r="AD652" s="1467"/>
      <c r="AE652" s="1467"/>
      <c r="AF652" s="1467"/>
      <c r="AG652" s="1467"/>
      <c r="AH652" s="1467"/>
      <c r="AI652" s="1467"/>
      <c r="AJ652" s="1467"/>
      <c r="AK652" s="1467"/>
      <c r="AZ652" s="34"/>
      <c r="BA652" s="34"/>
      <c r="BB652" s="34"/>
      <c r="BC652" s="34"/>
      <c r="BD652" s="34"/>
      <c r="BE652" s="34"/>
      <c r="BF652" s="34"/>
      <c r="BG652" s="34"/>
      <c r="BH652" s="34"/>
      <c r="BI652" s="34"/>
      <c r="BJ652" s="34"/>
      <c r="BK652" s="34"/>
      <c r="BL652" s="34"/>
      <c r="BM652" s="34"/>
      <c r="BN652" s="1385">
        <f t="shared" si="35"/>
        <v>0</v>
      </c>
      <c r="BO652" s="1386"/>
      <c r="BP652" s="1386"/>
      <c r="BQ652" s="1386"/>
      <c r="BR652" s="1387"/>
      <c r="BS652" s="1388">
        <f t="shared" si="36"/>
        <v>0</v>
      </c>
      <c r="BT652" s="1388"/>
      <c r="BU652" s="1388"/>
      <c r="BV652" s="1388"/>
      <c r="BW652" s="1388"/>
      <c r="BX652" s="1388">
        <f t="shared" si="37"/>
        <v>0</v>
      </c>
      <c r="BY652" s="1388"/>
      <c r="BZ652" s="1388"/>
      <c r="CA652" s="1388"/>
      <c r="CB652" s="1388"/>
      <c r="CC652" s="1388">
        <f t="shared" si="38"/>
        <v>0</v>
      </c>
      <c r="CD652" s="1388"/>
      <c r="CE652" s="1388"/>
      <c r="CF652" s="1388"/>
      <c r="CG652" s="1388"/>
      <c r="CH652" s="1388">
        <f t="shared" si="39"/>
        <v>0</v>
      </c>
      <c r="CI652" s="1388"/>
      <c r="CJ652" s="1388"/>
      <c r="CK652" s="1388"/>
      <c r="CL652" s="1388"/>
      <c r="CM652" s="1388">
        <f t="shared" si="40"/>
        <v>0</v>
      </c>
      <c r="CN652" s="1388"/>
      <c r="CO652" s="1388"/>
      <c r="CP652" s="1388"/>
      <c r="CQ652" s="1388"/>
      <c r="CR652" s="6"/>
      <c r="CS652" s="1385">
        <f t="shared" si="41"/>
        <v>0</v>
      </c>
      <c r="CT652" s="1386"/>
      <c r="CU652" s="1386"/>
      <c r="CV652" s="1386"/>
      <c r="CW652" s="1387"/>
      <c r="CX652" s="1385">
        <f t="shared" si="42"/>
        <v>0</v>
      </c>
      <c r="CY652" s="1386"/>
      <c r="CZ652" s="1386"/>
      <c r="DA652" s="1386"/>
      <c r="DB652" s="1387"/>
      <c r="DC652" s="1385">
        <f t="shared" si="43"/>
        <v>0</v>
      </c>
      <c r="DD652" s="1386"/>
      <c r="DE652" s="1386"/>
      <c r="DF652" s="1386"/>
      <c r="DG652" s="1387"/>
      <c r="DH652" s="1385">
        <f t="shared" si="44"/>
        <v>0</v>
      </c>
      <c r="DI652" s="1386"/>
      <c r="DJ652" s="1386"/>
      <c r="DK652" s="1386"/>
      <c r="DL652" s="1387"/>
      <c r="DM652" s="1385">
        <f t="shared" si="45"/>
        <v>0</v>
      </c>
      <c r="DN652" s="1386"/>
      <c r="DO652" s="1386"/>
      <c r="DP652" s="1386"/>
      <c r="DQ652" s="1387"/>
      <c r="DR652" s="1385">
        <f t="shared" si="46"/>
        <v>0</v>
      </c>
      <c r="DS652" s="1386"/>
      <c r="DT652" s="1386"/>
      <c r="DU652" s="1386"/>
      <c r="DV652" s="1387"/>
      <c r="DX652" s="1364" t="e">
        <f t="shared" si="32"/>
        <v>#VALUE!</v>
      </c>
      <c r="DY652" s="1364"/>
      <c r="DZ652" s="1364"/>
      <c r="EA652" s="1364"/>
      <c r="EB652" s="1364"/>
      <c r="EC652" s="1364" t="e">
        <f t="shared" si="27"/>
        <v>#VALUE!</v>
      </c>
      <c r="ED652" s="1364"/>
      <c r="EE652" s="1364"/>
      <c r="EF652" s="1364"/>
      <c r="EG652" s="1364"/>
      <c r="EH652" s="1364" t="e">
        <f t="shared" si="28"/>
        <v>#VALUE!</v>
      </c>
      <c r="EI652" s="1364"/>
      <c r="EJ652" s="1364"/>
      <c r="EK652" s="1364"/>
      <c r="EL652" s="1364"/>
      <c r="EM652" s="1364" t="e">
        <f t="shared" si="29"/>
        <v>#VALUE!</v>
      </c>
      <c r="EN652" s="1364"/>
      <c r="EO652" s="1364"/>
      <c r="EP652" s="1364"/>
      <c r="EQ652" s="1364"/>
      <c r="ER652" s="1364" t="e">
        <f t="shared" si="30"/>
        <v>#VALUE!</v>
      </c>
      <c r="ES652" s="1364"/>
      <c r="ET652" s="1364"/>
      <c r="EU652" s="1364"/>
      <c r="EV652" s="1364"/>
      <c r="EW652" s="1364" t="e">
        <f t="shared" si="31"/>
        <v>#VALUE!</v>
      </c>
      <c r="EX652" s="1364"/>
      <c r="EY652" s="1364"/>
      <c r="EZ652" s="1364"/>
      <c r="FA652" s="1364"/>
    </row>
    <row r="653" spans="1:157" ht="12.95" customHeight="1">
      <c r="A653" s="22"/>
      <c r="B653" t="s">
        <v>588</v>
      </c>
      <c r="G653" s="1445" t="str">
        <f t="shared" ref="G653:G654" si="47">G579</f>
        <v>Ventura</v>
      </c>
      <c r="H653" s="1445"/>
      <c r="I653" s="1445"/>
      <c r="J653" s="1445"/>
      <c r="K653" s="1445"/>
      <c r="L653" s="1445"/>
      <c r="M653" s="1445"/>
      <c r="N653" s="1445"/>
      <c r="O653" s="1445"/>
      <c r="P653" s="1445"/>
      <c r="Q653" s="1445"/>
      <c r="R653" s="1445"/>
      <c r="T653" s="22"/>
      <c r="U653" t="s">
        <v>588</v>
      </c>
      <c r="Z653" s="1445" t="str">
        <f t="shared" ref="Z653:Z654" si="48">Z645</f>
        <v>Ventura</v>
      </c>
      <c r="AA653" s="1445"/>
      <c r="AB653" s="1445"/>
      <c r="AC653" s="1445"/>
      <c r="AD653" s="1445"/>
      <c r="AE653" s="1445"/>
      <c r="AF653" s="1445"/>
      <c r="AG653" s="1445"/>
      <c r="AH653" s="1445"/>
      <c r="AI653" s="1445"/>
      <c r="AJ653" s="1445"/>
      <c r="AK653" s="1445"/>
      <c r="AZ653" s="34"/>
      <c r="BA653" s="34"/>
      <c r="BB653" s="34"/>
      <c r="BC653" s="34"/>
      <c r="BD653" s="34"/>
      <c r="BE653" s="34"/>
      <c r="BF653" s="34"/>
      <c r="BG653" s="34"/>
      <c r="BH653" s="34"/>
      <c r="BI653" s="34"/>
      <c r="BJ653" s="34"/>
      <c r="BK653" s="34"/>
      <c r="BL653" s="34"/>
      <c r="BM653" s="34"/>
      <c r="BN653" s="1385">
        <f t="shared" si="35"/>
        <v>0</v>
      </c>
      <c r="BO653" s="1386"/>
      <c r="BP653" s="1386"/>
      <c r="BQ653" s="1386"/>
      <c r="BR653" s="1387"/>
      <c r="BS653" s="1388">
        <f t="shared" si="36"/>
        <v>0</v>
      </c>
      <c r="BT653" s="1388"/>
      <c r="BU653" s="1388"/>
      <c r="BV653" s="1388"/>
      <c r="BW653" s="1388"/>
      <c r="BX653" s="1388">
        <f t="shared" si="37"/>
        <v>0</v>
      </c>
      <c r="BY653" s="1388"/>
      <c r="BZ653" s="1388"/>
      <c r="CA653" s="1388"/>
      <c r="CB653" s="1388"/>
      <c r="CC653" s="1388">
        <f t="shared" si="38"/>
        <v>0</v>
      </c>
      <c r="CD653" s="1388"/>
      <c r="CE653" s="1388"/>
      <c r="CF653" s="1388"/>
      <c r="CG653" s="1388"/>
      <c r="CH653" s="1388">
        <f t="shared" si="39"/>
        <v>0</v>
      </c>
      <c r="CI653" s="1388"/>
      <c r="CJ653" s="1388"/>
      <c r="CK653" s="1388"/>
      <c r="CL653" s="1388"/>
      <c r="CM653" s="1388">
        <f t="shared" si="40"/>
        <v>0</v>
      </c>
      <c r="CN653" s="1388"/>
      <c r="CO653" s="1388"/>
      <c r="CP653" s="1388"/>
      <c r="CQ653" s="1388"/>
      <c r="CR653" s="6"/>
      <c r="CS653" s="1385">
        <f t="shared" si="41"/>
        <v>0</v>
      </c>
      <c r="CT653" s="1386"/>
      <c r="CU653" s="1386"/>
      <c r="CV653" s="1386"/>
      <c r="CW653" s="1387"/>
      <c r="CX653" s="1385">
        <f t="shared" si="42"/>
        <v>0</v>
      </c>
      <c r="CY653" s="1386"/>
      <c r="CZ653" s="1386"/>
      <c r="DA653" s="1386"/>
      <c r="DB653" s="1387"/>
      <c r="DC653" s="1385">
        <f t="shared" si="43"/>
        <v>0</v>
      </c>
      <c r="DD653" s="1386"/>
      <c r="DE653" s="1386"/>
      <c r="DF653" s="1386"/>
      <c r="DG653" s="1387"/>
      <c r="DH653" s="1385">
        <f t="shared" si="44"/>
        <v>0</v>
      </c>
      <c r="DI653" s="1386"/>
      <c r="DJ653" s="1386"/>
      <c r="DK653" s="1386"/>
      <c r="DL653" s="1387"/>
      <c r="DM653" s="1385">
        <f t="shared" si="45"/>
        <v>0</v>
      </c>
      <c r="DN653" s="1386"/>
      <c r="DO653" s="1386"/>
      <c r="DP653" s="1386"/>
      <c r="DQ653" s="1387"/>
      <c r="DR653" s="1385">
        <f t="shared" si="46"/>
        <v>0</v>
      </c>
      <c r="DS653" s="1386"/>
      <c r="DT653" s="1386"/>
      <c r="DU653" s="1386"/>
      <c r="DV653" s="1387"/>
      <c r="DX653" s="1364" t="e">
        <f t="shared" si="32"/>
        <v>#VALUE!</v>
      </c>
      <c r="DY653" s="1364"/>
      <c r="DZ653" s="1364"/>
      <c r="EA653" s="1364"/>
      <c r="EB653" s="1364"/>
      <c r="EC653" s="1364" t="e">
        <f t="shared" si="27"/>
        <v>#VALUE!</v>
      </c>
      <c r="ED653" s="1364"/>
      <c r="EE653" s="1364"/>
      <c r="EF653" s="1364"/>
      <c r="EG653" s="1364"/>
      <c r="EH653" s="1364" t="e">
        <f t="shared" si="28"/>
        <v>#VALUE!</v>
      </c>
      <c r="EI653" s="1364"/>
      <c r="EJ653" s="1364"/>
      <c r="EK653" s="1364"/>
      <c r="EL653" s="1364"/>
      <c r="EM653" s="1364" t="e">
        <f t="shared" si="29"/>
        <v>#VALUE!</v>
      </c>
      <c r="EN653" s="1364"/>
      <c r="EO653" s="1364"/>
      <c r="EP653" s="1364"/>
      <c r="EQ653" s="1364"/>
      <c r="ER653" s="1364" t="e">
        <f t="shared" si="30"/>
        <v>#VALUE!</v>
      </c>
      <c r="ES653" s="1364"/>
      <c r="ET653" s="1364"/>
      <c r="EU653" s="1364"/>
      <c r="EV653" s="1364"/>
      <c r="EW653" s="1364" t="e">
        <f t="shared" si="31"/>
        <v>#VALUE!</v>
      </c>
      <c r="EX653" s="1364"/>
      <c r="EY653" s="1364"/>
      <c r="EZ653" s="1364"/>
      <c r="FA653" s="1364"/>
    </row>
    <row r="654" spans="1:157" ht="12.95" customHeight="1">
      <c r="A654" s="22"/>
      <c r="B654" t="s">
        <v>17</v>
      </c>
      <c r="G654" s="1445" t="str">
        <f t="shared" si="47"/>
        <v>Tracy McAulay</v>
      </c>
      <c r="H654" s="1445"/>
      <c r="I654" s="1445"/>
      <c r="J654" s="1445"/>
      <c r="K654" s="1445"/>
      <c r="L654" s="1445"/>
      <c r="M654" s="1445"/>
      <c r="N654" s="1445"/>
      <c r="O654" s="1445"/>
      <c r="P654" s="1445"/>
      <c r="Q654" s="1445"/>
      <c r="R654" s="1445"/>
      <c r="T654" s="22"/>
      <c r="U654" t="s">
        <v>17</v>
      </c>
      <c r="Z654" s="1445" t="str">
        <f t="shared" si="48"/>
        <v>Karen Flock</v>
      </c>
      <c r="AA654" s="1445"/>
      <c r="AB654" s="1445"/>
      <c r="AC654" s="1445"/>
      <c r="AD654" s="1445"/>
      <c r="AE654" s="1445"/>
      <c r="AF654" s="1445"/>
      <c r="AG654" s="1445"/>
      <c r="AH654" s="1445"/>
      <c r="AI654" s="1445"/>
      <c r="AJ654" s="1445"/>
      <c r="AK654" s="1445"/>
      <c r="AZ654" s="34"/>
      <c r="BA654" s="34"/>
      <c r="BB654" s="34"/>
      <c r="BC654" s="34"/>
      <c r="BD654" s="34"/>
      <c r="BE654" s="34"/>
      <c r="BF654" s="34"/>
      <c r="BG654" s="34"/>
      <c r="BH654" s="34"/>
      <c r="BI654" s="34"/>
      <c r="BJ654" s="34"/>
      <c r="BK654" s="34"/>
      <c r="BL654" s="34"/>
      <c r="BM654" s="34"/>
      <c r="BN654" s="1385">
        <f t="shared" si="35"/>
        <v>0</v>
      </c>
      <c r="BO654" s="1386"/>
      <c r="BP654" s="1386"/>
      <c r="BQ654" s="1386"/>
      <c r="BR654" s="1387"/>
      <c r="BS654" s="1388">
        <f t="shared" si="36"/>
        <v>0</v>
      </c>
      <c r="BT654" s="1388"/>
      <c r="BU654" s="1388"/>
      <c r="BV654" s="1388"/>
      <c r="BW654" s="1388"/>
      <c r="BX654" s="1388">
        <f t="shared" si="37"/>
        <v>0</v>
      </c>
      <c r="BY654" s="1388"/>
      <c r="BZ654" s="1388"/>
      <c r="CA654" s="1388"/>
      <c r="CB654" s="1388"/>
      <c r="CC654" s="1388">
        <f t="shared" si="38"/>
        <v>0</v>
      </c>
      <c r="CD654" s="1388"/>
      <c r="CE654" s="1388"/>
      <c r="CF654" s="1388"/>
      <c r="CG654" s="1388"/>
      <c r="CH654" s="1388">
        <f t="shared" si="39"/>
        <v>0</v>
      </c>
      <c r="CI654" s="1388"/>
      <c r="CJ654" s="1388"/>
      <c r="CK654" s="1388"/>
      <c r="CL654" s="1388"/>
      <c r="CM654" s="1388">
        <f t="shared" si="40"/>
        <v>0</v>
      </c>
      <c r="CN654" s="1388"/>
      <c r="CO654" s="1388"/>
      <c r="CP654" s="1388"/>
      <c r="CQ654" s="1388"/>
      <c r="CR654" s="6"/>
      <c r="CS654" s="1385">
        <f t="shared" si="41"/>
        <v>0</v>
      </c>
      <c r="CT654" s="1386"/>
      <c r="CU654" s="1386"/>
      <c r="CV654" s="1386"/>
      <c r="CW654" s="1387"/>
      <c r="CX654" s="1385">
        <f t="shared" si="42"/>
        <v>0</v>
      </c>
      <c r="CY654" s="1386"/>
      <c r="CZ654" s="1386"/>
      <c r="DA654" s="1386"/>
      <c r="DB654" s="1387"/>
      <c r="DC654" s="1385">
        <f t="shared" si="43"/>
        <v>0</v>
      </c>
      <c r="DD654" s="1386"/>
      <c r="DE654" s="1386"/>
      <c r="DF654" s="1386"/>
      <c r="DG654" s="1387"/>
      <c r="DH654" s="1385">
        <f t="shared" si="44"/>
        <v>0</v>
      </c>
      <c r="DI654" s="1386"/>
      <c r="DJ654" s="1386"/>
      <c r="DK654" s="1386"/>
      <c r="DL654" s="1387"/>
      <c r="DM654" s="1385">
        <f t="shared" si="45"/>
        <v>0</v>
      </c>
      <c r="DN654" s="1386"/>
      <c r="DO654" s="1386"/>
      <c r="DP654" s="1386"/>
      <c r="DQ654" s="1387"/>
      <c r="DR654" s="1385">
        <f t="shared" si="46"/>
        <v>0</v>
      </c>
      <c r="DS654" s="1386"/>
      <c r="DT654" s="1386"/>
      <c r="DU654" s="1386"/>
      <c r="DV654" s="1387"/>
      <c r="DX654" s="1364" t="e">
        <f t="shared" si="32"/>
        <v>#VALUE!</v>
      </c>
      <c r="DY654" s="1364"/>
      <c r="DZ654" s="1364"/>
      <c r="EA654" s="1364"/>
      <c r="EB654" s="1364"/>
      <c r="EC654" s="1364" t="e">
        <f t="shared" si="27"/>
        <v>#VALUE!</v>
      </c>
      <c r="ED654" s="1364"/>
      <c r="EE654" s="1364"/>
      <c r="EF654" s="1364"/>
      <c r="EG654" s="1364"/>
      <c r="EH654" s="1364" t="e">
        <f t="shared" si="28"/>
        <v>#VALUE!</v>
      </c>
      <c r="EI654" s="1364"/>
      <c r="EJ654" s="1364"/>
      <c r="EK654" s="1364"/>
      <c r="EL654" s="1364"/>
      <c r="EM654" s="1364" t="e">
        <f t="shared" si="29"/>
        <v>#VALUE!</v>
      </c>
      <c r="EN654" s="1364"/>
      <c r="EO654" s="1364"/>
      <c r="EP654" s="1364"/>
      <c r="EQ654" s="1364"/>
      <c r="ER654" s="1364" t="e">
        <f t="shared" si="30"/>
        <v>#VALUE!</v>
      </c>
      <c r="ES654" s="1364"/>
      <c r="ET654" s="1364"/>
      <c r="EU654" s="1364"/>
      <c r="EV654" s="1364"/>
      <c r="EW654" s="1364" t="e">
        <f t="shared" si="31"/>
        <v>#VALUE!</v>
      </c>
      <c r="EX654" s="1364"/>
      <c r="EY654" s="1364"/>
      <c r="EZ654" s="1364"/>
      <c r="FA654" s="1364"/>
    </row>
    <row r="655" spans="1:157" ht="12.95" customHeight="1">
      <c r="A655" s="22"/>
      <c r="B655" t="s">
        <v>317</v>
      </c>
      <c r="G655" s="1479" t="str">
        <f>G581</f>
        <v>805-662-6792</v>
      </c>
      <c r="H655" s="1479"/>
      <c r="I655" s="1479"/>
      <c r="J655" s="1479"/>
      <c r="K655" s="1479"/>
      <c r="L655" s="1479"/>
      <c r="O655" s="33" t="s">
        <v>207</v>
      </c>
      <c r="P655" s="1487"/>
      <c r="Q655" s="1487"/>
      <c r="R655" s="1487"/>
      <c r="T655" s="22"/>
      <c r="U655" t="s">
        <v>317</v>
      </c>
      <c r="Z655" s="1479">
        <f>Z647</f>
        <v>8056485008</v>
      </c>
      <c r="AA655" s="1479"/>
      <c r="AB655" s="1479"/>
      <c r="AC655" s="1479"/>
      <c r="AD655" s="1479"/>
      <c r="AE655" s="1479"/>
      <c r="AH655" s="33" t="s">
        <v>207</v>
      </c>
      <c r="AI655" s="1487"/>
      <c r="AJ655" s="1487"/>
      <c r="AK655" s="1487"/>
      <c r="AZ655" s="34"/>
      <c r="BA655" s="34"/>
      <c r="BB655" s="34"/>
      <c r="BC655" s="34"/>
      <c r="BD655" s="34"/>
      <c r="BE655" s="34"/>
      <c r="BF655" s="34"/>
      <c r="BG655" s="34"/>
      <c r="BH655" s="34"/>
      <c r="BI655" s="34"/>
      <c r="BJ655" s="34"/>
      <c r="BK655" s="34"/>
      <c r="BL655" s="34"/>
      <c r="BM655" s="34"/>
      <c r="BN655" s="1389">
        <f>SUM(BN645:BR654)</f>
        <v>0</v>
      </c>
      <c r="BO655" s="1505"/>
      <c r="BP655" s="1505"/>
      <c r="BQ655" s="1505"/>
      <c r="BR655" s="1390"/>
      <c r="BS655" s="1721">
        <f>SUM(BS645:BW654)</f>
        <v>0</v>
      </c>
      <c r="BT655" s="1722"/>
      <c r="BU655" s="1722"/>
      <c r="BV655" s="1722"/>
      <c r="BW655" s="1723"/>
      <c r="BX655" s="1721">
        <f>SUM(BX645:CB654)</f>
        <v>0</v>
      </c>
      <c r="BY655" s="1722"/>
      <c r="BZ655" s="1722"/>
      <c r="CA655" s="1722"/>
      <c r="CB655" s="1723"/>
      <c r="CC655" s="1721">
        <f>SUM(CC645:CG654)</f>
        <v>0</v>
      </c>
      <c r="CD655" s="1722"/>
      <c r="CE655" s="1722"/>
      <c r="CF655" s="1722"/>
      <c r="CG655" s="1723"/>
      <c r="CH655" s="1721">
        <f>SUM(CH645:CL654)</f>
        <v>0</v>
      </c>
      <c r="CI655" s="1722"/>
      <c r="CJ655" s="1722"/>
      <c r="CK655" s="1722"/>
      <c r="CL655" s="1723"/>
      <c r="CM655" s="1721">
        <f>SUM(CM645:CQ654)</f>
        <v>0</v>
      </c>
      <c r="CN655" s="1722"/>
      <c r="CO655" s="1722"/>
      <c r="CP655" s="1722"/>
      <c r="CQ655" s="1723"/>
      <c r="CR655" s="1047"/>
      <c r="CS655" s="1762">
        <f>SUM(CS645:CW654)</f>
        <v>0</v>
      </c>
      <c r="CT655" s="1762"/>
      <c r="CU655" s="1762"/>
      <c r="CV655" s="1762"/>
      <c r="CW655" s="1762"/>
      <c r="CX655" s="1762">
        <f>SUM(CX645:DB654)</f>
        <v>0</v>
      </c>
      <c r="CY655" s="1762"/>
      <c r="CZ655" s="1762"/>
      <c r="DA655" s="1762"/>
      <c r="DB655" s="1762"/>
      <c r="DC655" s="1762">
        <f>SUM(DC645:DG654)</f>
        <v>0</v>
      </c>
      <c r="DD655" s="1762"/>
      <c r="DE655" s="1762"/>
      <c r="DF655" s="1762"/>
      <c r="DG655" s="1762"/>
      <c r="DH655" s="1762">
        <f>SUM(DH645:DL654)</f>
        <v>0</v>
      </c>
      <c r="DI655" s="1762"/>
      <c r="DJ655" s="1762"/>
      <c r="DK655" s="1762"/>
      <c r="DL655" s="1762"/>
      <c r="DM655" s="1762">
        <f>SUM(DM645:DQ654)</f>
        <v>0</v>
      </c>
      <c r="DN655" s="1762"/>
      <c r="DO655" s="1762"/>
      <c r="DP655" s="1762"/>
      <c r="DQ655" s="1762"/>
      <c r="DR655" s="1762">
        <f>SUM(DR645:DV654)</f>
        <v>0</v>
      </c>
      <c r="DS655" s="1762"/>
      <c r="DT655" s="1762"/>
      <c r="DU655" s="1762"/>
      <c r="DV655" s="1762"/>
      <c r="DX655" s="1364" t="e">
        <f t="shared" si="32"/>
        <v>#VALUE!</v>
      </c>
      <c r="DY655" s="1364"/>
      <c r="DZ655" s="1364"/>
      <c r="EA655" s="1364"/>
      <c r="EB655" s="1364"/>
      <c r="EC655" s="1364" t="e">
        <f t="shared" si="27"/>
        <v>#VALUE!</v>
      </c>
      <c r="ED655" s="1364"/>
      <c r="EE655" s="1364"/>
      <c r="EF655" s="1364"/>
      <c r="EG655" s="1364"/>
      <c r="EH655" s="1364" t="e">
        <f t="shared" si="28"/>
        <v>#VALUE!</v>
      </c>
      <c r="EI655" s="1364"/>
      <c r="EJ655" s="1364"/>
      <c r="EK655" s="1364"/>
      <c r="EL655" s="1364"/>
      <c r="EM655" s="1364" t="e">
        <f t="shared" si="29"/>
        <v>#VALUE!</v>
      </c>
      <c r="EN655" s="1364"/>
      <c r="EO655" s="1364"/>
      <c r="EP655" s="1364"/>
      <c r="EQ655" s="1364"/>
      <c r="ER655" s="1364" t="e">
        <f t="shared" si="30"/>
        <v>#VALUE!</v>
      </c>
      <c r="ES655" s="1364"/>
      <c r="ET655" s="1364"/>
      <c r="EU655" s="1364"/>
      <c r="EV655" s="1364"/>
      <c r="EW655" s="1364" t="e">
        <f t="shared" si="31"/>
        <v>#VALUE!</v>
      </c>
      <c r="EX655" s="1364"/>
      <c r="EY655" s="1364"/>
      <c r="EZ655" s="1364"/>
      <c r="FA655" s="1364"/>
    </row>
    <row r="656" spans="1:157" ht="12.95" customHeight="1">
      <c r="A656" s="22"/>
      <c r="B656" t="s">
        <v>18</v>
      </c>
      <c r="H656" s="1467" t="s">
        <v>2768</v>
      </c>
      <c r="I656" s="1467"/>
      <c r="J656" s="1467"/>
      <c r="K656" s="1467"/>
      <c r="L656" s="1467"/>
      <c r="M656" s="1467"/>
      <c r="N656" s="1467"/>
      <c r="O656" s="1467"/>
      <c r="P656" s="1467"/>
      <c r="Q656" s="1467"/>
      <c r="R656" s="1467"/>
      <c r="T656" s="22"/>
      <c r="U656" t="s">
        <v>18</v>
      </c>
      <c r="AA656" s="1467" t="str">
        <f>AA648</f>
        <v>Residual Reciepts Loan</v>
      </c>
      <c r="AB656" s="1467"/>
      <c r="AC656" s="1467"/>
      <c r="AD656" s="1467"/>
      <c r="AE656" s="1467"/>
      <c r="AF656" s="1467"/>
      <c r="AG656" s="1467"/>
      <c r="AH656" s="1467"/>
      <c r="AI656" s="1467"/>
      <c r="AJ656" s="1467"/>
      <c r="AK656" s="146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4" t="e">
        <f t="shared" si="32"/>
        <v>#VALUE!</v>
      </c>
      <c r="DY656" s="1364"/>
      <c r="DZ656" s="1364"/>
      <c r="EA656" s="1364"/>
      <c r="EB656" s="1364"/>
      <c r="EC656" s="1364" t="e">
        <f t="shared" si="27"/>
        <v>#VALUE!</v>
      </c>
      <c r="ED656" s="1364"/>
      <c r="EE656" s="1364"/>
      <c r="EF656" s="1364"/>
      <c r="EG656" s="1364"/>
      <c r="EH656" s="1364" t="e">
        <f t="shared" si="28"/>
        <v>#VALUE!</v>
      </c>
      <c r="EI656" s="1364"/>
      <c r="EJ656" s="1364"/>
      <c r="EK656" s="1364"/>
      <c r="EL656" s="1364"/>
      <c r="EM656" s="1364" t="e">
        <f t="shared" si="29"/>
        <v>#VALUE!</v>
      </c>
      <c r="EN656" s="1364"/>
      <c r="EO656" s="1364"/>
      <c r="EP656" s="1364"/>
      <c r="EQ656" s="1364"/>
      <c r="ER656" s="1364" t="e">
        <f t="shared" si="30"/>
        <v>#VALUE!</v>
      </c>
      <c r="ES656" s="1364"/>
      <c r="ET656" s="1364"/>
      <c r="EU656" s="1364"/>
      <c r="EV656" s="1364"/>
      <c r="EW656" s="1364" t="e">
        <f t="shared" si="31"/>
        <v>#VALUE!</v>
      </c>
      <c r="EX656" s="1364"/>
      <c r="EY656" s="1364"/>
      <c r="EZ656" s="1364"/>
      <c r="FA656" s="1364"/>
    </row>
    <row r="657" spans="1:157" ht="12.95" customHeight="1">
      <c r="A657" s="22"/>
      <c r="B657" t="s">
        <v>20</v>
      </c>
      <c r="N657" s="1435" t="s">
        <v>553</v>
      </c>
      <c r="O657" s="1435"/>
      <c r="T657" s="22"/>
      <c r="U657" t="s">
        <v>20</v>
      </c>
      <c r="AG657" s="1435" t="s">
        <v>553</v>
      </c>
      <c r="AH657" s="1435"/>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64">
        <f>SUM(CS655:DV655)</f>
        <v>0</v>
      </c>
      <c r="DS657" s="1364"/>
      <c r="DT657" s="1364"/>
      <c r="DU657" s="1364"/>
      <c r="DV657" s="1364"/>
      <c r="DX657" s="1364" t="e">
        <f t="shared" si="32"/>
        <v>#VALUE!</v>
      </c>
      <c r="DY657" s="1364"/>
      <c r="DZ657" s="1364"/>
      <c r="EA657" s="1364"/>
      <c r="EB657" s="1364"/>
      <c r="EC657" s="1364" t="e">
        <f t="shared" si="27"/>
        <v>#VALUE!</v>
      </c>
      <c r="ED657" s="1364"/>
      <c r="EE657" s="1364"/>
      <c r="EF657" s="1364"/>
      <c r="EG657" s="1364"/>
      <c r="EH657" s="1364" t="e">
        <f t="shared" si="28"/>
        <v>#VALUE!</v>
      </c>
      <c r="EI657" s="1364"/>
      <c r="EJ657" s="1364"/>
      <c r="EK657" s="1364"/>
      <c r="EL657" s="1364"/>
      <c r="EM657" s="1364" t="e">
        <f t="shared" si="29"/>
        <v>#VALUE!</v>
      </c>
      <c r="EN657" s="1364"/>
      <c r="EO657" s="1364"/>
      <c r="EP657" s="1364"/>
      <c r="EQ657" s="1364"/>
      <c r="ER657" s="1364" t="e">
        <f t="shared" si="30"/>
        <v>#VALUE!</v>
      </c>
      <c r="ES657" s="1364"/>
      <c r="ET657" s="1364"/>
      <c r="EU657" s="1364"/>
      <c r="EV657" s="1364"/>
      <c r="EW657" s="1364" t="e">
        <f t="shared" si="31"/>
        <v>#VALUE!</v>
      </c>
      <c r="EX657" s="1364"/>
      <c r="EY657" s="1364"/>
      <c r="EZ657" s="1364"/>
      <c r="FA657" s="136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64" t="e">
        <f t="shared" ref="DX658:DX667" si="49">DX620*(BN620/$BN$632)</f>
        <v>#VALUE!</v>
      </c>
      <c r="DY658" s="1364"/>
      <c r="DZ658" s="1364"/>
      <c r="EA658" s="1364"/>
      <c r="EB658" s="1364"/>
      <c r="EC658" s="1364" t="e">
        <f t="shared" ref="EC658:EC667" si="50">EC620*(BS620/$BS$632)</f>
        <v>#VALUE!</v>
      </c>
      <c r="ED658" s="1364"/>
      <c r="EE658" s="1364"/>
      <c r="EF658" s="1364"/>
      <c r="EG658" s="1364"/>
      <c r="EH658" s="1364" t="e">
        <f t="shared" ref="EH658:EH667" si="51">EH620*(BX620/$BX$632)</f>
        <v>#VALUE!</v>
      </c>
      <c r="EI658" s="1364"/>
      <c r="EJ658" s="1364"/>
      <c r="EK658" s="1364"/>
      <c r="EL658" s="1364"/>
      <c r="EM658" s="1364" t="e">
        <f t="shared" ref="EM658:EM667" si="52">EM620*(CC620/$CC$632)</f>
        <v>#VALUE!</v>
      </c>
      <c r="EN658" s="1364"/>
      <c r="EO658" s="1364"/>
      <c r="EP658" s="1364"/>
      <c r="EQ658" s="1364"/>
      <c r="ER658" s="1364" t="e">
        <f t="shared" ref="ER658:ER667" si="53">ER620*(CH620/$CH$632)</f>
        <v>#VALUE!</v>
      </c>
      <c r="ES658" s="1364"/>
      <c r="ET658" s="1364"/>
      <c r="EU658" s="1364"/>
      <c r="EV658" s="1364"/>
      <c r="EW658" s="1364" t="e">
        <f t="shared" ref="EW658:EW667" si="54">EW620*(CM620/$CM$632)</f>
        <v>#VALUE!</v>
      </c>
      <c r="EX658" s="1364"/>
      <c r="EY658" s="1364"/>
      <c r="EZ658" s="1364"/>
      <c r="FA658" s="1364"/>
    </row>
    <row r="659" spans="1:157" ht="12.95" customHeight="1">
      <c r="A659" s="55" t="s">
        <v>772</v>
      </c>
      <c r="B659" t="s">
        <v>471</v>
      </c>
      <c r="G659" s="1504" t="str">
        <f>C631</f>
        <v>Project Homekey COSR</v>
      </c>
      <c r="H659" s="1504"/>
      <c r="I659" s="1504"/>
      <c r="J659" s="1504"/>
      <c r="K659" s="1504"/>
      <c r="L659" s="1504"/>
      <c r="M659" s="1504"/>
      <c r="N659" s="1504"/>
      <c r="O659" s="1504"/>
      <c r="P659" s="1504"/>
      <c r="Q659" s="1504"/>
      <c r="R659" s="1504"/>
      <c r="T659" s="55" t="s">
        <v>592</v>
      </c>
      <c r="U659" t="s">
        <v>471</v>
      </c>
      <c r="Z659" s="1504" t="str">
        <f>C632</f>
        <v>City of Ventura PLHA</v>
      </c>
      <c r="AA659" s="1504"/>
      <c r="AB659" s="1504"/>
      <c r="AC659" s="1504"/>
      <c r="AD659" s="1504"/>
      <c r="AE659" s="1504"/>
      <c r="AF659" s="1504"/>
      <c r="AG659" s="1504"/>
      <c r="AH659" s="1504"/>
      <c r="AI659" s="1504"/>
      <c r="AJ659" s="1504"/>
      <c r="AK659" s="1504"/>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4" t="e">
        <f t="shared" si="49"/>
        <v>#VALUE!</v>
      </c>
      <c r="DY659" s="1364"/>
      <c r="DZ659" s="1364"/>
      <c r="EA659" s="1364"/>
      <c r="EB659" s="1364"/>
      <c r="EC659" s="1364" t="e">
        <f t="shared" si="50"/>
        <v>#VALUE!</v>
      </c>
      <c r="ED659" s="1364"/>
      <c r="EE659" s="1364"/>
      <c r="EF659" s="1364"/>
      <c r="EG659" s="1364"/>
      <c r="EH659" s="1364" t="e">
        <f t="shared" si="51"/>
        <v>#VALUE!</v>
      </c>
      <c r="EI659" s="1364"/>
      <c r="EJ659" s="1364"/>
      <c r="EK659" s="1364"/>
      <c r="EL659" s="1364"/>
      <c r="EM659" s="1364" t="e">
        <f t="shared" si="52"/>
        <v>#VALUE!</v>
      </c>
      <c r="EN659" s="1364"/>
      <c r="EO659" s="1364"/>
      <c r="EP659" s="1364"/>
      <c r="EQ659" s="1364"/>
      <c r="ER659" s="1364" t="e">
        <f t="shared" si="53"/>
        <v>#VALUE!</v>
      </c>
      <c r="ES659" s="1364"/>
      <c r="ET659" s="1364"/>
      <c r="EU659" s="1364"/>
      <c r="EV659" s="1364"/>
      <c r="EW659" s="1364" t="e">
        <f t="shared" si="54"/>
        <v>#VALUE!</v>
      </c>
      <c r="EX659" s="1364"/>
      <c r="EY659" s="1364"/>
      <c r="EZ659" s="1364"/>
      <c r="FA659" s="1364"/>
    </row>
    <row r="660" spans="1:157" ht="12.95" customHeight="1">
      <c r="A660" s="22"/>
      <c r="B660" t="s">
        <v>85</v>
      </c>
      <c r="G660" s="1467" t="str">
        <f>G586</f>
        <v>2020 W. El Camino Avenue</v>
      </c>
      <c r="H660" s="1467"/>
      <c r="I660" s="1467"/>
      <c r="J660" s="1467"/>
      <c r="K660" s="1467"/>
      <c r="L660" s="1467"/>
      <c r="M660" s="1467"/>
      <c r="N660" s="1467"/>
      <c r="O660" s="1467"/>
      <c r="P660" s="1467"/>
      <c r="Q660" s="1467"/>
      <c r="R660" s="1467"/>
      <c r="T660" s="22"/>
      <c r="U660" t="s">
        <v>85</v>
      </c>
      <c r="Z660" s="1467" t="str">
        <f>Z586</f>
        <v>501 Poli Street</v>
      </c>
      <c r="AA660" s="1467"/>
      <c r="AB660" s="1467"/>
      <c r="AC660" s="1467"/>
      <c r="AD660" s="1467"/>
      <c r="AE660" s="1467"/>
      <c r="AF660" s="1467"/>
      <c r="AG660" s="1467"/>
      <c r="AH660" s="1467"/>
      <c r="AI660" s="1467"/>
      <c r="AJ660" s="1467"/>
      <c r="AK660" s="1467"/>
      <c r="AZ660" s="34"/>
      <c r="BA660" s="34"/>
      <c r="BB660" s="34"/>
      <c r="BC660" s="34"/>
      <c r="BD660" s="34"/>
      <c r="BE660" s="34"/>
      <c r="BF660" s="34"/>
      <c r="BG660" s="34"/>
      <c r="BH660" s="34"/>
      <c r="BI660" s="34"/>
      <c r="BJ660" s="34"/>
      <c r="BK660" s="34"/>
      <c r="BL660" s="34"/>
      <c r="BM660" s="34"/>
      <c r="BN660" s="1721">
        <f>BN632+BN641+BN655</f>
        <v>133</v>
      </c>
      <c r="BO660" s="1722"/>
      <c r="BP660" s="1722"/>
      <c r="BQ660" s="1722"/>
      <c r="BR660" s="1723"/>
      <c r="BS660" s="1721">
        <f>BS632+BS641+BS655</f>
        <v>3</v>
      </c>
      <c r="BT660" s="1722"/>
      <c r="BU660" s="1722"/>
      <c r="BV660" s="1722"/>
      <c r="BW660" s="1723"/>
      <c r="BX660" s="1721">
        <f>BX632+BX641+BX655</f>
        <v>0</v>
      </c>
      <c r="BY660" s="1722"/>
      <c r="BZ660" s="1722"/>
      <c r="CA660" s="1722"/>
      <c r="CB660" s="1723"/>
      <c r="CC660" s="1721">
        <f>CC632+CC641+CC655</f>
        <v>0</v>
      </c>
      <c r="CD660" s="1722"/>
      <c r="CE660" s="1722"/>
      <c r="CF660" s="1722"/>
      <c r="CG660" s="1723"/>
      <c r="CH660" s="1721">
        <f>CH632+CH641+CH655</f>
        <v>0</v>
      </c>
      <c r="CI660" s="1722"/>
      <c r="CJ660" s="1722"/>
      <c r="CK660" s="1722"/>
      <c r="CL660" s="1723"/>
      <c r="CM660" s="1380">
        <f>CM655+CM641+CM632</f>
        <v>0</v>
      </c>
      <c r="CN660" s="1381"/>
      <c r="CO660" s="1381"/>
      <c r="CP660" s="1381"/>
      <c r="CQ660" s="1382"/>
      <c r="CR660" s="3"/>
      <c r="CS660" s="895">
        <f>CS634+CS658</f>
        <v>134</v>
      </c>
      <c r="CT660" s="57" t="s">
        <v>2055</v>
      </c>
      <c r="CU660" s="3"/>
      <c r="CV660" s="3"/>
      <c r="CW660" s="3"/>
      <c r="CX660" s="3"/>
      <c r="CY660" s="3"/>
      <c r="CZ660" s="3"/>
      <c r="DA660" s="3"/>
      <c r="DB660" s="3"/>
      <c r="DC660" s="3"/>
      <c r="DD660" s="3"/>
      <c r="DE660" s="3"/>
      <c r="DF660" s="3"/>
      <c r="DX660" s="1364" t="e">
        <f t="shared" si="49"/>
        <v>#VALUE!</v>
      </c>
      <c r="DY660" s="1364"/>
      <c r="DZ660" s="1364"/>
      <c r="EA660" s="1364"/>
      <c r="EB660" s="1364"/>
      <c r="EC660" s="1364" t="e">
        <f t="shared" si="50"/>
        <v>#VALUE!</v>
      </c>
      <c r="ED660" s="1364"/>
      <c r="EE660" s="1364"/>
      <c r="EF660" s="1364"/>
      <c r="EG660" s="1364"/>
      <c r="EH660" s="1364" t="e">
        <f t="shared" si="51"/>
        <v>#VALUE!</v>
      </c>
      <c r="EI660" s="1364"/>
      <c r="EJ660" s="1364"/>
      <c r="EK660" s="1364"/>
      <c r="EL660" s="1364"/>
      <c r="EM660" s="1364" t="e">
        <f t="shared" si="52"/>
        <v>#VALUE!</v>
      </c>
      <c r="EN660" s="1364"/>
      <c r="EO660" s="1364"/>
      <c r="EP660" s="1364"/>
      <c r="EQ660" s="1364"/>
      <c r="ER660" s="1364" t="e">
        <f t="shared" si="53"/>
        <v>#VALUE!</v>
      </c>
      <c r="ES660" s="1364"/>
      <c r="ET660" s="1364"/>
      <c r="EU660" s="1364"/>
      <c r="EV660" s="1364"/>
      <c r="EW660" s="1364" t="e">
        <f t="shared" si="54"/>
        <v>#VALUE!</v>
      </c>
      <c r="EX660" s="1364"/>
      <c r="EY660" s="1364"/>
      <c r="EZ660" s="1364"/>
      <c r="FA660" s="1364"/>
    </row>
    <row r="661" spans="1:157" ht="12.95" customHeight="1">
      <c r="A661" s="22"/>
      <c r="B661" t="s">
        <v>588</v>
      </c>
      <c r="G661" s="1467" t="str">
        <f t="shared" ref="G661:G662" si="55">G587</f>
        <v>Sacramento</v>
      </c>
      <c r="H661" s="1467"/>
      <c r="I661" s="1467"/>
      <c r="J661" s="1467"/>
      <c r="K661" s="1467"/>
      <c r="L661" s="1467"/>
      <c r="M661" s="1467"/>
      <c r="N661" s="1467"/>
      <c r="O661" s="1467"/>
      <c r="P661" s="1467"/>
      <c r="Q661" s="1467"/>
      <c r="R661" s="1467"/>
      <c r="T661" s="22"/>
      <c r="U661" t="s">
        <v>588</v>
      </c>
      <c r="Z661" s="1445" t="str">
        <f t="shared" ref="Z661:Z662" si="56">Z587</f>
        <v>Ventura</v>
      </c>
      <c r="AA661" s="1445"/>
      <c r="AB661" s="1445"/>
      <c r="AC661" s="1445"/>
      <c r="AD661" s="1445"/>
      <c r="AE661" s="1445"/>
      <c r="AF661" s="1445"/>
      <c r="AG661" s="1445"/>
      <c r="AH661" s="1445"/>
      <c r="AI661" s="1445"/>
      <c r="AJ661" s="1445"/>
      <c r="AK661" s="144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4" t="e">
        <f t="shared" si="49"/>
        <v>#VALUE!</v>
      </c>
      <c r="DY661" s="1364"/>
      <c r="DZ661" s="1364"/>
      <c r="EA661" s="1364"/>
      <c r="EB661" s="1364"/>
      <c r="EC661" s="1364" t="e">
        <f t="shared" si="50"/>
        <v>#VALUE!</v>
      </c>
      <c r="ED661" s="1364"/>
      <c r="EE661" s="1364"/>
      <c r="EF661" s="1364"/>
      <c r="EG661" s="1364"/>
      <c r="EH661" s="1364" t="e">
        <f t="shared" si="51"/>
        <v>#VALUE!</v>
      </c>
      <c r="EI661" s="1364"/>
      <c r="EJ661" s="1364"/>
      <c r="EK661" s="1364"/>
      <c r="EL661" s="1364"/>
      <c r="EM661" s="1364" t="e">
        <f t="shared" si="52"/>
        <v>#VALUE!</v>
      </c>
      <c r="EN661" s="1364"/>
      <c r="EO661" s="1364"/>
      <c r="EP661" s="1364"/>
      <c r="EQ661" s="1364"/>
      <c r="ER661" s="1364" t="e">
        <f t="shared" si="53"/>
        <v>#VALUE!</v>
      </c>
      <c r="ES661" s="1364"/>
      <c r="ET661" s="1364"/>
      <c r="EU661" s="1364"/>
      <c r="EV661" s="1364"/>
      <c r="EW661" s="1364" t="e">
        <f t="shared" si="54"/>
        <v>#VALUE!</v>
      </c>
      <c r="EX661" s="1364"/>
      <c r="EY661" s="1364"/>
      <c r="EZ661" s="1364"/>
      <c r="FA661" s="1364"/>
    </row>
    <row r="662" spans="1:157" ht="12.95" customHeight="1">
      <c r="A662" s="22"/>
      <c r="B662" t="s">
        <v>17</v>
      </c>
      <c r="G662" s="1467" t="str">
        <f t="shared" si="55"/>
        <v>Gustavo Velasquez</v>
      </c>
      <c r="H662" s="1467"/>
      <c r="I662" s="1467"/>
      <c r="J662" s="1467"/>
      <c r="K662" s="1467"/>
      <c r="L662" s="1467"/>
      <c r="M662" s="1467"/>
      <c r="N662" s="1467"/>
      <c r="O662" s="1467"/>
      <c r="P662" s="1467"/>
      <c r="Q662" s="1467"/>
      <c r="R662" s="1467"/>
      <c r="T662" s="22"/>
      <c r="U662" t="s">
        <v>17</v>
      </c>
      <c r="Z662" s="1445" t="str">
        <f t="shared" si="56"/>
        <v>Jennie Buckingham</v>
      </c>
      <c r="AA662" s="1445"/>
      <c r="AB662" s="1445"/>
      <c r="AC662" s="1445"/>
      <c r="AD662" s="1445"/>
      <c r="AE662" s="1445"/>
      <c r="AF662" s="1445"/>
      <c r="AG662" s="1445"/>
      <c r="AH662" s="1445"/>
      <c r="AI662" s="1445"/>
      <c r="AJ662" s="1445"/>
      <c r="AK662" s="144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4" t="e">
        <f t="shared" si="49"/>
        <v>#VALUE!</v>
      </c>
      <c r="DY662" s="1364"/>
      <c r="DZ662" s="1364"/>
      <c r="EA662" s="1364"/>
      <c r="EB662" s="1364"/>
      <c r="EC662" s="1364" t="e">
        <f t="shared" si="50"/>
        <v>#VALUE!</v>
      </c>
      <c r="ED662" s="1364"/>
      <c r="EE662" s="1364"/>
      <c r="EF662" s="1364"/>
      <c r="EG662" s="1364"/>
      <c r="EH662" s="1364" t="e">
        <f t="shared" si="51"/>
        <v>#VALUE!</v>
      </c>
      <c r="EI662" s="1364"/>
      <c r="EJ662" s="1364"/>
      <c r="EK662" s="1364"/>
      <c r="EL662" s="1364"/>
      <c r="EM662" s="1364" t="e">
        <f t="shared" si="52"/>
        <v>#VALUE!</v>
      </c>
      <c r="EN662" s="1364"/>
      <c r="EO662" s="1364"/>
      <c r="EP662" s="1364"/>
      <c r="EQ662" s="1364"/>
      <c r="ER662" s="1364" t="e">
        <f t="shared" si="53"/>
        <v>#VALUE!</v>
      </c>
      <c r="ES662" s="1364"/>
      <c r="ET662" s="1364"/>
      <c r="EU662" s="1364"/>
      <c r="EV662" s="1364"/>
      <c r="EW662" s="1364" t="e">
        <f t="shared" si="54"/>
        <v>#VALUE!</v>
      </c>
      <c r="EX662" s="1364"/>
      <c r="EY662" s="1364"/>
      <c r="EZ662" s="1364"/>
      <c r="FA662" s="1364"/>
    </row>
    <row r="663" spans="1:157" ht="12.95" customHeight="1">
      <c r="A663" s="22"/>
      <c r="B663" t="s">
        <v>317</v>
      </c>
      <c r="G663" s="1479" t="str">
        <f>G589</f>
        <v>916-263-7400</v>
      </c>
      <c r="H663" s="1479"/>
      <c r="I663" s="1479"/>
      <c r="J663" s="1479"/>
      <c r="K663" s="1479"/>
      <c r="L663" s="1479"/>
      <c r="O663" s="33" t="s">
        <v>207</v>
      </c>
      <c r="P663" s="1487"/>
      <c r="Q663" s="1487"/>
      <c r="R663" s="1487"/>
      <c r="T663" s="22"/>
      <c r="U663" t="s">
        <v>317</v>
      </c>
      <c r="Z663" s="1479">
        <f>Z589</f>
        <v>8056547732</v>
      </c>
      <c r="AA663" s="1479"/>
      <c r="AB663" s="1479"/>
      <c r="AC663" s="1479"/>
      <c r="AD663" s="1479"/>
      <c r="AE663" s="1479"/>
      <c r="AH663" s="33" t="s">
        <v>207</v>
      </c>
      <c r="AI663" s="1487"/>
      <c r="AJ663" s="1487"/>
      <c r="AK663" s="148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4" t="e">
        <f t="shared" si="49"/>
        <v>#VALUE!</v>
      </c>
      <c r="DY663" s="1364"/>
      <c r="DZ663" s="1364"/>
      <c r="EA663" s="1364"/>
      <c r="EB663" s="1364"/>
      <c r="EC663" s="1364" t="e">
        <f t="shared" si="50"/>
        <v>#VALUE!</v>
      </c>
      <c r="ED663" s="1364"/>
      <c r="EE663" s="1364"/>
      <c r="EF663" s="1364"/>
      <c r="EG663" s="1364"/>
      <c r="EH663" s="1364" t="e">
        <f t="shared" si="51"/>
        <v>#VALUE!</v>
      </c>
      <c r="EI663" s="1364"/>
      <c r="EJ663" s="1364"/>
      <c r="EK663" s="1364"/>
      <c r="EL663" s="1364"/>
      <c r="EM663" s="1364" t="e">
        <f t="shared" si="52"/>
        <v>#VALUE!</v>
      </c>
      <c r="EN663" s="1364"/>
      <c r="EO663" s="1364"/>
      <c r="EP663" s="1364"/>
      <c r="EQ663" s="1364"/>
      <c r="ER663" s="1364" t="e">
        <f t="shared" si="53"/>
        <v>#VALUE!</v>
      </c>
      <c r="ES663" s="1364"/>
      <c r="ET663" s="1364"/>
      <c r="EU663" s="1364"/>
      <c r="EV663" s="1364"/>
      <c r="EW663" s="1364" t="e">
        <f t="shared" si="54"/>
        <v>#VALUE!</v>
      </c>
      <c r="EX663" s="1364"/>
      <c r="EY663" s="1364"/>
      <c r="EZ663" s="1364"/>
      <c r="FA663" s="1364"/>
    </row>
    <row r="664" spans="1:157" ht="12.95" customHeight="1">
      <c r="A664" s="22"/>
      <c r="B664" t="s">
        <v>18</v>
      </c>
      <c r="H664" s="1550" t="str">
        <f>H590</f>
        <v>Capitalized Operating Subsidy Reserve</v>
      </c>
      <c r="I664" s="1467"/>
      <c r="J664" s="1467"/>
      <c r="K664" s="1467"/>
      <c r="L664" s="1467"/>
      <c r="M664" s="1467"/>
      <c r="N664" s="1467"/>
      <c r="O664" s="1467"/>
      <c r="P664" s="1467"/>
      <c r="Q664" s="1467"/>
      <c r="R664" s="1467"/>
      <c r="T664" s="22"/>
      <c r="U664" t="s">
        <v>18</v>
      </c>
      <c r="AA664" s="1467"/>
      <c r="AB664" s="1467"/>
      <c r="AC664" s="1467"/>
      <c r="AD664" s="1467"/>
      <c r="AE664" s="1467"/>
      <c r="AF664" s="1467"/>
      <c r="AG664" s="1467"/>
      <c r="AH664" s="1467"/>
      <c r="AI664" s="1467"/>
      <c r="AJ664" s="1467"/>
      <c r="AK664" s="146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4" t="e">
        <f t="shared" si="49"/>
        <v>#VALUE!</v>
      </c>
      <c r="DY664" s="1364"/>
      <c r="DZ664" s="1364"/>
      <c r="EA664" s="1364"/>
      <c r="EB664" s="1364"/>
      <c r="EC664" s="1364" t="e">
        <f t="shared" si="50"/>
        <v>#VALUE!</v>
      </c>
      <c r="ED664" s="1364"/>
      <c r="EE664" s="1364"/>
      <c r="EF664" s="1364"/>
      <c r="EG664" s="1364"/>
      <c r="EH664" s="1364" t="e">
        <f t="shared" si="51"/>
        <v>#VALUE!</v>
      </c>
      <c r="EI664" s="1364"/>
      <c r="EJ664" s="1364"/>
      <c r="EK664" s="1364"/>
      <c r="EL664" s="1364"/>
      <c r="EM664" s="1364" t="e">
        <f t="shared" si="52"/>
        <v>#VALUE!</v>
      </c>
      <c r="EN664" s="1364"/>
      <c r="EO664" s="1364"/>
      <c r="EP664" s="1364"/>
      <c r="EQ664" s="1364"/>
      <c r="ER664" s="1364" t="e">
        <f t="shared" si="53"/>
        <v>#VALUE!</v>
      </c>
      <c r="ES664" s="1364"/>
      <c r="ET664" s="1364"/>
      <c r="EU664" s="1364"/>
      <c r="EV664" s="1364"/>
      <c r="EW664" s="1364" t="e">
        <f t="shared" si="54"/>
        <v>#VALUE!</v>
      </c>
      <c r="EX664" s="1364"/>
      <c r="EY664" s="1364"/>
      <c r="EZ664" s="1364"/>
      <c r="FA664" s="1364"/>
    </row>
    <row r="665" spans="1:157" ht="12.95" customHeight="1">
      <c r="A665" s="22"/>
      <c r="B665" t="s">
        <v>20</v>
      </c>
      <c r="N665" s="1435" t="s">
        <v>677</v>
      </c>
      <c r="O665" s="1435"/>
      <c r="T665" s="22"/>
      <c r="U665" t="s">
        <v>20</v>
      </c>
      <c r="AG665" s="1435" t="s">
        <v>677</v>
      </c>
      <c r="AH665" s="14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4" t="e">
        <f t="shared" si="49"/>
        <v>#VALUE!</v>
      </c>
      <c r="DY665" s="1364"/>
      <c r="DZ665" s="1364"/>
      <c r="EA665" s="1364"/>
      <c r="EB665" s="1364"/>
      <c r="EC665" s="1364" t="e">
        <f t="shared" si="50"/>
        <v>#VALUE!</v>
      </c>
      <c r="ED665" s="1364"/>
      <c r="EE665" s="1364"/>
      <c r="EF665" s="1364"/>
      <c r="EG665" s="1364"/>
      <c r="EH665" s="1364" t="e">
        <f t="shared" si="51"/>
        <v>#VALUE!</v>
      </c>
      <c r="EI665" s="1364"/>
      <c r="EJ665" s="1364"/>
      <c r="EK665" s="1364"/>
      <c r="EL665" s="1364"/>
      <c r="EM665" s="1364" t="e">
        <f t="shared" si="52"/>
        <v>#VALUE!</v>
      </c>
      <c r="EN665" s="1364"/>
      <c r="EO665" s="1364"/>
      <c r="EP665" s="1364"/>
      <c r="EQ665" s="1364"/>
      <c r="ER665" s="1364" t="e">
        <f t="shared" si="53"/>
        <v>#VALUE!</v>
      </c>
      <c r="ES665" s="1364"/>
      <c r="ET665" s="1364"/>
      <c r="EU665" s="1364"/>
      <c r="EV665" s="1364"/>
      <c r="EW665" s="1364" t="e">
        <f t="shared" si="54"/>
        <v>#VALUE!</v>
      </c>
      <c r="EX665" s="1364"/>
      <c r="EY665" s="1364"/>
      <c r="EZ665" s="1364"/>
      <c r="FA665" s="1364"/>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4" t="e">
        <f t="shared" si="49"/>
        <v>#VALUE!</v>
      </c>
      <c r="DY666" s="1364"/>
      <c r="DZ666" s="1364"/>
      <c r="EA666" s="1364"/>
      <c r="EB666" s="1364"/>
      <c r="EC666" s="1364" t="e">
        <f t="shared" si="50"/>
        <v>#VALUE!</v>
      </c>
      <c r="ED666" s="1364"/>
      <c r="EE666" s="1364"/>
      <c r="EF666" s="1364"/>
      <c r="EG666" s="1364"/>
      <c r="EH666" s="1364" t="e">
        <f t="shared" si="51"/>
        <v>#VALUE!</v>
      </c>
      <c r="EI666" s="1364"/>
      <c r="EJ666" s="1364"/>
      <c r="EK666" s="1364"/>
      <c r="EL666" s="1364"/>
      <c r="EM666" s="1364" t="e">
        <f t="shared" si="52"/>
        <v>#VALUE!</v>
      </c>
      <c r="EN666" s="1364"/>
      <c r="EO666" s="1364"/>
      <c r="EP666" s="1364"/>
      <c r="EQ666" s="1364"/>
      <c r="ER666" s="1364" t="e">
        <f t="shared" si="53"/>
        <v>#VALUE!</v>
      </c>
      <c r="ES666" s="1364"/>
      <c r="ET666" s="1364"/>
      <c r="EU666" s="1364"/>
      <c r="EV666" s="1364"/>
      <c r="EW666" s="1364" t="e">
        <f t="shared" si="54"/>
        <v>#VALUE!</v>
      </c>
      <c r="EX666" s="1364"/>
      <c r="EY666" s="1364"/>
      <c r="EZ666" s="1364"/>
      <c r="FA666" s="1364"/>
    </row>
    <row r="667" spans="1:157" ht="12.95" customHeight="1">
      <c r="A667" s="55" t="s">
        <v>463</v>
      </c>
      <c r="B667" t="s">
        <v>471</v>
      </c>
      <c r="G667" s="1504" t="str">
        <f>C633</f>
        <v>HACSB Loan</v>
      </c>
      <c r="H667" s="1504"/>
      <c r="I667" s="1504"/>
      <c r="J667" s="1504"/>
      <c r="K667" s="1504"/>
      <c r="L667" s="1504"/>
      <c r="M667" s="1504"/>
      <c r="N667" s="1504"/>
      <c r="O667" s="1504"/>
      <c r="P667" s="1504"/>
      <c r="Q667" s="1504"/>
      <c r="R667" s="1504"/>
      <c r="T667" s="55" t="s">
        <v>464</v>
      </c>
      <c r="U667" t="s">
        <v>471</v>
      </c>
      <c r="Z667" s="1504" t="str">
        <f>C634</f>
        <v>Deferred Developer Fee</v>
      </c>
      <c r="AA667" s="1504"/>
      <c r="AB667" s="1504"/>
      <c r="AC667" s="1504"/>
      <c r="AD667" s="1504"/>
      <c r="AE667" s="1504"/>
      <c r="AF667" s="1504"/>
      <c r="AG667" s="1504"/>
      <c r="AH667" s="1504"/>
      <c r="AI667" s="1504"/>
      <c r="AJ667" s="1504"/>
      <c r="AK667" s="1504"/>
      <c r="AZ667" s="3"/>
      <c r="BA667" s="118">
        <f t="shared" ref="BA667:BA699" si="57">IF($G718=0,"N/A",VLOOKUP($T$189,TC_Rent,(MATCH($B718,bedrooms,FALSE))))</f>
        <v>2324</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4" t="e">
        <f t="shared" si="49"/>
        <v>#VALUE!</v>
      </c>
      <c r="DY667" s="1364"/>
      <c r="DZ667" s="1364"/>
      <c r="EA667" s="1364"/>
      <c r="EB667" s="1364"/>
      <c r="EC667" s="1364" t="e">
        <f t="shared" si="50"/>
        <v>#VALUE!</v>
      </c>
      <c r="ED667" s="1364"/>
      <c r="EE667" s="1364"/>
      <c r="EF667" s="1364"/>
      <c r="EG667" s="1364"/>
      <c r="EH667" s="1364" t="e">
        <f t="shared" si="51"/>
        <v>#VALUE!</v>
      </c>
      <c r="EI667" s="1364"/>
      <c r="EJ667" s="1364"/>
      <c r="EK667" s="1364"/>
      <c r="EL667" s="1364"/>
      <c r="EM667" s="1364" t="e">
        <f t="shared" si="52"/>
        <v>#VALUE!</v>
      </c>
      <c r="EN667" s="1364"/>
      <c r="EO667" s="1364"/>
      <c r="EP667" s="1364"/>
      <c r="EQ667" s="1364"/>
      <c r="ER667" s="1364" t="e">
        <f t="shared" si="53"/>
        <v>#VALUE!</v>
      </c>
      <c r="ES667" s="1364"/>
      <c r="ET667" s="1364"/>
      <c r="EU667" s="1364"/>
      <c r="EV667" s="1364"/>
      <c r="EW667" s="1364" t="e">
        <f t="shared" si="54"/>
        <v>#VALUE!</v>
      </c>
      <c r="EX667" s="1364"/>
      <c r="EY667" s="1364"/>
      <c r="EZ667" s="1364"/>
      <c r="FA667" s="1364"/>
    </row>
    <row r="668" spans="1:157" ht="12.95" customHeight="1">
      <c r="A668" s="22"/>
      <c r="B668" t="s">
        <v>85</v>
      </c>
      <c r="G668" s="1467" t="str">
        <f>Z644</f>
        <v>995 Riverside St</v>
      </c>
      <c r="H668" s="1467"/>
      <c r="I668" s="1467"/>
      <c r="J668" s="1467"/>
      <c r="K668" s="1467"/>
      <c r="L668" s="1467"/>
      <c r="M668" s="1467"/>
      <c r="N668" s="1467"/>
      <c r="O668" s="1467"/>
      <c r="P668" s="1467"/>
      <c r="Q668" s="1467"/>
      <c r="R668" s="1467"/>
      <c r="T668" s="22"/>
      <c r="U668" t="s">
        <v>85</v>
      </c>
      <c r="Z668" s="1467" t="str">
        <f>Z652</f>
        <v>995 Riverside St</v>
      </c>
      <c r="AA668" s="1467"/>
      <c r="AB668" s="1467"/>
      <c r="AC668" s="1467"/>
      <c r="AD668" s="1467"/>
      <c r="AE668" s="1467"/>
      <c r="AF668" s="1467"/>
      <c r="AG668" s="1467"/>
      <c r="AH668" s="1467"/>
      <c r="AI668" s="1467"/>
      <c r="AJ668" s="1467"/>
      <c r="AK668" s="1467"/>
      <c r="AZ668" s="3"/>
      <c r="BA668" s="118">
        <f t="shared" si="57"/>
        <v>2324</v>
      </c>
      <c r="BB668" s="3"/>
      <c r="BC668" s="3"/>
      <c r="BD668" s="3"/>
      <c r="BE668" s="3"/>
      <c r="BF668" s="218"/>
      <c r="BG668" s="315">
        <f t="shared" ref="BG668:BG700" si="58">G718</f>
        <v>34</v>
      </c>
      <c r="BH668" s="319">
        <f t="shared" ref="BH668:BH702" si="59">IF($BG$703=0,0,BG668/$BG$703)</f>
        <v>0.2537313432835821</v>
      </c>
      <c r="BI668" s="320">
        <f t="shared" ref="BI668:BI691" si="60">IF(BH668=0,"",BH668*AC718)</f>
        <v>0.12686567164179105</v>
      </c>
      <c r="BJ668" s="3"/>
      <c r="BK668" s="3"/>
      <c r="BL668" s="3"/>
      <c r="BM668" s="3"/>
      <c r="BN668" s="3"/>
      <c r="BO668" s="3"/>
      <c r="BT668" s="315">
        <f t="shared" ref="BT668:BT700" si="61">G718</f>
        <v>34</v>
      </c>
      <c r="BU668" s="319">
        <f t="shared" ref="BU668:BU702" si="62">IF($BT$703=0,0,BT668/$BT$703)</f>
        <v>0.2537313432835821</v>
      </c>
      <c r="BV668" s="320">
        <f t="shared" ref="BV668:BV700" si="63">IF(BU668=0,"",BU668*AH718)</f>
        <v>0.12686567164179105</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4" t="e">
        <f>DX630*(BN630/$BN$632)</f>
        <v>#VALUE!</v>
      </c>
      <c r="DY668" s="1364"/>
      <c r="DZ668" s="1364"/>
      <c r="EA668" s="1364"/>
      <c r="EB668" s="1364"/>
      <c r="EC668" s="1364" t="e">
        <f>EC630*(BS630/$BS$632)</f>
        <v>#VALUE!</v>
      </c>
      <c r="ED668" s="1364"/>
      <c r="EE668" s="1364"/>
      <c r="EF668" s="1364"/>
      <c r="EG668" s="1364"/>
      <c r="EH668" s="1364" t="e">
        <f>EH630*(BX630/$BX$632)</f>
        <v>#VALUE!</v>
      </c>
      <c r="EI668" s="1364"/>
      <c r="EJ668" s="1364"/>
      <c r="EK668" s="1364"/>
      <c r="EL668" s="1364"/>
      <c r="EM668" s="1364" t="e">
        <f>EM630*(CC630/$CC$632)</f>
        <v>#VALUE!</v>
      </c>
      <c r="EN668" s="1364"/>
      <c r="EO668" s="1364"/>
      <c r="EP668" s="1364"/>
      <c r="EQ668" s="1364"/>
      <c r="ER668" s="1364" t="e">
        <f>ER630*(CH630/$CH$632)</f>
        <v>#VALUE!</v>
      </c>
      <c r="ES668" s="1364"/>
      <c r="ET668" s="1364"/>
      <c r="EU668" s="1364"/>
      <c r="EV668" s="1364"/>
      <c r="EW668" s="1364" t="e">
        <f>EW630*(CM630/$CM$632)</f>
        <v>#VALUE!</v>
      </c>
      <c r="EX668" s="1364"/>
      <c r="EY668" s="1364"/>
      <c r="EZ668" s="1364"/>
      <c r="FA668" s="1364"/>
    </row>
    <row r="669" spans="1:157" ht="12.95" customHeight="1">
      <c r="A669" s="22"/>
      <c r="B669" t="s">
        <v>588</v>
      </c>
      <c r="G669" s="1467" t="str">
        <f t="shared" ref="G669:G670" si="64">Z645</f>
        <v>Ventura</v>
      </c>
      <c r="H669" s="1467"/>
      <c r="I669" s="1467"/>
      <c r="J669" s="1467"/>
      <c r="K669" s="1467"/>
      <c r="L669" s="1467"/>
      <c r="M669" s="1467"/>
      <c r="N669" s="1467"/>
      <c r="O669" s="1467"/>
      <c r="P669" s="1467"/>
      <c r="Q669" s="1467"/>
      <c r="R669" s="1467"/>
      <c r="T669" s="22"/>
      <c r="U669" t="s">
        <v>588</v>
      </c>
      <c r="Z669" s="1445" t="str">
        <f t="shared" ref="Z669:Z670" si="65">Z653</f>
        <v>Ventura</v>
      </c>
      <c r="AA669" s="1445"/>
      <c r="AB669" s="1445"/>
      <c r="AC669" s="1445"/>
      <c r="AD669" s="1445"/>
      <c r="AE669" s="1445"/>
      <c r="AF669" s="1445"/>
      <c r="AG669" s="1445"/>
      <c r="AH669" s="1445"/>
      <c r="AI669" s="1445"/>
      <c r="AJ669" s="1445"/>
      <c r="AK669" s="1445"/>
      <c r="AZ669" s="3"/>
      <c r="BA669" s="118">
        <f t="shared" si="57"/>
        <v>2324</v>
      </c>
      <c r="BB669" s="3"/>
      <c r="BC669" s="3"/>
      <c r="BD669" s="3"/>
      <c r="BE669" s="3"/>
      <c r="BF669" s="218"/>
      <c r="BG669" s="316">
        <f t="shared" si="58"/>
        <v>3</v>
      </c>
      <c r="BH669" s="319">
        <f t="shared" si="59"/>
        <v>2.2388059701492536E-2</v>
      </c>
      <c r="BI669" s="320">
        <f t="shared" si="60"/>
        <v>8.9552238805970154E-3</v>
      </c>
      <c r="BJ669" s="3"/>
      <c r="BK669" s="3"/>
      <c r="BL669" s="3"/>
      <c r="BM669" s="3"/>
      <c r="BN669" s="3"/>
      <c r="BO669" s="3"/>
      <c r="BT669" s="316">
        <f t="shared" si="61"/>
        <v>3</v>
      </c>
      <c r="BU669" s="319">
        <f t="shared" si="62"/>
        <v>2.2388059701492536E-2</v>
      </c>
      <c r="BV669" s="320">
        <f t="shared" si="63"/>
        <v>8.9552238805970154E-3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4" t="e">
        <f>DX631*(BN631/$BN$632)</f>
        <v>#VALUE!</v>
      </c>
      <c r="DY669" s="1364"/>
      <c r="DZ669" s="1364"/>
      <c r="EA669" s="1364"/>
      <c r="EB669" s="1364"/>
      <c r="EC669" s="1364" t="e">
        <f>EC631*(BS631/$BS$632)</f>
        <v>#VALUE!</v>
      </c>
      <c r="ED669" s="1364"/>
      <c r="EE669" s="1364"/>
      <c r="EF669" s="1364"/>
      <c r="EG669" s="1364"/>
      <c r="EH669" s="1364" t="e">
        <f>EH631*(BX631/$BX$632)</f>
        <v>#VALUE!</v>
      </c>
      <c r="EI669" s="1364"/>
      <c r="EJ669" s="1364"/>
      <c r="EK669" s="1364"/>
      <c r="EL669" s="1364"/>
      <c r="EM669" s="1364" t="e">
        <f>EM631*(CC631/$CC$632)</f>
        <v>#VALUE!</v>
      </c>
      <c r="EN669" s="1364"/>
      <c r="EO669" s="1364"/>
      <c r="EP669" s="1364"/>
      <c r="EQ669" s="1364"/>
      <c r="ER669" s="1364" t="e">
        <f>ER631*(CH631/$CH$632)</f>
        <v>#VALUE!</v>
      </c>
      <c r="ES669" s="1364"/>
      <c r="ET669" s="1364"/>
      <c r="EU669" s="1364"/>
      <c r="EV669" s="1364"/>
      <c r="EW669" s="1364" t="e">
        <f>EW631*(CM631/$CM$632)</f>
        <v>#VALUE!</v>
      </c>
      <c r="EX669" s="1364"/>
      <c r="EY669" s="1364"/>
      <c r="EZ669" s="1364"/>
      <c r="FA669" s="1364"/>
    </row>
    <row r="670" spans="1:157" ht="12.95" customHeight="1">
      <c r="A670" s="22"/>
      <c r="B670" t="s">
        <v>17</v>
      </c>
      <c r="G670" s="1467" t="str">
        <f t="shared" si="64"/>
        <v>Karen Flock</v>
      </c>
      <c r="H670" s="1467"/>
      <c r="I670" s="1467"/>
      <c r="J670" s="1467"/>
      <c r="K670" s="1467"/>
      <c r="L670" s="1467"/>
      <c r="M670" s="1467"/>
      <c r="N670" s="1467"/>
      <c r="O670" s="1467"/>
      <c r="P670" s="1467"/>
      <c r="Q670" s="1467"/>
      <c r="R670" s="1467"/>
      <c r="T670" s="22"/>
      <c r="U670" t="s">
        <v>17</v>
      </c>
      <c r="Z670" s="1445" t="str">
        <f t="shared" si="65"/>
        <v>Karen Flock</v>
      </c>
      <c r="AA670" s="1445"/>
      <c r="AB670" s="1445"/>
      <c r="AC670" s="1445"/>
      <c r="AD670" s="1445"/>
      <c r="AE670" s="1445"/>
      <c r="AF670" s="1445"/>
      <c r="AG670" s="1445"/>
      <c r="AH670" s="1445"/>
      <c r="AI670" s="1445"/>
      <c r="AJ670" s="1445"/>
      <c r="AK670" s="1445"/>
      <c r="AZ670" s="3"/>
      <c r="BA670" s="118">
        <f t="shared" si="57"/>
        <v>2324</v>
      </c>
      <c r="BB670" s="3"/>
      <c r="BC670" s="3"/>
      <c r="BD670" s="3"/>
      <c r="BE670" s="3"/>
      <c r="BF670" s="218"/>
      <c r="BG670" s="316">
        <f t="shared" si="58"/>
        <v>17</v>
      </c>
      <c r="BH670" s="319">
        <f t="shared" si="59"/>
        <v>0.12686567164179105</v>
      </c>
      <c r="BI670" s="320">
        <f t="shared" si="60"/>
        <v>3.8059701492537311E-2</v>
      </c>
      <c r="BJ670" s="3"/>
      <c r="BK670" s="3"/>
      <c r="BL670" s="3"/>
      <c r="BM670" s="3"/>
      <c r="BN670" s="3"/>
      <c r="BO670" s="3"/>
      <c r="BT670" s="316">
        <f t="shared" si="61"/>
        <v>17</v>
      </c>
      <c r="BU670" s="319">
        <f t="shared" si="62"/>
        <v>0.12686567164179105</v>
      </c>
      <c r="BV670" s="320">
        <f t="shared" si="63"/>
        <v>3.8048783620623222E-2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4">
        <f>SUMIF(DX635:EB669,"&gt;0")</f>
        <v>656.72781954887216</v>
      </c>
      <c r="DY670" s="1364"/>
      <c r="DZ670" s="1364"/>
      <c r="EA670" s="1364"/>
      <c r="EB670" s="1364"/>
      <c r="EC670" s="1364">
        <f>SUMIF(EC635:EG669,"&gt;0")</f>
        <v>747</v>
      </c>
      <c r="ED670" s="1364"/>
      <c r="EE670" s="1364"/>
      <c r="EF670" s="1364"/>
      <c r="EG670" s="1364"/>
      <c r="EH670" s="1364">
        <f>SUMIF(EH635:EL669,"&gt;0")</f>
        <v>0</v>
      </c>
      <c r="EI670" s="1364"/>
      <c r="EJ670" s="1364"/>
      <c r="EK670" s="1364"/>
      <c r="EL670" s="1364"/>
      <c r="EM670" s="1364">
        <f>SUMIF(EM635:EQ669,"&gt;0")</f>
        <v>0</v>
      </c>
      <c r="EN670" s="1364"/>
      <c r="EO670" s="1364"/>
      <c r="EP670" s="1364"/>
      <c r="EQ670" s="1364"/>
      <c r="ER670" s="1364">
        <f>SUMIF(ER635:EV669,"&gt;0")</f>
        <v>0</v>
      </c>
      <c r="ES670" s="1364"/>
      <c r="ET670" s="1364"/>
      <c r="EU670" s="1364"/>
      <c r="EV670" s="1364"/>
      <c r="EW670" s="1364">
        <f>SUMIF(EW635:FA669,"&gt;0")</f>
        <v>0</v>
      </c>
      <c r="EX670" s="1364"/>
      <c r="EY670" s="1364"/>
      <c r="EZ670" s="1364"/>
      <c r="FA670" s="1364"/>
    </row>
    <row r="671" spans="1:157" ht="12.95" customHeight="1">
      <c r="A671" s="22"/>
      <c r="B671" t="s">
        <v>317</v>
      </c>
      <c r="G671" s="1479">
        <f>Z647</f>
        <v>8056485008</v>
      </c>
      <c r="H671" s="1479"/>
      <c r="I671" s="1479"/>
      <c r="J671" s="1479"/>
      <c r="K671" s="1479"/>
      <c r="L671" s="1479"/>
      <c r="O671" s="33" t="s">
        <v>207</v>
      </c>
      <c r="P671" s="1487"/>
      <c r="Q671" s="1487"/>
      <c r="R671" s="1487"/>
      <c r="T671" s="22"/>
      <c r="U671" t="s">
        <v>317</v>
      </c>
      <c r="Z671" s="1479">
        <f>Z655</f>
        <v>8056485008</v>
      </c>
      <c r="AA671" s="1479"/>
      <c r="AB671" s="1479"/>
      <c r="AC671" s="1479"/>
      <c r="AD671" s="1479"/>
      <c r="AE671" s="1479"/>
      <c r="AH671" s="33" t="s">
        <v>207</v>
      </c>
      <c r="AI671" s="1487"/>
      <c r="AJ671" s="1487"/>
      <c r="AK671" s="1487"/>
      <c r="AZ671" s="3"/>
      <c r="BA671" s="118">
        <f t="shared" si="57"/>
        <v>2324</v>
      </c>
      <c r="BB671" s="3"/>
      <c r="BC671" s="3"/>
      <c r="BD671" s="3"/>
      <c r="BE671" s="3"/>
      <c r="BF671" s="218"/>
      <c r="BG671" s="316">
        <f t="shared" si="58"/>
        <v>6</v>
      </c>
      <c r="BH671" s="319">
        <f t="shared" si="59"/>
        <v>4.4776119402985072E-2</v>
      </c>
      <c r="BI671" s="320">
        <f t="shared" si="60"/>
        <v>1.3432835820895521E-2</v>
      </c>
      <c r="BJ671" s="3"/>
      <c r="BK671" s="3"/>
      <c r="BL671" s="3"/>
      <c r="BM671" s="3"/>
      <c r="BN671" s="3"/>
      <c r="BO671" s="3"/>
      <c r="BT671" s="316">
        <f t="shared" si="61"/>
        <v>6</v>
      </c>
      <c r="BU671" s="319">
        <f t="shared" si="62"/>
        <v>4.4776119402985072E-2</v>
      </c>
      <c r="BV671" s="320">
        <f t="shared" si="63"/>
        <v>1.1733501168854521E-2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67" t="str">
        <f>AA648</f>
        <v>Residual Reciepts Loan</v>
      </c>
      <c r="I672" s="1467"/>
      <c r="J672" s="1467"/>
      <c r="K672" s="1467"/>
      <c r="L672" s="1467"/>
      <c r="M672" s="1467"/>
      <c r="N672" s="1467"/>
      <c r="O672" s="1467"/>
      <c r="P672" s="1467"/>
      <c r="Q672" s="1467"/>
      <c r="R672" s="1467"/>
      <c r="T672" s="22"/>
      <c r="U672" t="s">
        <v>18</v>
      </c>
      <c r="AA672" s="1556" t="s">
        <v>1851</v>
      </c>
      <c r="AB672" s="1467"/>
      <c r="AC672" s="1467"/>
      <c r="AD672" s="1467"/>
      <c r="AE672" s="1467"/>
      <c r="AF672" s="1467"/>
      <c r="AG672" s="1467"/>
      <c r="AH672" s="1467"/>
      <c r="AI672" s="1467"/>
      <c r="AJ672" s="1467"/>
      <c r="AK672" s="1467"/>
      <c r="AZ672" s="3"/>
      <c r="BA672" s="118">
        <f t="shared" si="57"/>
        <v>2490</v>
      </c>
      <c r="BB672" s="3"/>
      <c r="BC672" s="3"/>
      <c r="BD672" s="3"/>
      <c r="BE672" s="3"/>
      <c r="BF672" s="218"/>
      <c r="BG672" s="316">
        <f t="shared" si="58"/>
        <v>10</v>
      </c>
      <c r="BH672" s="319">
        <f t="shared" si="59"/>
        <v>7.4626865671641784E-2</v>
      </c>
      <c r="BI672" s="320">
        <f t="shared" si="60"/>
        <v>2.2388059701492536E-2</v>
      </c>
      <c r="BJ672" s="3"/>
      <c r="BK672" s="3"/>
      <c r="BL672" s="3"/>
      <c r="BM672" s="3"/>
      <c r="BN672" s="3"/>
      <c r="BO672" s="3"/>
      <c r="BT672" s="316">
        <f t="shared" si="61"/>
        <v>10</v>
      </c>
      <c r="BU672" s="319">
        <f t="shared" si="62"/>
        <v>7.4626865671641784E-2</v>
      </c>
      <c r="BV672" s="320">
        <f t="shared" si="63"/>
        <v>1.1399542733835127E-2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35" t="s">
        <v>553</v>
      </c>
      <c r="O673" s="1435"/>
      <c r="T673" s="22"/>
      <c r="U673" t="s">
        <v>20</v>
      </c>
      <c r="AG673" s="1435" t="s">
        <v>553</v>
      </c>
      <c r="AH673" s="1435"/>
      <c r="AZ673" s="3"/>
      <c r="BA673" s="118">
        <f t="shared" si="57"/>
        <v>2324</v>
      </c>
      <c r="BB673" s="3"/>
      <c r="BC673" s="3"/>
      <c r="BD673" s="3"/>
      <c r="BE673" s="3"/>
      <c r="BF673" s="218"/>
      <c r="BG673" s="316">
        <f t="shared" si="58"/>
        <v>1</v>
      </c>
      <c r="BH673" s="319">
        <f t="shared" si="59"/>
        <v>7.462686567164179E-3</v>
      </c>
      <c r="BI673" s="320">
        <f t="shared" si="60"/>
        <v>2.2388059701492534E-3</v>
      </c>
      <c r="BJ673" s="3"/>
      <c r="BK673" s="3"/>
      <c r="BL673" s="3"/>
      <c r="BM673" s="3"/>
      <c r="BN673" s="3"/>
      <c r="BO673" s="3"/>
      <c r="BT673" s="316">
        <f t="shared" si="61"/>
        <v>1</v>
      </c>
      <c r="BU673" s="319">
        <f t="shared" si="62"/>
        <v>7.462686567164179E-3</v>
      </c>
      <c r="BV673" s="320">
        <f t="shared" si="63"/>
        <v>2.2388059701492534E-3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57"/>
        <v>2324</v>
      </c>
      <c r="BB674" s="3"/>
      <c r="BC674" s="3"/>
      <c r="BD674" s="3"/>
      <c r="BE674" s="3"/>
      <c r="BF674" s="218"/>
      <c r="BG674" s="316">
        <f t="shared" si="58"/>
        <v>30</v>
      </c>
      <c r="BH674" s="319">
        <f t="shared" si="59"/>
        <v>0.22388059701492538</v>
      </c>
      <c r="BI674" s="320">
        <f t="shared" si="60"/>
        <v>6.7164179104477612E-2</v>
      </c>
      <c r="BJ674" s="3"/>
      <c r="BK674" s="3"/>
      <c r="BL674" s="3"/>
      <c r="BM674" s="3"/>
      <c r="BN674" s="3"/>
      <c r="BO674" s="3"/>
      <c r="BT674" s="316">
        <f t="shared" si="61"/>
        <v>30</v>
      </c>
      <c r="BU674" s="319">
        <f t="shared" si="62"/>
        <v>0.22388059701492538</v>
      </c>
      <c r="BV674" s="320">
        <f t="shared" si="63"/>
        <v>3.4198628201505384E-2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04" t="str">
        <f>C635</f>
        <v>Accrued/Deferred interest</v>
      </c>
      <c r="H675" s="1504"/>
      <c r="I675" s="1504"/>
      <c r="J675" s="1504"/>
      <c r="K675" s="1504"/>
      <c r="L675" s="1504"/>
      <c r="M675" s="1504"/>
      <c r="N675" s="1504"/>
      <c r="O675" s="1504"/>
      <c r="P675" s="1504"/>
      <c r="Q675" s="1504"/>
      <c r="R675" s="1504"/>
      <c r="T675" s="55" t="s">
        <v>654</v>
      </c>
      <c r="U675" t="s">
        <v>471</v>
      </c>
      <c r="Z675" s="1504" t="str">
        <f>C636</f>
        <v>FHLB AHP</v>
      </c>
      <c r="AA675" s="1504"/>
      <c r="AB675" s="1504"/>
      <c r="AC675" s="1504"/>
      <c r="AD675" s="1504"/>
      <c r="AE675" s="1504"/>
      <c r="AF675" s="1504"/>
      <c r="AG675" s="1504"/>
      <c r="AH675" s="1504"/>
      <c r="AI675" s="1504"/>
      <c r="AJ675" s="1504"/>
      <c r="AK675" s="1504"/>
      <c r="AZ675" s="3"/>
      <c r="BA675" s="118" t="str">
        <f t="shared" si="57"/>
        <v>N/A</v>
      </c>
      <c r="BB675" s="3"/>
      <c r="BC675" s="3"/>
      <c r="BD675" s="3"/>
      <c r="BE675" s="3"/>
      <c r="BF675" s="218"/>
      <c r="BG675" s="316">
        <f t="shared" si="58"/>
        <v>33</v>
      </c>
      <c r="BH675" s="319">
        <f t="shared" si="59"/>
        <v>0.2462686567164179</v>
      </c>
      <c r="BI675" s="320">
        <f t="shared" si="60"/>
        <v>7.3880597014925373E-2</v>
      </c>
      <c r="BJ675" s="3"/>
      <c r="BK675" s="3"/>
      <c r="BL675" s="3"/>
      <c r="BM675" s="3"/>
      <c r="BN675" s="3"/>
      <c r="BO675" s="3"/>
      <c r="BT675" s="316">
        <f t="shared" si="61"/>
        <v>33</v>
      </c>
      <c r="BU675" s="319">
        <f t="shared" si="62"/>
        <v>0.2462686567164179</v>
      </c>
      <c r="BV675" s="320">
        <f t="shared" si="63"/>
        <v>4.9274924859352122E-2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67" t="str">
        <f>G668</f>
        <v>995 Riverside St</v>
      </c>
      <c r="H676" s="1467"/>
      <c r="I676" s="1467"/>
      <c r="J676" s="1467"/>
      <c r="K676" s="1467"/>
      <c r="L676" s="1467"/>
      <c r="M676" s="1467"/>
      <c r="N676" s="1467"/>
      <c r="O676" s="1467"/>
      <c r="P676" s="1467"/>
      <c r="Q676" s="1467"/>
      <c r="R676" s="1467"/>
      <c r="T676" s="22"/>
      <c r="U676" t="s">
        <v>85</v>
      </c>
      <c r="Z676" s="1556" t="s">
        <v>2771</v>
      </c>
      <c r="AA676" s="1467"/>
      <c r="AB676" s="1467"/>
      <c r="AC676" s="1467"/>
      <c r="AD676" s="1467"/>
      <c r="AE676" s="1467"/>
      <c r="AF676" s="1467"/>
      <c r="AG676" s="1467"/>
      <c r="AH676" s="1467"/>
      <c r="AI676" s="1467"/>
      <c r="AJ676" s="1467"/>
      <c r="AK676" s="1467"/>
      <c r="AZ676" s="3"/>
      <c r="BA676" s="118" t="str">
        <f t="shared" si="57"/>
        <v>N/A</v>
      </c>
      <c r="BB676" s="3"/>
      <c r="BC676" s="3"/>
      <c r="BD676" s="3"/>
      <c r="BE676" s="3"/>
      <c r="BF676" s="218"/>
      <c r="BG676" s="316">
        <f t="shared" si="58"/>
        <v>0</v>
      </c>
      <c r="BH676" s="319">
        <f t="shared" si="59"/>
        <v>0</v>
      </c>
      <c r="BI676" s="320" t="str">
        <f t="shared" si="60"/>
        <v/>
      </c>
      <c r="BJ676" s="3"/>
      <c r="BK676" s="3"/>
      <c r="BL676" s="3"/>
      <c r="BM676" s="3"/>
      <c r="BN676" s="3"/>
      <c r="BO676" s="3"/>
      <c r="BT676" s="316">
        <f t="shared" si="61"/>
        <v>0</v>
      </c>
      <c r="BU676" s="319">
        <f t="shared" si="62"/>
        <v>0</v>
      </c>
      <c r="BV676" s="320" t="str">
        <f t="shared" si="63"/>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67" t="str">
        <f>G669</f>
        <v>Ventura</v>
      </c>
      <c r="H677" s="1467"/>
      <c r="I677" s="1467"/>
      <c r="J677" s="1467"/>
      <c r="K677" s="1467"/>
      <c r="L677" s="1467"/>
      <c r="M677" s="1467"/>
      <c r="N677" s="1467"/>
      <c r="O677" s="1467"/>
      <c r="P677" s="1467"/>
      <c r="Q677" s="1467"/>
      <c r="R677" s="1467"/>
      <c r="T677" s="22"/>
      <c r="U677" t="s">
        <v>588</v>
      </c>
      <c r="Z677" s="1486" t="s">
        <v>2772</v>
      </c>
      <c r="AA677" s="1445"/>
      <c r="AB677" s="1445"/>
      <c r="AC677" s="1445"/>
      <c r="AD677" s="1445"/>
      <c r="AE677" s="1445"/>
      <c r="AF677" s="1445"/>
      <c r="AG677" s="1445"/>
      <c r="AH677" s="1445"/>
      <c r="AI677" s="1445"/>
      <c r="AJ677" s="1445"/>
      <c r="AK677" s="1445"/>
      <c r="AZ677" s="3"/>
      <c r="BA677" s="118" t="str">
        <f t="shared" si="57"/>
        <v>N/A</v>
      </c>
      <c r="BB677" s="3"/>
      <c r="BC677" s="3"/>
      <c r="BD677" s="3"/>
      <c r="BE677" s="3"/>
      <c r="BF677" s="218"/>
      <c r="BG677" s="316">
        <f t="shared" si="58"/>
        <v>0</v>
      </c>
      <c r="BH677" s="319">
        <f t="shared" si="59"/>
        <v>0</v>
      </c>
      <c r="BI677" s="320" t="str">
        <f t="shared" si="60"/>
        <v/>
      </c>
      <c r="BJ677" s="3"/>
      <c r="BK677" s="3"/>
      <c r="BL677" s="3"/>
      <c r="BM677" s="3"/>
      <c r="BN677" s="3"/>
      <c r="BO677" s="3"/>
      <c r="BT677" s="316">
        <f t="shared" si="61"/>
        <v>0</v>
      </c>
      <c r="BU677" s="319">
        <f t="shared" si="62"/>
        <v>0</v>
      </c>
      <c r="BV677" s="320" t="str">
        <f t="shared" si="63"/>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67" t="str">
        <f>G670</f>
        <v>Karen Flock</v>
      </c>
      <c r="H678" s="1467"/>
      <c r="I678" s="1467"/>
      <c r="J678" s="1467"/>
      <c r="K678" s="1467"/>
      <c r="L678" s="1467"/>
      <c r="M678" s="1467"/>
      <c r="N678" s="1467"/>
      <c r="O678" s="1467"/>
      <c r="P678" s="1467"/>
      <c r="Q678" s="1467"/>
      <c r="R678" s="1467"/>
      <c r="T678" s="22"/>
      <c r="U678" t="s">
        <v>17</v>
      </c>
      <c r="Z678" s="1486" t="s">
        <v>2770</v>
      </c>
      <c r="AA678" s="1445"/>
      <c r="AB678" s="1445"/>
      <c r="AC678" s="1445"/>
      <c r="AD678" s="1445"/>
      <c r="AE678" s="1445"/>
      <c r="AF678" s="1445"/>
      <c r="AG678" s="1445"/>
      <c r="AH678" s="1445"/>
      <c r="AI678" s="1445"/>
      <c r="AJ678" s="1445"/>
      <c r="AK678" s="1445"/>
      <c r="AZ678" s="3"/>
      <c r="BA678" s="118" t="str">
        <f t="shared" si="57"/>
        <v>N/A</v>
      </c>
      <c r="BB678" s="3"/>
      <c r="BC678" s="3"/>
      <c r="BD678" s="3"/>
      <c r="BE678" s="3"/>
      <c r="BF678" s="218"/>
      <c r="BG678" s="316">
        <f t="shared" si="58"/>
        <v>0</v>
      </c>
      <c r="BH678" s="319">
        <f t="shared" si="59"/>
        <v>0</v>
      </c>
      <c r="BI678" s="320" t="str">
        <f t="shared" si="60"/>
        <v/>
      </c>
      <c r="BJ678" s="3"/>
      <c r="BK678" s="3"/>
      <c r="BL678" s="3"/>
      <c r="BM678" s="3"/>
      <c r="BN678" s="3"/>
      <c r="BO678" s="3"/>
      <c r="BT678" s="316">
        <f t="shared" si="61"/>
        <v>0</v>
      </c>
      <c r="BU678" s="319">
        <f t="shared" si="62"/>
        <v>0</v>
      </c>
      <c r="BV678" s="320" t="str">
        <f t="shared" si="63"/>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79">
        <f>G671</f>
        <v>8056485008</v>
      </c>
      <c r="H679" s="1479"/>
      <c r="I679" s="1479"/>
      <c r="J679" s="1479"/>
      <c r="K679" s="1479"/>
      <c r="L679" s="1479"/>
      <c r="O679" s="33" t="s">
        <v>207</v>
      </c>
      <c r="P679" s="1487"/>
      <c r="Q679" s="1487"/>
      <c r="R679" s="1487"/>
      <c r="T679" s="22"/>
      <c r="U679" t="s">
        <v>317</v>
      </c>
      <c r="Z679" s="1846" t="s">
        <v>2773</v>
      </c>
      <c r="AA679" s="1479"/>
      <c r="AB679" s="1479"/>
      <c r="AC679" s="1479"/>
      <c r="AD679" s="1479"/>
      <c r="AE679" s="1479"/>
      <c r="AH679" s="33" t="s">
        <v>207</v>
      </c>
      <c r="AI679" s="1487"/>
      <c r="AJ679" s="1487"/>
      <c r="AK679" s="1487"/>
      <c r="AZ679" s="3"/>
      <c r="BA679" s="118" t="str">
        <f t="shared" si="57"/>
        <v>N/A</v>
      </c>
      <c r="BB679" s="3"/>
      <c r="BC679" s="3"/>
      <c r="BD679" s="3"/>
      <c r="BE679" s="3"/>
      <c r="BF679" s="218"/>
      <c r="BG679" s="316">
        <f t="shared" si="58"/>
        <v>0</v>
      </c>
      <c r="BH679" s="319">
        <f t="shared" si="59"/>
        <v>0</v>
      </c>
      <c r="BI679" s="320" t="str">
        <f t="shared" si="60"/>
        <v/>
      </c>
      <c r="BJ679" s="3"/>
      <c r="BK679" s="3"/>
      <c r="BL679" s="3"/>
      <c r="BM679" s="3"/>
      <c r="BN679" s="3"/>
      <c r="BO679" s="3"/>
      <c r="BT679" s="316">
        <f t="shared" si="61"/>
        <v>0</v>
      </c>
      <c r="BU679" s="319">
        <f t="shared" si="62"/>
        <v>0</v>
      </c>
      <c r="BV679" s="320" t="str">
        <f t="shared" si="63"/>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556" t="s">
        <v>2424</v>
      </c>
      <c r="I680" s="1467"/>
      <c r="J680" s="1467"/>
      <c r="K680" s="1467"/>
      <c r="L680" s="1467"/>
      <c r="M680" s="1467"/>
      <c r="N680" s="1467"/>
      <c r="O680" s="1467"/>
      <c r="P680" s="1467"/>
      <c r="Q680" s="1467"/>
      <c r="R680" s="1467"/>
      <c r="T680" s="22"/>
      <c r="U680" t="s">
        <v>18</v>
      </c>
      <c r="AA680" s="1556" t="s">
        <v>2432</v>
      </c>
      <c r="AB680" s="1467"/>
      <c r="AC680" s="1467"/>
      <c r="AD680" s="1467"/>
      <c r="AE680" s="1467"/>
      <c r="AF680" s="1467"/>
      <c r="AG680" s="1467"/>
      <c r="AH680" s="1467"/>
      <c r="AI680" s="1467"/>
      <c r="AJ680" s="1467"/>
      <c r="AK680" s="1467"/>
      <c r="AZ680" s="3"/>
      <c r="BA680" s="118" t="str">
        <f t="shared" si="57"/>
        <v>N/A</v>
      </c>
      <c r="BB680" s="3"/>
      <c r="BC680" s="3"/>
      <c r="BD680" s="3"/>
      <c r="BE680" s="3"/>
      <c r="BF680" s="218"/>
      <c r="BG680" s="316">
        <f t="shared" si="58"/>
        <v>0</v>
      </c>
      <c r="BH680" s="319">
        <f t="shared" si="59"/>
        <v>0</v>
      </c>
      <c r="BI680" s="320" t="str">
        <f t="shared" si="60"/>
        <v/>
      </c>
      <c r="BJ680" s="3"/>
      <c r="BK680" s="3"/>
      <c r="BL680" s="3"/>
      <c r="BM680" s="3"/>
      <c r="BN680" s="3"/>
      <c r="BO680" s="3"/>
      <c r="BT680" s="316">
        <f t="shared" si="61"/>
        <v>0</v>
      </c>
      <c r="BU680" s="319">
        <f t="shared" si="62"/>
        <v>0</v>
      </c>
      <c r="BV680" s="320" t="str">
        <f t="shared" si="63"/>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35" t="s">
        <v>553</v>
      </c>
      <c r="O681" s="1435"/>
      <c r="T681" s="22"/>
      <c r="U681" t="s">
        <v>20</v>
      </c>
      <c r="AG681" s="1435" t="s">
        <v>677</v>
      </c>
      <c r="AH681" s="1435"/>
      <c r="AZ681" s="3"/>
      <c r="BA681" s="118" t="str">
        <f t="shared" si="57"/>
        <v>N/A</v>
      </c>
      <c r="BB681" s="3"/>
      <c r="BC681" s="3"/>
      <c r="BD681" s="3"/>
      <c r="BE681" s="3"/>
      <c r="BF681" s="218"/>
      <c r="BG681" s="316">
        <f t="shared" si="58"/>
        <v>0</v>
      </c>
      <c r="BH681" s="319">
        <f t="shared" si="59"/>
        <v>0</v>
      </c>
      <c r="BI681" s="320" t="str">
        <f t="shared" si="60"/>
        <v/>
      </c>
      <c r="BJ681" s="3"/>
      <c r="BK681" s="3"/>
      <c r="BL681" s="3"/>
      <c r="BM681" s="3"/>
      <c r="BN681" s="3"/>
      <c r="BO681" s="3"/>
      <c r="BT681" s="316">
        <f t="shared" si="61"/>
        <v>0</v>
      </c>
      <c r="BU681" s="319">
        <f t="shared" si="62"/>
        <v>0</v>
      </c>
      <c r="BV681" s="320" t="str">
        <f t="shared" si="63"/>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57"/>
        <v>N/A</v>
      </c>
      <c r="BB682" s="3"/>
      <c r="BC682" s="3"/>
      <c r="BD682" s="3"/>
      <c r="BE682" s="3"/>
      <c r="BF682" s="218"/>
      <c r="BG682" s="316">
        <f t="shared" si="58"/>
        <v>0</v>
      </c>
      <c r="BH682" s="319">
        <f t="shared" si="59"/>
        <v>0</v>
      </c>
      <c r="BI682" s="320" t="str">
        <f t="shared" si="60"/>
        <v/>
      </c>
      <c r="BJ682" s="3"/>
      <c r="BK682" s="3"/>
      <c r="BL682" s="3"/>
      <c r="BM682" s="3"/>
      <c r="BN682" s="3"/>
      <c r="BO682" s="3"/>
      <c r="BT682" s="316">
        <f t="shared" si="61"/>
        <v>0</v>
      </c>
      <c r="BU682" s="319">
        <f t="shared" si="62"/>
        <v>0</v>
      </c>
      <c r="BV682" s="320" t="str">
        <f t="shared" si="63"/>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504" t="str">
        <f>C637</f>
        <v>City of Ventura Fee Deferral</v>
      </c>
      <c r="H683" s="1504"/>
      <c r="I683" s="1504"/>
      <c r="J683" s="1504"/>
      <c r="K683" s="1504"/>
      <c r="L683" s="1504"/>
      <c r="M683" s="1504"/>
      <c r="N683" s="1504"/>
      <c r="O683" s="1504"/>
      <c r="P683" s="1504"/>
      <c r="Q683" s="1504"/>
      <c r="R683" s="1504"/>
      <c r="T683" s="55" t="s">
        <v>364</v>
      </c>
      <c r="U683" t="s">
        <v>471</v>
      </c>
      <c r="Z683" s="1504">
        <f>C638</f>
        <v>0</v>
      </c>
      <c r="AA683" s="1504"/>
      <c r="AB683" s="1504"/>
      <c r="AC683" s="1504"/>
      <c r="AD683" s="1504"/>
      <c r="AE683" s="1504"/>
      <c r="AF683" s="1504"/>
      <c r="AG683" s="1504"/>
      <c r="AH683" s="1504"/>
      <c r="AI683" s="1504"/>
      <c r="AJ683" s="1504"/>
      <c r="AK683" s="1504"/>
      <c r="AZ683" s="3"/>
      <c r="BA683" s="118" t="str">
        <f t="shared" si="57"/>
        <v>N/A</v>
      </c>
      <c r="BB683" s="3"/>
      <c r="BC683" s="3"/>
      <c r="BD683" s="3"/>
      <c r="BE683" s="3"/>
      <c r="BF683" s="218"/>
      <c r="BG683" s="316">
        <f t="shared" si="58"/>
        <v>0</v>
      </c>
      <c r="BH683" s="319">
        <f t="shared" si="59"/>
        <v>0</v>
      </c>
      <c r="BI683" s="320" t="str">
        <f t="shared" si="60"/>
        <v/>
      </c>
      <c r="BJ683" s="3"/>
      <c r="BK683" s="3"/>
      <c r="BL683" s="3"/>
      <c r="BM683" s="3"/>
      <c r="BN683" s="3"/>
      <c r="BO683" s="3"/>
      <c r="BT683" s="316">
        <f t="shared" si="61"/>
        <v>0</v>
      </c>
      <c r="BU683" s="319">
        <f t="shared" si="62"/>
        <v>0</v>
      </c>
      <c r="BV683" s="320" t="str">
        <f t="shared" si="63"/>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67"/>
      <c r="H684" s="1467"/>
      <c r="I684" s="1467"/>
      <c r="J684" s="1467"/>
      <c r="K684" s="1467"/>
      <c r="L684" s="1467"/>
      <c r="M684" s="1467"/>
      <c r="N684" s="1467"/>
      <c r="O684" s="1467"/>
      <c r="P684" s="1467"/>
      <c r="Q684" s="1467"/>
      <c r="R684" s="1467"/>
      <c r="T684" s="22"/>
      <c r="U684" t="s">
        <v>85</v>
      </c>
      <c r="Z684" s="1467"/>
      <c r="AA684" s="1467"/>
      <c r="AB684" s="1467"/>
      <c r="AC684" s="1467"/>
      <c r="AD684" s="1467"/>
      <c r="AE684" s="1467"/>
      <c r="AF684" s="1467"/>
      <c r="AG684" s="1467"/>
      <c r="AH684" s="1467"/>
      <c r="AI684" s="1467"/>
      <c r="AJ684" s="1467"/>
      <c r="AK684" s="1467"/>
      <c r="AZ684" s="3"/>
      <c r="BA684" s="118" t="str">
        <f t="shared" si="57"/>
        <v>N/A</v>
      </c>
      <c r="BB684" s="3"/>
      <c r="BC684" s="3"/>
      <c r="BD684" s="3"/>
      <c r="BE684" s="3"/>
      <c r="BF684" s="218"/>
      <c r="BG684" s="316">
        <f t="shared" si="58"/>
        <v>0</v>
      </c>
      <c r="BH684" s="319">
        <f t="shared" si="59"/>
        <v>0</v>
      </c>
      <c r="BI684" s="320" t="str">
        <f t="shared" si="60"/>
        <v/>
      </c>
      <c r="BJ684" s="3"/>
      <c r="BK684" s="3"/>
      <c r="BL684" s="3"/>
      <c r="BM684" s="3"/>
      <c r="BN684" s="3"/>
      <c r="BO684" s="3"/>
      <c r="BT684" s="316">
        <f t="shared" si="61"/>
        <v>0</v>
      </c>
      <c r="BU684" s="319">
        <f t="shared" si="62"/>
        <v>0</v>
      </c>
      <c r="BV684" s="320" t="str">
        <f t="shared" si="63"/>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67"/>
      <c r="H685" s="1467"/>
      <c r="I685" s="1467"/>
      <c r="J685" s="1467"/>
      <c r="K685" s="1467"/>
      <c r="L685" s="1467"/>
      <c r="M685" s="1467"/>
      <c r="N685" s="1467"/>
      <c r="O685" s="1467"/>
      <c r="P685" s="1467"/>
      <c r="Q685" s="1467"/>
      <c r="R685" s="1467"/>
      <c r="U685" t="s">
        <v>588</v>
      </c>
      <c r="Z685" s="1445"/>
      <c r="AA685" s="1445"/>
      <c r="AB685" s="1445"/>
      <c r="AC685" s="1445"/>
      <c r="AD685" s="1445"/>
      <c r="AE685" s="1445"/>
      <c r="AF685" s="1445"/>
      <c r="AG685" s="1445"/>
      <c r="AH685" s="1445"/>
      <c r="AI685" s="1445"/>
      <c r="AJ685" s="1445"/>
      <c r="AK685" s="1445"/>
      <c r="AZ685" s="3"/>
      <c r="BA685" s="118" t="str">
        <f t="shared" si="57"/>
        <v>N/A</v>
      </c>
      <c r="BB685" s="3"/>
      <c r="BC685" s="3"/>
      <c r="BD685" s="3"/>
      <c r="BE685" s="3"/>
      <c r="BF685" s="218"/>
      <c r="BG685" s="316">
        <f t="shared" si="58"/>
        <v>0</v>
      </c>
      <c r="BH685" s="319">
        <f t="shared" si="59"/>
        <v>0</v>
      </c>
      <c r="BI685" s="320" t="str">
        <f t="shared" si="60"/>
        <v/>
      </c>
      <c r="BJ685" s="3"/>
      <c r="BK685" s="3"/>
      <c r="BL685" s="3"/>
      <c r="BM685" s="3"/>
      <c r="BN685" s="3"/>
      <c r="BO685" s="3"/>
      <c r="BT685" s="316">
        <f t="shared" si="61"/>
        <v>0</v>
      </c>
      <c r="BU685" s="319">
        <f t="shared" si="62"/>
        <v>0</v>
      </c>
      <c r="BV685" s="320" t="str">
        <f t="shared" si="63"/>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67"/>
      <c r="H686" s="1467"/>
      <c r="I686" s="1467"/>
      <c r="J686" s="1467"/>
      <c r="K686" s="1467"/>
      <c r="L686" s="1467"/>
      <c r="M686" s="1467"/>
      <c r="N686" s="1467"/>
      <c r="O686" s="1467"/>
      <c r="P686" s="1467"/>
      <c r="Q686" s="1467"/>
      <c r="R686" s="1467"/>
      <c r="U686" t="s">
        <v>17</v>
      </c>
      <c r="Z686" s="1445"/>
      <c r="AA686" s="1445"/>
      <c r="AB686" s="1445"/>
      <c r="AC686" s="1445"/>
      <c r="AD686" s="1445"/>
      <c r="AE686" s="1445"/>
      <c r="AF686" s="1445"/>
      <c r="AG686" s="1445"/>
      <c r="AH686" s="1445"/>
      <c r="AI686" s="1445"/>
      <c r="AJ686" s="1445"/>
      <c r="AK686" s="1445"/>
      <c r="AZ686" s="3"/>
      <c r="BA686" s="118" t="str">
        <f t="shared" si="57"/>
        <v>N/A</v>
      </c>
      <c r="BB686" s="3"/>
      <c r="BC686" s="3"/>
      <c r="BD686" s="3"/>
      <c r="BE686" s="3"/>
      <c r="BF686" s="218"/>
      <c r="BG686" s="316">
        <f t="shared" si="58"/>
        <v>0</v>
      </c>
      <c r="BH686" s="319">
        <f t="shared" si="59"/>
        <v>0</v>
      </c>
      <c r="BI686" s="320" t="str">
        <f t="shared" si="60"/>
        <v/>
      </c>
      <c r="BJ686" s="3"/>
      <c r="BK686" s="3"/>
      <c r="BL686" s="3"/>
      <c r="BM686" s="3"/>
      <c r="BN686" s="3"/>
      <c r="BO686" s="3"/>
      <c r="BT686" s="316">
        <f t="shared" si="61"/>
        <v>0</v>
      </c>
      <c r="BU686" s="319">
        <f t="shared" si="62"/>
        <v>0</v>
      </c>
      <c r="BV686" s="320" t="str">
        <f t="shared" si="63"/>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79"/>
      <c r="H687" s="1479"/>
      <c r="I687" s="1479"/>
      <c r="J687" s="1479"/>
      <c r="K687" s="1479"/>
      <c r="L687" s="1479"/>
      <c r="O687" s="33" t="s">
        <v>207</v>
      </c>
      <c r="P687" s="1487"/>
      <c r="Q687" s="1487"/>
      <c r="R687" s="1487"/>
      <c r="U687" t="s">
        <v>317</v>
      </c>
      <c r="Z687" s="1479"/>
      <c r="AA687" s="1479"/>
      <c r="AB687" s="1479"/>
      <c r="AC687" s="1479"/>
      <c r="AD687" s="1479"/>
      <c r="AE687" s="1479"/>
      <c r="AH687" s="33" t="s">
        <v>207</v>
      </c>
      <c r="AI687" s="1487"/>
      <c r="AJ687" s="1487"/>
      <c r="AK687" s="1487"/>
      <c r="AZ687" s="3"/>
      <c r="BA687" s="118" t="str">
        <f t="shared" si="57"/>
        <v>N/A</v>
      </c>
      <c r="BB687" s="3"/>
      <c r="BC687" s="3"/>
      <c r="BD687" s="3"/>
      <c r="BE687" s="3"/>
      <c r="BF687" s="218"/>
      <c r="BG687" s="316">
        <f t="shared" si="58"/>
        <v>0</v>
      </c>
      <c r="BH687" s="319">
        <f t="shared" si="59"/>
        <v>0</v>
      </c>
      <c r="BI687" s="320" t="str">
        <f t="shared" si="60"/>
        <v/>
      </c>
      <c r="BJ687" s="3"/>
      <c r="BK687" s="3"/>
      <c r="BL687" s="3"/>
      <c r="BM687" s="3"/>
      <c r="BN687" s="3"/>
      <c r="BO687" s="3"/>
      <c r="BT687" s="316">
        <f t="shared" si="61"/>
        <v>0</v>
      </c>
      <c r="BU687" s="319">
        <f t="shared" si="62"/>
        <v>0</v>
      </c>
      <c r="BV687" s="320" t="str">
        <f t="shared" si="63"/>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67"/>
      <c r="I688" s="1467"/>
      <c r="J688" s="1467"/>
      <c r="K688" s="1467"/>
      <c r="L688" s="1467"/>
      <c r="M688" s="1467"/>
      <c r="N688" s="1467"/>
      <c r="O688" s="1467"/>
      <c r="P688" s="1467"/>
      <c r="Q688" s="1467"/>
      <c r="R688" s="1467"/>
      <c r="U688" t="s">
        <v>18</v>
      </c>
      <c r="AA688" s="1467"/>
      <c r="AB688" s="1467"/>
      <c r="AC688" s="1467"/>
      <c r="AD688" s="1467"/>
      <c r="AE688" s="1467"/>
      <c r="AF688" s="1467"/>
      <c r="AG688" s="1467"/>
      <c r="AH688" s="1467"/>
      <c r="AI688" s="1467"/>
      <c r="AJ688" s="1467"/>
      <c r="AK688" s="1467"/>
      <c r="AZ688" s="3"/>
      <c r="BA688" s="118" t="str">
        <f t="shared" si="57"/>
        <v>N/A</v>
      </c>
      <c r="BB688" s="3"/>
      <c r="BF688" s="218"/>
      <c r="BG688" s="316">
        <f t="shared" si="58"/>
        <v>0</v>
      </c>
      <c r="BH688" s="319">
        <f t="shared" si="59"/>
        <v>0</v>
      </c>
      <c r="BI688" s="320" t="str">
        <f t="shared" si="60"/>
        <v/>
      </c>
      <c r="BL688" s="3"/>
      <c r="BM688" s="3"/>
      <c r="BN688" s="3"/>
      <c r="BO688" s="3"/>
      <c r="BT688" s="316">
        <f t="shared" si="61"/>
        <v>0</v>
      </c>
      <c r="BU688" s="319">
        <f t="shared" si="62"/>
        <v>0</v>
      </c>
      <c r="BV688" s="320" t="str">
        <f t="shared" si="63"/>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35" t="s">
        <v>677</v>
      </c>
      <c r="O689" s="1435"/>
      <c r="U689" t="s">
        <v>20</v>
      </c>
      <c r="AG689" s="1435" t="s">
        <v>677</v>
      </c>
      <c r="AH689" s="1435"/>
      <c r="AZ689" s="3"/>
      <c r="BA689" s="118" t="str">
        <f t="shared" si="57"/>
        <v>N/A</v>
      </c>
      <c r="BB689" s="3"/>
      <c r="BF689" s="218"/>
      <c r="BG689" s="316">
        <f t="shared" si="58"/>
        <v>0</v>
      </c>
      <c r="BH689" s="319">
        <f t="shared" si="59"/>
        <v>0</v>
      </c>
      <c r="BI689" s="320" t="str">
        <f t="shared" si="60"/>
        <v/>
      </c>
      <c r="BL689" s="3"/>
      <c r="BM689" s="3"/>
      <c r="BN689" s="3"/>
      <c r="BO689" s="3"/>
      <c r="BT689" s="316">
        <f t="shared" si="61"/>
        <v>0</v>
      </c>
      <c r="BU689" s="319">
        <f t="shared" si="62"/>
        <v>0</v>
      </c>
      <c r="BV689" s="320" t="str">
        <f t="shared" si="63"/>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7"/>
        <v>N/A</v>
      </c>
      <c r="BB690" s="3"/>
      <c r="BF690" s="218"/>
      <c r="BG690" s="316">
        <f t="shared" si="58"/>
        <v>0</v>
      </c>
      <c r="BH690" s="319">
        <f t="shared" si="59"/>
        <v>0</v>
      </c>
      <c r="BI690" s="320" t="str">
        <f t="shared" si="60"/>
        <v/>
      </c>
      <c r="BL690" s="3"/>
      <c r="BM690" s="3"/>
      <c r="BN690" s="3"/>
      <c r="BO690" s="3"/>
      <c r="BT690" s="316">
        <f t="shared" si="61"/>
        <v>0</v>
      </c>
      <c r="BU690" s="319">
        <f t="shared" si="62"/>
        <v>0</v>
      </c>
      <c r="BV690" s="320" t="str">
        <f t="shared" si="63"/>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57"/>
        <v>N/A</v>
      </c>
      <c r="BB691" s="3"/>
      <c r="BF691" s="218"/>
      <c r="BG691" s="316">
        <f t="shared" si="58"/>
        <v>0</v>
      </c>
      <c r="BH691" s="319">
        <f t="shared" si="59"/>
        <v>0</v>
      </c>
      <c r="BI691" s="320" t="str">
        <f t="shared" si="60"/>
        <v/>
      </c>
      <c r="BL691" s="3"/>
      <c r="BM691" s="3"/>
      <c r="BN691" s="3"/>
      <c r="BO691" s="3"/>
      <c r="BT691" s="316">
        <f t="shared" si="61"/>
        <v>0</v>
      </c>
      <c r="BU691" s="319">
        <f t="shared" si="62"/>
        <v>0</v>
      </c>
      <c r="BV691" s="320" t="str">
        <f t="shared" si="63"/>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57"/>
        <v>N/A</v>
      </c>
      <c r="BB692" s="3"/>
      <c r="BC692" s="3"/>
      <c r="BF692" s="218"/>
      <c r="BG692" s="316">
        <f t="shared" si="58"/>
        <v>0</v>
      </c>
      <c r="BH692" s="319">
        <f t="shared" si="59"/>
        <v>0</v>
      </c>
      <c r="BI692" s="320" t="str">
        <f t="shared" ref="BI692:BI697" si="66">IF(BH692=0,"",BH692*AC752)</f>
        <v/>
      </c>
      <c r="BM692" s="3"/>
      <c r="BN692" s="3"/>
      <c r="BO692" s="3"/>
      <c r="BT692" s="316">
        <f t="shared" si="61"/>
        <v>0</v>
      </c>
      <c r="BU692" s="319">
        <f t="shared" si="62"/>
        <v>0</v>
      </c>
      <c r="BV692" s="320" t="str">
        <f t="shared" si="63"/>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35" t="s">
        <v>553</v>
      </c>
      <c r="AF693" s="1435"/>
      <c r="AZ693" s="3"/>
      <c r="BA693" s="118" t="str">
        <f t="shared" si="57"/>
        <v>N/A</v>
      </c>
      <c r="BB693" s="3"/>
      <c r="BC693" s="3"/>
      <c r="BD693" s="3"/>
      <c r="BG693" s="316">
        <f t="shared" si="58"/>
        <v>0</v>
      </c>
      <c r="BH693" s="319">
        <f t="shared" si="59"/>
        <v>0</v>
      </c>
      <c r="BI693" s="320" t="str">
        <f t="shared" si="66"/>
        <v/>
      </c>
      <c r="BT693" s="316">
        <f t="shared" si="61"/>
        <v>0</v>
      </c>
      <c r="BU693" s="319">
        <f t="shared" si="62"/>
        <v>0</v>
      </c>
      <c r="BV693" s="320" t="str">
        <f t="shared" si="63"/>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35" t="s">
        <v>677</v>
      </c>
      <c r="AF694" s="1435"/>
      <c r="AZ694" s="3"/>
      <c r="BA694" s="118" t="str">
        <f t="shared" si="57"/>
        <v>N/A</v>
      </c>
      <c r="BB694" s="3"/>
      <c r="BC694" s="3"/>
      <c r="BD694" s="3"/>
      <c r="BE694" s="3"/>
      <c r="BF694" s="3"/>
      <c r="BG694" s="316">
        <f t="shared" si="58"/>
        <v>0</v>
      </c>
      <c r="BH694" s="319">
        <f t="shared" si="59"/>
        <v>0</v>
      </c>
      <c r="BI694" s="320" t="str">
        <f t="shared" si="66"/>
        <v/>
      </c>
      <c r="BJ694" s="3"/>
      <c r="BK694" s="3"/>
      <c r="BL694" s="3"/>
      <c r="BM694" s="3"/>
      <c r="BN694" s="3"/>
      <c r="BO694" s="3"/>
      <c r="BT694" s="316">
        <f t="shared" si="61"/>
        <v>0</v>
      </c>
      <c r="BU694" s="319">
        <f t="shared" si="62"/>
        <v>0</v>
      </c>
      <c r="BV694" s="320" t="str">
        <f t="shared" si="63"/>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29">
        <v>45405</v>
      </c>
      <c r="AF695" s="1529"/>
      <c r="AG695" s="1529"/>
      <c r="AH695" s="1529"/>
      <c r="AI695" s="1529"/>
      <c r="AZ695" s="3"/>
      <c r="BA695" s="118" t="str">
        <f t="shared" si="57"/>
        <v>N/A</v>
      </c>
      <c r="BB695" s="3"/>
      <c r="BC695" s="3"/>
      <c r="BD695" s="3"/>
      <c r="BE695" s="3"/>
      <c r="BF695" s="3"/>
      <c r="BG695" s="316">
        <f t="shared" si="58"/>
        <v>0</v>
      </c>
      <c r="BH695" s="319">
        <f t="shared" si="59"/>
        <v>0</v>
      </c>
      <c r="BI695" s="320" t="str">
        <f t="shared" si="66"/>
        <v/>
      </c>
      <c r="BJ695" s="3"/>
      <c r="BK695" s="3"/>
      <c r="BL695" s="3"/>
      <c r="BM695" s="3"/>
      <c r="BN695" s="3"/>
      <c r="BO695" s="3"/>
      <c r="BT695" s="316">
        <f t="shared" si="61"/>
        <v>0</v>
      </c>
      <c r="BU695" s="319">
        <f t="shared" si="62"/>
        <v>0</v>
      </c>
      <c r="BV695" s="320" t="str">
        <f t="shared" si="63"/>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565">
        <v>45511</v>
      </c>
      <c r="AF696" s="1565"/>
      <c r="AG696" s="1565"/>
      <c r="AH696" s="1565"/>
      <c r="AI696" s="1565"/>
      <c r="AZ696" s="34"/>
      <c r="BA696" s="118" t="str">
        <f t="shared" si="57"/>
        <v>N/A</v>
      </c>
      <c r="BB696" s="34"/>
      <c r="BC696" s="34"/>
      <c r="BD696" s="34"/>
      <c r="BE696" s="34"/>
      <c r="BF696" s="34"/>
      <c r="BG696" s="316">
        <f t="shared" si="58"/>
        <v>0</v>
      </c>
      <c r="BH696" s="319">
        <f t="shared" si="59"/>
        <v>0</v>
      </c>
      <c r="BI696" s="320" t="str">
        <f t="shared" si="66"/>
        <v/>
      </c>
      <c r="BJ696" s="34"/>
      <c r="BK696" s="34"/>
      <c r="BL696" s="34"/>
      <c r="BM696" s="34"/>
      <c r="BN696" s="34"/>
      <c r="BO696" s="34"/>
      <c r="BT696" s="316">
        <f t="shared" si="61"/>
        <v>0</v>
      </c>
      <c r="BU696" s="319">
        <f t="shared" si="62"/>
        <v>0</v>
      </c>
      <c r="BV696" s="320" t="str">
        <f t="shared" si="63"/>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7"/>
        <v>N/A</v>
      </c>
      <c r="BB697" s="34"/>
      <c r="BC697" s="34"/>
      <c r="BD697" s="34"/>
      <c r="BE697" s="34"/>
      <c r="BF697" s="34"/>
      <c r="BG697" s="316">
        <f t="shared" si="58"/>
        <v>0</v>
      </c>
      <c r="BH697" s="319">
        <f t="shared" si="59"/>
        <v>0</v>
      </c>
      <c r="BI697" s="320" t="str">
        <f t="shared" si="66"/>
        <v/>
      </c>
      <c r="BJ697" s="34"/>
      <c r="BK697" s="34"/>
      <c r="BL697" s="34"/>
      <c r="BM697" s="34"/>
      <c r="BN697" s="34"/>
      <c r="BO697" s="34"/>
      <c r="BT697" s="316">
        <f t="shared" si="61"/>
        <v>0</v>
      </c>
      <c r="BU697" s="319">
        <f t="shared" si="62"/>
        <v>0</v>
      </c>
      <c r="BV697" s="320" t="str">
        <f t="shared" si="63"/>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29">
        <v>45597</v>
      </c>
      <c r="AF698" s="1529"/>
      <c r="AG698" s="1529"/>
      <c r="AH698" s="1529"/>
      <c r="AI698" s="1529"/>
      <c r="AZ698" s="34"/>
      <c r="BA698" s="118" t="str">
        <f t="shared" si="57"/>
        <v>N/A</v>
      </c>
      <c r="BB698" s="34"/>
      <c r="BC698" s="34"/>
      <c r="BD698" s="34"/>
      <c r="BE698" s="34"/>
      <c r="BF698" s="34"/>
      <c r="BG698" s="316">
        <f t="shared" si="58"/>
        <v>0</v>
      </c>
      <c r="BH698" s="319">
        <f t="shared" si="59"/>
        <v>0</v>
      </c>
      <c r="BI698" s="320" t="str">
        <f>IF(BH698=0,"",BH698*AC759)</f>
        <v/>
      </c>
      <c r="BJ698" s="3"/>
      <c r="BK698" s="34"/>
      <c r="BL698" s="34"/>
      <c r="BM698" s="34"/>
      <c r="BN698" s="34"/>
      <c r="BO698" s="34"/>
      <c r="BT698" s="316">
        <f t="shared" si="61"/>
        <v>0</v>
      </c>
      <c r="BU698" s="319">
        <f t="shared" si="62"/>
        <v>0</v>
      </c>
      <c r="BV698" s="320" t="str">
        <f t="shared" si="63"/>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74">
        <v>0.55000000000000004</v>
      </c>
      <c r="AF699" s="1574"/>
      <c r="AG699" s="1574"/>
      <c r="AH699" s="1574"/>
      <c r="AI699" s="1574"/>
      <c r="AZ699" s="34"/>
      <c r="BA699" s="118" t="str">
        <f t="shared" si="57"/>
        <v>N/A</v>
      </c>
      <c r="BB699" s="34"/>
      <c r="BC699" s="34"/>
      <c r="BD699" s="34"/>
      <c r="BE699" s="34"/>
      <c r="BF699" s="34"/>
      <c r="BG699" s="316">
        <f t="shared" si="58"/>
        <v>0</v>
      </c>
      <c r="BH699" s="319">
        <f t="shared" si="59"/>
        <v>0</v>
      </c>
      <c r="BI699" s="320" t="str">
        <f>IF(BH699=0,"",BH699*AC760)</f>
        <v/>
      </c>
      <c r="BJ699" s="3"/>
      <c r="BK699" s="34"/>
      <c r="BL699" s="34"/>
      <c r="BM699" s="34"/>
      <c r="BN699" s="34"/>
      <c r="BO699" s="34"/>
      <c r="BT699" s="316">
        <f t="shared" si="61"/>
        <v>0</v>
      </c>
      <c r="BU699" s="319">
        <f t="shared" si="62"/>
        <v>0</v>
      </c>
      <c r="BV699" s="320" t="str">
        <f t="shared" si="63"/>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4" t="str">
        <f>H335</f>
        <v>Housing Authority of the City of San Buenaventura</v>
      </c>
      <c r="X700" s="1504"/>
      <c r="Y700" s="1504"/>
      <c r="Z700" s="1504"/>
      <c r="AA700" s="1504"/>
      <c r="AB700" s="1504"/>
      <c r="AC700" s="1504"/>
      <c r="AD700" s="1504"/>
      <c r="AE700" s="1504"/>
      <c r="AF700" s="1504"/>
      <c r="AG700" s="1504"/>
      <c r="AH700" s="1504"/>
      <c r="AI700" s="1504"/>
      <c r="AJ700" s="1504"/>
      <c r="AK700" s="1504"/>
      <c r="AZ700" s="34"/>
      <c r="BA700" s="118" t="str">
        <f>IF($G751=0,"N/A",VLOOKUP($T$189,TC_Rent,(MATCH($B751,bedrooms,FALSE))))</f>
        <v>N/A</v>
      </c>
      <c r="BB700" s="34"/>
      <c r="BC700" s="34"/>
      <c r="BD700" s="34"/>
      <c r="BE700" s="34"/>
      <c r="BF700" s="34"/>
      <c r="BG700" s="316">
        <f t="shared" si="58"/>
        <v>0</v>
      </c>
      <c r="BH700" s="319">
        <f t="shared" si="59"/>
        <v>0</v>
      </c>
      <c r="BI700" s="320" t="str">
        <f>IF(BH700=0,"",BH700*AC761)</f>
        <v/>
      </c>
      <c r="BJ700" s="3"/>
      <c r="BK700" s="34"/>
      <c r="BL700" s="34"/>
      <c r="BM700" s="34"/>
      <c r="BN700" s="34"/>
      <c r="BO700" s="34"/>
      <c r="BT700" s="316">
        <f t="shared" si="61"/>
        <v>0</v>
      </c>
      <c r="BU700" s="319">
        <f t="shared" si="62"/>
        <v>0</v>
      </c>
      <c r="BV700" s="320" t="str">
        <f t="shared" si="63"/>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67">G751</f>
        <v>0</v>
      </c>
      <c r="BH701" s="319">
        <f t="shared" si="59"/>
        <v>0</v>
      </c>
      <c r="BI701" s="320" t="str">
        <f>IF(BH701=0,"",BH701*AC762)</f>
        <v/>
      </c>
      <c r="BJ701" s="3"/>
      <c r="BK701" s="34"/>
      <c r="BL701" s="34"/>
      <c r="BM701" s="34"/>
      <c r="BN701" s="34"/>
      <c r="BO701" s="34"/>
      <c r="BT701" s="316">
        <f t="shared" ref="BT701" si="68">G751</f>
        <v>0</v>
      </c>
      <c r="BU701" s="319">
        <f t="shared" si="62"/>
        <v>0</v>
      </c>
      <c r="BV701" s="320" t="str">
        <f t="shared" ref="BV701" si="6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35" t="s">
        <v>677</v>
      </c>
      <c r="AF702" s="1435"/>
      <c r="AZ702" s="34"/>
      <c r="BA702" s="34"/>
      <c r="BB702" s="34"/>
      <c r="BC702" s="34"/>
      <c r="BD702" s="34"/>
      <c r="BE702" s="3"/>
      <c r="BG702" s="316">
        <f>G752</f>
        <v>0</v>
      </c>
      <c r="BH702" s="319">
        <f t="shared" si="59"/>
        <v>0</v>
      </c>
      <c r="BI702" s="320" t="str">
        <f>IF(BH702=0,"",BH702*AC762)</f>
        <v/>
      </c>
      <c r="BJ702" s="3"/>
      <c r="BK702" s="34"/>
      <c r="BL702" s="34"/>
      <c r="BM702" s="34"/>
      <c r="BN702" s="34"/>
      <c r="BO702" s="34"/>
      <c r="BT702" s="894">
        <f>G752</f>
        <v>0</v>
      </c>
      <c r="BU702" s="319">
        <f t="shared" si="62"/>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67"/>
      <c r="X703" s="1467"/>
      <c r="Y703" s="1467"/>
      <c r="Z703" s="1467"/>
      <c r="AA703" s="1467"/>
      <c r="AB703" s="1467"/>
      <c r="AC703" s="1467"/>
      <c r="AD703" s="1467"/>
      <c r="AE703" s="1467"/>
      <c r="AF703" s="1467"/>
      <c r="AG703" s="1467"/>
      <c r="AH703" s="1467"/>
      <c r="AI703" s="1467"/>
      <c r="AJ703" s="1467"/>
      <c r="AK703" s="1467"/>
      <c r="AZ703" s="34"/>
      <c r="BA703" s="34"/>
      <c r="BB703" s="34"/>
      <c r="BC703" s="34"/>
      <c r="BD703" s="34"/>
      <c r="BE703" s="3"/>
      <c r="BF703" s="312" t="s">
        <v>914</v>
      </c>
      <c r="BG703" s="321">
        <f>SUM(BG668:BG702)</f>
        <v>134</v>
      </c>
      <c r="BH703" s="322">
        <f>SUM(BH668:BH702)</f>
        <v>1</v>
      </c>
      <c r="BI703" s="322">
        <f>SUM(BI668:BI702)</f>
        <v>0.35298507462686574</v>
      </c>
      <c r="BN703" s="3"/>
      <c r="BO703" s="3"/>
      <c r="BT703" s="893">
        <f>SUM(BT668:BT702)</f>
        <v>134</v>
      </c>
      <c r="BU703" s="322">
        <f>SUM(BU668:BU702)</f>
        <v>1</v>
      </c>
      <c r="BV703" s="322">
        <f>SUM(BV668:BV702)</f>
        <v>0.2827150820767077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67"/>
      <c r="K704" s="1467"/>
      <c r="L704" s="1467"/>
      <c r="M704" s="1467"/>
      <c r="N704" s="1467"/>
      <c r="O704" s="1467"/>
      <c r="P704" s="1467"/>
      <c r="Q704" s="1467"/>
      <c r="R704" s="1467"/>
      <c r="S704" s="1467"/>
      <c r="T704" s="1467"/>
      <c r="U704" s="1467"/>
      <c r="V704" s="1467"/>
      <c r="W704" s="1467"/>
      <c r="X704" s="146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79"/>
      <c r="K705" s="1479"/>
      <c r="L705" s="1479"/>
      <c r="M705" s="1479"/>
      <c r="N705" s="1479"/>
      <c r="O705" s="1479"/>
      <c r="P705" s="4" t="s">
        <v>207</v>
      </c>
      <c r="Q705" s="4"/>
      <c r="R705" s="1487"/>
      <c r="S705" s="1487"/>
      <c r="T705" s="148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67" t="s">
        <v>308</v>
      </c>
      <c r="X706" s="1467"/>
      <c r="Y706" s="1467"/>
      <c r="Z706" s="1467"/>
      <c r="AA706" s="1467"/>
      <c r="AB706" s="1467"/>
      <c r="AC706" s="1467"/>
      <c r="AD706" s="1467"/>
      <c r="AE706" s="1467"/>
      <c r="AF706" s="1467"/>
      <c r="AG706" s="1467"/>
      <c r="AH706" s="1467"/>
      <c r="AI706" s="1467"/>
      <c r="AJ706" s="1467"/>
      <c r="AK706" s="146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67" t="s">
        <v>335</v>
      </c>
      <c r="F707" s="1467"/>
      <c r="G707" s="1467"/>
      <c r="H707" s="1467"/>
      <c r="I707" s="1467"/>
      <c r="J707" s="1467"/>
      <c r="K707" s="1467"/>
      <c r="L707" s="1467"/>
      <c r="M707" s="1467"/>
      <c r="N707" s="1467"/>
      <c r="O707" s="1467"/>
      <c r="P707" s="1467"/>
      <c r="Q707" s="1467"/>
      <c r="R707" s="1467"/>
      <c r="S707" s="1467"/>
      <c r="T707" s="1467"/>
      <c r="U707" s="1467"/>
      <c r="V707" s="1467"/>
      <c r="W707" s="1467"/>
      <c r="X707" s="1467"/>
      <c r="Y707" s="1467"/>
      <c r="Z707" s="1467"/>
      <c r="AA707" s="1467"/>
      <c r="AB707" s="1467"/>
      <c r="AC707" s="1467"/>
      <c r="AD707" s="1467"/>
      <c r="AE707" s="1467"/>
      <c r="AF707" s="1467"/>
      <c r="AG707" s="1467"/>
      <c r="AH707" s="1467"/>
      <c r="AI707" s="1467"/>
      <c r="AJ707" s="1467"/>
      <c r="AK707" s="146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9" t="s">
        <v>390</v>
      </c>
      <c r="C714" s="1369"/>
      <c r="D714" s="1369"/>
      <c r="E714" s="1369"/>
      <c r="F714" s="1370"/>
      <c r="G714" s="1509" t="s">
        <v>286</v>
      </c>
      <c r="H714" s="1369"/>
      <c r="I714" s="1369"/>
      <c r="J714" s="1370"/>
      <c r="K714" s="1392" t="s">
        <v>1868</v>
      </c>
      <c r="L714" s="1393"/>
      <c r="M714" s="1393"/>
      <c r="N714" s="1394"/>
      <c r="O714" s="1509" t="s">
        <v>455</v>
      </c>
      <c r="P714" s="1369"/>
      <c r="Q714" s="1369"/>
      <c r="R714" s="1369"/>
      <c r="S714" s="1370"/>
      <c r="T714" s="1368" t="s">
        <v>2252</v>
      </c>
      <c r="U714" s="1369"/>
      <c r="V714" s="1369"/>
      <c r="W714" s="1370"/>
      <c r="X714" s="1368" t="s">
        <v>2254</v>
      </c>
      <c r="Y714" s="1369"/>
      <c r="Z714" s="1369"/>
      <c r="AA714" s="1369"/>
      <c r="AB714" s="1370"/>
      <c r="AC714" s="1368" t="s">
        <v>2253</v>
      </c>
      <c r="AD714" s="1369"/>
      <c r="AE714" s="1369"/>
      <c r="AF714" s="1369"/>
      <c r="AG714" s="1370"/>
      <c r="AH714" s="1368" t="s">
        <v>2255</v>
      </c>
      <c r="AI714" s="1369"/>
      <c r="AJ714" s="1370"/>
      <c r="AK714" s="1368" t="s">
        <v>2289</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395"/>
      <c r="L715" s="1396"/>
      <c r="M715" s="1396"/>
      <c r="N715" s="1397"/>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395"/>
      <c r="L716" s="1396"/>
      <c r="M716" s="1396"/>
      <c r="N716" s="1397"/>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395"/>
      <c r="L717" s="1396"/>
      <c r="M717" s="1396"/>
      <c r="N717" s="1397"/>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325</v>
      </c>
      <c r="C718" s="1356"/>
      <c r="D718" s="1356"/>
      <c r="E718" s="1356"/>
      <c r="F718" s="1357"/>
      <c r="G718" s="1569">
        <f>34</f>
        <v>34</v>
      </c>
      <c r="H718" s="1366"/>
      <c r="I718" s="1366"/>
      <c r="J718" s="1367"/>
      <c r="K718" s="1566">
        <v>320</v>
      </c>
      <c r="L718" s="1567"/>
      <c r="M718" s="1567"/>
      <c r="N718" s="1568"/>
      <c r="O718" s="1377">
        <v>1162</v>
      </c>
      <c r="P718" s="1378"/>
      <c r="Q718" s="1378"/>
      <c r="R718" s="1378"/>
      <c r="S718" s="1379"/>
      <c r="T718" s="1377">
        <v>0</v>
      </c>
      <c r="U718" s="1378"/>
      <c r="V718" s="1378"/>
      <c r="W718" s="1379"/>
      <c r="X718" s="1361">
        <f t="shared" ref="X718:X741" si="70">O718+T718</f>
        <v>1162</v>
      </c>
      <c r="Y718" s="1362"/>
      <c r="Z718" s="1362"/>
      <c r="AA718" s="1362"/>
      <c r="AB718" s="1363"/>
      <c r="AC718" s="1603">
        <v>0.5</v>
      </c>
      <c r="AD718" s="1604"/>
      <c r="AE718" s="1604"/>
      <c r="AF718" s="1604"/>
      <c r="AG718" s="1605"/>
      <c r="AH718" s="1358">
        <f t="shared" ref="AH718:AH751" si="71">IF($AC718&gt;0,($X718/$BA667), "")</f>
        <v>0.5</v>
      </c>
      <c r="AI718" s="1359"/>
      <c r="AJ718" s="1360"/>
      <c r="AK718" s="1355" t="s">
        <v>2418</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325</v>
      </c>
      <c r="C719" s="1356"/>
      <c r="D719" s="1356"/>
      <c r="E719" s="1356"/>
      <c r="F719" s="1357"/>
      <c r="G719" s="1365">
        <v>3</v>
      </c>
      <c r="H719" s="1366"/>
      <c r="I719" s="1366"/>
      <c r="J719" s="1367"/>
      <c r="K719" s="1566">
        <v>320</v>
      </c>
      <c r="L719" s="1567"/>
      <c r="M719" s="1567"/>
      <c r="N719" s="1568"/>
      <c r="O719" s="1377">
        <v>929.6</v>
      </c>
      <c r="P719" s="1378"/>
      <c r="Q719" s="1378"/>
      <c r="R719" s="1378"/>
      <c r="S719" s="1379"/>
      <c r="T719" s="1377">
        <v>0</v>
      </c>
      <c r="U719" s="1378"/>
      <c r="V719" s="1378"/>
      <c r="W719" s="1379"/>
      <c r="X719" s="1361">
        <f t="shared" si="70"/>
        <v>929.6</v>
      </c>
      <c r="Y719" s="1362"/>
      <c r="Z719" s="1362"/>
      <c r="AA719" s="1362"/>
      <c r="AB719" s="1363"/>
      <c r="AC719" s="1603">
        <v>0.4</v>
      </c>
      <c r="AD719" s="1604"/>
      <c r="AE719" s="1604"/>
      <c r="AF719" s="1604"/>
      <c r="AG719" s="1605"/>
      <c r="AH719" s="1358">
        <f t="shared" si="71"/>
        <v>0.4</v>
      </c>
      <c r="AI719" s="1359"/>
      <c r="AJ719" s="1360"/>
      <c r="AK719" s="1355" t="s">
        <v>2418</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325</v>
      </c>
      <c r="C720" s="1356"/>
      <c r="D720" s="1356"/>
      <c r="E720" s="1356"/>
      <c r="F720" s="1357"/>
      <c r="G720" s="1365">
        <v>17</v>
      </c>
      <c r="H720" s="1366"/>
      <c r="I720" s="1366"/>
      <c r="J720" s="1367"/>
      <c r="K720" s="1566">
        <v>320</v>
      </c>
      <c r="L720" s="1567"/>
      <c r="M720" s="1567"/>
      <c r="N720" s="1568"/>
      <c r="O720" s="1377">
        <v>697</v>
      </c>
      <c r="P720" s="1378"/>
      <c r="Q720" s="1378"/>
      <c r="R720" s="1378"/>
      <c r="S720" s="1379"/>
      <c r="T720" s="1377">
        <v>0</v>
      </c>
      <c r="U720" s="1378"/>
      <c r="V720" s="1378"/>
      <c r="W720" s="1379"/>
      <c r="X720" s="1361">
        <f t="shared" si="70"/>
        <v>697</v>
      </c>
      <c r="Y720" s="1362"/>
      <c r="Z720" s="1362"/>
      <c r="AA720" s="1362"/>
      <c r="AB720" s="1363"/>
      <c r="AC720" s="1603">
        <v>0.3</v>
      </c>
      <c r="AD720" s="1604"/>
      <c r="AE720" s="1604"/>
      <c r="AF720" s="1604"/>
      <c r="AG720" s="1605"/>
      <c r="AH720" s="1358">
        <f t="shared" si="71"/>
        <v>0.29991394148020656</v>
      </c>
      <c r="AI720" s="1359"/>
      <c r="AJ720" s="1360"/>
      <c r="AK720" s="1355" t="s">
        <v>2418</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325</v>
      </c>
      <c r="C721" s="1356"/>
      <c r="D721" s="1356"/>
      <c r="E721" s="1356"/>
      <c r="F721" s="1357"/>
      <c r="G721" s="1365">
        <v>6</v>
      </c>
      <c r="H721" s="1366"/>
      <c r="I721" s="1366"/>
      <c r="J721" s="1367"/>
      <c r="K721" s="1566">
        <v>320</v>
      </c>
      <c r="L721" s="1567"/>
      <c r="M721" s="1567"/>
      <c r="N721" s="1568"/>
      <c r="O721" s="1377">
        <v>609</v>
      </c>
      <c r="P721" s="1378"/>
      <c r="Q721" s="1378"/>
      <c r="R721" s="1378"/>
      <c r="S721" s="1379"/>
      <c r="T721" s="1377">
        <v>0</v>
      </c>
      <c r="U721" s="1378"/>
      <c r="V721" s="1378"/>
      <c r="W721" s="1379"/>
      <c r="X721" s="1361">
        <f t="shared" si="70"/>
        <v>609</v>
      </c>
      <c r="Y721" s="1362"/>
      <c r="Z721" s="1362"/>
      <c r="AA721" s="1362"/>
      <c r="AB721" s="1363"/>
      <c r="AC721" s="1603">
        <v>0.3</v>
      </c>
      <c r="AD721" s="1604"/>
      <c r="AE721" s="1604"/>
      <c r="AF721" s="1604"/>
      <c r="AG721" s="1605"/>
      <c r="AH721" s="1358">
        <f t="shared" si="71"/>
        <v>0.26204819277108432</v>
      </c>
      <c r="AI721" s="1359"/>
      <c r="AJ721" s="1360"/>
      <c r="AK721" s="1355" t="s">
        <v>2418</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t="s">
        <v>325</v>
      </c>
      <c r="C722" s="1356"/>
      <c r="D722" s="1356"/>
      <c r="E722" s="1356"/>
      <c r="F722" s="1357"/>
      <c r="G722" s="1365">
        <v>10</v>
      </c>
      <c r="H722" s="1366"/>
      <c r="I722" s="1366"/>
      <c r="J722" s="1367"/>
      <c r="K722" s="1566">
        <v>320</v>
      </c>
      <c r="L722" s="1567"/>
      <c r="M722" s="1567"/>
      <c r="N722" s="1568"/>
      <c r="O722" s="1377">
        <v>355</v>
      </c>
      <c r="P722" s="1378"/>
      <c r="Q722" s="1378"/>
      <c r="R722" s="1378"/>
      <c r="S722" s="1379"/>
      <c r="T722" s="1377">
        <v>0</v>
      </c>
      <c r="U722" s="1378"/>
      <c r="V722" s="1378"/>
      <c r="W722" s="1379"/>
      <c r="X722" s="1361">
        <f t="shared" si="70"/>
        <v>355</v>
      </c>
      <c r="Y722" s="1362"/>
      <c r="Z722" s="1362"/>
      <c r="AA722" s="1362"/>
      <c r="AB722" s="1363"/>
      <c r="AC722" s="1603">
        <v>0.3</v>
      </c>
      <c r="AD722" s="1604"/>
      <c r="AE722" s="1604"/>
      <c r="AF722" s="1604"/>
      <c r="AG722" s="1605"/>
      <c r="AH722" s="1358">
        <f t="shared" si="71"/>
        <v>0.15275387263339071</v>
      </c>
      <c r="AI722" s="1359"/>
      <c r="AJ722" s="1360"/>
      <c r="AK722" s="1355" t="s">
        <v>2418</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326</v>
      </c>
      <c r="C723" s="1356"/>
      <c r="D723" s="1356"/>
      <c r="E723" s="1356"/>
      <c r="F723" s="1357"/>
      <c r="G723" s="1365">
        <v>1</v>
      </c>
      <c r="H723" s="1366"/>
      <c r="I723" s="1366"/>
      <c r="J723" s="1367"/>
      <c r="K723" s="1566">
        <v>500</v>
      </c>
      <c r="L723" s="1567"/>
      <c r="M723" s="1567"/>
      <c r="N723" s="1568"/>
      <c r="O723" s="1377">
        <v>747</v>
      </c>
      <c r="P723" s="1378"/>
      <c r="Q723" s="1378"/>
      <c r="R723" s="1378"/>
      <c r="S723" s="1379"/>
      <c r="T723" s="1377">
        <v>0</v>
      </c>
      <c r="U723" s="1378"/>
      <c r="V723" s="1378"/>
      <c r="W723" s="1379"/>
      <c r="X723" s="1361">
        <f t="shared" si="70"/>
        <v>747</v>
      </c>
      <c r="Y723" s="1362"/>
      <c r="Z723" s="1362"/>
      <c r="AA723" s="1362"/>
      <c r="AB723" s="1363"/>
      <c r="AC723" s="1603">
        <v>0.3</v>
      </c>
      <c r="AD723" s="1604"/>
      <c r="AE723" s="1604"/>
      <c r="AF723" s="1604"/>
      <c r="AG723" s="1605"/>
      <c r="AH723" s="1358">
        <f t="shared" si="71"/>
        <v>0.3</v>
      </c>
      <c r="AI723" s="1359"/>
      <c r="AJ723" s="1360"/>
      <c r="AK723" s="1355" t="s">
        <v>2418</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325</v>
      </c>
      <c r="C724" s="1356"/>
      <c r="D724" s="1356"/>
      <c r="E724" s="1356"/>
      <c r="F724" s="1357"/>
      <c r="G724" s="1365">
        <v>30</v>
      </c>
      <c r="H724" s="1366"/>
      <c r="I724" s="1366"/>
      <c r="J724" s="1367"/>
      <c r="K724" s="1566">
        <v>320</v>
      </c>
      <c r="L724" s="1567"/>
      <c r="M724" s="1567"/>
      <c r="N724" s="1568"/>
      <c r="O724" s="1377">
        <v>355</v>
      </c>
      <c r="P724" s="1378"/>
      <c r="Q724" s="1378"/>
      <c r="R724" s="1378"/>
      <c r="S724" s="1379"/>
      <c r="T724" s="1377">
        <v>0</v>
      </c>
      <c r="U724" s="1378"/>
      <c r="V724" s="1378"/>
      <c r="W724" s="1379"/>
      <c r="X724" s="1361">
        <f t="shared" si="70"/>
        <v>355</v>
      </c>
      <c r="Y724" s="1362"/>
      <c r="Z724" s="1362"/>
      <c r="AA724" s="1362"/>
      <c r="AB724" s="1363"/>
      <c r="AC724" s="1603">
        <v>0.3</v>
      </c>
      <c r="AD724" s="1604"/>
      <c r="AE724" s="1604"/>
      <c r="AF724" s="1604"/>
      <c r="AG724" s="1605"/>
      <c r="AH724" s="1358">
        <f t="shared" si="71"/>
        <v>0.15275387263339071</v>
      </c>
      <c r="AI724" s="1359"/>
      <c r="AJ724" s="1360"/>
      <c r="AK724" s="1355" t="s">
        <v>599</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t="s">
        <v>325</v>
      </c>
      <c r="C725" s="1356"/>
      <c r="D725" s="1356"/>
      <c r="E725" s="1356"/>
      <c r="F725" s="1357"/>
      <c r="G725" s="1365">
        <v>33</v>
      </c>
      <c r="H725" s="1366"/>
      <c r="I725" s="1366"/>
      <c r="J725" s="1367"/>
      <c r="K725" s="1566">
        <v>320</v>
      </c>
      <c r="L725" s="1567"/>
      <c r="M725" s="1567"/>
      <c r="N725" s="1568"/>
      <c r="O725" s="1377">
        <v>465</v>
      </c>
      <c r="P725" s="1378"/>
      <c r="Q725" s="1378"/>
      <c r="R725" s="1378"/>
      <c r="S725" s="1379"/>
      <c r="T725" s="1377">
        <v>0</v>
      </c>
      <c r="U725" s="1378"/>
      <c r="V725" s="1378"/>
      <c r="W725" s="1379"/>
      <c r="X725" s="1361">
        <f t="shared" si="70"/>
        <v>465</v>
      </c>
      <c r="Y725" s="1362"/>
      <c r="Z725" s="1362"/>
      <c r="AA725" s="1362"/>
      <c r="AB725" s="1363"/>
      <c r="AC725" s="1603">
        <v>0.3</v>
      </c>
      <c r="AD725" s="1604"/>
      <c r="AE725" s="1604"/>
      <c r="AF725" s="1604"/>
      <c r="AG725" s="1605"/>
      <c r="AH725" s="1358">
        <f t="shared" si="71"/>
        <v>0.20008605851979347</v>
      </c>
      <c r="AI725" s="1359"/>
      <c r="AJ725" s="1360"/>
      <c r="AK725" s="1355" t="s">
        <v>599</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c r="C726" s="1356"/>
      <c r="D726" s="1356"/>
      <c r="E726" s="1356"/>
      <c r="F726" s="1357"/>
      <c r="G726" s="1365"/>
      <c r="H726" s="1366"/>
      <c r="I726" s="1366"/>
      <c r="J726" s="1367"/>
      <c r="K726" s="1566"/>
      <c r="L726" s="1567"/>
      <c r="M726" s="1567"/>
      <c r="N726" s="1568"/>
      <c r="O726" s="1377"/>
      <c r="P726" s="1378"/>
      <c r="Q726" s="1378"/>
      <c r="R726" s="1378"/>
      <c r="S726" s="1379"/>
      <c r="T726" s="1377"/>
      <c r="U726" s="1378"/>
      <c r="V726" s="1378"/>
      <c r="W726" s="1379"/>
      <c r="X726" s="1361">
        <f t="shared" si="70"/>
        <v>0</v>
      </c>
      <c r="Y726" s="1362"/>
      <c r="Z726" s="1362"/>
      <c r="AA726" s="1362"/>
      <c r="AB726" s="1363"/>
      <c r="AC726" s="1603"/>
      <c r="AD726" s="1604"/>
      <c r="AE726" s="1604"/>
      <c r="AF726" s="1604"/>
      <c r="AG726" s="1605"/>
      <c r="AH726" s="1358" t="str">
        <f t="shared" si="71"/>
        <v/>
      </c>
      <c r="AI726" s="1359"/>
      <c r="AJ726" s="1360"/>
      <c r="AK726" s="1355" t="s">
        <v>599</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c r="C727" s="1356"/>
      <c r="D727" s="1356"/>
      <c r="E727" s="1356"/>
      <c r="F727" s="1357"/>
      <c r="G727" s="1365"/>
      <c r="H727" s="1366"/>
      <c r="I727" s="1366"/>
      <c r="J727" s="1367"/>
      <c r="K727" s="1566"/>
      <c r="L727" s="1567"/>
      <c r="M727" s="1567"/>
      <c r="N727" s="1568"/>
      <c r="O727" s="1377"/>
      <c r="P727" s="1378"/>
      <c r="Q727" s="1378"/>
      <c r="R727" s="1378"/>
      <c r="S727" s="1379"/>
      <c r="T727" s="1377"/>
      <c r="U727" s="1378"/>
      <c r="V727" s="1378"/>
      <c r="W727" s="1379"/>
      <c r="X727" s="1361">
        <f t="shared" si="70"/>
        <v>0</v>
      </c>
      <c r="Y727" s="1362"/>
      <c r="Z727" s="1362"/>
      <c r="AA727" s="1362"/>
      <c r="AB727" s="1363"/>
      <c r="AC727" s="1603"/>
      <c r="AD727" s="1604"/>
      <c r="AE727" s="1604"/>
      <c r="AF727" s="1604"/>
      <c r="AG727" s="1605"/>
      <c r="AH727" s="1358" t="str">
        <f t="shared" si="71"/>
        <v/>
      </c>
      <c r="AI727" s="1359"/>
      <c r="AJ727" s="1360"/>
      <c r="AK727" s="1355" t="s">
        <v>599</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c r="C728" s="1356"/>
      <c r="D728" s="1356"/>
      <c r="E728" s="1356"/>
      <c r="F728" s="1357"/>
      <c r="G728" s="1365"/>
      <c r="H728" s="1366"/>
      <c r="I728" s="1366"/>
      <c r="J728" s="1367"/>
      <c r="K728" s="1566"/>
      <c r="L728" s="1567"/>
      <c r="M728" s="1567"/>
      <c r="N728" s="1568"/>
      <c r="O728" s="1377"/>
      <c r="P728" s="1378"/>
      <c r="Q728" s="1378"/>
      <c r="R728" s="1378"/>
      <c r="S728" s="1379"/>
      <c r="T728" s="1377"/>
      <c r="U728" s="1378"/>
      <c r="V728" s="1378"/>
      <c r="W728" s="1379"/>
      <c r="X728" s="1361">
        <f t="shared" si="70"/>
        <v>0</v>
      </c>
      <c r="Y728" s="1362"/>
      <c r="Z728" s="1362"/>
      <c r="AA728" s="1362"/>
      <c r="AB728" s="1363"/>
      <c r="AC728" s="1603"/>
      <c r="AD728" s="1604"/>
      <c r="AE728" s="1604"/>
      <c r="AF728" s="1604"/>
      <c r="AG728" s="1605"/>
      <c r="AH728" s="1358" t="str">
        <f t="shared" si="71"/>
        <v/>
      </c>
      <c r="AI728" s="1359"/>
      <c r="AJ728" s="1360"/>
      <c r="AK728" s="1355" t="s">
        <v>599</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c r="C729" s="1356"/>
      <c r="D729" s="1356"/>
      <c r="E729" s="1356"/>
      <c r="F729" s="1357"/>
      <c r="G729" s="1365"/>
      <c r="H729" s="1366"/>
      <c r="I729" s="1366"/>
      <c r="J729" s="1367"/>
      <c r="K729" s="1566"/>
      <c r="L729" s="1567"/>
      <c r="M729" s="1567"/>
      <c r="N729" s="1568"/>
      <c r="O729" s="1377"/>
      <c r="P729" s="1378"/>
      <c r="Q729" s="1378"/>
      <c r="R729" s="1378"/>
      <c r="S729" s="1379"/>
      <c r="T729" s="1377"/>
      <c r="U729" s="1378"/>
      <c r="V729" s="1378"/>
      <c r="W729" s="1379"/>
      <c r="X729" s="1361">
        <f t="shared" si="70"/>
        <v>0</v>
      </c>
      <c r="Y729" s="1362"/>
      <c r="Z729" s="1362"/>
      <c r="AA729" s="1362"/>
      <c r="AB729" s="1363"/>
      <c r="AC729" s="1603"/>
      <c r="AD729" s="1604"/>
      <c r="AE729" s="1604"/>
      <c r="AF729" s="1604"/>
      <c r="AG729" s="1605"/>
      <c r="AH729" s="1358" t="str">
        <f t="shared" si="71"/>
        <v/>
      </c>
      <c r="AI729" s="1359"/>
      <c r="AJ729" s="1360"/>
      <c r="AK729" s="1355" t="s">
        <v>599</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c r="C730" s="1356"/>
      <c r="D730" s="1356"/>
      <c r="E730" s="1356"/>
      <c r="F730" s="1357"/>
      <c r="G730" s="1365"/>
      <c r="H730" s="1366"/>
      <c r="I730" s="1366"/>
      <c r="J730" s="1367"/>
      <c r="K730" s="1566"/>
      <c r="L730" s="1567"/>
      <c r="M730" s="1567"/>
      <c r="N730" s="1568"/>
      <c r="O730" s="1377"/>
      <c r="P730" s="1378"/>
      <c r="Q730" s="1378"/>
      <c r="R730" s="1378"/>
      <c r="S730" s="1379"/>
      <c r="T730" s="1377"/>
      <c r="U730" s="1378"/>
      <c r="V730" s="1378"/>
      <c r="W730" s="1379"/>
      <c r="X730" s="1361">
        <f t="shared" si="70"/>
        <v>0</v>
      </c>
      <c r="Y730" s="1362"/>
      <c r="Z730" s="1362"/>
      <c r="AA730" s="1362"/>
      <c r="AB730" s="1363"/>
      <c r="AC730" s="1603"/>
      <c r="AD730" s="1604"/>
      <c r="AE730" s="1604"/>
      <c r="AF730" s="1604"/>
      <c r="AG730" s="1605"/>
      <c r="AH730" s="1358" t="str">
        <f t="shared" si="71"/>
        <v/>
      </c>
      <c r="AI730" s="1359"/>
      <c r="AJ730" s="1360"/>
      <c r="AK730" s="1355" t="s">
        <v>599</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c r="C731" s="1356"/>
      <c r="D731" s="1356"/>
      <c r="E731" s="1356"/>
      <c r="F731" s="1357"/>
      <c r="G731" s="1365"/>
      <c r="H731" s="1366"/>
      <c r="I731" s="1366"/>
      <c r="J731" s="1367"/>
      <c r="K731" s="1566"/>
      <c r="L731" s="1567"/>
      <c r="M731" s="1567"/>
      <c r="N731" s="1568"/>
      <c r="O731" s="1377"/>
      <c r="P731" s="1378"/>
      <c r="Q731" s="1378"/>
      <c r="R731" s="1378"/>
      <c r="S731" s="1379"/>
      <c r="T731" s="1377"/>
      <c r="U731" s="1378"/>
      <c r="V731" s="1378"/>
      <c r="W731" s="1379"/>
      <c r="X731" s="1361">
        <f t="shared" si="70"/>
        <v>0</v>
      </c>
      <c r="Y731" s="1362"/>
      <c r="Z731" s="1362"/>
      <c r="AA731" s="1362"/>
      <c r="AB731" s="1363"/>
      <c r="AC731" s="1603"/>
      <c r="AD731" s="1604"/>
      <c r="AE731" s="1604"/>
      <c r="AF731" s="1604"/>
      <c r="AG731" s="1605"/>
      <c r="AH731" s="1358" t="str">
        <f t="shared" si="71"/>
        <v/>
      </c>
      <c r="AI731" s="1359"/>
      <c r="AJ731" s="1360"/>
      <c r="AK731" s="1355" t="s">
        <v>599</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c r="C732" s="1356"/>
      <c r="D732" s="1356"/>
      <c r="E732" s="1356"/>
      <c r="F732" s="1357"/>
      <c r="G732" s="1365"/>
      <c r="H732" s="1366"/>
      <c r="I732" s="1366"/>
      <c r="J732" s="1367"/>
      <c r="K732" s="1566"/>
      <c r="L732" s="1567"/>
      <c r="M732" s="1567"/>
      <c r="N732" s="1568"/>
      <c r="O732" s="1377"/>
      <c r="P732" s="1378"/>
      <c r="Q732" s="1378"/>
      <c r="R732" s="1378"/>
      <c r="S732" s="1379"/>
      <c r="T732" s="1377"/>
      <c r="U732" s="1378"/>
      <c r="V732" s="1378"/>
      <c r="W732" s="1379"/>
      <c r="X732" s="1361">
        <f t="shared" si="70"/>
        <v>0</v>
      </c>
      <c r="Y732" s="1362"/>
      <c r="Z732" s="1362"/>
      <c r="AA732" s="1362"/>
      <c r="AB732" s="1363"/>
      <c r="AC732" s="1603"/>
      <c r="AD732" s="1604"/>
      <c r="AE732" s="1604"/>
      <c r="AF732" s="1604"/>
      <c r="AG732" s="1605"/>
      <c r="AH732" s="1358" t="str">
        <f t="shared" si="71"/>
        <v/>
      </c>
      <c r="AI732" s="1359"/>
      <c r="AJ732" s="1360"/>
      <c r="AK732" s="1355" t="s">
        <v>599</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c r="C733" s="1356"/>
      <c r="D733" s="1356"/>
      <c r="E733" s="1356"/>
      <c r="F733" s="1357"/>
      <c r="G733" s="1365"/>
      <c r="H733" s="1366"/>
      <c r="I733" s="1366"/>
      <c r="J733" s="1367"/>
      <c r="K733" s="1566"/>
      <c r="L733" s="1567"/>
      <c r="M733" s="1567"/>
      <c r="N733" s="1568"/>
      <c r="O733" s="1377"/>
      <c r="P733" s="1378"/>
      <c r="Q733" s="1378"/>
      <c r="R733" s="1378"/>
      <c r="S733" s="1379"/>
      <c r="T733" s="1377"/>
      <c r="U733" s="1378"/>
      <c r="V733" s="1378"/>
      <c r="W733" s="1379"/>
      <c r="X733" s="1361">
        <f t="shared" si="70"/>
        <v>0</v>
      </c>
      <c r="Y733" s="1362"/>
      <c r="Z733" s="1362"/>
      <c r="AA733" s="1362"/>
      <c r="AB733" s="1363"/>
      <c r="AC733" s="1603"/>
      <c r="AD733" s="1604"/>
      <c r="AE733" s="1604"/>
      <c r="AF733" s="1604"/>
      <c r="AG733" s="1605"/>
      <c r="AH733" s="1358" t="str">
        <f t="shared" si="71"/>
        <v/>
      </c>
      <c r="AI733" s="1359"/>
      <c r="AJ733" s="1360"/>
      <c r="AK733" s="1355" t="s">
        <v>599</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c r="C734" s="1356"/>
      <c r="D734" s="1356"/>
      <c r="E734" s="1356"/>
      <c r="F734" s="1357"/>
      <c r="G734" s="1365"/>
      <c r="H734" s="1366"/>
      <c r="I734" s="1366"/>
      <c r="J734" s="1367"/>
      <c r="K734" s="1566"/>
      <c r="L734" s="1567"/>
      <c r="M734" s="1567"/>
      <c r="N734" s="1568"/>
      <c r="O734" s="1377"/>
      <c r="P734" s="1378"/>
      <c r="Q734" s="1378"/>
      <c r="R734" s="1378"/>
      <c r="S734" s="1379"/>
      <c r="T734" s="1377"/>
      <c r="U734" s="1378"/>
      <c r="V734" s="1378"/>
      <c r="W734" s="1379"/>
      <c r="X734" s="1361">
        <f t="shared" si="70"/>
        <v>0</v>
      </c>
      <c r="Y734" s="1362"/>
      <c r="Z734" s="1362"/>
      <c r="AA734" s="1362"/>
      <c r="AB734" s="1363"/>
      <c r="AC734" s="1603"/>
      <c r="AD734" s="1604"/>
      <c r="AE734" s="1604"/>
      <c r="AF734" s="1604"/>
      <c r="AG734" s="1605"/>
      <c r="AH734" s="1358" t="str">
        <f t="shared" si="71"/>
        <v/>
      </c>
      <c r="AI734" s="1359"/>
      <c r="AJ734" s="1360"/>
      <c r="AK734" s="1355" t="s">
        <v>599</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65"/>
      <c r="H735" s="1366"/>
      <c r="I735" s="1366"/>
      <c r="J735" s="1367"/>
      <c r="K735" s="1566"/>
      <c r="L735" s="1567"/>
      <c r="M735" s="1567"/>
      <c r="N735" s="1568"/>
      <c r="O735" s="1377"/>
      <c r="P735" s="1378"/>
      <c r="Q735" s="1378"/>
      <c r="R735" s="1378"/>
      <c r="S735" s="1379"/>
      <c r="T735" s="1377"/>
      <c r="U735" s="1378"/>
      <c r="V735" s="1378"/>
      <c r="W735" s="1379"/>
      <c r="X735" s="1361">
        <f t="shared" si="70"/>
        <v>0</v>
      </c>
      <c r="Y735" s="1362"/>
      <c r="Z735" s="1362"/>
      <c r="AA735" s="1362"/>
      <c r="AB735" s="1363"/>
      <c r="AC735" s="1603"/>
      <c r="AD735" s="1604"/>
      <c r="AE735" s="1604"/>
      <c r="AF735" s="1604"/>
      <c r="AG735" s="1605"/>
      <c r="AH735" s="1358" t="str">
        <f t="shared" si="71"/>
        <v/>
      </c>
      <c r="AI735" s="1359"/>
      <c r="AJ735" s="1360"/>
      <c r="AK735" s="1355" t="s">
        <v>599</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65"/>
      <c r="H736" s="1366"/>
      <c r="I736" s="1366"/>
      <c r="J736" s="1367"/>
      <c r="K736" s="1566"/>
      <c r="L736" s="1567"/>
      <c r="M736" s="1567"/>
      <c r="N736" s="1568"/>
      <c r="O736" s="1377"/>
      <c r="P736" s="1378"/>
      <c r="Q736" s="1378"/>
      <c r="R736" s="1378"/>
      <c r="S736" s="1379"/>
      <c r="T736" s="1377"/>
      <c r="U736" s="1378"/>
      <c r="V736" s="1378"/>
      <c r="W736" s="1379"/>
      <c r="X736" s="1361">
        <f t="shared" si="70"/>
        <v>0</v>
      </c>
      <c r="Y736" s="1362"/>
      <c r="Z736" s="1362"/>
      <c r="AA736" s="1362"/>
      <c r="AB736" s="1363"/>
      <c r="AC736" s="1603"/>
      <c r="AD736" s="1604"/>
      <c r="AE736" s="1604"/>
      <c r="AF736" s="1604"/>
      <c r="AG736" s="1605"/>
      <c r="AH736" s="1358" t="str">
        <f t="shared" si="71"/>
        <v/>
      </c>
      <c r="AI736" s="1359"/>
      <c r="AJ736" s="1360"/>
      <c r="AK736" s="1355" t="s">
        <v>599</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65"/>
      <c r="H737" s="1366"/>
      <c r="I737" s="1366"/>
      <c r="J737" s="1367"/>
      <c r="K737" s="1566"/>
      <c r="L737" s="1567"/>
      <c r="M737" s="1567"/>
      <c r="N737" s="1568"/>
      <c r="O737" s="1377"/>
      <c r="P737" s="1378"/>
      <c r="Q737" s="1378"/>
      <c r="R737" s="1378"/>
      <c r="S737" s="1379"/>
      <c r="T737" s="1377"/>
      <c r="U737" s="1378"/>
      <c r="V737" s="1378"/>
      <c r="W737" s="1379"/>
      <c r="X737" s="1361">
        <f t="shared" si="70"/>
        <v>0</v>
      </c>
      <c r="Y737" s="1362"/>
      <c r="Z737" s="1362"/>
      <c r="AA737" s="1362"/>
      <c r="AB737" s="1363"/>
      <c r="AC737" s="1603"/>
      <c r="AD737" s="1604"/>
      <c r="AE737" s="1604"/>
      <c r="AF737" s="1604"/>
      <c r="AG737" s="1605"/>
      <c r="AH737" s="1358" t="str">
        <f t="shared" si="71"/>
        <v/>
      </c>
      <c r="AI737" s="1359"/>
      <c r="AJ737" s="1360"/>
      <c r="AK737" s="1355" t="s">
        <v>599</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5"/>
      <c r="H738" s="1366"/>
      <c r="I738" s="1366"/>
      <c r="J738" s="1367"/>
      <c r="K738" s="1566"/>
      <c r="L738" s="1567"/>
      <c r="M738" s="1567"/>
      <c r="N738" s="1568"/>
      <c r="O738" s="1377"/>
      <c r="P738" s="1378"/>
      <c r="Q738" s="1378"/>
      <c r="R738" s="1378"/>
      <c r="S738" s="1379"/>
      <c r="T738" s="1377"/>
      <c r="U738" s="1378"/>
      <c r="V738" s="1378"/>
      <c r="W738" s="1379"/>
      <c r="X738" s="1361">
        <f t="shared" si="70"/>
        <v>0</v>
      </c>
      <c r="Y738" s="1362"/>
      <c r="Z738" s="1362"/>
      <c r="AA738" s="1362"/>
      <c r="AB738" s="1363"/>
      <c r="AC738" s="1603"/>
      <c r="AD738" s="1604"/>
      <c r="AE738" s="1604"/>
      <c r="AF738" s="1604"/>
      <c r="AG738" s="1605"/>
      <c r="AH738" s="1358" t="str">
        <f t="shared" si="71"/>
        <v/>
      </c>
      <c r="AI738" s="1359"/>
      <c r="AJ738" s="1360"/>
      <c r="AK738" s="1355" t="s">
        <v>599</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5"/>
      <c r="H739" s="1366"/>
      <c r="I739" s="1366"/>
      <c r="J739" s="1367"/>
      <c r="K739" s="1566"/>
      <c r="L739" s="1567"/>
      <c r="M739" s="1567"/>
      <c r="N739" s="1568"/>
      <c r="O739" s="1377"/>
      <c r="P739" s="1378"/>
      <c r="Q739" s="1378"/>
      <c r="R739" s="1378"/>
      <c r="S739" s="1379"/>
      <c r="T739" s="1377"/>
      <c r="U739" s="1378"/>
      <c r="V739" s="1378"/>
      <c r="W739" s="1379"/>
      <c r="X739" s="1361">
        <f t="shared" si="70"/>
        <v>0</v>
      </c>
      <c r="Y739" s="1362"/>
      <c r="Z739" s="1362"/>
      <c r="AA739" s="1362"/>
      <c r="AB739" s="1363"/>
      <c r="AC739" s="1603"/>
      <c r="AD739" s="1604"/>
      <c r="AE739" s="1604"/>
      <c r="AF739" s="1604"/>
      <c r="AG739" s="1605"/>
      <c r="AH739" s="1358" t="str">
        <f t="shared" si="71"/>
        <v/>
      </c>
      <c r="AI739" s="1359"/>
      <c r="AJ739" s="1360"/>
      <c r="AK739" s="1355" t="s">
        <v>599</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5"/>
      <c r="H740" s="1366"/>
      <c r="I740" s="1366"/>
      <c r="J740" s="1367"/>
      <c r="K740" s="1566"/>
      <c r="L740" s="1567"/>
      <c r="M740" s="1567"/>
      <c r="N740" s="1568"/>
      <c r="O740" s="1377"/>
      <c r="P740" s="1378"/>
      <c r="Q740" s="1378"/>
      <c r="R740" s="1378"/>
      <c r="S740" s="1379"/>
      <c r="T740" s="1377"/>
      <c r="U740" s="1378"/>
      <c r="V740" s="1378"/>
      <c r="W740" s="1379"/>
      <c r="X740" s="1361">
        <f t="shared" si="70"/>
        <v>0</v>
      </c>
      <c r="Y740" s="1362"/>
      <c r="Z740" s="1362"/>
      <c r="AA740" s="1362"/>
      <c r="AB740" s="1363"/>
      <c r="AC740" s="1603"/>
      <c r="AD740" s="1604"/>
      <c r="AE740" s="1604"/>
      <c r="AF740" s="1604"/>
      <c r="AG740" s="1605"/>
      <c r="AH740" s="1358" t="str">
        <f t="shared" si="71"/>
        <v/>
      </c>
      <c r="AI740" s="1359"/>
      <c r="AJ740" s="1360"/>
      <c r="AK740" s="1355" t="s">
        <v>599</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5"/>
      <c r="H741" s="1366"/>
      <c r="I741" s="1366"/>
      <c r="J741" s="1367"/>
      <c r="K741" s="1566"/>
      <c r="L741" s="1567"/>
      <c r="M741" s="1567"/>
      <c r="N741" s="1568"/>
      <c r="O741" s="1377"/>
      <c r="P741" s="1378"/>
      <c r="Q741" s="1378"/>
      <c r="R741" s="1378"/>
      <c r="S741" s="1379"/>
      <c r="T741" s="1377"/>
      <c r="U741" s="1378"/>
      <c r="V741" s="1378"/>
      <c r="W741" s="1379"/>
      <c r="X741" s="1361">
        <f t="shared" si="70"/>
        <v>0</v>
      </c>
      <c r="Y741" s="1362"/>
      <c r="Z741" s="1362"/>
      <c r="AA741" s="1362"/>
      <c r="AB741" s="1363"/>
      <c r="AC741" s="1603"/>
      <c r="AD741" s="1604"/>
      <c r="AE741" s="1604"/>
      <c r="AF741" s="1604"/>
      <c r="AG741" s="1605"/>
      <c r="AH741" s="1358" t="str">
        <f t="shared" si="71"/>
        <v/>
      </c>
      <c r="AI741" s="1359"/>
      <c r="AJ741" s="1360"/>
      <c r="AK741" s="1355" t="s">
        <v>599</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5"/>
      <c r="H742" s="1366"/>
      <c r="I742" s="1366"/>
      <c r="J742" s="1367"/>
      <c r="K742" s="1566"/>
      <c r="L742" s="1567"/>
      <c r="M742" s="1567"/>
      <c r="N742" s="1568"/>
      <c r="O742" s="1377"/>
      <c r="P742" s="1378"/>
      <c r="Q742" s="1378"/>
      <c r="R742" s="1378"/>
      <c r="S742" s="1379"/>
      <c r="T742" s="1377"/>
      <c r="U742" s="1378"/>
      <c r="V742" s="1378"/>
      <c r="W742" s="1379"/>
      <c r="X742" s="1361">
        <f t="shared" ref="X742:X751" si="72">O742+T742</f>
        <v>0</v>
      </c>
      <c r="Y742" s="1362"/>
      <c r="Z742" s="1362"/>
      <c r="AA742" s="1362"/>
      <c r="AB742" s="1363"/>
      <c r="AC742" s="1603"/>
      <c r="AD742" s="1604"/>
      <c r="AE742" s="1604"/>
      <c r="AF742" s="1604"/>
      <c r="AG742" s="1605"/>
      <c r="AH742" s="1358" t="str">
        <f t="shared" si="71"/>
        <v/>
      </c>
      <c r="AI742" s="1359"/>
      <c r="AJ742" s="1360"/>
      <c r="AK742" s="1355" t="s">
        <v>599</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5"/>
      <c r="H743" s="1366"/>
      <c r="I743" s="1366"/>
      <c r="J743" s="1367"/>
      <c r="K743" s="1566"/>
      <c r="L743" s="1567"/>
      <c r="M743" s="1567"/>
      <c r="N743" s="1568"/>
      <c r="O743" s="1377"/>
      <c r="P743" s="1378"/>
      <c r="Q743" s="1378"/>
      <c r="R743" s="1378"/>
      <c r="S743" s="1379"/>
      <c r="T743" s="1377"/>
      <c r="U743" s="1378"/>
      <c r="V743" s="1378"/>
      <c r="W743" s="1379"/>
      <c r="X743" s="1361">
        <f t="shared" si="72"/>
        <v>0</v>
      </c>
      <c r="Y743" s="1362"/>
      <c r="Z743" s="1362"/>
      <c r="AA743" s="1362"/>
      <c r="AB743" s="1363"/>
      <c r="AC743" s="1603"/>
      <c r="AD743" s="1604"/>
      <c r="AE743" s="1604"/>
      <c r="AF743" s="1604"/>
      <c r="AG743" s="1605"/>
      <c r="AH743" s="1358" t="str">
        <f t="shared" si="71"/>
        <v/>
      </c>
      <c r="AI743" s="1359"/>
      <c r="AJ743" s="1360"/>
      <c r="AK743" s="1355" t="s">
        <v>599</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5"/>
      <c r="H744" s="1366"/>
      <c r="I744" s="1366"/>
      <c r="J744" s="1367"/>
      <c r="K744" s="1566"/>
      <c r="L744" s="1567"/>
      <c r="M744" s="1567"/>
      <c r="N744" s="1568"/>
      <c r="O744" s="1377"/>
      <c r="P744" s="1378"/>
      <c r="Q744" s="1378"/>
      <c r="R744" s="1378"/>
      <c r="S744" s="1379"/>
      <c r="T744" s="1377"/>
      <c r="U744" s="1378"/>
      <c r="V744" s="1378"/>
      <c r="W744" s="1379"/>
      <c r="X744" s="1361">
        <f t="shared" si="72"/>
        <v>0</v>
      </c>
      <c r="Y744" s="1362"/>
      <c r="Z744" s="1362"/>
      <c r="AA744" s="1362"/>
      <c r="AB744" s="1363"/>
      <c r="AC744" s="1603"/>
      <c r="AD744" s="1604"/>
      <c r="AE744" s="1604"/>
      <c r="AF744" s="1604"/>
      <c r="AG744" s="1605"/>
      <c r="AH744" s="1358" t="str">
        <f t="shared" si="71"/>
        <v/>
      </c>
      <c r="AI744" s="1359"/>
      <c r="AJ744" s="1360"/>
      <c r="AK744" s="1355" t="s">
        <v>599</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5"/>
      <c r="H745" s="1366"/>
      <c r="I745" s="1366"/>
      <c r="J745" s="1367"/>
      <c r="K745" s="1566"/>
      <c r="L745" s="1567"/>
      <c r="M745" s="1567"/>
      <c r="N745" s="1568"/>
      <c r="O745" s="1377"/>
      <c r="P745" s="1378"/>
      <c r="Q745" s="1378"/>
      <c r="R745" s="1378"/>
      <c r="S745" s="1379"/>
      <c r="T745" s="1377"/>
      <c r="U745" s="1378"/>
      <c r="V745" s="1378"/>
      <c r="W745" s="1379"/>
      <c r="X745" s="1361">
        <f t="shared" si="72"/>
        <v>0</v>
      </c>
      <c r="Y745" s="1362"/>
      <c r="Z745" s="1362"/>
      <c r="AA745" s="1362"/>
      <c r="AB745" s="1363"/>
      <c r="AC745" s="1603"/>
      <c r="AD745" s="1604"/>
      <c r="AE745" s="1604"/>
      <c r="AF745" s="1604"/>
      <c r="AG745" s="1605"/>
      <c r="AH745" s="1358" t="str">
        <f t="shared" si="71"/>
        <v/>
      </c>
      <c r="AI745" s="1359"/>
      <c r="AJ745" s="1360"/>
      <c r="AK745" s="1355" t="s">
        <v>599</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5"/>
      <c r="H746" s="1366"/>
      <c r="I746" s="1366"/>
      <c r="J746" s="1367"/>
      <c r="K746" s="1566"/>
      <c r="L746" s="1567"/>
      <c r="M746" s="1567"/>
      <c r="N746" s="1568"/>
      <c r="O746" s="1377"/>
      <c r="P746" s="1378"/>
      <c r="Q746" s="1378"/>
      <c r="R746" s="1378"/>
      <c r="S746" s="1379"/>
      <c r="T746" s="1377"/>
      <c r="U746" s="1378"/>
      <c r="V746" s="1378"/>
      <c r="W746" s="1379"/>
      <c r="X746" s="1361">
        <f t="shared" si="72"/>
        <v>0</v>
      </c>
      <c r="Y746" s="1362"/>
      <c r="Z746" s="1362"/>
      <c r="AA746" s="1362"/>
      <c r="AB746" s="1363"/>
      <c r="AC746" s="1603"/>
      <c r="AD746" s="1604"/>
      <c r="AE746" s="1604"/>
      <c r="AF746" s="1604"/>
      <c r="AG746" s="1605"/>
      <c r="AH746" s="1358" t="str">
        <f t="shared" si="71"/>
        <v/>
      </c>
      <c r="AI746" s="1359"/>
      <c r="AJ746" s="1360"/>
      <c r="AK746" s="1355" t="s">
        <v>599</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5"/>
      <c r="H747" s="1366"/>
      <c r="I747" s="1366"/>
      <c r="J747" s="1367"/>
      <c r="K747" s="1566"/>
      <c r="L747" s="1567"/>
      <c r="M747" s="1567"/>
      <c r="N747" s="1568"/>
      <c r="O747" s="1377"/>
      <c r="P747" s="1378"/>
      <c r="Q747" s="1378"/>
      <c r="R747" s="1378"/>
      <c r="S747" s="1379"/>
      <c r="T747" s="1377"/>
      <c r="U747" s="1378"/>
      <c r="V747" s="1378"/>
      <c r="W747" s="1379"/>
      <c r="X747" s="1361">
        <f t="shared" si="72"/>
        <v>0</v>
      </c>
      <c r="Y747" s="1362"/>
      <c r="Z747" s="1362"/>
      <c r="AA747" s="1362"/>
      <c r="AB747" s="1363"/>
      <c r="AC747" s="1603"/>
      <c r="AD747" s="1604"/>
      <c r="AE747" s="1604"/>
      <c r="AF747" s="1604"/>
      <c r="AG747" s="1605"/>
      <c r="AH747" s="1358" t="str">
        <f t="shared" si="71"/>
        <v/>
      </c>
      <c r="AI747" s="1359"/>
      <c r="AJ747" s="1360"/>
      <c r="AK747" s="1355" t="s">
        <v>599</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5"/>
      <c r="H748" s="1366"/>
      <c r="I748" s="1366"/>
      <c r="J748" s="1367"/>
      <c r="K748" s="1566"/>
      <c r="L748" s="1567"/>
      <c r="M748" s="1567"/>
      <c r="N748" s="1568"/>
      <c r="O748" s="1377"/>
      <c r="P748" s="1378"/>
      <c r="Q748" s="1378"/>
      <c r="R748" s="1378"/>
      <c r="S748" s="1379"/>
      <c r="T748" s="1377"/>
      <c r="U748" s="1378"/>
      <c r="V748" s="1378"/>
      <c r="W748" s="1379"/>
      <c r="X748" s="1361">
        <f t="shared" si="72"/>
        <v>0</v>
      </c>
      <c r="Y748" s="1362"/>
      <c r="Z748" s="1362"/>
      <c r="AA748" s="1362"/>
      <c r="AB748" s="1363"/>
      <c r="AC748" s="1603"/>
      <c r="AD748" s="1604"/>
      <c r="AE748" s="1604"/>
      <c r="AF748" s="1604"/>
      <c r="AG748" s="1605"/>
      <c r="AH748" s="1358" t="str">
        <f t="shared" si="71"/>
        <v/>
      </c>
      <c r="AI748" s="1359"/>
      <c r="AJ748" s="1360"/>
      <c r="AK748" s="1355" t="s">
        <v>599</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5"/>
      <c r="H749" s="1366"/>
      <c r="I749" s="1366"/>
      <c r="J749" s="1367"/>
      <c r="K749" s="1566"/>
      <c r="L749" s="1567"/>
      <c r="M749" s="1567"/>
      <c r="N749" s="1568"/>
      <c r="O749" s="1377"/>
      <c r="P749" s="1378"/>
      <c r="Q749" s="1378"/>
      <c r="R749" s="1378"/>
      <c r="S749" s="1379"/>
      <c r="T749" s="1377"/>
      <c r="U749" s="1378"/>
      <c r="V749" s="1378"/>
      <c r="W749" s="1379"/>
      <c r="X749" s="1361">
        <f t="shared" si="72"/>
        <v>0</v>
      </c>
      <c r="Y749" s="1362"/>
      <c r="Z749" s="1362"/>
      <c r="AA749" s="1362"/>
      <c r="AB749" s="1363"/>
      <c r="AC749" s="1603"/>
      <c r="AD749" s="1604"/>
      <c r="AE749" s="1604"/>
      <c r="AF749" s="1604"/>
      <c r="AG749" s="1605"/>
      <c r="AH749" s="1358" t="str">
        <f t="shared" si="71"/>
        <v/>
      </c>
      <c r="AI749" s="1359"/>
      <c r="AJ749" s="1360"/>
      <c r="AK749" s="1355" t="s">
        <v>599</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5"/>
      <c r="H750" s="1366"/>
      <c r="I750" s="1366"/>
      <c r="J750" s="1367"/>
      <c r="K750" s="1566"/>
      <c r="L750" s="1567"/>
      <c r="M750" s="1567"/>
      <c r="N750" s="1568"/>
      <c r="O750" s="1377"/>
      <c r="P750" s="1378"/>
      <c r="Q750" s="1378"/>
      <c r="R750" s="1378"/>
      <c r="S750" s="1379"/>
      <c r="T750" s="1377"/>
      <c r="U750" s="1378"/>
      <c r="V750" s="1378"/>
      <c r="W750" s="1379"/>
      <c r="X750" s="1361">
        <f t="shared" si="72"/>
        <v>0</v>
      </c>
      <c r="Y750" s="1362"/>
      <c r="Z750" s="1362"/>
      <c r="AA750" s="1362"/>
      <c r="AB750" s="1363"/>
      <c r="AC750" s="1603"/>
      <c r="AD750" s="1604"/>
      <c r="AE750" s="1604"/>
      <c r="AF750" s="1604"/>
      <c r="AG750" s="1605"/>
      <c r="AH750" s="1358" t="str">
        <f t="shared" si="71"/>
        <v/>
      </c>
      <c r="AI750" s="1359"/>
      <c r="AJ750" s="1360"/>
      <c r="AK750" s="1355" t="s">
        <v>599</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5"/>
      <c r="H751" s="1366"/>
      <c r="I751" s="1366"/>
      <c r="J751" s="1367"/>
      <c r="K751" s="1566"/>
      <c r="L751" s="1567"/>
      <c r="M751" s="1567"/>
      <c r="N751" s="1568"/>
      <c r="O751" s="1377"/>
      <c r="P751" s="1378"/>
      <c r="Q751" s="1378"/>
      <c r="R751" s="1378"/>
      <c r="S751" s="1379"/>
      <c r="T751" s="1377"/>
      <c r="U751" s="1378"/>
      <c r="V751" s="1378"/>
      <c r="W751" s="1379"/>
      <c r="X751" s="1361">
        <f t="shared" si="72"/>
        <v>0</v>
      </c>
      <c r="Y751" s="1362"/>
      <c r="Z751" s="1362"/>
      <c r="AA751" s="1362"/>
      <c r="AB751" s="1363"/>
      <c r="AC751" s="1603"/>
      <c r="AD751" s="1604"/>
      <c r="AE751" s="1604"/>
      <c r="AF751" s="1604"/>
      <c r="AG751" s="1605"/>
      <c r="AH751" s="1358" t="str">
        <f t="shared" si="71"/>
        <v/>
      </c>
      <c r="AI751" s="1359"/>
      <c r="AJ751" s="1360"/>
      <c r="AK751" s="1355" t="s">
        <v>599</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5"/>
      <c r="H752" s="1366"/>
      <c r="I752" s="1366"/>
      <c r="J752" s="1367"/>
      <c r="K752" s="1566"/>
      <c r="L752" s="1567"/>
      <c r="M752" s="1567"/>
      <c r="N752" s="1568"/>
      <c r="O752" s="1377"/>
      <c r="P752" s="1378"/>
      <c r="Q752" s="1378"/>
      <c r="R752" s="1378"/>
      <c r="S752" s="1379"/>
      <c r="T752" s="1377"/>
      <c r="U752" s="1378"/>
      <c r="V752" s="1378"/>
      <c r="W752" s="1379"/>
      <c r="X752" s="1361">
        <f>O752+T752</f>
        <v>0</v>
      </c>
      <c r="Y752" s="1362"/>
      <c r="Z752" s="1362"/>
      <c r="AA752" s="1362"/>
      <c r="AB752" s="1363"/>
      <c r="AC752" s="1603"/>
      <c r="AD752" s="1604"/>
      <c r="AE752" s="1604"/>
      <c r="AF752" s="1604"/>
      <c r="AG752" s="1605"/>
      <c r="AH752" s="1358" t="str">
        <f>IF($AC752&gt;0,($X752/$BA701), "")</f>
        <v/>
      </c>
      <c r="AI752" s="1359"/>
      <c r="AJ752" s="1360"/>
      <c r="AK752" s="1355" t="s">
        <v>599</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1" t="s">
        <v>125</v>
      </c>
      <c r="C753" s="1582"/>
      <c r="D753" s="1582"/>
      <c r="E753" s="1582"/>
      <c r="F753" s="1583"/>
      <c r="G753" s="1763">
        <f>SUM(G718:G752)</f>
        <v>134</v>
      </c>
      <c r="H753" s="1764"/>
      <c r="I753" s="1764"/>
      <c r="J753" s="1765"/>
      <c r="K753" s="937" t="s">
        <v>124</v>
      </c>
      <c r="L753" s="5"/>
      <c r="M753" s="5"/>
      <c r="N753" s="46"/>
      <c r="O753" s="1361">
        <f>SUMPRODUCT(G718:G752,O718:O752)</f>
        <v>88091.8</v>
      </c>
      <c r="P753" s="1362"/>
      <c r="Q753" s="1362"/>
      <c r="R753" s="1362"/>
      <c r="S753" s="1363"/>
      <c r="T753"/>
      <c r="U753"/>
      <c r="V753"/>
      <c r="W753"/>
      <c r="X753" s="939" t="s">
        <v>915</v>
      </c>
      <c r="Y753" s="938"/>
      <c r="Z753" s="938"/>
      <c r="AA753" s="938"/>
      <c r="AB753" s="940"/>
      <c r="AC753" s="1736">
        <f>BI703</f>
        <v>0.35298507462686574</v>
      </c>
      <c r="AD753" s="1737"/>
      <c r="AE753" s="1737"/>
      <c r="AF753" s="1737"/>
      <c r="AG753" s="1738"/>
      <c r="AH753" s="1736">
        <f>IFERROR(BV703,"")</f>
        <v>0.2827150820767077</v>
      </c>
      <c r="AI753" s="1737"/>
      <c r="AJ753" s="1738"/>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7" t="s">
        <v>2183</v>
      </c>
      <c r="C754" s="1867"/>
      <c r="D754" s="1867"/>
      <c r="E754" s="1867"/>
      <c r="F754" s="1867"/>
      <c r="G754" s="1867"/>
      <c r="H754" s="1867"/>
      <c r="I754" s="1867"/>
      <c r="J754" s="1867"/>
      <c r="K754" s="1867"/>
      <c r="L754" s="1867"/>
      <c r="M754" s="1867"/>
      <c r="N754" s="1867"/>
      <c r="O754" s="1867"/>
      <c r="P754" s="1867"/>
      <c r="Q754" s="1867"/>
      <c r="R754" s="1867"/>
      <c r="S754" s="1867"/>
      <c r="T754" s="1867"/>
      <c r="U754" s="1867"/>
      <c r="V754" s="1867"/>
      <c r="W754" s="1867"/>
      <c r="X754" s="1867"/>
      <c r="Y754" s="1867"/>
      <c r="Z754" s="1867"/>
      <c r="AA754" s="1867"/>
      <c r="AB754" s="1867"/>
      <c r="AC754" s="1867"/>
      <c r="AD754" s="1867"/>
      <c r="AE754" s="1867"/>
      <c r="AF754" s="1867"/>
      <c r="AG754" s="1867"/>
      <c r="AH754" s="186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7"/>
      <c r="C755" s="1867"/>
      <c r="D755" s="1867"/>
      <c r="E755" s="1867"/>
      <c r="F755" s="1867"/>
      <c r="G755" s="1867"/>
      <c r="H755" s="1867"/>
      <c r="I755" s="1867"/>
      <c r="J755" s="1867"/>
      <c r="K755" s="1867"/>
      <c r="L755" s="1867"/>
      <c r="M755" s="1867"/>
      <c r="N755" s="1867"/>
      <c r="O755" s="1867"/>
      <c r="P755" s="1867"/>
      <c r="Q755" s="1867"/>
      <c r="R755" s="1867"/>
      <c r="S755" s="1867"/>
      <c r="T755" s="1867"/>
      <c r="U755" s="1867"/>
      <c r="V755" s="1867"/>
      <c r="W755" s="1867"/>
      <c r="X755" s="1867"/>
      <c r="Y755" s="1867"/>
      <c r="Z755" s="1867"/>
      <c r="AA755" s="1867"/>
      <c r="AB755" s="1867"/>
      <c r="AC755" s="1867"/>
      <c r="AD755" s="1867"/>
      <c r="AE755" s="1867"/>
      <c r="AF755" s="1867"/>
      <c r="AG755" s="1867"/>
      <c r="AH755" s="186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83">
        <f>CS634</f>
        <v>134</v>
      </c>
      <c r="P756" s="1383"/>
      <c r="Q756" s="1383"/>
      <c r="R756" s="1383"/>
      <c r="S756" s="1004"/>
      <c r="T756" s="1004"/>
      <c r="U756" s="118" t="s">
        <v>2182</v>
      </c>
      <c r="V756" s="1067"/>
      <c r="W756" s="1067"/>
      <c r="X756" s="1067"/>
      <c r="Y756" s="1068"/>
      <c r="Z756" s="1068"/>
      <c r="AA756" s="1068"/>
      <c r="AB756" s="1068"/>
      <c r="AC756" s="1067"/>
      <c r="AD756" s="1067"/>
      <c r="AE756" s="1067"/>
      <c r="AF756" s="1067"/>
      <c r="AG756" s="1868">
        <v>71</v>
      </c>
      <c r="AH756" s="1869"/>
      <c r="AI756" s="1869"/>
      <c r="AJ756" s="186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6" t="str">
        <f>IF(G753&lt;&gt;AG440,"! Total Low-Income Units in the Unit Mix Table above does not match the number of Total Low-Income Units on row #"&amp;TEXT(ROW(D440),"#"),"")</f>
        <v/>
      </c>
      <c r="D757" s="1866"/>
      <c r="E757" s="1866"/>
      <c r="F757" s="1866"/>
      <c r="G757" s="1866"/>
      <c r="H757" s="1866"/>
      <c r="I757" s="1866"/>
      <c r="J757" s="1866"/>
      <c r="K757" s="1866"/>
      <c r="L757" s="1866"/>
      <c r="M757" s="1866"/>
      <c r="N757" s="1866"/>
      <c r="O757" s="1866"/>
      <c r="P757" s="1866"/>
      <c r="Q757" s="1866"/>
      <c r="R757" s="1866"/>
      <c r="S757" s="1866"/>
      <c r="T757" s="1866"/>
      <c r="U757" s="1866"/>
      <c r="V757" s="1866"/>
      <c r="W757" s="1866"/>
      <c r="X757" s="1866"/>
      <c r="Y757" s="1866"/>
      <c r="Z757" s="1866"/>
      <c r="AA757" s="1866"/>
      <c r="AB757" s="1866"/>
      <c r="AC757" s="1866"/>
      <c r="AD757" s="1866"/>
      <c r="AE757" s="1866"/>
      <c r="AF757" s="1866"/>
      <c r="AG757" s="1866"/>
      <c r="AH757" s="1866"/>
      <c r="AI757" s="1866"/>
      <c r="AJ757" s="1866"/>
      <c r="AK757" s="1866"/>
      <c r="AL757" s="1866"/>
      <c r="AM757" s="186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6"/>
      <c r="D758" s="1866"/>
      <c r="E758" s="1866"/>
      <c r="F758" s="1866"/>
      <c r="G758" s="1866"/>
      <c r="H758" s="1866"/>
      <c r="I758" s="1866"/>
      <c r="J758" s="1866"/>
      <c r="K758" s="1866"/>
      <c r="L758" s="1866"/>
      <c r="M758" s="1866"/>
      <c r="N758" s="1866"/>
      <c r="O758" s="1866"/>
      <c r="P758" s="1866"/>
      <c r="Q758" s="1866"/>
      <c r="R758" s="1866"/>
      <c r="S758" s="1866"/>
      <c r="T758" s="1866"/>
      <c r="U758" s="1866"/>
      <c r="V758" s="1866"/>
      <c r="W758" s="1866"/>
      <c r="X758" s="1866"/>
      <c r="Y758" s="1866"/>
      <c r="Z758" s="1866"/>
      <c r="AA758" s="1866"/>
      <c r="AB758" s="1866"/>
      <c r="AC758" s="1866"/>
      <c r="AD758" s="1866"/>
      <c r="AE758" s="1866"/>
      <c r="AF758" s="1866"/>
      <c r="AG758" s="1866"/>
      <c r="AH758" s="1866"/>
      <c r="AI758" s="1866"/>
      <c r="AJ758" s="1866"/>
      <c r="AK758" s="1866"/>
      <c r="AL758" s="1866"/>
      <c r="AM758" s="186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0" t="s">
        <v>599</v>
      </c>
      <c r="AE759" s="1870"/>
      <c r="AF759" s="187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9" t="s">
        <v>390</v>
      </c>
      <c r="K769" s="1369"/>
      <c r="L769" s="1369"/>
      <c r="M769" s="1369"/>
      <c r="N769" s="1370"/>
      <c r="O769" s="1792" t="s">
        <v>286</v>
      </c>
      <c r="P769" s="1792"/>
      <c r="Q769" s="1792"/>
      <c r="R769" s="1792"/>
      <c r="S769" s="1792"/>
      <c r="T769" s="1392" t="s">
        <v>1868</v>
      </c>
      <c r="U769" s="1393"/>
      <c r="V769" s="1393"/>
      <c r="W769" s="1394"/>
      <c r="X769" s="1509" t="s">
        <v>455</v>
      </c>
      <c r="Y769" s="1369"/>
      <c r="Z769" s="1369"/>
      <c r="AA769" s="1369"/>
      <c r="AB769" s="1370"/>
      <c r="AC769" s="1509"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792"/>
      <c r="P770" s="1792"/>
      <c r="Q770" s="1792"/>
      <c r="R770" s="1792"/>
      <c r="S770" s="1792"/>
      <c r="T770" s="1395"/>
      <c r="U770" s="1396"/>
      <c r="V770" s="1396"/>
      <c r="W770" s="1397"/>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792"/>
      <c r="P771" s="1792"/>
      <c r="Q771" s="1792"/>
      <c r="R771" s="1792"/>
      <c r="S771" s="1792"/>
      <c r="T771" s="1395"/>
      <c r="U771" s="1396"/>
      <c r="V771" s="1396"/>
      <c r="W771" s="1397"/>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792"/>
      <c r="P772" s="1792"/>
      <c r="Q772" s="1792"/>
      <c r="R772" s="1792"/>
      <c r="S772" s="1792"/>
      <c r="T772" s="1592"/>
      <c r="U772" s="1593"/>
      <c r="V772" s="1593"/>
      <c r="W772" s="1594"/>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326</v>
      </c>
      <c r="K773" s="1356"/>
      <c r="L773" s="1356"/>
      <c r="M773" s="1356"/>
      <c r="N773" s="1357"/>
      <c r="O773" s="1491">
        <v>2</v>
      </c>
      <c r="P773" s="1491"/>
      <c r="Q773" s="1491"/>
      <c r="R773" s="1491"/>
      <c r="S773" s="1491"/>
      <c r="T773" s="1566">
        <v>500</v>
      </c>
      <c r="U773" s="1567"/>
      <c r="V773" s="1567"/>
      <c r="W773" s="1568"/>
      <c r="X773" s="1377">
        <v>0</v>
      </c>
      <c r="Y773" s="1378"/>
      <c r="Z773" s="1378"/>
      <c r="AA773" s="1378"/>
      <c r="AB773" s="1379"/>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491"/>
      <c r="P774" s="1491"/>
      <c r="Q774" s="1491"/>
      <c r="R774" s="1491"/>
      <c r="S774" s="1491"/>
      <c r="T774" s="1566"/>
      <c r="U774" s="1567"/>
      <c r="V774" s="1567"/>
      <c r="W774" s="1568"/>
      <c r="X774" s="1377"/>
      <c r="Y774" s="1378"/>
      <c r="Z774" s="1378"/>
      <c r="AA774" s="1378"/>
      <c r="AB774" s="1379"/>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491"/>
      <c r="P775" s="1491"/>
      <c r="Q775" s="1491"/>
      <c r="R775" s="1491"/>
      <c r="S775" s="1491"/>
      <c r="T775" s="1566"/>
      <c r="U775" s="1567"/>
      <c r="V775" s="1567"/>
      <c r="W775" s="1568"/>
      <c r="X775" s="1377"/>
      <c r="Y775" s="1378"/>
      <c r="Z775" s="1378"/>
      <c r="AA775" s="1378"/>
      <c r="AB775" s="1379"/>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491"/>
      <c r="P776" s="1491"/>
      <c r="Q776" s="1491"/>
      <c r="R776" s="1491"/>
      <c r="S776" s="1491"/>
      <c r="T776" s="1566"/>
      <c r="U776" s="1567"/>
      <c r="V776" s="1567"/>
      <c r="W776" s="1568"/>
      <c r="X776" s="1377"/>
      <c r="Y776" s="1378"/>
      <c r="Z776" s="1378"/>
      <c r="AA776" s="1378"/>
      <c r="AB776" s="1379"/>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1" t="s">
        <v>125</v>
      </c>
      <c r="K777" s="1582"/>
      <c r="L777" s="1582"/>
      <c r="M777" s="1582"/>
      <c r="N777" s="1583"/>
      <c r="O777" s="1389">
        <f>SUM(O773:S776)</f>
        <v>2</v>
      </c>
      <c r="P777" s="1505"/>
      <c r="Q777" s="1505"/>
      <c r="R777" s="1505"/>
      <c r="S777" s="1390"/>
      <c r="X777" s="1581" t="s">
        <v>124</v>
      </c>
      <c r="Y777" s="1582"/>
      <c r="Z777" s="1582"/>
      <c r="AA777" s="1582"/>
      <c r="AB777" s="1583"/>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4" t="s">
        <v>677</v>
      </c>
      <c r="K779" s="1434"/>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9" t="s">
        <v>390</v>
      </c>
      <c r="K783" s="1369"/>
      <c r="L783" s="1369"/>
      <c r="M783" s="1369"/>
      <c r="N783" s="1370"/>
      <c r="O783" s="1792" t="s">
        <v>286</v>
      </c>
      <c r="P783" s="1792"/>
      <c r="Q783" s="1792"/>
      <c r="R783" s="1792"/>
      <c r="S783" s="1792"/>
      <c r="T783" s="1392" t="s">
        <v>1868</v>
      </c>
      <c r="U783" s="1393"/>
      <c r="V783" s="1393"/>
      <c r="W783" s="1394"/>
      <c r="X783" s="1509" t="s">
        <v>455</v>
      </c>
      <c r="Y783" s="1369"/>
      <c r="Z783" s="1369"/>
      <c r="AA783" s="1369"/>
      <c r="AB783" s="1370"/>
      <c r="AC783" s="1509"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792"/>
      <c r="P784" s="1792"/>
      <c r="Q784" s="1792"/>
      <c r="R784" s="1792"/>
      <c r="S784" s="1792"/>
      <c r="T784" s="1395"/>
      <c r="U784" s="1396"/>
      <c r="V784" s="1396"/>
      <c r="W784" s="1397"/>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792"/>
      <c r="P785" s="1792"/>
      <c r="Q785" s="1792"/>
      <c r="R785" s="1792"/>
      <c r="S785" s="1792"/>
      <c r="T785" s="1395"/>
      <c r="U785" s="1396"/>
      <c r="V785" s="1396"/>
      <c r="W785" s="1397"/>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792"/>
      <c r="P786" s="1792"/>
      <c r="Q786" s="1792"/>
      <c r="R786" s="1792"/>
      <c r="S786" s="1792"/>
      <c r="T786" s="1592"/>
      <c r="U786" s="1593"/>
      <c r="V786" s="1593"/>
      <c r="W786" s="1594"/>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491"/>
      <c r="P787" s="1491"/>
      <c r="Q787" s="1491"/>
      <c r="R787" s="1491"/>
      <c r="S787" s="1491"/>
      <c r="T787" s="1566"/>
      <c r="U787" s="1567"/>
      <c r="V787" s="1567"/>
      <c r="W787" s="1568"/>
      <c r="X787" s="1377"/>
      <c r="Y787" s="1378"/>
      <c r="Z787" s="1378"/>
      <c r="AA787" s="1378"/>
      <c r="AB787" s="1379"/>
      <c r="AC787" s="1361">
        <f t="shared" ref="AC787:AC796" si="73">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491"/>
      <c r="P788" s="1491"/>
      <c r="Q788" s="1491"/>
      <c r="R788" s="1491"/>
      <c r="S788" s="1491"/>
      <c r="T788" s="1566"/>
      <c r="U788" s="1567"/>
      <c r="V788" s="1567"/>
      <c r="W788" s="1568"/>
      <c r="X788" s="1377"/>
      <c r="Y788" s="1378"/>
      <c r="Z788" s="1378"/>
      <c r="AA788" s="1378"/>
      <c r="AB788" s="1379"/>
      <c r="AC788" s="1361">
        <f t="shared" si="73"/>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491"/>
      <c r="P789" s="1491"/>
      <c r="Q789" s="1491"/>
      <c r="R789" s="1491"/>
      <c r="S789" s="1491"/>
      <c r="T789" s="1566"/>
      <c r="U789" s="1567"/>
      <c r="V789" s="1567"/>
      <c r="W789" s="1568"/>
      <c r="X789" s="1377"/>
      <c r="Y789" s="1378"/>
      <c r="Z789" s="1378"/>
      <c r="AA789" s="1378"/>
      <c r="AB789" s="1379"/>
      <c r="AC789" s="1361">
        <f t="shared" si="73"/>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491"/>
      <c r="P790" s="1491"/>
      <c r="Q790" s="1491"/>
      <c r="R790" s="1491"/>
      <c r="S790" s="1491"/>
      <c r="T790" s="1566"/>
      <c r="U790" s="1567"/>
      <c r="V790" s="1567"/>
      <c r="W790" s="1568"/>
      <c r="X790" s="1377"/>
      <c r="Y790" s="1378"/>
      <c r="Z790" s="1378"/>
      <c r="AA790" s="1378"/>
      <c r="AB790" s="1379"/>
      <c r="AC790" s="1361">
        <f t="shared" si="73"/>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491"/>
      <c r="P791" s="1491"/>
      <c r="Q791" s="1491"/>
      <c r="R791" s="1491"/>
      <c r="S791" s="1491"/>
      <c r="T791" s="1566"/>
      <c r="U791" s="1567"/>
      <c r="V791" s="1567"/>
      <c r="W791" s="1568"/>
      <c r="X791" s="1377"/>
      <c r="Y791" s="1378"/>
      <c r="Z791" s="1378"/>
      <c r="AA791" s="1378"/>
      <c r="AB791" s="1379"/>
      <c r="AC791" s="1361">
        <f t="shared" si="73"/>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491"/>
      <c r="P792" s="1491"/>
      <c r="Q792" s="1491"/>
      <c r="R792" s="1491"/>
      <c r="S792" s="1491"/>
      <c r="T792" s="1566"/>
      <c r="U792" s="1567"/>
      <c r="V792" s="1567"/>
      <c r="W792" s="1568"/>
      <c r="X792" s="1377"/>
      <c r="Y792" s="1378"/>
      <c r="Z792" s="1378"/>
      <c r="AA792" s="1378"/>
      <c r="AB792" s="1379"/>
      <c r="AC792" s="1361">
        <f t="shared" si="73"/>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491"/>
      <c r="P793" s="1491"/>
      <c r="Q793" s="1491"/>
      <c r="R793" s="1491"/>
      <c r="S793" s="1491"/>
      <c r="T793" s="1566"/>
      <c r="U793" s="1567"/>
      <c r="V793" s="1567"/>
      <c r="W793" s="1568"/>
      <c r="X793" s="1377"/>
      <c r="Y793" s="1378"/>
      <c r="Z793" s="1378"/>
      <c r="AA793" s="1378"/>
      <c r="AB793" s="1379"/>
      <c r="AC793" s="1361">
        <f t="shared" si="73"/>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491"/>
      <c r="P794" s="1491"/>
      <c r="Q794" s="1491"/>
      <c r="R794" s="1491"/>
      <c r="S794" s="1491"/>
      <c r="T794" s="1566"/>
      <c r="U794" s="1567"/>
      <c r="V794" s="1567"/>
      <c r="W794" s="1568"/>
      <c r="X794" s="1377"/>
      <c r="Y794" s="1378"/>
      <c r="Z794" s="1378"/>
      <c r="AA794" s="1378"/>
      <c r="AB794" s="1379"/>
      <c r="AC794" s="1361">
        <f t="shared" si="73"/>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491"/>
      <c r="P795" s="1491"/>
      <c r="Q795" s="1491"/>
      <c r="R795" s="1491"/>
      <c r="S795" s="1491"/>
      <c r="T795" s="1566"/>
      <c r="U795" s="1567"/>
      <c r="V795" s="1567"/>
      <c r="W795" s="1568"/>
      <c r="X795" s="1377"/>
      <c r="Y795" s="1378"/>
      <c r="Z795" s="1378"/>
      <c r="AA795" s="1378"/>
      <c r="AB795" s="1379"/>
      <c r="AC795" s="1361">
        <f t="shared" si="73"/>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491"/>
      <c r="P796" s="1491"/>
      <c r="Q796" s="1491"/>
      <c r="R796" s="1491"/>
      <c r="S796" s="1491"/>
      <c r="T796" s="1566"/>
      <c r="U796" s="1567"/>
      <c r="V796" s="1567"/>
      <c r="W796" s="1568"/>
      <c r="X796" s="1377"/>
      <c r="Y796" s="1378"/>
      <c r="Z796" s="1378"/>
      <c r="AA796" s="1378"/>
      <c r="AB796" s="1379"/>
      <c r="AC796" s="1361">
        <f t="shared" si="73"/>
        <v>0</v>
      </c>
      <c r="AD796" s="1362"/>
      <c r="AE796" s="1362"/>
      <c r="AF796" s="1362"/>
      <c r="AG796" s="1363"/>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42" t="s">
        <v>477</v>
      </c>
      <c r="BO796" s="1743"/>
      <c r="BP796" s="3"/>
      <c r="BQ796" s="3"/>
      <c r="BR796" s="3"/>
      <c r="BS796" s="14" t="s">
        <v>642</v>
      </c>
      <c r="BT796" s="14"/>
      <c r="BU796" s="14"/>
      <c r="BV796" s="14"/>
      <c r="BW796" s="14"/>
      <c r="BX796" s="14"/>
      <c r="BY796" s="14"/>
      <c r="BZ796" s="14"/>
      <c r="CA796" s="14"/>
      <c r="CB796" s="1739" t="str">
        <f>T189</f>
        <v>Ventura</v>
      </c>
      <c r="CC796" s="1740"/>
      <c r="CD796" s="1740"/>
      <c r="CE796" s="1740"/>
      <c r="CF796" s="1740"/>
      <c r="CG796" s="1740"/>
      <c r="CH796" s="174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1" t="s">
        <v>125</v>
      </c>
      <c r="K797" s="1582"/>
      <c r="L797" s="1582"/>
      <c r="M797" s="1582"/>
      <c r="N797" s="1583"/>
      <c r="O797" s="1762">
        <f>SUM(O787:S796)</f>
        <v>0</v>
      </c>
      <c r="P797" s="1762"/>
      <c r="Q797" s="1762"/>
      <c r="R797" s="1762"/>
      <c r="S797" s="1762"/>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9" t="str">
        <f>IF(O797&lt;&gt;AG438,"! Total market rate units in the Unit Mix Table above does not match the number of  market rate units on row #"&amp;TEXT(ROW(D438),"#"),"")</f>
        <v/>
      </c>
      <c r="D798" s="1449"/>
      <c r="E798" s="1449"/>
      <c r="F798" s="1449"/>
      <c r="G798" s="1449"/>
      <c r="H798" s="1449"/>
      <c r="I798" s="1449"/>
      <c r="J798" s="1449"/>
      <c r="K798" s="1449"/>
      <c r="L798" s="1449"/>
      <c r="M798" s="1449"/>
      <c r="N798" s="1449"/>
      <c r="O798" s="1449"/>
      <c r="P798" s="1449"/>
      <c r="Q798" s="1449"/>
      <c r="R798" s="1449"/>
      <c r="S798" s="1449"/>
      <c r="T798" s="1449"/>
      <c r="U798" s="1449"/>
      <c r="V798" s="1449"/>
      <c r="W798" s="1449"/>
      <c r="X798" s="1449"/>
      <c r="Y798" s="1449"/>
      <c r="Z798" s="1449"/>
      <c r="AA798" s="1449"/>
      <c r="AB798" s="1449"/>
      <c r="AC798" s="1449"/>
      <c r="AD798" s="1449"/>
      <c r="AE798" s="1449"/>
      <c r="AF798" s="1449"/>
      <c r="AG798" s="1449"/>
      <c r="AH798" s="1449"/>
      <c r="AI798" s="1449"/>
      <c r="AJ798" s="1449"/>
      <c r="AK798" s="1449"/>
      <c r="AL798" s="1449"/>
      <c r="AM798" s="1449"/>
      <c r="AN798" s="144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9"/>
      <c r="D799" s="1449"/>
      <c r="E799" s="1449"/>
      <c r="F799" s="1449"/>
      <c r="G799" s="1449"/>
      <c r="H799" s="1449"/>
      <c r="I799" s="1449"/>
      <c r="J799" s="1449"/>
      <c r="K799" s="1449"/>
      <c r="L799" s="1449"/>
      <c r="M799" s="1449"/>
      <c r="N799" s="1449"/>
      <c r="O799" s="1449"/>
      <c r="P799" s="1449"/>
      <c r="Q799" s="1449"/>
      <c r="R799" s="1449"/>
      <c r="S799" s="1449"/>
      <c r="T799" s="1449"/>
      <c r="U799" s="1449"/>
      <c r="V799" s="1449"/>
      <c r="W799" s="1449"/>
      <c r="X799" s="1449"/>
      <c r="Y799" s="1449"/>
      <c r="Z799" s="1449"/>
      <c r="AA799" s="1449"/>
      <c r="AB799" s="1449"/>
      <c r="AC799" s="1449"/>
      <c r="AD799" s="1449"/>
      <c r="AE799" s="1449"/>
      <c r="AF799" s="1449"/>
      <c r="AG799" s="1449"/>
      <c r="AH799" s="1449"/>
      <c r="AI799" s="1449"/>
      <c r="AJ799" s="1449"/>
      <c r="AK799" s="1449"/>
      <c r="AL799" s="1449"/>
      <c r="AM799" s="1449"/>
      <c r="AN799" s="144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8">
        <f>O753+AC777+AC797</f>
        <v>88091.8</v>
      </c>
      <c r="Z800" s="1598"/>
      <c r="AA800" s="1598"/>
      <c r="AB800" s="1598"/>
      <c r="AC800" s="159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8">
        <f>(O753+AC777+AC797)*12</f>
        <v>1057101.6000000001</v>
      </c>
      <c r="Z801" s="1598"/>
      <c r="AA801" s="1598"/>
      <c r="AB801" s="1598"/>
      <c r="AC801" s="159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45">
        <v>61</v>
      </c>
      <c r="AA806" s="1590"/>
      <c r="AB806" s="1590"/>
      <c r="AC806" s="1590"/>
      <c r="AD806" s="1590"/>
      <c r="AE806" s="159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89">
        <v>20</v>
      </c>
      <c r="AA807" s="1590"/>
      <c r="AB807" s="1590"/>
      <c r="AC807" s="1590"/>
      <c r="AD807" s="1590"/>
      <c r="AE807" s="159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1">
        <v>52718</v>
      </c>
      <c r="AA808" s="1612"/>
      <c r="AB808" s="1612"/>
      <c r="AC808" s="1612"/>
      <c r="AD808" s="1612"/>
      <c r="AE808" s="161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597086.39999999991</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1"/>
      <c r="AA813" s="1572"/>
      <c r="AB813" s="1572"/>
      <c r="AC813" s="1572"/>
      <c r="AD813" s="1572"/>
      <c r="AE813" s="157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1"/>
      <c r="AA814" s="1572"/>
      <c r="AB814" s="1572"/>
      <c r="AC814" s="1572"/>
      <c r="AD814" s="1572"/>
      <c r="AE814" s="157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1"/>
      <c r="AA815" s="1572"/>
      <c r="AB815" s="1572"/>
      <c r="AC815" s="1572"/>
      <c r="AD815" s="1572"/>
      <c r="AE815" s="157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7" t="s">
        <v>335</v>
      </c>
      <c r="Q816" s="1608"/>
      <c r="R816" s="1608"/>
      <c r="S816" s="1608"/>
      <c r="T816" s="1608"/>
      <c r="U816" s="1608"/>
      <c r="V816" s="1608"/>
      <c r="W816" s="1608"/>
      <c r="X816" s="1608"/>
      <c r="Y816" s="1609"/>
      <c r="Z816" s="1571"/>
      <c r="AA816" s="1572"/>
      <c r="AB816" s="1572"/>
      <c r="AC816" s="1572"/>
      <c r="AD816" s="1572"/>
      <c r="AE816" s="157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15">
        <f>Z817+Y801+Z809</f>
        <v>1654188</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599" t="s">
        <v>126</v>
      </c>
      <c r="N823" s="1599"/>
      <c r="O823" s="1599"/>
      <c r="P823" s="1600"/>
      <c r="Q823" s="1610" t="s">
        <v>291</v>
      </c>
      <c r="R823" s="1610"/>
      <c r="S823" s="1610"/>
      <c r="T823" s="1610"/>
      <c r="U823" s="1610" t="s">
        <v>292</v>
      </c>
      <c r="V823" s="1610"/>
      <c r="W823" s="1610"/>
      <c r="X823" s="1610"/>
      <c r="Y823" s="1610" t="s">
        <v>293</v>
      </c>
      <c r="Z823" s="1610"/>
      <c r="AA823" s="1610"/>
      <c r="AB823" s="1610"/>
      <c r="AC823" s="1610" t="s">
        <v>362</v>
      </c>
      <c r="AD823" s="1610"/>
      <c r="AE823" s="1610"/>
      <c r="AF823" s="1610"/>
      <c r="AG823" s="1606" t="s">
        <v>336</v>
      </c>
      <c r="AH823" s="1606"/>
      <c r="AI823" s="1606"/>
      <c r="AJ823" s="160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01"/>
      <c r="N824" s="1601"/>
      <c r="O824" s="1601"/>
      <c r="P824" s="1602"/>
      <c r="Q824" s="1610"/>
      <c r="R824" s="1610"/>
      <c r="S824" s="1610"/>
      <c r="T824" s="1610"/>
      <c r="U824" s="1610"/>
      <c r="V824" s="1610"/>
      <c r="W824" s="1610"/>
      <c r="X824" s="1610"/>
      <c r="Y824" s="1610"/>
      <c r="Z824" s="1610"/>
      <c r="AA824" s="1610"/>
      <c r="AB824" s="1610"/>
      <c r="AC824" s="1610"/>
      <c r="AD824" s="1610"/>
      <c r="AE824" s="1610"/>
      <c r="AF824" s="1610"/>
      <c r="AG824" s="1606"/>
      <c r="AH824" s="1606"/>
      <c r="AI824" s="1606"/>
      <c r="AJ824" s="160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88" t="s">
        <v>40</v>
      </c>
      <c r="D825" s="1504"/>
      <c r="E825" s="1504"/>
      <c r="F825" s="1504"/>
      <c r="G825" s="1504"/>
      <c r="H825" s="1504"/>
      <c r="I825" s="48"/>
      <c r="J825" s="48"/>
      <c r="K825" s="48"/>
      <c r="L825" s="49"/>
      <c r="M825" s="1587">
        <v>0</v>
      </c>
      <c r="N825" s="1587"/>
      <c r="O825" s="1587"/>
      <c r="P825" s="1587"/>
      <c r="Q825" s="1587">
        <v>0</v>
      </c>
      <c r="R825" s="1587"/>
      <c r="S825" s="1587"/>
      <c r="T825" s="1587"/>
      <c r="U825" s="1587"/>
      <c r="V825" s="1587"/>
      <c r="W825" s="1587"/>
      <c r="X825" s="1587"/>
      <c r="Y825" s="1587"/>
      <c r="Z825" s="1587"/>
      <c r="AA825" s="1587"/>
      <c r="AB825" s="1587"/>
      <c r="AC825" s="1575"/>
      <c r="AD825" s="1576"/>
      <c r="AE825" s="1576"/>
      <c r="AF825" s="1577"/>
      <c r="AG825" s="1575"/>
      <c r="AH825" s="1576"/>
      <c r="AI825" s="1576"/>
      <c r="AJ825" s="1577"/>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5" t="s">
        <v>41</v>
      </c>
      <c r="D826" s="1431"/>
      <c r="E826" s="1431"/>
      <c r="F826" s="1431"/>
      <c r="G826" s="1431"/>
      <c r="H826" s="1431"/>
      <c r="I826" s="5"/>
      <c r="J826" s="5"/>
      <c r="K826" s="5"/>
      <c r="L826" s="46"/>
      <c r="M826" s="1587">
        <v>0</v>
      </c>
      <c r="N826" s="1587"/>
      <c r="O826" s="1587"/>
      <c r="P826" s="1587"/>
      <c r="Q826" s="1587">
        <v>0</v>
      </c>
      <c r="R826" s="1587"/>
      <c r="S826" s="1587"/>
      <c r="T826" s="1587"/>
      <c r="U826" s="1587"/>
      <c r="V826" s="1587"/>
      <c r="W826" s="1587"/>
      <c r="X826" s="1587"/>
      <c r="Y826" s="1587"/>
      <c r="Z826" s="1587"/>
      <c r="AA826" s="1587"/>
      <c r="AB826" s="1587"/>
      <c r="AC826" s="1575"/>
      <c r="AD826" s="1576"/>
      <c r="AE826" s="1576"/>
      <c r="AF826" s="1577"/>
      <c r="AG826" s="1575"/>
      <c r="AH826" s="1576"/>
      <c r="AI826" s="1576"/>
      <c r="AJ826" s="1577"/>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5" t="s">
        <v>42</v>
      </c>
      <c r="D827" s="1431"/>
      <c r="E827" s="1431"/>
      <c r="F827" s="1431"/>
      <c r="G827" s="1431"/>
      <c r="H827" s="1431"/>
      <c r="I827" s="60"/>
      <c r="J827" s="60"/>
      <c r="K827" s="60"/>
      <c r="L827" s="61"/>
      <c r="M827" s="1587">
        <v>0</v>
      </c>
      <c r="N827" s="1587"/>
      <c r="O827" s="1587"/>
      <c r="P827" s="1587"/>
      <c r="Q827" s="1587">
        <v>0</v>
      </c>
      <c r="R827" s="1587"/>
      <c r="S827" s="1587"/>
      <c r="T827" s="1587"/>
      <c r="U827" s="1587"/>
      <c r="V827" s="1587"/>
      <c r="W827" s="1587"/>
      <c r="X827" s="1587"/>
      <c r="Y827" s="1587"/>
      <c r="Z827" s="1587"/>
      <c r="AA827" s="1587"/>
      <c r="AB827" s="1587"/>
      <c r="AC827" s="1575"/>
      <c r="AD827" s="1576"/>
      <c r="AE827" s="1576"/>
      <c r="AF827" s="1577"/>
      <c r="AG827" s="1575"/>
      <c r="AH827" s="1576"/>
      <c r="AI827" s="1576"/>
      <c r="AJ827" s="1577"/>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5" t="s">
        <v>771</v>
      </c>
      <c r="D828" s="1431"/>
      <c r="E828" s="1431"/>
      <c r="F828" s="1431"/>
      <c r="G828" s="1431"/>
      <c r="H828" s="1431"/>
      <c r="I828" s="60"/>
      <c r="J828" s="60"/>
      <c r="K828" s="60"/>
      <c r="L828" s="61"/>
      <c r="M828" s="1587">
        <v>0</v>
      </c>
      <c r="N828" s="1587"/>
      <c r="O828" s="1587"/>
      <c r="P828" s="1587"/>
      <c r="Q828" s="1587">
        <v>0</v>
      </c>
      <c r="R828" s="1587"/>
      <c r="S828" s="1587"/>
      <c r="T828" s="1587"/>
      <c r="U828" s="1587"/>
      <c r="V828" s="1587"/>
      <c r="W828" s="1587"/>
      <c r="X828" s="1587"/>
      <c r="Y828" s="1587"/>
      <c r="Z828" s="1587"/>
      <c r="AA828" s="1587"/>
      <c r="AB828" s="1587"/>
      <c r="AC828" s="1575"/>
      <c r="AD828" s="1576"/>
      <c r="AE828" s="1576"/>
      <c r="AF828" s="1577"/>
      <c r="AG828" s="1575"/>
      <c r="AH828" s="1576"/>
      <c r="AI828" s="1576"/>
      <c r="AJ828" s="1577"/>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5" t="s">
        <v>467</v>
      </c>
      <c r="D829" s="1431"/>
      <c r="E829" s="1431"/>
      <c r="F829" s="1431"/>
      <c r="G829" s="1431"/>
      <c r="H829" s="1431"/>
      <c r="I829" s="60"/>
      <c r="J829" s="60"/>
      <c r="K829" s="60"/>
      <c r="L829" s="61"/>
      <c r="M829" s="1587">
        <v>0</v>
      </c>
      <c r="N829" s="1587"/>
      <c r="O829" s="1587"/>
      <c r="P829" s="1587"/>
      <c r="Q829" s="1587">
        <v>0</v>
      </c>
      <c r="R829" s="1587"/>
      <c r="S829" s="1587"/>
      <c r="T829" s="1587"/>
      <c r="U829" s="1587"/>
      <c r="V829" s="1587"/>
      <c r="W829" s="1587"/>
      <c r="X829" s="1587"/>
      <c r="Y829" s="1587"/>
      <c r="Z829" s="1587"/>
      <c r="AA829" s="1587"/>
      <c r="AB829" s="1587"/>
      <c r="AC829" s="1575"/>
      <c r="AD829" s="1576"/>
      <c r="AE829" s="1576"/>
      <c r="AF829" s="1577"/>
      <c r="AG829" s="1575"/>
      <c r="AH829" s="1576"/>
      <c r="AI829" s="1576"/>
      <c r="AJ829" s="1577"/>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6" t="s">
        <v>792</v>
      </c>
      <c r="D830" s="1431"/>
      <c r="E830" s="1431"/>
      <c r="F830" s="1431"/>
      <c r="G830" s="1431"/>
      <c r="H830" s="1431"/>
      <c r="I830" s="60"/>
      <c r="J830" s="60"/>
      <c r="K830" s="60"/>
      <c r="L830" s="61"/>
      <c r="M830" s="1587">
        <v>0</v>
      </c>
      <c r="N830" s="1587"/>
      <c r="O830" s="1587"/>
      <c r="P830" s="1587"/>
      <c r="Q830" s="1587">
        <v>0</v>
      </c>
      <c r="R830" s="1587"/>
      <c r="S830" s="1587"/>
      <c r="T830" s="1587"/>
      <c r="U830" s="1587"/>
      <c r="V830" s="1587"/>
      <c r="W830" s="1587"/>
      <c r="X830" s="1587"/>
      <c r="Y830" s="1587"/>
      <c r="Z830" s="1587"/>
      <c r="AA830" s="1587"/>
      <c r="AB830" s="1587"/>
      <c r="AC830" s="1575"/>
      <c r="AD830" s="1576"/>
      <c r="AE830" s="1576"/>
      <c r="AF830" s="1577"/>
      <c r="AG830" s="1575"/>
      <c r="AH830" s="1576"/>
      <c r="AI830" s="1576"/>
      <c r="AJ830" s="1577"/>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07" t="s">
        <v>335</v>
      </c>
      <c r="G831" s="1608"/>
      <c r="H831" s="1608"/>
      <c r="I831" s="1608"/>
      <c r="J831" s="1608"/>
      <c r="K831" s="1608"/>
      <c r="L831" s="1608"/>
      <c r="M831" s="1587"/>
      <c r="N831" s="1587"/>
      <c r="O831" s="1587"/>
      <c r="P831" s="1587"/>
      <c r="Q831" s="1587"/>
      <c r="R831" s="1587"/>
      <c r="S831" s="1587"/>
      <c r="T831" s="1587"/>
      <c r="U831" s="1587"/>
      <c r="V831" s="1587"/>
      <c r="W831" s="1587"/>
      <c r="X831" s="1587"/>
      <c r="Y831" s="1587"/>
      <c r="Z831" s="1587"/>
      <c r="AA831" s="1587"/>
      <c r="AB831" s="1587"/>
      <c r="AC831" s="1575"/>
      <c r="AD831" s="1576"/>
      <c r="AE831" s="1576"/>
      <c r="AF831" s="1577"/>
      <c r="AG831" s="1575"/>
      <c r="AH831" s="1576"/>
      <c r="AI831" s="1576"/>
      <c r="AJ831" s="1577"/>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1" t="s">
        <v>124</v>
      </c>
      <c r="D832" s="1582"/>
      <c r="E832" s="1582"/>
      <c r="F832" s="1582"/>
      <c r="G832" s="1582"/>
      <c r="H832" s="1582"/>
      <c r="I832" s="1582"/>
      <c r="J832" s="1582"/>
      <c r="K832" s="1582"/>
      <c r="L832" s="1583"/>
      <c r="M832" s="1614">
        <f>SUM(M825:P831)</f>
        <v>0</v>
      </c>
      <c r="N832" s="1614"/>
      <c r="O832" s="1614"/>
      <c r="P832" s="1614"/>
      <c r="Q832" s="1614">
        <f>SUM(Q825:T831)</f>
        <v>0</v>
      </c>
      <c r="R832" s="1614"/>
      <c r="S832" s="1614"/>
      <c r="T832" s="1614"/>
      <c r="U832" s="1614">
        <f>SUM(U825:X831)</f>
        <v>0</v>
      </c>
      <c r="V832" s="1614"/>
      <c r="W832" s="1614"/>
      <c r="X832" s="1614"/>
      <c r="Y832" s="1614">
        <f>SUM(Y825:AB831)</f>
        <v>0</v>
      </c>
      <c r="Z832" s="1614"/>
      <c r="AA832" s="1614"/>
      <c r="AB832" s="1614"/>
      <c r="AC832" s="1614">
        <f>SUM(AC825:AF831)</f>
        <v>0</v>
      </c>
      <c r="AD832" s="1614"/>
      <c r="AE832" s="1614"/>
      <c r="AF832" s="1614"/>
      <c r="AG832" s="1614">
        <f>SUM(AG825:AJ831)</f>
        <v>0</v>
      </c>
      <c r="AH832" s="1614"/>
      <c r="AI832" s="1614"/>
      <c r="AJ832" s="161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3" t="s">
        <v>2650</v>
      </c>
      <c r="D837" s="1734"/>
      <c r="E837" s="1734"/>
      <c r="F837" s="1734"/>
      <c r="G837" s="1734"/>
      <c r="H837" s="1734"/>
      <c r="I837" s="1734"/>
      <c r="J837" s="1734"/>
      <c r="K837" s="1734"/>
      <c r="L837" s="1734"/>
      <c r="M837" s="1734"/>
      <c r="N837" s="1734"/>
      <c r="O837" s="1734"/>
      <c r="P837" s="1734"/>
      <c r="Q837" s="1734"/>
      <c r="R837" s="1734"/>
      <c r="S837" s="1734"/>
      <c r="T837" s="1734"/>
      <c r="U837" s="1734"/>
      <c r="V837" s="1734"/>
      <c r="W837" s="1734"/>
      <c r="X837" s="1734"/>
      <c r="Y837" s="1734"/>
      <c r="Z837" s="1734"/>
      <c r="AA837" s="1734"/>
      <c r="AB837" s="1734"/>
      <c r="AC837" s="1734"/>
      <c r="AD837" s="1734"/>
      <c r="AE837" s="1734"/>
      <c r="AF837" s="1734"/>
      <c r="AG837" s="1734"/>
      <c r="AH837" s="1734"/>
      <c r="AI837" s="1734"/>
      <c r="AJ837" s="173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5">
        <f>ROUNDDOWN(BC939*2,2)</f>
        <v>0</v>
      </c>
      <c r="BJ841" s="1635"/>
      <c r="BK841" s="1635"/>
      <c r="BL841" s="1635"/>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9">
        <v>500</v>
      </c>
      <c r="X842" s="1619"/>
      <c r="Y842" s="1619"/>
      <c r="Z842" s="1619"/>
      <c r="AA842" s="1619"/>
      <c r="AB842" s="1619"/>
      <c r="AC842" s="1619"/>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9">
        <v>2000</v>
      </c>
      <c r="X843" s="1619"/>
      <c r="Y843" s="1619"/>
      <c r="Z843" s="1619"/>
      <c r="AA843" s="1619"/>
      <c r="AB843" s="1619"/>
      <c r="AC843" s="161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9">
        <v>11000</v>
      </c>
      <c r="X844" s="1619"/>
      <c r="Y844" s="1619"/>
      <c r="Z844" s="1619"/>
      <c r="AA844" s="1619"/>
      <c r="AB844" s="1619"/>
      <c r="AC844" s="161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9">
        <v>40000</v>
      </c>
      <c r="X845" s="1619"/>
      <c r="Y845" s="1619"/>
      <c r="Z845" s="1619"/>
      <c r="AA845" s="1619"/>
      <c r="AB845" s="1619"/>
      <c r="AC845" s="161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07" t="s">
        <v>2724</v>
      </c>
      <c r="N846" s="1608"/>
      <c r="O846" s="1608"/>
      <c r="P846" s="1608"/>
      <c r="Q846" s="1608"/>
      <c r="R846" s="1608"/>
      <c r="S846" s="1608"/>
      <c r="T846" s="1608"/>
      <c r="U846" s="1608"/>
      <c r="V846" s="1609"/>
      <c r="W846" s="1619">
        <f>68960</f>
        <v>68960</v>
      </c>
      <c r="X846" s="1619"/>
      <c r="Y846" s="1619"/>
      <c r="Z846" s="1619"/>
      <c r="AA846" s="1619"/>
      <c r="AB846" s="1619"/>
      <c r="AC846" s="1619"/>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15">
        <f>SUM(W842:AC846)</f>
        <v>122460</v>
      </c>
      <c r="X847" s="1616"/>
      <c r="Y847" s="1616"/>
      <c r="Z847" s="1616"/>
      <c r="AA847" s="1616"/>
      <c r="AB847" s="1616"/>
      <c r="AC847" s="1617"/>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8"/>
      <c r="BH848" s="1618"/>
      <c r="BI848" s="1618"/>
      <c r="BJ848" s="1618"/>
      <c r="BK848" s="1618"/>
      <c r="BL848" s="1618"/>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81" t="s">
        <v>346</v>
      </c>
      <c r="K849" s="1582"/>
      <c r="L849" s="1582"/>
      <c r="M849" s="1582"/>
      <c r="N849" s="1582"/>
      <c r="O849" s="1582"/>
      <c r="P849" s="1582"/>
      <c r="Q849" s="1582"/>
      <c r="R849" s="1582"/>
      <c r="S849" s="1582"/>
      <c r="T849" s="1582"/>
      <c r="U849" s="1582"/>
      <c r="V849" s="1583"/>
      <c r="W849" s="1571">
        <v>130248</v>
      </c>
      <c r="X849" s="1572"/>
      <c r="Y849" s="1572"/>
      <c r="Z849" s="1572"/>
      <c r="AA849" s="1572"/>
      <c r="AB849" s="1572"/>
      <c r="AC849" s="1573"/>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21"/>
      <c r="X851" s="1621"/>
      <c r="Y851" s="1621"/>
      <c r="Z851" s="1621"/>
      <c r="AA851" s="1621"/>
      <c r="AB851" s="1621"/>
      <c r="AC851" s="1621"/>
      <c r="AZ851" s="1620">
        <f>SUM(AZ818:AZ846)</f>
        <v>7.5000000000000011E-2</v>
      </c>
      <c r="BA851" s="1620"/>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1">
        <v>10000</v>
      </c>
      <c r="X852" s="1621"/>
      <c r="Y852" s="1621"/>
      <c r="Z852" s="1621"/>
      <c r="AA852" s="1621"/>
      <c r="AB852" s="1621"/>
      <c r="AC852" s="1621"/>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21">
        <v>50000</v>
      </c>
      <c r="X853" s="1621"/>
      <c r="Y853" s="1621"/>
      <c r="Z853" s="1621"/>
      <c r="AA853" s="1621"/>
      <c r="AB853" s="1621"/>
      <c r="AC853" s="1621"/>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21">
        <v>162000</v>
      </c>
      <c r="X854" s="1621"/>
      <c r="Y854" s="1621"/>
      <c r="Z854" s="1621"/>
      <c r="AA854" s="1621"/>
      <c r="AB854" s="1621"/>
      <c r="AC854" s="162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60">
        <f>SUM(W851:AC854)</f>
        <v>222000</v>
      </c>
      <c r="X855" s="1760"/>
      <c r="Y855" s="1760"/>
      <c r="Z855" s="1760"/>
      <c r="AA855" s="1760"/>
      <c r="AB855" s="1760"/>
      <c r="AC855" s="176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595">
        <f>641467-88218+9</f>
        <v>553258</v>
      </c>
      <c r="X857" s="1596"/>
      <c r="Y857" s="1596"/>
      <c r="Z857" s="1596"/>
      <c r="AA857" s="1596"/>
      <c r="AB857" s="1596"/>
      <c r="AC857" s="159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623">
        <v>9</v>
      </c>
      <c r="U858" s="1512"/>
      <c r="V858" s="162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595">
        <v>60360</v>
      </c>
      <c r="X859" s="1596"/>
      <c r="Y859" s="1596"/>
      <c r="Z859" s="1596"/>
      <c r="AA859" s="1596"/>
      <c r="AB859" s="1596"/>
      <c r="AC859" s="159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23">
        <v>2</v>
      </c>
      <c r="U860" s="1512"/>
      <c r="V860" s="162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07" t="s">
        <v>2725</v>
      </c>
      <c r="N861" s="1608"/>
      <c r="O861" s="1608"/>
      <c r="P861" s="1608"/>
      <c r="Q861" s="1608"/>
      <c r="R861" s="1608"/>
      <c r="S861" s="1608"/>
      <c r="T861" s="1608"/>
      <c r="U861" s="1608"/>
      <c r="V861" s="1609"/>
      <c r="W861" s="1595">
        <v>294680</v>
      </c>
      <c r="X861" s="1596"/>
      <c r="Y861" s="1596"/>
      <c r="Z861" s="1596"/>
      <c r="AA861" s="1596"/>
      <c r="AB861" s="1596"/>
      <c r="AC861" s="159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5">
        <f>SUM(W857:AC861)</f>
        <v>908298</v>
      </c>
      <c r="X862" s="1626"/>
      <c r="Y862" s="1626"/>
      <c r="Z862" s="1626"/>
      <c r="AA862" s="1626"/>
      <c r="AB862" s="1626"/>
      <c r="AC862" s="162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595">
        <v>67419</v>
      </c>
      <c r="X863" s="1596"/>
      <c r="Y863" s="1596"/>
      <c r="Z863" s="1596"/>
      <c r="AA863" s="1596"/>
      <c r="AB863" s="1596"/>
      <c r="AC863" s="159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19">
        <v>25600</v>
      </c>
      <c r="X865" s="1619"/>
      <c r="Y865" s="1619"/>
      <c r="Z865" s="1619"/>
      <c r="AA865" s="1619"/>
      <c r="AB865" s="1619"/>
      <c r="AC865" s="161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19">
        <f>35000</f>
        <v>35000</v>
      </c>
      <c r="X866" s="1619"/>
      <c r="Y866" s="1619"/>
      <c r="Z866" s="1619"/>
      <c r="AA866" s="1619"/>
      <c r="AB866" s="1619"/>
      <c r="AC866" s="161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19">
        <v>35000</v>
      </c>
      <c r="X867" s="1619"/>
      <c r="Y867" s="1619"/>
      <c r="Z867" s="1619"/>
      <c r="AA867" s="1619"/>
      <c r="AB867" s="1619"/>
      <c r="AC867" s="161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19">
        <v>1100</v>
      </c>
      <c r="X868" s="1619"/>
      <c r="Y868" s="1619"/>
      <c r="Z868" s="1619"/>
      <c r="AA868" s="1619"/>
      <c r="AB868" s="1619"/>
      <c r="AC868" s="161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19">
        <v>15000</v>
      </c>
      <c r="X869" s="1619"/>
      <c r="Y869" s="1619"/>
      <c r="Z869" s="1619"/>
      <c r="AA869" s="1619"/>
      <c r="AB869" s="1619"/>
      <c r="AC869" s="161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19"/>
      <c r="X870" s="1619"/>
      <c r="Y870" s="1619"/>
      <c r="Z870" s="1619"/>
      <c r="AA870" s="1619"/>
      <c r="AB870" s="1619"/>
      <c r="AC870" s="161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07" t="s">
        <v>2746</v>
      </c>
      <c r="N871" s="1608"/>
      <c r="O871" s="1608"/>
      <c r="P871" s="1608"/>
      <c r="Q871" s="1608"/>
      <c r="R871" s="1608"/>
      <c r="S871" s="1608"/>
      <c r="T871" s="1608"/>
      <c r="U871" s="1608"/>
      <c r="V871" s="1609"/>
      <c r="W871" s="1619">
        <v>20000</v>
      </c>
      <c r="X871" s="1619"/>
      <c r="Y871" s="1619"/>
      <c r="Z871" s="1619"/>
      <c r="AA871" s="1619"/>
      <c r="AB871" s="1619"/>
      <c r="AC871" s="161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98">
        <f>SUM(W865:AC871)</f>
        <v>131700</v>
      </c>
      <c r="X872" s="1598"/>
      <c r="Y872" s="1598"/>
      <c r="Z872" s="1598"/>
      <c r="AA872" s="1598"/>
      <c r="AB872" s="1598"/>
      <c r="AC872" s="159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07" t="s">
        <v>2747</v>
      </c>
      <c r="N874" s="1608"/>
      <c r="O874" s="1608"/>
      <c r="P874" s="1608"/>
      <c r="Q874" s="1608"/>
      <c r="R874" s="1608"/>
      <c r="S874" s="1608"/>
      <c r="T874" s="1608"/>
      <c r="U874" s="1608"/>
      <c r="V874" s="1609"/>
      <c r="W874" s="1571">
        <v>800</v>
      </c>
      <c r="X874" s="1572"/>
      <c r="Y874" s="1572"/>
      <c r="Z874" s="1572"/>
      <c r="AA874" s="1572"/>
      <c r="AB874" s="1572"/>
      <c r="AC874" s="157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07" t="s">
        <v>335</v>
      </c>
      <c r="N875" s="1608"/>
      <c r="O875" s="1608"/>
      <c r="P875" s="1608"/>
      <c r="Q875" s="1608"/>
      <c r="R875" s="1608"/>
      <c r="S875" s="1608"/>
      <c r="T875" s="1608"/>
      <c r="U875" s="1608"/>
      <c r="V875" s="1609"/>
      <c r="W875" s="1571"/>
      <c r="X875" s="1572"/>
      <c r="Y875" s="1572"/>
      <c r="Z875" s="1572"/>
      <c r="AA875" s="1572"/>
      <c r="AB875" s="1572"/>
      <c r="AC875" s="157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07" t="s">
        <v>335</v>
      </c>
      <c r="N876" s="1608"/>
      <c r="O876" s="1608"/>
      <c r="P876" s="1608"/>
      <c r="Q876" s="1608"/>
      <c r="R876" s="1608"/>
      <c r="S876" s="1608"/>
      <c r="T876" s="1608"/>
      <c r="U876" s="1608"/>
      <c r="V876" s="1609"/>
      <c r="W876" s="1571"/>
      <c r="X876" s="1572"/>
      <c r="Y876" s="1572"/>
      <c r="Z876" s="1572"/>
      <c r="AA876" s="1572"/>
      <c r="AB876" s="1572"/>
      <c r="AC876" s="157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07" t="s">
        <v>335</v>
      </c>
      <c r="N877" s="1608"/>
      <c r="O877" s="1608"/>
      <c r="P877" s="1608"/>
      <c r="Q877" s="1608"/>
      <c r="R877" s="1608"/>
      <c r="S877" s="1608"/>
      <c r="T877" s="1608"/>
      <c r="U877" s="1608"/>
      <c r="V877" s="1609"/>
      <c r="W877" s="1571"/>
      <c r="X877" s="1572"/>
      <c r="Y877" s="1572"/>
      <c r="Z877" s="1572"/>
      <c r="AA877" s="1572"/>
      <c r="AB877" s="1572"/>
      <c r="AC877" s="157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07" t="s">
        <v>335</v>
      </c>
      <c r="N878" s="1608"/>
      <c r="O878" s="1608"/>
      <c r="P878" s="1608"/>
      <c r="Q878" s="1608"/>
      <c r="R878" s="1608"/>
      <c r="S878" s="1608"/>
      <c r="T878" s="1608"/>
      <c r="U878" s="1608"/>
      <c r="V878" s="1609"/>
      <c r="W878" s="1571"/>
      <c r="X878" s="1572"/>
      <c r="Y878" s="1572"/>
      <c r="Z878" s="1572"/>
      <c r="AA878" s="1572"/>
      <c r="AB878" s="1572"/>
      <c r="AC878" s="157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15">
        <f>SUM(W874:AC878)</f>
        <v>800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6">
        <f>W847+W855+W862+W863+W872+W879+W849</f>
        <v>1582925</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31">
        <f>O797+O777+G753</f>
        <v>136</v>
      </c>
      <c r="AD884" s="1631"/>
      <c r="AE884" s="1631"/>
      <c r="AF884" s="1631"/>
      <c r="AG884" s="1631"/>
      <c r="AH884" s="1632"/>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2" t="s">
        <v>32</v>
      </c>
      <c r="F885" s="1752"/>
      <c r="G885" s="1752"/>
      <c r="H885" s="1752"/>
      <c r="I885" s="1752"/>
      <c r="J885" s="1752"/>
      <c r="K885" s="1752"/>
      <c r="L885" s="1752"/>
      <c r="M885" s="1752"/>
      <c r="N885" s="1752"/>
      <c r="O885" s="1752"/>
      <c r="P885" s="1752"/>
      <c r="Q885" s="1752"/>
      <c r="R885" s="1752"/>
      <c r="S885" s="1752"/>
      <c r="T885" s="1752"/>
      <c r="U885" s="1752"/>
      <c r="V885" s="1752"/>
      <c r="W885" s="1752"/>
      <c r="X885" s="1752"/>
      <c r="Y885" s="1752"/>
      <c r="Z885" s="1752"/>
      <c r="AA885" s="1752"/>
      <c r="AB885" s="1753"/>
      <c r="AC885" s="1598">
        <f>IF(ISERROR((ROUNDDOWN(AC883/AC884,0))),0,(ROUNDDOWN(AC883/AC884,0)))</f>
        <v>11639</v>
      </c>
      <c r="AD885" s="1598"/>
      <c r="AE885" s="1598"/>
      <c r="AF885" s="1598"/>
      <c r="AG885" s="1598"/>
      <c r="AH885" s="159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33">
        <f>'Sources and Uses Budget'!C75</f>
        <v>860352</v>
      </c>
      <c r="AD886" s="1634"/>
      <c r="AE886" s="1634"/>
      <c r="AF886" s="1634"/>
      <c r="AG886" s="1634"/>
      <c r="AH886" s="163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73"/>
      <c r="AD887" s="1619"/>
      <c r="AE887" s="1619"/>
      <c r="AF887" s="1619"/>
      <c r="AG887" s="1619"/>
      <c r="AH887" s="161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72">
        <f>16560+88218</f>
        <v>104778</v>
      </c>
      <c r="AD888" s="1572"/>
      <c r="AE888" s="1572"/>
      <c r="AF888" s="1572"/>
      <c r="AG888" s="1572"/>
      <c r="AH888" s="157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2">
        <v>68000</v>
      </c>
      <c r="AD889" s="1572"/>
      <c r="AE889" s="1572"/>
      <c r="AF889" s="1572"/>
      <c r="AG889" s="1572"/>
      <c r="AH889" s="157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75"/>
      <c r="AD890" s="1576"/>
      <c r="AE890" s="1576"/>
      <c r="AF890" s="1576"/>
      <c r="AG890" s="1576"/>
      <c r="AH890" s="157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2"/>
      <c r="AD891" s="1572"/>
      <c r="AE891" s="1572"/>
      <c r="AF891" s="1572"/>
      <c r="AG891" s="1572"/>
      <c r="AH891" s="157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72"/>
      <c r="AD892" s="1572"/>
      <c r="AE892" s="1572"/>
      <c r="AF892" s="1572"/>
      <c r="AG892" s="1572"/>
      <c r="AH892" s="157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8" t="s">
        <v>975</v>
      </c>
      <c r="D893" s="1629"/>
      <c r="E893" s="1629"/>
      <c r="F893" s="1629"/>
      <c r="G893" s="1629"/>
      <c r="H893" s="1629"/>
      <c r="I893" s="1629"/>
      <c r="J893" s="1629"/>
      <c r="K893" s="1629"/>
      <c r="L893" s="1629"/>
      <c r="M893" s="1629"/>
      <c r="N893" s="1629"/>
      <c r="O893" s="1629"/>
      <c r="P893" s="1629"/>
      <c r="Q893" s="1629"/>
      <c r="R893" s="1629"/>
      <c r="S893" s="1629"/>
      <c r="T893" s="1629"/>
      <c r="U893" s="1629"/>
      <c r="V893" s="1629"/>
      <c r="W893" s="1629"/>
      <c r="X893" s="1629"/>
      <c r="Y893" s="1629"/>
      <c r="Z893" s="1629"/>
      <c r="AA893" s="1629"/>
      <c r="AB893" s="1630"/>
      <c r="AC893" s="1619"/>
      <c r="AD893" s="1619"/>
      <c r="AE893" s="1619"/>
      <c r="AF893" s="1619"/>
      <c r="AG893" s="1619"/>
      <c r="AH893" s="161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8" t="s">
        <v>975</v>
      </c>
      <c r="D894" s="1629"/>
      <c r="E894" s="1629"/>
      <c r="F894" s="1629"/>
      <c r="G894" s="1629"/>
      <c r="H894" s="1629"/>
      <c r="I894" s="1629"/>
      <c r="J894" s="1629"/>
      <c r="K894" s="1629"/>
      <c r="L894" s="1629"/>
      <c r="M894" s="1629"/>
      <c r="N894" s="1629"/>
      <c r="O894" s="1629"/>
      <c r="P894" s="1629"/>
      <c r="Q894" s="1629"/>
      <c r="R894" s="1629"/>
      <c r="S894" s="1629"/>
      <c r="T894" s="1629"/>
      <c r="U894" s="1629"/>
      <c r="V894" s="1629"/>
      <c r="W894" s="1629"/>
      <c r="X894" s="1629"/>
      <c r="Y894" s="1629"/>
      <c r="Z894" s="1629"/>
      <c r="AA894" s="1629"/>
      <c r="AB894" s="1630"/>
      <c r="AC894" s="1619"/>
      <c r="AD894" s="1619"/>
      <c r="AE894" s="1619"/>
      <c r="AF894" s="1619"/>
      <c r="AG894" s="1619"/>
      <c r="AH894" s="161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1"/>
      <c r="AA898" s="1572"/>
      <c r="AB898" s="1572"/>
      <c r="AC898" s="1572"/>
      <c r="AD898" s="1572"/>
      <c r="AE898" s="1573"/>
      <c r="AF898" s="567"/>
      <c r="AZ898" s="34"/>
      <c r="BB898" s="30"/>
      <c r="BC898" s="850"/>
      <c r="BD898" s="1622"/>
      <c r="BE898" s="162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1"/>
      <c r="AA899" s="1572"/>
      <c r="AB899" s="1572"/>
      <c r="AC899" s="1572"/>
      <c r="AD899" s="1572"/>
      <c r="AE899" s="1573"/>
      <c r="AZ899" s="34"/>
      <c r="BB899" s="30"/>
      <c r="BC899" s="850"/>
      <c r="BD899" s="1622"/>
      <c r="BE899" s="162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1"/>
      <c r="AA900" s="1572"/>
      <c r="AB900" s="1572"/>
      <c r="AC900" s="1572"/>
      <c r="AD900" s="1572"/>
      <c r="AE900" s="1573"/>
      <c r="AZ900" s="34"/>
      <c r="BB900" s="30"/>
      <c r="BC900" s="850"/>
      <c r="BD900" s="1618"/>
      <c r="BE900" s="161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15">
        <f>Z898-(Z899+Z900)</f>
        <v>0</v>
      </c>
      <c r="AA901" s="1616"/>
      <c r="AB901" s="1616"/>
      <c r="AC901" s="1616"/>
      <c r="AD901" s="1616"/>
      <c r="AE901" s="1617"/>
      <c r="AZ901" s="34"/>
      <c r="BB901" s="30"/>
      <c r="BC901" s="850"/>
      <c r="BD901" s="1618"/>
      <c r="BE901" s="161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8"/>
      <c r="BE902" s="161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2"/>
      <c r="BE903" s="161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6"/>
      <c r="BE904" s="1636"/>
      <c r="BF904" s="163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5"/>
      <c r="BE905" s="1635"/>
      <c r="BF905" s="163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8"/>
      <c r="BE906" s="161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2"/>
      <c r="BE907" s="161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761" t="s">
        <v>96</v>
      </c>
      <c r="B909" s="1761"/>
      <c r="C909" s="1761"/>
      <c r="D909" s="1761"/>
      <c r="E909" s="1761"/>
      <c r="F909" s="1761"/>
      <c r="G909" s="1761"/>
      <c r="H909" s="1761"/>
      <c r="I909" s="1761"/>
      <c r="J909" s="1761"/>
      <c r="K909" s="1761"/>
      <c r="L909" s="1761"/>
      <c r="M909" s="1761"/>
      <c r="N909" s="1761"/>
      <c r="O909" s="1761"/>
      <c r="P909" s="1761"/>
      <c r="Q909" s="1761"/>
      <c r="R909" s="1761"/>
      <c r="S909" s="1761"/>
      <c r="T909" s="1761"/>
      <c r="U909" s="1761"/>
      <c r="V909" s="1761"/>
      <c r="W909" s="1761"/>
      <c r="X909" s="1761"/>
      <c r="Y909" s="1761"/>
      <c r="Z909" s="1761"/>
      <c r="AA909" s="1761"/>
      <c r="AB909" s="1761"/>
      <c r="AC909" s="1761"/>
      <c r="AD909" s="1761"/>
      <c r="AE909" s="1761"/>
      <c r="AF909" s="1761"/>
      <c r="AG909" s="1761"/>
      <c r="AH909" s="1761"/>
      <c r="AI909" s="1761"/>
      <c r="AJ909" s="1761"/>
      <c r="AK909" s="1761"/>
      <c r="AL909" s="1761"/>
      <c r="AM909" s="1761"/>
      <c r="AN909" s="1761"/>
      <c r="AO909" s="1761"/>
      <c r="AP909" s="1761"/>
      <c r="AQ909" s="1761"/>
      <c r="AR909" s="1761"/>
      <c r="AS909" s="1761"/>
      <c r="AT909" s="1761"/>
      <c r="AZ909" s="34"/>
      <c r="BA909" s="34"/>
      <c r="BB909" s="30"/>
      <c r="BC909" s="30"/>
      <c r="BD909" s="1622"/>
      <c r="BE909" s="161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761"/>
      <c r="B910" s="1761"/>
      <c r="C910" s="1761"/>
      <c r="D910" s="1761"/>
      <c r="E910" s="1761"/>
      <c r="F910" s="1761"/>
      <c r="G910" s="1761"/>
      <c r="H910" s="1761"/>
      <c r="I910" s="1761"/>
      <c r="J910" s="1761"/>
      <c r="K910" s="1761"/>
      <c r="L910" s="1761"/>
      <c r="M910" s="1761"/>
      <c r="N910" s="1761"/>
      <c r="O910" s="1761"/>
      <c r="P910" s="1761"/>
      <c r="Q910" s="1761"/>
      <c r="R910" s="1761"/>
      <c r="S910" s="1761"/>
      <c r="T910" s="1761"/>
      <c r="U910" s="1761"/>
      <c r="V910" s="1761"/>
      <c r="W910" s="1761"/>
      <c r="X910" s="1761"/>
      <c r="Y910" s="1761"/>
      <c r="Z910" s="1761"/>
      <c r="AA910" s="1761"/>
      <c r="AB910" s="1761"/>
      <c r="AC910" s="1761"/>
      <c r="AD910" s="1761"/>
      <c r="AE910" s="1761"/>
      <c r="AF910" s="1761"/>
      <c r="AG910" s="1761"/>
      <c r="AH910" s="1761"/>
      <c r="AI910" s="1761"/>
      <c r="AJ910" s="1761"/>
      <c r="AK910" s="1761"/>
      <c r="AL910" s="1761"/>
      <c r="AM910" s="1761"/>
      <c r="AN910" s="1761"/>
      <c r="AO910" s="1761"/>
      <c r="AP910" s="1761"/>
      <c r="AQ910" s="1761"/>
      <c r="AR910" s="1761"/>
      <c r="AS910" s="1761"/>
      <c r="AT910" s="176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3" t="s">
        <v>801</v>
      </c>
      <c r="G914" s="1844"/>
      <c r="H914" s="1844"/>
      <c r="I914" s="1844"/>
      <c r="J914" s="1844"/>
      <c r="K914" s="1844"/>
      <c r="L914" s="1844"/>
      <c r="M914" s="1844"/>
      <c r="N914" s="1844"/>
      <c r="O914" s="1844"/>
      <c r="P914" s="1844"/>
      <c r="Q914" s="1844"/>
      <c r="R914" s="1844"/>
      <c r="S914" s="1844"/>
      <c r="T914" s="1845"/>
      <c r="U914" s="1677" t="s">
        <v>31</v>
      </c>
      <c r="V914" s="1599"/>
      <c r="W914" s="1599"/>
      <c r="X914" s="1599"/>
      <c r="Y914" s="1599"/>
      <c r="Z914" s="1599"/>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78" t="s">
        <v>827</v>
      </c>
      <c r="G915" s="1679"/>
      <c r="H915" s="1679"/>
      <c r="I915" s="1679"/>
      <c r="J915" s="1679"/>
      <c r="K915" s="1679"/>
      <c r="L915" s="1679"/>
      <c r="M915" s="1679"/>
      <c r="N915" s="1679"/>
      <c r="O915" s="1679"/>
      <c r="P915" s="1679"/>
      <c r="Q915" s="1679"/>
      <c r="R915" s="1679"/>
      <c r="S915" s="1679"/>
      <c r="T915" s="1825"/>
      <c r="U915" s="1678"/>
      <c r="V915" s="1679"/>
      <c r="W915" s="1679"/>
      <c r="X915" s="1679"/>
      <c r="Y915" s="1679"/>
      <c r="Z915" s="167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80"/>
      <c r="G916" s="1601"/>
      <c r="H916" s="1601"/>
      <c r="I916" s="1601"/>
      <c r="J916" s="1601"/>
      <c r="K916" s="1601"/>
      <c r="L916" s="1601"/>
      <c r="M916" s="1601"/>
      <c r="N916" s="1601"/>
      <c r="O916" s="1601"/>
      <c r="P916" s="1601"/>
      <c r="Q916" s="1601"/>
      <c r="R916" s="1601"/>
      <c r="S916" s="1601"/>
      <c r="T916" s="1602"/>
      <c r="U916" s="1680"/>
      <c r="V916" s="1601"/>
      <c r="W916" s="1601"/>
      <c r="X916" s="1601"/>
      <c r="Y916" s="1601"/>
      <c r="Z916" s="1601"/>
      <c r="AA916" s="108"/>
      <c r="AB916" s="1456" t="s">
        <v>392</v>
      </c>
      <c r="AC916" s="1456"/>
      <c r="AD916" s="1456"/>
      <c r="AE916" s="145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37" t="s">
        <v>553</v>
      </c>
      <c r="V917" s="1418"/>
      <c r="W917" s="1418"/>
      <c r="X917" s="1418"/>
      <c r="Y917" s="1418"/>
      <c r="Z917" s="1419"/>
      <c r="AA917" s="1638">
        <v>44642965</v>
      </c>
      <c r="AB917" s="1527"/>
      <c r="AC917" s="1527"/>
      <c r="AD917" s="1527"/>
      <c r="AE917" s="1527"/>
      <c r="AF917" s="163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37" t="s">
        <v>599</v>
      </c>
      <c r="V918" s="1418"/>
      <c r="W918" s="1418"/>
      <c r="X918" s="1418"/>
      <c r="Y918" s="1418"/>
      <c r="Z918" s="1419"/>
      <c r="AA918" s="1638"/>
      <c r="AB918" s="1527"/>
      <c r="AC918" s="1527"/>
      <c r="AD918" s="1527"/>
      <c r="AE918" s="1527"/>
      <c r="AF918" s="163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37" t="s">
        <v>599</v>
      </c>
      <c r="V919" s="1418"/>
      <c r="W919" s="1418"/>
      <c r="X919" s="1418"/>
      <c r="Y919" s="1418"/>
      <c r="Z919" s="1419"/>
      <c r="AA919" s="1638"/>
      <c r="AB919" s="1527"/>
      <c r="AC919" s="1527"/>
      <c r="AD919" s="1527"/>
      <c r="AE919" s="1527"/>
      <c r="AF919" s="163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37" t="s">
        <v>599</v>
      </c>
      <c r="V920" s="1418"/>
      <c r="W920" s="1418"/>
      <c r="X920" s="1418"/>
      <c r="Y920" s="1418"/>
      <c r="Z920" s="1419"/>
      <c r="AA920" s="1638"/>
      <c r="AB920" s="1527"/>
      <c r="AC920" s="1527"/>
      <c r="AD920" s="1527"/>
      <c r="AE920" s="1527"/>
      <c r="AF920" s="163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37" t="s">
        <v>599</v>
      </c>
      <c r="V921" s="1418"/>
      <c r="W921" s="1418"/>
      <c r="X921" s="1418"/>
      <c r="Y921" s="1418"/>
      <c r="Z921" s="1419"/>
      <c r="AA921" s="1638"/>
      <c r="AB921" s="1527"/>
      <c r="AC921" s="1527"/>
      <c r="AD921" s="1527"/>
      <c r="AE921" s="1527"/>
      <c r="AF921" s="163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37" t="s">
        <v>599</v>
      </c>
      <c r="V922" s="1418"/>
      <c r="W922" s="1418"/>
      <c r="X922" s="1418"/>
      <c r="Y922" s="1418"/>
      <c r="Z922" s="1419"/>
      <c r="AA922" s="1638"/>
      <c r="AB922" s="1527"/>
      <c r="AC922" s="1527"/>
      <c r="AD922" s="1527"/>
      <c r="AE922" s="1527"/>
      <c r="AF922" s="163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37" t="s">
        <v>599</v>
      </c>
      <c r="V923" s="1418"/>
      <c r="W923" s="1418"/>
      <c r="X923" s="1418"/>
      <c r="Y923" s="1418"/>
      <c r="Z923" s="1419"/>
      <c r="AA923" s="1638"/>
      <c r="AB923" s="1527"/>
      <c r="AC923" s="1527"/>
      <c r="AD923" s="1527"/>
      <c r="AE923" s="1527"/>
      <c r="AF923" s="163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37" t="s">
        <v>599</v>
      </c>
      <c r="V924" s="1418"/>
      <c r="W924" s="1418"/>
      <c r="X924" s="1418"/>
      <c r="Y924" s="1418"/>
      <c r="Z924" s="1419"/>
      <c r="AA924" s="1638"/>
      <c r="AB924" s="1527"/>
      <c r="AC924" s="1527"/>
      <c r="AD924" s="1527"/>
      <c r="AE924" s="1527"/>
      <c r="AF924" s="163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60" t="s">
        <v>2557</v>
      </c>
      <c r="G925" s="1661"/>
      <c r="H925" s="1661"/>
      <c r="I925" s="1661"/>
      <c r="J925" s="1661"/>
      <c r="K925" s="1661"/>
      <c r="L925" s="1661"/>
      <c r="M925" s="1661"/>
      <c r="N925" s="1661"/>
      <c r="O925" s="1661"/>
      <c r="P925" s="1661"/>
      <c r="Q925" s="1661"/>
      <c r="R925" s="1661"/>
      <c r="S925" s="1661"/>
      <c r="T925" s="1662"/>
      <c r="U925" s="1637" t="s">
        <v>599</v>
      </c>
      <c r="V925" s="1418"/>
      <c r="W925" s="1418"/>
      <c r="X925" s="1418"/>
      <c r="Y925" s="1418"/>
      <c r="Z925" s="1419"/>
      <c r="AA925" s="1638"/>
      <c r="AB925" s="1527"/>
      <c r="AC925" s="1527"/>
      <c r="AD925" s="1527"/>
      <c r="AE925" s="1527"/>
      <c r="AF925" s="163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60" t="s">
        <v>687</v>
      </c>
      <c r="G926" s="1661"/>
      <c r="H926" s="1661"/>
      <c r="I926" s="1661"/>
      <c r="J926" s="1661"/>
      <c r="K926" s="1661"/>
      <c r="L926" s="1661"/>
      <c r="M926" s="1661"/>
      <c r="N926" s="1661"/>
      <c r="O926" s="1661"/>
      <c r="P926" s="1661"/>
      <c r="Q926" s="1661"/>
      <c r="R926" s="1661"/>
      <c r="S926" s="1661"/>
      <c r="T926" s="1662"/>
      <c r="U926" s="1637" t="s">
        <v>599</v>
      </c>
      <c r="V926" s="1418"/>
      <c r="W926" s="1418"/>
      <c r="X926" s="1418"/>
      <c r="Y926" s="1418"/>
      <c r="Z926" s="1419"/>
      <c r="AA926" s="1638"/>
      <c r="AB926" s="1527"/>
      <c r="AC926" s="1527"/>
      <c r="AD926" s="1527"/>
      <c r="AE926" s="1527"/>
      <c r="AF926" s="163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60" t="s">
        <v>2558</v>
      </c>
      <c r="G927" s="1661"/>
      <c r="H927" s="1661"/>
      <c r="I927" s="1661"/>
      <c r="J927" s="1661"/>
      <c r="K927" s="1661"/>
      <c r="L927" s="1661"/>
      <c r="M927" s="1661"/>
      <c r="N927" s="1661"/>
      <c r="O927" s="1661"/>
      <c r="P927" s="1661"/>
      <c r="Q927" s="1661"/>
      <c r="R927" s="1661"/>
      <c r="S927" s="1661"/>
      <c r="T927" s="1662"/>
      <c r="U927" s="1637" t="s">
        <v>599</v>
      </c>
      <c r="V927" s="1418"/>
      <c r="W927" s="1418"/>
      <c r="X927" s="1418"/>
      <c r="Y927" s="1418"/>
      <c r="Z927" s="1419"/>
      <c r="AA927" s="1638"/>
      <c r="AB927" s="1527"/>
      <c r="AC927" s="1527"/>
      <c r="AD927" s="1527"/>
      <c r="AE927" s="1527"/>
      <c r="AF927" s="163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60" t="s">
        <v>2559</v>
      </c>
      <c r="G928" s="1661"/>
      <c r="H928" s="1661"/>
      <c r="I928" s="1661"/>
      <c r="J928" s="1661"/>
      <c r="K928" s="1661"/>
      <c r="L928" s="1661"/>
      <c r="M928" s="1661"/>
      <c r="N928" s="1661"/>
      <c r="O928" s="1661"/>
      <c r="P928" s="1661"/>
      <c r="Q928" s="1661"/>
      <c r="R928" s="1661"/>
      <c r="S928" s="1661"/>
      <c r="T928" s="1662"/>
      <c r="U928" s="1637" t="s">
        <v>599</v>
      </c>
      <c r="V928" s="1418"/>
      <c r="W928" s="1418"/>
      <c r="X928" s="1418"/>
      <c r="Y928" s="1418"/>
      <c r="Z928" s="1419"/>
      <c r="AA928" s="1638"/>
      <c r="AB928" s="1527"/>
      <c r="AC928" s="1527"/>
      <c r="AD928" s="1527"/>
      <c r="AE928" s="1527"/>
      <c r="AF928" s="163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60" t="s">
        <v>2560</v>
      </c>
      <c r="G929" s="1661"/>
      <c r="H929" s="1661"/>
      <c r="I929" s="1661"/>
      <c r="J929" s="1661"/>
      <c r="K929" s="1661"/>
      <c r="L929" s="1661"/>
      <c r="M929" s="1661"/>
      <c r="N929" s="1661"/>
      <c r="O929" s="1661"/>
      <c r="P929" s="1661"/>
      <c r="Q929" s="1661"/>
      <c r="R929" s="1661"/>
      <c r="S929" s="1661"/>
      <c r="T929" s="1662"/>
      <c r="U929" s="1637" t="s">
        <v>599</v>
      </c>
      <c r="V929" s="1418"/>
      <c r="W929" s="1418"/>
      <c r="X929" s="1418"/>
      <c r="Y929" s="1418"/>
      <c r="Z929" s="1419"/>
      <c r="AA929" s="1638"/>
      <c r="AB929" s="1527"/>
      <c r="AC929" s="1527"/>
      <c r="AD929" s="1527"/>
      <c r="AE929" s="1527"/>
      <c r="AF929" s="163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60" t="s">
        <v>2561</v>
      </c>
      <c r="G930" s="1661"/>
      <c r="H930" s="1661"/>
      <c r="I930" s="1661"/>
      <c r="J930" s="1661"/>
      <c r="K930" s="1661"/>
      <c r="L930" s="1661"/>
      <c r="M930" s="1661"/>
      <c r="N930" s="1661"/>
      <c r="O930" s="1661"/>
      <c r="P930" s="1661"/>
      <c r="Q930" s="1661"/>
      <c r="R930" s="1661"/>
      <c r="S930" s="1661"/>
      <c r="T930" s="1662"/>
      <c r="U930" s="1637" t="s">
        <v>599</v>
      </c>
      <c r="V930" s="1418"/>
      <c r="W930" s="1418"/>
      <c r="X930" s="1418"/>
      <c r="Y930" s="1418"/>
      <c r="Z930" s="1419"/>
      <c r="AA930" s="1638"/>
      <c r="AB930" s="1527"/>
      <c r="AC930" s="1527"/>
      <c r="AD930" s="1527"/>
      <c r="AE930" s="1527"/>
      <c r="AF930" s="163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60" t="s">
        <v>2562</v>
      </c>
      <c r="G931" s="1661"/>
      <c r="H931" s="1661"/>
      <c r="I931" s="1661"/>
      <c r="J931" s="1661"/>
      <c r="K931" s="1661"/>
      <c r="L931" s="1661"/>
      <c r="M931" s="1661"/>
      <c r="N931" s="1661"/>
      <c r="O931" s="1661"/>
      <c r="P931" s="1661"/>
      <c r="Q931" s="1661"/>
      <c r="R931" s="1661"/>
      <c r="S931" s="1661"/>
      <c r="T931" s="1662"/>
      <c r="U931" s="1637" t="s">
        <v>553</v>
      </c>
      <c r="V931" s="1418"/>
      <c r="W931" s="1418"/>
      <c r="X931" s="1418"/>
      <c r="Y931" s="1418"/>
      <c r="Z931" s="1419"/>
      <c r="AA931" s="1638">
        <v>1418427</v>
      </c>
      <c r="AB931" s="1527"/>
      <c r="AC931" s="1527"/>
      <c r="AD931" s="1527"/>
      <c r="AE931" s="1527"/>
      <c r="AF931" s="163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37" t="s">
        <v>599</v>
      </c>
      <c r="V932" s="1418"/>
      <c r="W932" s="1418"/>
      <c r="X932" s="1418"/>
      <c r="Y932" s="1418"/>
      <c r="Z932" s="1419"/>
      <c r="AA932" s="1638"/>
      <c r="AB932" s="1527"/>
      <c r="AC932" s="1527"/>
      <c r="AD932" s="1527"/>
      <c r="AE932" s="1527"/>
      <c r="AF932" s="163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37" t="s">
        <v>599</v>
      </c>
      <c r="V933" s="1418"/>
      <c r="W933" s="1418"/>
      <c r="X933" s="1418"/>
      <c r="Y933" s="1418"/>
      <c r="Z933" s="1419"/>
      <c r="AA933" s="1638"/>
      <c r="AB933" s="1527"/>
      <c r="AC933" s="1527"/>
      <c r="AD933" s="1527"/>
      <c r="AE933" s="1527"/>
      <c r="AF933" s="163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37" t="s">
        <v>599</v>
      </c>
      <c r="V934" s="1418"/>
      <c r="W934" s="1418"/>
      <c r="X934" s="1418"/>
      <c r="Y934" s="1418"/>
      <c r="Z934" s="1419"/>
      <c r="AA934" s="1638"/>
      <c r="AB934" s="1527"/>
      <c r="AC934" s="1527"/>
      <c r="AD934" s="1527"/>
      <c r="AE934" s="1527"/>
      <c r="AF934" s="163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63" t="s">
        <v>2566</v>
      </c>
      <c r="G935" s="1664"/>
      <c r="H935" s="1664"/>
      <c r="I935" s="1664"/>
      <c r="J935" s="1664"/>
      <c r="K935" s="1664"/>
      <c r="L935" s="1664"/>
      <c r="M935" s="1664"/>
      <c r="N935" s="1664"/>
      <c r="O935" s="1664"/>
      <c r="P935" s="1664"/>
      <c r="Q935" s="1664"/>
      <c r="R935" s="1664"/>
      <c r="S935" s="1664"/>
      <c r="T935" s="1665"/>
      <c r="U935" s="1637" t="s">
        <v>599</v>
      </c>
      <c r="V935" s="1418"/>
      <c r="W935" s="1418"/>
      <c r="X935" s="1418"/>
      <c r="Y935" s="1418"/>
      <c r="Z935" s="1419"/>
      <c r="AA935" s="1638"/>
      <c r="AB935" s="1527"/>
      <c r="AC935" s="1527"/>
      <c r="AD935" s="1527"/>
      <c r="AE935" s="1527"/>
      <c r="AF935" s="163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63" t="s">
        <v>2567</v>
      </c>
      <c r="G936" s="1664"/>
      <c r="H936" s="1664"/>
      <c r="I936" s="1664"/>
      <c r="J936" s="1664"/>
      <c r="K936" s="1664"/>
      <c r="L936" s="1664"/>
      <c r="M936" s="1664"/>
      <c r="N936" s="1664"/>
      <c r="O936" s="1664"/>
      <c r="P936" s="1664"/>
      <c r="Q936" s="1664"/>
      <c r="R936" s="1664"/>
      <c r="S936" s="1664"/>
      <c r="T936" s="1665"/>
      <c r="U936" s="1637" t="s">
        <v>599</v>
      </c>
      <c r="V936" s="1418"/>
      <c r="W936" s="1418"/>
      <c r="X936" s="1418"/>
      <c r="Y936" s="1418"/>
      <c r="Z936" s="1419"/>
      <c r="AA936" s="1638"/>
      <c r="AB936" s="1527"/>
      <c r="AC936" s="1527"/>
      <c r="AD936" s="1527"/>
      <c r="AE936" s="1527"/>
      <c r="AF936" s="163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60" t="s">
        <v>2563</v>
      </c>
      <c r="G937" s="1661"/>
      <c r="H937" s="1661"/>
      <c r="I937" s="1661"/>
      <c r="J937" s="1661"/>
      <c r="K937" s="1661"/>
      <c r="L937" s="1661"/>
      <c r="M937" s="1661"/>
      <c r="N937" s="1661"/>
      <c r="O937" s="1661"/>
      <c r="P937" s="1661"/>
      <c r="Q937" s="1661"/>
      <c r="R937" s="1661"/>
      <c r="S937" s="1661"/>
      <c r="T937" s="1662"/>
      <c r="U937" s="1637" t="s">
        <v>599</v>
      </c>
      <c r="V937" s="1418"/>
      <c r="W937" s="1418"/>
      <c r="X937" s="1418"/>
      <c r="Y937" s="1418"/>
      <c r="Z937" s="1419"/>
      <c r="AA937" s="1638"/>
      <c r="AB937" s="1527"/>
      <c r="AC937" s="1527"/>
      <c r="AD937" s="1527"/>
      <c r="AE937" s="1527"/>
      <c r="AF937" s="163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60" t="s">
        <v>2564</v>
      </c>
      <c r="G938" s="1661"/>
      <c r="H938" s="1661"/>
      <c r="I938" s="1661"/>
      <c r="J938" s="1661"/>
      <c r="K938" s="1661"/>
      <c r="L938" s="1661"/>
      <c r="M938" s="1661"/>
      <c r="N938" s="1661"/>
      <c r="O938" s="1661"/>
      <c r="P938" s="1661"/>
      <c r="Q938" s="1661"/>
      <c r="R938" s="1661"/>
      <c r="S938" s="1661"/>
      <c r="T938" s="1662"/>
      <c r="U938" s="1637" t="s">
        <v>599</v>
      </c>
      <c r="V938" s="1418"/>
      <c r="W938" s="1418"/>
      <c r="X938" s="1418"/>
      <c r="Y938" s="1418"/>
      <c r="Z938" s="1419"/>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60" t="s">
        <v>2565</v>
      </c>
      <c r="G939" s="1661"/>
      <c r="H939" s="1661"/>
      <c r="I939" s="1661"/>
      <c r="J939" s="1661"/>
      <c r="K939" s="1661"/>
      <c r="L939" s="1661"/>
      <c r="M939" s="1661"/>
      <c r="N939" s="1661"/>
      <c r="O939" s="1661"/>
      <c r="P939" s="1661"/>
      <c r="Q939" s="1661"/>
      <c r="R939" s="1661"/>
      <c r="S939" s="1661"/>
      <c r="T939" s="1662"/>
      <c r="U939" s="1637" t="s">
        <v>599</v>
      </c>
      <c r="V939" s="1418"/>
      <c r="W939" s="1418"/>
      <c r="X939" s="1418"/>
      <c r="Y939" s="1418"/>
      <c r="Z939" s="1419"/>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37" t="s">
        <v>599</v>
      </c>
      <c r="V940" s="1418"/>
      <c r="W940" s="1418"/>
      <c r="X940" s="1418"/>
      <c r="Y940" s="1418"/>
      <c r="Z940" s="1419"/>
      <c r="AA940" s="1638"/>
      <c r="AB940" s="1527"/>
      <c r="AC940" s="1527"/>
      <c r="AD940" s="1527"/>
      <c r="AE940" s="1527"/>
      <c r="AF940" s="163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63" t="s">
        <v>2568</v>
      </c>
      <c r="G941" s="1664"/>
      <c r="H941" s="1664"/>
      <c r="I941" s="1664"/>
      <c r="J941" s="1664"/>
      <c r="K941" s="1664"/>
      <c r="L941" s="1664"/>
      <c r="M941" s="1664"/>
      <c r="N941" s="1664"/>
      <c r="O941" s="1664"/>
      <c r="P941" s="1664"/>
      <c r="Q941" s="1664"/>
      <c r="R941" s="1664"/>
      <c r="S941" s="1664"/>
      <c r="T941" s="1665"/>
      <c r="U941" s="1637" t="s">
        <v>553</v>
      </c>
      <c r="V941" s="1418"/>
      <c r="W941" s="1418"/>
      <c r="X941" s="1418"/>
      <c r="Y941" s="1418"/>
      <c r="Z941" s="1419"/>
      <c r="AA941" s="1638">
        <v>750000</v>
      </c>
      <c r="AB941" s="1527"/>
      <c r="AC941" s="1527"/>
      <c r="AD941" s="1527"/>
      <c r="AE941" s="1527"/>
      <c r="AF941" s="163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37" t="s">
        <v>599</v>
      </c>
      <c r="V942" s="1418"/>
      <c r="W942" s="1418"/>
      <c r="X942" s="1418"/>
      <c r="Y942" s="1418"/>
      <c r="Z942" s="1419"/>
      <c r="AA942" s="1638"/>
      <c r="AB942" s="1527"/>
      <c r="AC942" s="1527"/>
      <c r="AD942" s="1527"/>
      <c r="AE942" s="1527"/>
      <c r="AF942" s="163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63" t="s">
        <v>2569</v>
      </c>
      <c r="G943" s="1664"/>
      <c r="H943" s="1664"/>
      <c r="I943" s="1664"/>
      <c r="J943" s="1664"/>
      <c r="K943" s="1664"/>
      <c r="L943" s="1664"/>
      <c r="M943" s="1664"/>
      <c r="N943" s="1664"/>
      <c r="O943" s="1664"/>
      <c r="P943" s="1664"/>
      <c r="Q943" s="1664"/>
      <c r="R943" s="1664"/>
      <c r="S943" s="1664"/>
      <c r="T943" s="1665"/>
      <c r="U943" s="1637" t="s">
        <v>599</v>
      </c>
      <c r="V943" s="1418"/>
      <c r="W943" s="1418"/>
      <c r="X943" s="1418"/>
      <c r="Y943" s="1418"/>
      <c r="Z943" s="1419"/>
      <c r="AA943" s="1638"/>
      <c r="AB943" s="1527"/>
      <c r="AC943" s="1527"/>
      <c r="AD943" s="1527"/>
      <c r="AE943" s="1527"/>
      <c r="AF943" s="163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37" t="s">
        <v>677</v>
      </c>
      <c r="Q944" s="1418"/>
      <c r="R944" s="1418"/>
      <c r="S944" s="1418"/>
      <c r="T944" s="1419"/>
      <c r="U944" s="1637" t="s">
        <v>599</v>
      </c>
      <c r="V944" s="1418"/>
      <c r="W944" s="1418"/>
      <c r="X944" s="1418"/>
      <c r="Y944" s="1418"/>
      <c r="Z944" s="1419"/>
      <c r="AA944" s="1638"/>
      <c r="AB944" s="1527"/>
      <c r="AC944" s="1527"/>
      <c r="AD944" s="1527"/>
      <c r="AE944" s="1527"/>
      <c r="AF944" s="163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60" t="s">
        <v>2556</v>
      </c>
      <c r="G945" s="1661"/>
      <c r="H945" s="1662"/>
      <c r="I945" s="1607" t="s">
        <v>335</v>
      </c>
      <c r="J945" s="1608"/>
      <c r="K945" s="1608"/>
      <c r="L945" s="1608"/>
      <c r="M945" s="1608"/>
      <c r="N945" s="1608"/>
      <c r="O945" s="1608"/>
      <c r="P945" s="1608"/>
      <c r="Q945" s="1608"/>
      <c r="R945" s="1608"/>
      <c r="S945" s="1608"/>
      <c r="T945" s="1609"/>
      <c r="U945" s="1637" t="s">
        <v>599</v>
      </c>
      <c r="V945" s="1418"/>
      <c r="W945" s="1418"/>
      <c r="X945" s="1418"/>
      <c r="Y945" s="1418"/>
      <c r="Z945" s="1419"/>
      <c r="AA945" s="1638"/>
      <c r="AB945" s="1527"/>
      <c r="AC945" s="1527"/>
      <c r="AD945" s="1527"/>
      <c r="AE945" s="1527"/>
      <c r="AF945" s="163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7" t="s">
        <v>2751</v>
      </c>
      <c r="J946" s="1608"/>
      <c r="K946" s="1608"/>
      <c r="L946" s="1608"/>
      <c r="M946" s="1608"/>
      <c r="N946" s="1608"/>
      <c r="O946" s="1608"/>
      <c r="P946" s="1608"/>
      <c r="Q946" s="1608"/>
      <c r="R946" s="1608"/>
      <c r="S946" s="1608"/>
      <c r="T946" s="1609"/>
      <c r="U946" s="1637" t="s">
        <v>599</v>
      </c>
      <c r="V946" s="1418"/>
      <c r="W946" s="1418"/>
      <c r="X946" s="1418"/>
      <c r="Y946" s="1418"/>
      <c r="Z946" s="1419"/>
      <c r="AA946" s="1638">
        <v>1739292</v>
      </c>
      <c r="AB946" s="1527"/>
      <c r="AC946" s="1527"/>
      <c r="AD946" s="1527"/>
      <c r="AE946" s="1527"/>
      <c r="AF946" s="163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07" t="s">
        <v>2777</v>
      </c>
      <c r="J947" s="1645"/>
      <c r="K947" s="1645"/>
      <c r="L947" s="1645"/>
      <c r="M947" s="1645"/>
      <c r="N947" s="1645"/>
      <c r="O947" s="1645"/>
      <c r="P947" s="1645"/>
      <c r="Q947" s="1645"/>
      <c r="R947" s="1645"/>
      <c r="S947" s="1645"/>
      <c r="T947" s="1646"/>
      <c r="U947" s="1637" t="s">
        <v>553</v>
      </c>
      <c r="V947" s="1418"/>
      <c r="W947" s="1418"/>
      <c r="X947" s="1418"/>
      <c r="Y947" s="1418"/>
      <c r="Z947" s="1419"/>
      <c r="AA947" s="1638">
        <v>5500000</v>
      </c>
      <c r="AB947" s="1527"/>
      <c r="AC947" s="1527"/>
      <c r="AD947" s="1527"/>
      <c r="AE947" s="1527"/>
      <c r="AF947" s="163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44" t="s">
        <v>335</v>
      </c>
      <c r="J948" s="1645"/>
      <c r="K948" s="1645"/>
      <c r="L948" s="1645"/>
      <c r="M948" s="1645"/>
      <c r="N948" s="1645"/>
      <c r="O948" s="1645"/>
      <c r="P948" s="1645"/>
      <c r="Q948" s="1645"/>
      <c r="R948" s="1645"/>
      <c r="S948" s="1645"/>
      <c r="T948" s="1646"/>
      <c r="U948" s="1637" t="s">
        <v>599</v>
      </c>
      <c r="V948" s="1418"/>
      <c r="W948" s="1418"/>
      <c r="X948" s="1418"/>
      <c r="Y948" s="1418"/>
      <c r="Z948" s="1419"/>
      <c r="AA948" s="1638"/>
      <c r="AB948" s="1527"/>
      <c r="AC948" s="1527"/>
      <c r="AD948" s="1527"/>
      <c r="AE948" s="1527"/>
      <c r="AF948" s="163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44" t="s">
        <v>335</v>
      </c>
      <c r="J949" s="1645"/>
      <c r="K949" s="1645"/>
      <c r="L949" s="1645"/>
      <c r="M949" s="1645"/>
      <c r="N949" s="1645"/>
      <c r="O949" s="1645"/>
      <c r="P949" s="1645"/>
      <c r="Q949" s="1645"/>
      <c r="R949" s="1645"/>
      <c r="S949" s="1645"/>
      <c r="T949" s="1646"/>
      <c r="U949" s="1637" t="s">
        <v>599</v>
      </c>
      <c r="V949" s="1418"/>
      <c r="W949" s="1418"/>
      <c r="X949" s="1418"/>
      <c r="Y949" s="1418"/>
      <c r="Z949" s="1419"/>
      <c r="AA949" s="1638"/>
      <c r="AB949" s="1527"/>
      <c r="AC949" s="1527"/>
      <c r="AD949" s="1527"/>
      <c r="AE949" s="1527"/>
      <c r="AF949" s="163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3">
        <v>45400</v>
      </c>
      <c r="N954" s="1612"/>
      <c r="O954" s="1612"/>
      <c r="P954" s="1612"/>
      <c r="Q954" s="1612"/>
      <c r="R954" s="1612"/>
      <c r="S954" s="1613"/>
      <c r="U954" s="66" t="s">
        <v>11</v>
      </c>
      <c r="V954" s="5"/>
      <c r="W954" s="5"/>
      <c r="X954" s="5"/>
      <c r="Y954" s="5"/>
      <c r="Z954" s="5"/>
      <c r="AA954" s="5"/>
      <c r="AB954" s="5"/>
      <c r="AC954" s="5"/>
      <c r="AD954" s="46"/>
      <c r="AE954" s="1643"/>
      <c r="AF954" s="1612"/>
      <c r="AG954" s="1612"/>
      <c r="AH954" s="1612"/>
      <c r="AI954" s="1612"/>
      <c r="AJ954" s="1612"/>
      <c r="AK954" s="161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58" t="s">
        <v>2774</v>
      </c>
      <c r="N955" s="1486"/>
      <c r="O955" s="1486"/>
      <c r="P955" s="1486"/>
      <c r="Q955" s="1486"/>
      <c r="R955" s="1486"/>
      <c r="S955" s="1759"/>
      <c r="U955" s="66" t="s">
        <v>12</v>
      </c>
      <c r="V955" s="5"/>
      <c r="W955" s="5"/>
      <c r="X955" s="5"/>
      <c r="Y955" s="5"/>
      <c r="Z955" s="5"/>
      <c r="AA955" s="5"/>
      <c r="AB955" s="5"/>
      <c r="AC955" s="5"/>
      <c r="AD955" s="46"/>
      <c r="AE955" s="1758"/>
      <c r="AF955" s="1486"/>
      <c r="AG955" s="1486"/>
      <c r="AH955" s="1486"/>
      <c r="AI955" s="1486"/>
      <c r="AJ955" s="1486"/>
      <c r="AK955" s="175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40" t="s">
        <v>2748</v>
      </c>
      <c r="K956" s="1641"/>
      <c r="L956" s="1641"/>
      <c r="M956" s="1641"/>
      <c r="N956" s="1641"/>
      <c r="O956" s="1641"/>
      <c r="P956" s="1641"/>
      <c r="Q956" s="1641"/>
      <c r="R956" s="1641"/>
      <c r="S956" s="1642"/>
      <c r="U956" s="66" t="s">
        <v>892</v>
      </c>
      <c r="V956" s="5"/>
      <c r="W956" s="5"/>
      <c r="AB956" s="1640"/>
      <c r="AC956" s="1641"/>
      <c r="AD956" s="1641"/>
      <c r="AE956" s="1641"/>
      <c r="AF956" s="1641"/>
      <c r="AG956" s="1641"/>
      <c r="AH956" s="1641"/>
      <c r="AI956" s="1641"/>
      <c r="AJ956" s="1641"/>
      <c r="AK956" s="164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00">
        <f>M958/134</f>
        <v>0.45522388059701491</v>
      </c>
      <c r="N957" s="1701"/>
      <c r="O957" s="1701"/>
      <c r="P957" s="1701"/>
      <c r="Q957" s="1701"/>
      <c r="R957" s="1701"/>
      <c r="S957" s="1702"/>
      <c r="U957" s="66" t="s">
        <v>13</v>
      </c>
      <c r="V957" s="5"/>
      <c r="W957" s="5"/>
      <c r="X957" s="5"/>
      <c r="Y957" s="5"/>
      <c r="Z957" s="5"/>
      <c r="AA957" s="5"/>
      <c r="AB957" s="5"/>
      <c r="AC957" s="5"/>
      <c r="AD957" s="46"/>
      <c r="AE957" s="1757"/>
      <c r="AF957" s="1701"/>
      <c r="AG957" s="1701"/>
      <c r="AH957" s="1701"/>
      <c r="AI957" s="1701"/>
      <c r="AJ957" s="1701"/>
      <c r="AK957" s="170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45">
        <v>61</v>
      </c>
      <c r="N958" s="1590"/>
      <c r="O958" s="1590"/>
      <c r="P958" s="1590"/>
      <c r="Q958" s="1590"/>
      <c r="R958" s="1590"/>
      <c r="S958" s="1591"/>
      <c r="U958" s="66" t="s">
        <v>14</v>
      </c>
      <c r="V958" s="5"/>
      <c r="W958" s="5"/>
      <c r="X958" s="5"/>
      <c r="Y958" s="5"/>
      <c r="Z958" s="5"/>
      <c r="AA958" s="5"/>
      <c r="AB958" s="5"/>
      <c r="AC958" s="5"/>
      <c r="AD958" s="46"/>
      <c r="AE958" s="1745"/>
      <c r="AF958" s="1590"/>
      <c r="AG958" s="1590"/>
      <c r="AH958" s="1590"/>
      <c r="AI958" s="1590"/>
      <c r="AJ958" s="1590"/>
      <c r="AK958" s="159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8">
        <f>Z809</f>
        <v>597086.39999999991</v>
      </c>
      <c r="N959" s="1527"/>
      <c r="O959" s="1527"/>
      <c r="P959" s="1527"/>
      <c r="Q959" s="1527"/>
      <c r="R959" s="1527"/>
      <c r="S959" s="1639"/>
      <c r="U959" s="66" t="s">
        <v>15</v>
      </c>
      <c r="V959" s="5"/>
      <c r="W959" s="5"/>
      <c r="X959" s="5"/>
      <c r="Y959" s="5"/>
      <c r="Z959" s="5"/>
      <c r="AA959" s="5"/>
      <c r="AB959" s="5"/>
      <c r="AC959" s="5"/>
      <c r="AD959" s="46"/>
      <c r="AE959" s="1638"/>
      <c r="AF959" s="1527"/>
      <c r="AG959" s="1527"/>
      <c r="AH959" s="1527"/>
      <c r="AI959" s="1527"/>
      <c r="AJ959" s="1527"/>
      <c r="AK959" s="163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8">
        <f>M959*M961</f>
        <v>11941727.999999998</v>
      </c>
      <c r="N960" s="1527"/>
      <c r="O960" s="1527"/>
      <c r="P960" s="1527"/>
      <c r="Q960" s="1527"/>
      <c r="R960" s="1527"/>
      <c r="S960" s="1639"/>
      <c r="U960" s="66" t="s">
        <v>16</v>
      </c>
      <c r="V960" s="5"/>
      <c r="W960" s="5"/>
      <c r="X960" s="5"/>
      <c r="Y960" s="5"/>
      <c r="Z960" s="5"/>
      <c r="AA960" s="5"/>
      <c r="AB960" s="5"/>
      <c r="AC960" s="5"/>
      <c r="AD960" s="46"/>
      <c r="AE960" s="1638"/>
      <c r="AF960" s="1527"/>
      <c r="AG960" s="1527"/>
      <c r="AH960" s="1527"/>
      <c r="AI960" s="1527"/>
      <c r="AJ960" s="1527"/>
      <c r="AK960" s="163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666">
        <v>20</v>
      </c>
      <c r="N961" s="1667"/>
      <c r="O961" s="1667"/>
      <c r="P961" s="1667"/>
      <c r="Q961" s="1667"/>
      <c r="R961" s="1667"/>
      <c r="S961" s="1668"/>
      <c r="U961" s="121" t="s">
        <v>1775</v>
      </c>
      <c r="V961" s="5"/>
      <c r="W961" s="5"/>
      <c r="X961" s="5"/>
      <c r="Y961" s="5"/>
      <c r="Z961" s="5"/>
      <c r="AA961" s="5"/>
      <c r="AB961" s="5"/>
      <c r="AC961" s="5"/>
      <c r="AD961" s="46"/>
      <c r="AE961" s="1666"/>
      <c r="AF961" s="1667"/>
      <c r="AG961" s="1667"/>
      <c r="AH961" s="1667"/>
      <c r="AI961" s="1667"/>
      <c r="AJ961" s="1667"/>
      <c r="AK961" s="166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47"/>
      <c r="N966" s="1648"/>
      <c r="O966" s="1648"/>
      <c r="P966" s="1648"/>
      <c r="Q966" s="1648"/>
      <c r="R966" s="1648"/>
      <c r="S966" s="1649"/>
      <c r="T966" s="66" t="s">
        <v>799</v>
      </c>
      <c r="U966" s="5"/>
      <c r="V966" s="5"/>
      <c r="W966" s="5"/>
      <c r="X966" s="5"/>
      <c r="Y966" s="5"/>
      <c r="Z966" s="46"/>
      <c r="AA966" s="1647"/>
      <c r="AB966" s="1648"/>
      <c r="AC966" s="1648"/>
      <c r="AD966" s="1648"/>
      <c r="AE966" s="1648"/>
      <c r="AF966" s="1648"/>
      <c r="AG966" s="164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47"/>
      <c r="N967" s="1648"/>
      <c r="O967" s="1648"/>
      <c r="P967" s="1648"/>
      <c r="Q967" s="1648"/>
      <c r="R967" s="1648"/>
      <c r="S967" s="1649"/>
      <c r="T967" s="66" t="s">
        <v>798</v>
      </c>
      <c r="U967" s="5"/>
      <c r="V967" s="5"/>
      <c r="W967" s="5"/>
      <c r="X967" s="5"/>
      <c r="Y967" s="5"/>
      <c r="Z967" s="46"/>
      <c r="AA967" s="1647"/>
      <c r="AB967" s="1648"/>
      <c r="AC967" s="1648"/>
      <c r="AD967" s="1648"/>
      <c r="AE967" s="1648"/>
      <c r="AF967" s="1648"/>
      <c r="AG967" s="164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54" t="s">
        <v>599</v>
      </c>
      <c r="N968" s="1755"/>
      <c r="O968" s="1755"/>
      <c r="P968" s="1755"/>
      <c r="Q968" s="1755"/>
      <c r="R968" s="1755"/>
      <c r="S968" s="1756"/>
      <c r="T968" s="45" t="s">
        <v>338</v>
      </c>
      <c r="U968" s="5"/>
      <c r="V968" s="5"/>
      <c r="W968" s="5"/>
      <c r="X968" s="5"/>
      <c r="Y968" s="5"/>
      <c r="Z968" s="46"/>
      <c r="AA968" s="1647"/>
      <c r="AB968" s="1648"/>
      <c r="AC968" s="1648"/>
      <c r="AD968" s="1648"/>
      <c r="AE968" s="1648"/>
      <c r="AF968" s="1648"/>
      <c r="AG968" s="164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47"/>
      <c r="N969" s="1648"/>
      <c r="O969" s="1648"/>
      <c r="P969" s="1648"/>
      <c r="Q969" s="1648"/>
      <c r="R969" s="1648"/>
      <c r="S969" s="1649"/>
      <c r="T969" s="45" t="s">
        <v>339</v>
      </c>
      <c r="U969" s="5"/>
      <c r="V969" s="5"/>
      <c r="W969" s="5"/>
      <c r="X969" s="5"/>
      <c r="Y969" s="5"/>
      <c r="Z969" s="46"/>
      <c r="AA969" s="1647"/>
      <c r="AB969" s="1648"/>
      <c r="AC969" s="1648"/>
      <c r="AD969" s="1648"/>
      <c r="AE969" s="1648"/>
      <c r="AF969" s="1648"/>
      <c r="AG969" s="164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47"/>
      <c r="N970" s="1648"/>
      <c r="O970" s="1648"/>
      <c r="P970" s="1648"/>
      <c r="Q970" s="1648"/>
      <c r="R970" s="1648"/>
      <c r="S970" s="1649"/>
      <c r="T970" s="45" t="s">
        <v>377</v>
      </c>
      <c r="U970" s="5"/>
      <c r="V970" s="5"/>
      <c r="W970" s="5"/>
      <c r="X970" s="5"/>
      <c r="Y970" s="5"/>
      <c r="Z970" s="46"/>
      <c r="AA970" s="1647"/>
      <c r="AB970" s="1648"/>
      <c r="AC970" s="1648"/>
      <c r="AD970" s="1648"/>
      <c r="AE970" s="1648"/>
      <c r="AF970" s="1648"/>
      <c r="AG970" s="164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749" t="s">
        <v>308</v>
      </c>
      <c r="N971" s="1750"/>
      <c r="O971" s="1750"/>
      <c r="P971" s="1750"/>
      <c r="Q971" s="1750"/>
      <c r="R971" s="1750"/>
      <c r="S971" s="1751"/>
      <c r="T971" s="1684"/>
      <c r="U971" s="1685"/>
      <c r="V971" s="1685"/>
      <c r="W971" s="1685"/>
      <c r="X971" s="1685"/>
      <c r="Y971" s="1685"/>
      <c r="Z971" s="1686"/>
      <c r="AA971" s="1647"/>
      <c r="AB971" s="1648"/>
      <c r="AC971" s="1648"/>
      <c r="AD971" s="1648"/>
      <c r="AE971" s="1648"/>
      <c r="AF971" s="1648"/>
      <c r="AG971" s="164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47"/>
      <c r="N972" s="1648"/>
      <c r="O972" s="1648"/>
      <c r="P972" s="1648"/>
      <c r="Q972" s="1648"/>
      <c r="R972" s="1648"/>
      <c r="S972" s="1649"/>
      <c r="T972" s="1684"/>
      <c r="U972" s="1685"/>
      <c r="V972" s="1685"/>
      <c r="W972" s="1685"/>
      <c r="X972" s="1685"/>
      <c r="Y972" s="1685"/>
      <c r="Z972" s="1686"/>
      <c r="AA972" s="1647"/>
      <c r="AB972" s="1648"/>
      <c r="AC972" s="1648"/>
      <c r="AD972" s="1648"/>
      <c r="AE972" s="1648"/>
      <c r="AF972" s="1648"/>
      <c r="AG972" s="164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44" t="s">
        <v>677</v>
      </c>
      <c r="P973" s="1446"/>
      <c r="Q973" s="92"/>
      <c r="R973" s="92"/>
      <c r="S973" s="93"/>
      <c r="T973" s="41" t="s">
        <v>170</v>
      </c>
      <c r="U973" s="42"/>
      <c r="V973" s="42"/>
      <c r="W973" s="1746" t="s">
        <v>335</v>
      </c>
      <c r="X973" s="1747"/>
      <c r="Y973" s="1747"/>
      <c r="Z973" s="1747"/>
      <c r="AA973" s="1747"/>
      <c r="AB973" s="1747"/>
      <c r="AC973" s="1747"/>
      <c r="AD973" s="1747"/>
      <c r="AE973" s="1747"/>
      <c r="AF973" s="1747"/>
      <c r="AG973" s="174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88" t="s">
        <v>33</v>
      </c>
      <c r="G974" s="1504"/>
      <c r="H974" s="1504"/>
      <c r="I974" s="1504"/>
      <c r="J974" s="1504"/>
      <c r="K974" s="1504"/>
      <c r="L974" s="1504"/>
      <c r="M974" s="1647"/>
      <c r="N974" s="1648"/>
      <c r="O974" s="1648"/>
      <c r="P974" s="1648"/>
      <c r="Q974" s="1648"/>
      <c r="R974" s="1648"/>
      <c r="S974" s="1649"/>
      <c r="T974" s="47"/>
      <c r="U974" s="48"/>
      <c r="V974" s="48"/>
      <c r="W974" s="48"/>
      <c r="X974" s="48"/>
      <c r="Y974" s="48"/>
      <c r="Z974" s="124" t="s">
        <v>134</v>
      </c>
      <c r="AA974" s="1681"/>
      <c r="AB974" s="1682"/>
      <c r="AC974" s="1682"/>
      <c r="AD974" s="1682"/>
      <c r="AE974" s="1682"/>
      <c r="AF974" s="1682"/>
      <c r="AG974" s="168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8"/>
      <c r="BH975" s="1618"/>
      <c r="BI975" s="1618"/>
      <c r="BJ975" s="1618"/>
      <c r="BK975" s="1618"/>
      <c r="BL975" s="161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761" t="s">
        <v>556</v>
      </c>
      <c r="B978" s="1761"/>
      <c r="C978" s="1761"/>
      <c r="D978" s="1761"/>
      <c r="E978" s="1761"/>
      <c r="F978" s="1761"/>
      <c r="G978" s="1761"/>
      <c r="H978" s="1761"/>
      <c r="I978" s="1761"/>
      <c r="J978" s="1761"/>
      <c r="K978" s="1761"/>
      <c r="L978" s="1761"/>
      <c r="M978" s="1761"/>
      <c r="N978" s="1761"/>
      <c r="O978" s="1761"/>
      <c r="P978" s="1761"/>
      <c r="Q978" s="1761"/>
      <c r="R978" s="1761"/>
      <c r="S978" s="1761"/>
      <c r="T978" s="1761"/>
      <c r="U978" s="1761"/>
      <c r="V978" s="1761"/>
      <c r="W978" s="1761"/>
      <c r="X978" s="1761"/>
      <c r="Y978" s="1761"/>
      <c r="Z978" s="1761"/>
      <c r="AA978" s="1761"/>
      <c r="AB978" s="1761"/>
      <c r="AC978" s="1761"/>
      <c r="AD978" s="1761"/>
      <c r="AE978" s="1761"/>
      <c r="AF978" s="1761"/>
      <c r="AG978" s="1761"/>
      <c r="AH978" s="1761"/>
      <c r="AI978" s="1761"/>
      <c r="AJ978" s="1761"/>
      <c r="AK978" s="1761"/>
      <c r="AL978" s="1761"/>
      <c r="AM978" s="1761"/>
      <c r="AN978" s="1761"/>
      <c r="AO978" s="1761"/>
      <c r="AP978" s="1761"/>
      <c r="AQ978" s="1761"/>
      <c r="AR978" s="1761"/>
      <c r="AS978" s="1761"/>
      <c r="AT978" s="176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761"/>
      <c r="B979" s="1761"/>
      <c r="C979" s="1761"/>
      <c r="D979" s="1761"/>
      <c r="E979" s="1761"/>
      <c r="F979" s="1761"/>
      <c r="G979" s="1761"/>
      <c r="H979" s="1761"/>
      <c r="I979" s="1761"/>
      <c r="J979" s="1761"/>
      <c r="K979" s="1761"/>
      <c r="L979" s="1761"/>
      <c r="M979" s="1761"/>
      <c r="N979" s="1761"/>
      <c r="O979" s="1761"/>
      <c r="P979" s="1761"/>
      <c r="Q979" s="1761"/>
      <c r="R979" s="1761"/>
      <c r="S979" s="1761"/>
      <c r="T979" s="1761"/>
      <c r="U979" s="1761"/>
      <c r="V979" s="1761"/>
      <c r="W979" s="1761"/>
      <c r="X979" s="1761"/>
      <c r="Y979" s="1761"/>
      <c r="Z979" s="1761"/>
      <c r="AA979" s="1761"/>
      <c r="AB979" s="1761"/>
      <c r="AC979" s="1761"/>
      <c r="AD979" s="1761"/>
      <c r="AE979" s="1761"/>
      <c r="AF979" s="1761"/>
      <c r="AG979" s="1761"/>
      <c r="AH979" s="1761"/>
      <c r="AI979" s="1761"/>
      <c r="AJ979" s="1761"/>
      <c r="AK979" s="1761"/>
      <c r="AL979" s="1761"/>
      <c r="AM979" s="1761"/>
      <c r="AN979" s="1761"/>
      <c r="AO979" s="1761"/>
      <c r="AP979" s="1761"/>
      <c r="AQ979" s="1761"/>
      <c r="AR979" s="1761"/>
      <c r="AS979" s="1761"/>
      <c r="AT979" s="176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761"/>
      <c r="B980" s="1761"/>
      <c r="C980" s="1761"/>
      <c r="D980" s="1761"/>
      <c r="E980" s="1761"/>
      <c r="F980" s="1761"/>
      <c r="G980" s="1761"/>
      <c r="H980" s="1761"/>
      <c r="I980" s="1761"/>
      <c r="J980" s="1761"/>
      <c r="K980" s="1761"/>
      <c r="L980" s="1761"/>
      <c r="M980" s="1761"/>
      <c r="N980" s="1761"/>
      <c r="O980" s="1761"/>
      <c r="P980" s="1761"/>
      <c r="Q980" s="1761"/>
      <c r="R980" s="1761"/>
      <c r="S980" s="1761"/>
      <c r="T980" s="1761"/>
      <c r="U980" s="1761"/>
      <c r="V980" s="1761"/>
      <c r="W980" s="1761"/>
      <c r="X980" s="1761"/>
      <c r="Y980" s="1761"/>
      <c r="Z980" s="1761"/>
      <c r="AA980" s="1761"/>
      <c r="AB980" s="1761"/>
      <c r="AC980" s="1761"/>
      <c r="AD980" s="1761"/>
      <c r="AE980" s="1761"/>
      <c r="AF980" s="1761"/>
      <c r="AG980" s="1761"/>
      <c r="AH980" s="1761"/>
      <c r="AI980" s="1761"/>
      <c r="AJ980" s="1761"/>
      <c r="AK980" s="1761"/>
      <c r="AL980" s="1761"/>
      <c r="AM980" s="1761"/>
      <c r="AN980" s="1761"/>
      <c r="AO980" s="1761"/>
      <c r="AP980" s="1761"/>
      <c r="AQ980" s="1761"/>
      <c r="AR980" s="1761"/>
      <c r="AS980" s="1761"/>
      <c r="AT980" s="176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29" t="s">
        <v>646</v>
      </c>
      <c r="E984" s="1830"/>
      <c r="F984" s="1830"/>
      <c r="G984" s="1830"/>
      <c r="H984" s="1830"/>
      <c r="I984" s="1830"/>
      <c r="J984" s="1830"/>
      <c r="K984" s="1830"/>
      <c r="L984" s="1830"/>
      <c r="M984" s="1830"/>
      <c r="N984" s="1830"/>
      <c r="O984" s="1830"/>
      <c r="P984" s="1830"/>
      <c r="Q984" s="1831"/>
      <c r="R984" s="1829" t="s">
        <v>647</v>
      </c>
      <c r="S984" s="1830"/>
      <c r="T984" s="1830"/>
      <c r="U984" s="1830"/>
      <c r="V984" s="1830"/>
      <c r="W984" s="1830"/>
      <c r="X984" s="1830"/>
      <c r="Y984" s="1830"/>
      <c r="Z984" s="1830"/>
      <c r="AA984" s="1831"/>
      <c r="AB984" s="1829" t="s">
        <v>648</v>
      </c>
      <c r="AC984" s="1830"/>
      <c r="AD984" s="1830"/>
      <c r="AE984" s="1830"/>
      <c r="AF984" s="1830"/>
      <c r="AG984" s="1830"/>
      <c r="AH984" s="1830"/>
      <c r="AI984" s="1831"/>
      <c r="AJ984" s="1829" t="s">
        <v>649</v>
      </c>
      <c r="AK984" s="1830"/>
      <c r="AL984" s="1830"/>
      <c r="AM984" s="1830"/>
      <c r="AN984" s="1830"/>
      <c r="AO984" s="1830"/>
      <c r="AP984" s="1830"/>
      <c r="AQ984" s="183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7" t="s">
        <v>641</v>
      </c>
      <c r="E985" s="1518"/>
      <c r="F985" s="1518"/>
      <c r="G985" s="1518"/>
      <c r="H985" s="1518"/>
      <c r="I985" s="1518"/>
      <c r="J985" s="1518"/>
      <c r="K985" s="1518"/>
      <c r="L985" s="1518"/>
      <c r="M985" s="1518"/>
      <c r="N985" s="1518"/>
      <c r="O985" s="1518"/>
      <c r="P985" s="1518"/>
      <c r="Q985" s="1519"/>
      <c r="R985" s="1744">
        <f>IF(ISNA(IF($BN$796="4%",(INDEX($BP$806:$BT$863,MATCH($CB$796,$BO$806:$BO$863,0),MATCH(D985,$BP$805:$BT$805,0))),(INDEX($BW$806:$CA$863,MATCH($CB$796,$BV$806:$BV$863,0),MATCH(D985,$BW$805:$CA$805,0))))),0,IF($BN$796="4%",(INDEX($BP$806:$BT$863,MATCH($CB$796,$BO$806:$BO$863,0),MATCH(D985,$BP$805:$BT$805,0))),(INDEX($BW$806:$CA$863,MATCH($CB$796,$BV$806:$BV$863,0),MATCH(D985,$BW$805:$CA$805,0)))))</f>
        <v>387110</v>
      </c>
      <c r="S985" s="1744"/>
      <c r="T985" s="1744"/>
      <c r="U985" s="1744"/>
      <c r="V985" s="1744"/>
      <c r="W985" s="1744"/>
      <c r="X985" s="1744"/>
      <c r="Y985" s="1744"/>
      <c r="Z985" s="1744"/>
      <c r="AA985" s="1744"/>
      <c r="AB985" s="1816">
        <f>BN660</f>
        <v>133</v>
      </c>
      <c r="AC985" s="1817"/>
      <c r="AD985" s="1817"/>
      <c r="AE985" s="1817"/>
      <c r="AF985" s="1817"/>
      <c r="AG985" s="1817"/>
      <c r="AH985" s="1817"/>
      <c r="AI985" s="1818"/>
      <c r="AJ985" s="1652">
        <f>IF(ISERROR((R985*AB985)),0,(R985*AB985))</f>
        <v>51485630</v>
      </c>
      <c r="AK985" s="1653"/>
      <c r="AL985" s="1653"/>
      <c r="AM985" s="1653"/>
      <c r="AN985" s="1653"/>
      <c r="AO985" s="1653"/>
      <c r="AP985" s="1653"/>
      <c r="AQ985" s="165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7" t="s">
        <v>326</v>
      </c>
      <c r="E986" s="1518"/>
      <c r="F986" s="1518"/>
      <c r="G986" s="1518"/>
      <c r="H986" s="1518"/>
      <c r="I986" s="1518"/>
      <c r="J986" s="1518"/>
      <c r="K986" s="1518"/>
      <c r="L986" s="1518"/>
      <c r="M986" s="1518"/>
      <c r="N986" s="1518"/>
      <c r="O986" s="1518"/>
      <c r="P986" s="1518"/>
      <c r="Q986" s="1519"/>
      <c r="R986" s="1744">
        <f>IF(ISNA(IF($BN$796="4%",(INDEX($BP$806:$BT$863,MATCH($CB$796,$BO$806:$BO$863,0),MATCH(D986,$BP$805:$BT$805,0))),(INDEX($BW$806:$CA$863,MATCH($CB$796,$BV$806:$BV$863,0),MATCH(D986,$BW$805:$CA$805,0))))),0,IF($BN$796="4%",(INDEX($BP$806:$BT$863,MATCH($CB$796,$BO$806:$BO$863,0),MATCH(D986,$BP$805:$BT$805,0))),(INDEX($BW$806:$CA$863,MATCH($CB$796,$BV$806:$BV$863,0),MATCH(D986,$BW$805:$CA$805,0)))))</f>
        <v>446334</v>
      </c>
      <c r="S986" s="1744"/>
      <c r="T986" s="1744"/>
      <c r="U986" s="1744"/>
      <c r="V986" s="1744"/>
      <c r="W986" s="1744"/>
      <c r="X986" s="1744"/>
      <c r="Y986" s="1744"/>
      <c r="Z986" s="1744"/>
      <c r="AA986" s="1744"/>
      <c r="AB986" s="1816">
        <f>BS660</f>
        <v>3</v>
      </c>
      <c r="AC986" s="1817"/>
      <c r="AD986" s="1817"/>
      <c r="AE986" s="1817"/>
      <c r="AF986" s="1817"/>
      <c r="AG986" s="1817"/>
      <c r="AH986" s="1817"/>
      <c r="AI986" s="1818"/>
      <c r="AJ986" s="1652">
        <f>IF(ISERROR((R986*AB986)),0,(R986*AB986))</f>
        <v>1339002</v>
      </c>
      <c r="AK986" s="1653"/>
      <c r="AL986" s="1653"/>
      <c r="AM986" s="1653"/>
      <c r="AN986" s="1653"/>
      <c r="AO986" s="1653"/>
      <c r="AP986" s="1653"/>
      <c r="AQ986" s="165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7" t="s">
        <v>163</v>
      </c>
      <c r="E987" s="1518"/>
      <c r="F987" s="1518"/>
      <c r="G987" s="1518"/>
      <c r="H987" s="1518"/>
      <c r="I987" s="1518"/>
      <c r="J987" s="1518"/>
      <c r="K987" s="1518"/>
      <c r="L987" s="1518"/>
      <c r="M987" s="1518"/>
      <c r="N987" s="1518"/>
      <c r="O987" s="1518"/>
      <c r="P987" s="1518"/>
      <c r="Q987" s="1519"/>
      <c r="R987" s="1744">
        <f>IF(ISNA(IF($BN$796="4%",(INDEX($BP$806:$BT$863,MATCH($CB$796,$BO$806:$BO$863,0),MATCH(D987,$BP$805:$BT$805,0))),(INDEX($BW$806:$CA$863,MATCH($CB$796,$BV$806:$BV$863,0),MATCH(D987,$BW$805:$CA$805,0))))),0,IF($BN$796="4%",(INDEX($BP$806:$BT$863,MATCH($CB$796,$BO$806:$BO$863,0),MATCH(D987,$BP$805:$BT$805,0))),(INDEX($BW$806:$CA$863,MATCH($CB$796,$BV$806:$BV$863,0),MATCH(D987,$BW$805:$CA$805,0)))))</f>
        <v>538400</v>
      </c>
      <c r="S987" s="1744"/>
      <c r="T987" s="1744"/>
      <c r="U987" s="1744"/>
      <c r="V987" s="1744"/>
      <c r="W987" s="1744"/>
      <c r="X987" s="1744"/>
      <c r="Y987" s="1744"/>
      <c r="Z987" s="1744"/>
      <c r="AA987" s="1744"/>
      <c r="AB987" s="1816">
        <f>BX660</f>
        <v>0</v>
      </c>
      <c r="AC987" s="1817"/>
      <c r="AD987" s="1817"/>
      <c r="AE987" s="1817"/>
      <c r="AF987" s="1817"/>
      <c r="AG987" s="1817"/>
      <c r="AH987" s="1817"/>
      <c r="AI987" s="1818"/>
      <c r="AJ987" s="1652">
        <f>IF(ISERROR((R987*AB987)),0,(R987*AB987))</f>
        <v>0</v>
      </c>
      <c r="AK987" s="1653"/>
      <c r="AL987" s="1653"/>
      <c r="AM987" s="1653"/>
      <c r="AN987" s="1653"/>
      <c r="AO987" s="1653"/>
      <c r="AP987" s="1653"/>
      <c r="AQ987" s="165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7" t="s">
        <v>164</v>
      </c>
      <c r="E988" s="1518"/>
      <c r="F988" s="1518"/>
      <c r="G988" s="1518"/>
      <c r="H988" s="1518"/>
      <c r="I988" s="1518"/>
      <c r="J988" s="1518"/>
      <c r="K988" s="1518"/>
      <c r="L988" s="1518"/>
      <c r="M988" s="1518"/>
      <c r="N988" s="1518"/>
      <c r="O988" s="1518"/>
      <c r="P988" s="1518"/>
      <c r="Q988" s="1519"/>
      <c r="R988" s="1744">
        <f>IF(ISNA(IF($BN$796="4%",(INDEX($BP$806:$BT$863,MATCH($CB$796,$BO$806:$BO$863,0),MATCH(D988,$BP$805:$BT$805,0))),(INDEX($BW$806:$CA$863,MATCH($CB$796,$BV$806:$BV$863,0),MATCH(D988,$BW$805:$CA$805,0))))),0,IF($BN$796="4%",(INDEX($BP$806:$BT$863,MATCH($CB$796,$BO$806:$BO$863,0),MATCH(D988,$BP$805:$BT$805,0))),(INDEX($BW$806:$CA$863,MATCH($CB$796,$BV$806:$BV$863,0),MATCH(D988,$BW$805:$CA$805,0)))))</f>
        <v>689152</v>
      </c>
      <c r="S988" s="1744"/>
      <c r="T988" s="1744"/>
      <c r="U988" s="1744"/>
      <c r="V988" s="1744"/>
      <c r="W988" s="1744"/>
      <c r="X988" s="1744"/>
      <c r="Y988" s="1744"/>
      <c r="Z988" s="1744"/>
      <c r="AA988" s="1744"/>
      <c r="AB988" s="1816">
        <f>CC660</f>
        <v>0</v>
      </c>
      <c r="AC988" s="1817"/>
      <c r="AD988" s="1817"/>
      <c r="AE988" s="1817"/>
      <c r="AF988" s="1817"/>
      <c r="AG988" s="1817"/>
      <c r="AH988" s="1817"/>
      <c r="AI988" s="1818"/>
      <c r="AJ988" s="1652">
        <f>IF(ISERROR((R988*AB988)),0,(R988*AB988))</f>
        <v>0</v>
      </c>
      <c r="AK988" s="1653"/>
      <c r="AL988" s="1653"/>
      <c r="AM988" s="1653"/>
      <c r="AN988" s="1653"/>
      <c r="AO988" s="1653"/>
      <c r="AP988" s="1653"/>
      <c r="AQ988" s="165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7" t="s">
        <v>468</v>
      </c>
      <c r="E989" s="1518"/>
      <c r="F989" s="1518"/>
      <c r="G989" s="1518"/>
      <c r="H989" s="1518"/>
      <c r="I989" s="1518"/>
      <c r="J989" s="1518"/>
      <c r="K989" s="1518"/>
      <c r="L989" s="1518"/>
      <c r="M989" s="1518"/>
      <c r="N989" s="1518"/>
      <c r="O989" s="1518"/>
      <c r="P989" s="1518"/>
      <c r="Q989" s="1519"/>
      <c r="R989" s="1744">
        <f>IF(ISNA(IF($BN$796="4%",(INDEX($BP$806:$BT$863,MATCH($CB$796,$BO$806:$BO$863,0),MATCH(D989,$BP$805:$BT$805,0))),(INDEX($BW$806:$CA$863,MATCH($CB$796,$BV$806:$BV$863,0),MATCH(D989,$BW$805:$CA$805,0))))),0,IF($BN$796="4%",(INDEX($BP$806:$BT$863,MATCH($CB$796,$BO$806:$BO$863,0),MATCH(D989,$BP$805:$BT$805,0))),(INDEX($BW$806:$CA$863,MATCH($CB$796,$BV$806:$BV$863,0),MATCH(D989,$BW$805:$CA$805,0)))))</f>
        <v>767758</v>
      </c>
      <c r="S989" s="1744"/>
      <c r="T989" s="1744"/>
      <c r="U989" s="1744"/>
      <c r="V989" s="1744"/>
      <c r="W989" s="1744"/>
      <c r="X989" s="1744"/>
      <c r="Y989" s="1744"/>
      <c r="Z989" s="1744"/>
      <c r="AA989" s="1744"/>
      <c r="AB989" s="1816">
        <f>CM660+CH660</f>
        <v>0</v>
      </c>
      <c r="AC989" s="1817"/>
      <c r="AD989" s="1817"/>
      <c r="AE989" s="1817"/>
      <c r="AF989" s="1817"/>
      <c r="AG989" s="1817"/>
      <c r="AH989" s="1817"/>
      <c r="AI989" s="1818"/>
      <c r="AJ989" s="1652">
        <f>IF(ISERROR((R989*AB989)),0,(R989*AB989))</f>
        <v>0</v>
      </c>
      <c r="AK989" s="1653"/>
      <c r="AL989" s="1653"/>
      <c r="AM989" s="1653"/>
      <c r="AN989" s="1653"/>
      <c r="AO989" s="1653"/>
      <c r="AP989" s="1653"/>
      <c r="AQ989" s="165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6" t="s">
        <v>800</v>
      </c>
      <c r="C990" s="1787"/>
      <c r="D990" s="1787"/>
      <c r="E990" s="1787"/>
      <c r="F990" s="1787"/>
      <c r="G990" s="1787"/>
      <c r="H990" s="1787"/>
      <c r="I990" s="1787"/>
      <c r="J990" s="1787"/>
      <c r="K990" s="1787"/>
      <c r="L990" s="1787"/>
      <c r="M990" s="1787"/>
      <c r="N990" s="1787"/>
      <c r="O990" s="1787"/>
      <c r="P990" s="1787"/>
      <c r="Q990" s="1787"/>
      <c r="R990" s="1787"/>
      <c r="S990" s="1787"/>
      <c r="T990" s="1787"/>
      <c r="U990" s="1787"/>
      <c r="V990" s="1787"/>
      <c r="W990" s="1787"/>
      <c r="X990" s="1787"/>
      <c r="Y990" s="1787"/>
      <c r="Z990" s="1787"/>
      <c r="AA990" s="1788"/>
      <c r="AB990" s="1816">
        <f>SUM(AB985:AI989)</f>
        <v>136</v>
      </c>
      <c r="AC990" s="1817"/>
      <c r="AD990" s="1817"/>
      <c r="AE990" s="1817"/>
      <c r="AF990" s="1817"/>
      <c r="AG990" s="1817"/>
      <c r="AH990" s="1817"/>
      <c r="AI990" s="1818"/>
      <c r="AJ990" s="1652"/>
      <c r="AK990" s="1653"/>
      <c r="AL990" s="1653"/>
      <c r="AM990" s="1653"/>
      <c r="AN990" s="1653"/>
      <c r="AO990" s="1653"/>
      <c r="AP990" s="1653"/>
      <c r="AQ990" s="165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6" t="s">
        <v>520</v>
      </c>
      <c r="C991" s="1827"/>
      <c r="D991" s="1827"/>
      <c r="E991" s="1827"/>
      <c r="F991" s="1827"/>
      <c r="G991" s="1827"/>
      <c r="H991" s="1827"/>
      <c r="I991" s="1827"/>
      <c r="J991" s="1827"/>
      <c r="K991" s="1827"/>
      <c r="L991" s="1827"/>
      <c r="M991" s="1827"/>
      <c r="N991" s="1827"/>
      <c r="O991" s="1827"/>
      <c r="P991" s="1827"/>
      <c r="Q991" s="1827"/>
      <c r="R991" s="1827"/>
      <c r="S991" s="1827"/>
      <c r="T991" s="1827"/>
      <c r="U991" s="1827"/>
      <c r="V991" s="1827"/>
      <c r="W991" s="1827"/>
      <c r="X991" s="1827"/>
      <c r="Y991" s="1827"/>
      <c r="Z991" s="1827"/>
      <c r="AA991" s="1827"/>
      <c r="AB991" s="1827"/>
      <c r="AC991" s="1827"/>
      <c r="AD991" s="1827"/>
      <c r="AE991" s="1827"/>
      <c r="AF991" s="1827"/>
      <c r="AG991" s="1827"/>
      <c r="AH991" s="1827"/>
      <c r="AI991" s="1828"/>
      <c r="AJ991" s="1652">
        <f>SUM(AJ985:AQ989)</f>
        <v>52824632</v>
      </c>
      <c r="AK991" s="1653"/>
      <c r="AL991" s="1653"/>
      <c r="AM991" s="1653"/>
      <c r="AN991" s="1653"/>
      <c r="AO991" s="1653"/>
      <c r="AP991" s="1653"/>
      <c r="AQ991" s="165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2"/>
      <c r="C992" s="1823"/>
      <c r="D992" s="1823"/>
      <c r="E992" s="1823"/>
      <c r="F992" s="1823"/>
      <c r="G992" s="1823"/>
      <c r="H992" s="1823"/>
      <c r="I992" s="1823"/>
      <c r="J992" s="1823"/>
      <c r="K992" s="1823"/>
      <c r="L992" s="1823"/>
      <c r="M992" s="1823"/>
      <c r="N992" s="1823"/>
      <c r="O992" s="1823"/>
      <c r="P992" s="1823"/>
      <c r="Q992" s="1823"/>
      <c r="R992" s="1823"/>
      <c r="S992" s="1823"/>
      <c r="T992" s="1823"/>
      <c r="U992" s="1823"/>
      <c r="V992" s="1823"/>
      <c r="W992" s="1823"/>
      <c r="X992" s="1823"/>
      <c r="Y992" s="1823"/>
      <c r="Z992" s="1823"/>
      <c r="AA992" s="1823"/>
      <c r="AB992" s="1823"/>
      <c r="AC992" s="1823"/>
      <c r="AD992" s="1823"/>
      <c r="AE992" s="1824"/>
      <c r="AF992" s="1835" t="s">
        <v>674</v>
      </c>
      <c r="AG992" s="1836"/>
      <c r="AH992" s="1836"/>
      <c r="AI992" s="1837"/>
      <c r="AJ992" s="1822"/>
      <c r="AK992" s="1823"/>
      <c r="AL992" s="1823"/>
      <c r="AM992" s="1823"/>
      <c r="AN992" s="1823"/>
      <c r="AO992" s="1823"/>
      <c r="AP992" s="1823"/>
      <c r="AQ992" s="182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83" t="s">
        <v>1326</v>
      </c>
      <c r="E993" s="1784"/>
      <c r="F993" s="1784"/>
      <c r="G993" s="1784"/>
      <c r="H993" s="1784"/>
      <c r="I993" s="1784"/>
      <c r="J993" s="1784"/>
      <c r="K993" s="1784"/>
      <c r="L993" s="1784"/>
      <c r="M993" s="1784"/>
      <c r="N993" s="1784"/>
      <c r="O993" s="1784"/>
      <c r="P993" s="1784"/>
      <c r="Q993" s="1784"/>
      <c r="R993" s="1784"/>
      <c r="S993" s="1784"/>
      <c r="T993" s="1784"/>
      <c r="U993" s="1784"/>
      <c r="V993" s="1784"/>
      <c r="W993" s="1784"/>
      <c r="X993" s="1784"/>
      <c r="Y993" s="1784"/>
      <c r="Z993" s="1784"/>
      <c r="AA993" s="1784"/>
      <c r="AB993" s="1784"/>
      <c r="AC993" s="1784"/>
      <c r="AD993" s="1784"/>
      <c r="AE993" s="1785"/>
      <c r="AF993" s="79"/>
      <c r="AG993" s="1838" t="s">
        <v>553</v>
      </c>
      <c r="AH993" s="1839"/>
      <c r="AI993" s="87"/>
      <c r="AJ993" s="1801">
        <f>ROUND(IF(AND(AG993="yes",D999&gt;0),AJ991*0.2,0),0)</f>
        <v>10564926</v>
      </c>
      <c r="AK993" s="1802"/>
      <c r="AL993" s="1802"/>
      <c r="AM993" s="1802"/>
      <c r="AN993" s="1802"/>
      <c r="AO993" s="1802"/>
      <c r="AP993" s="1802"/>
      <c r="AQ993" s="180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90" t="s">
        <v>2570</v>
      </c>
      <c r="E994" s="1691"/>
      <c r="F994" s="1691"/>
      <c r="G994" s="1691"/>
      <c r="H994" s="1691"/>
      <c r="I994" s="1691"/>
      <c r="J994" s="1691"/>
      <c r="K994" s="1691"/>
      <c r="L994" s="1691"/>
      <c r="M994" s="1691"/>
      <c r="N994" s="1691"/>
      <c r="O994" s="1691"/>
      <c r="P994" s="1691"/>
      <c r="Q994" s="1691"/>
      <c r="R994" s="1691"/>
      <c r="S994" s="1691"/>
      <c r="T994" s="1691"/>
      <c r="U994" s="1691"/>
      <c r="V994" s="1691"/>
      <c r="W994" s="1691"/>
      <c r="X994" s="1691"/>
      <c r="Y994" s="1691"/>
      <c r="Z994" s="1691"/>
      <c r="AA994" s="1691"/>
      <c r="AB994" s="1691"/>
      <c r="AC994" s="1691"/>
      <c r="AD994" s="1691"/>
      <c r="AE994" s="1692"/>
      <c r="AF994" s="73"/>
      <c r="AG994" s="14"/>
      <c r="AH994" s="14"/>
      <c r="AI994" s="83"/>
      <c r="AJ994" s="1804"/>
      <c r="AK994" s="1805"/>
      <c r="AL994" s="1805"/>
      <c r="AM994" s="1805"/>
      <c r="AN994" s="1805"/>
      <c r="AO994" s="1805"/>
      <c r="AP994" s="1805"/>
      <c r="AQ994" s="180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90"/>
      <c r="E995" s="1691"/>
      <c r="F995" s="1691"/>
      <c r="G995" s="1691"/>
      <c r="H995" s="1691"/>
      <c r="I995" s="1691"/>
      <c r="J995" s="1691"/>
      <c r="K995" s="1691"/>
      <c r="L995" s="1691"/>
      <c r="M995" s="1691"/>
      <c r="N995" s="1691"/>
      <c r="O995" s="1691"/>
      <c r="P995" s="1691"/>
      <c r="Q995" s="1691"/>
      <c r="R995" s="1691"/>
      <c r="S995" s="1691"/>
      <c r="T995" s="1691"/>
      <c r="U995" s="1691"/>
      <c r="V995" s="1691"/>
      <c r="W995" s="1691"/>
      <c r="X995" s="1691"/>
      <c r="Y995" s="1691"/>
      <c r="Z995" s="1691"/>
      <c r="AA995" s="1691"/>
      <c r="AB995" s="1691"/>
      <c r="AC995" s="1691"/>
      <c r="AD995" s="1691"/>
      <c r="AE995" s="1692"/>
      <c r="AF995" s="73"/>
      <c r="AG995" s="14"/>
      <c r="AH995" s="14"/>
      <c r="AI995" s="83"/>
      <c r="AJ995" s="1804"/>
      <c r="AK995" s="1805"/>
      <c r="AL995" s="1805"/>
      <c r="AM995" s="1805"/>
      <c r="AN995" s="1805"/>
      <c r="AO995" s="1805"/>
      <c r="AP995" s="1805"/>
      <c r="AQ995" s="180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90"/>
      <c r="E996" s="1691"/>
      <c r="F996" s="1691"/>
      <c r="G996" s="1691"/>
      <c r="H996" s="1691"/>
      <c r="I996" s="1691"/>
      <c r="J996" s="1691"/>
      <c r="K996" s="1691"/>
      <c r="L996" s="1691"/>
      <c r="M996" s="1691"/>
      <c r="N996" s="1691"/>
      <c r="O996" s="1691"/>
      <c r="P996" s="1691"/>
      <c r="Q996" s="1691"/>
      <c r="R996" s="1691"/>
      <c r="S996" s="1691"/>
      <c r="T996" s="1691"/>
      <c r="U996" s="1691"/>
      <c r="V996" s="1691"/>
      <c r="W996" s="1691"/>
      <c r="X996" s="1691"/>
      <c r="Y996" s="1691"/>
      <c r="Z996" s="1691"/>
      <c r="AA996" s="1691"/>
      <c r="AB996" s="1691"/>
      <c r="AC996" s="1691"/>
      <c r="AD996" s="1691"/>
      <c r="AE996" s="1692"/>
      <c r="AF996" s="73"/>
      <c r="AG996" s="14"/>
      <c r="AH996" s="14"/>
      <c r="AI996" s="83"/>
      <c r="AJ996" s="1804"/>
      <c r="AK996" s="1805"/>
      <c r="AL996" s="1805"/>
      <c r="AM996" s="1805"/>
      <c r="AN996" s="1805"/>
      <c r="AO996" s="1805"/>
      <c r="AP996" s="1805"/>
      <c r="AQ996" s="180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90"/>
      <c r="E997" s="1691"/>
      <c r="F997" s="1691"/>
      <c r="G997" s="1691"/>
      <c r="H997" s="1691"/>
      <c r="I997" s="1691"/>
      <c r="J997" s="1691"/>
      <c r="K997" s="1691"/>
      <c r="L997" s="1691"/>
      <c r="M997" s="1691"/>
      <c r="N997" s="1691"/>
      <c r="O997" s="1691"/>
      <c r="P997" s="1691"/>
      <c r="Q997" s="1691"/>
      <c r="R997" s="1691"/>
      <c r="S997" s="1691"/>
      <c r="T997" s="1691"/>
      <c r="U997" s="1691"/>
      <c r="V997" s="1691"/>
      <c r="W997" s="1691"/>
      <c r="X997" s="1691"/>
      <c r="Y997" s="1691"/>
      <c r="Z997" s="1691"/>
      <c r="AA997" s="1691"/>
      <c r="AB997" s="1691"/>
      <c r="AC997" s="1691"/>
      <c r="AD997" s="1691"/>
      <c r="AE997" s="1692"/>
      <c r="AF997" s="73"/>
      <c r="AG997" s="14"/>
      <c r="AH997" s="14"/>
      <c r="AI997" s="83"/>
      <c r="AJ997" s="1804"/>
      <c r="AK997" s="1805"/>
      <c r="AL997" s="1805"/>
      <c r="AM997" s="1805"/>
      <c r="AN997" s="1805"/>
      <c r="AO997" s="1805"/>
      <c r="AP997" s="1805"/>
      <c r="AQ997" s="180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93" t="s">
        <v>2571</v>
      </c>
      <c r="E998" s="1694"/>
      <c r="F998" s="1694"/>
      <c r="G998" s="1694"/>
      <c r="H998" s="1694"/>
      <c r="I998" s="1694"/>
      <c r="J998" s="1694"/>
      <c r="K998" s="1694"/>
      <c r="L998" s="1694"/>
      <c r="M998" s="1694"/>
      <c r="N998" s="1694"/>
      <c r="O998" s="1694"/>
      <c r="P998" s="1694"/>
      <c r="Q998" s="1694"/>
      <c r="R998" s="1694"/>
      <c r="S998" s="1694"/>
      <c r="T998" s="1694"/>
      <c r="U998" s="1694"/>
      <c r="V998" s="1694"/>
      <c r="W998" s="1694"/>
      <c r="X998" s="1694"/>
      <c r="Y998" s="1694"/>
      <c r="Z998" s="1694"/>
      <c r="AA998" s="1694"/>
      <c r="AB998" s="1694"/>
      <c r="AC998" s="1694"/>
      <c r="AD998" s="1694"/>
      <c r="AE998" s="1695"/>
      <c r="AF998" s="73"/>
      <c r="AG998" s="14"/>
      <c r="AH998" s="14"/>
      <c r="AI998" s="83"/>
      <c r="AJ998" s="1804"/>
      <c r="AK998" s="1805"/>
      <c r="AL998" s="1805"/>
      <c r="AM998" s="1805"/>
      <c r="AN998" s="1805"/>
      <c r="AO998" s="1805"/>
      <c r="AP998" s="1805"/>
      <c r="AQ998" s="180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89" t="s">
        <v>2562</v>
      </c>
      <c r="E999" s="1790"/>
      <c r="F999" s="1790"/>
      <c r="G999" s="1790"/>
      <c r="H999" s="1790"/>
      <c r="I999" s="1790"/>
      <c r="J999" s="1790"/>
      <c r="K999" s="1790"/>
      <c r="L999" s="1790"/>
      <c r="M999" s="1790"/>
      <c r="N999" s="1790"/>
      <c r="O999" s="1790"/>
      <c r="P999" s="1790"/>
      <c r="Q999" s="1790"/>
      <c r="R999" s="1790"/>
      <c r="S999" s="1790"/>
      <c r="T999" s="1790"/>
      <c r="U999" s="1790"/>
      <c r="V999" s="1790"/>
      <c r="W999" s="1790"/>
      <c r="X999" s="1790"/>
      <c r="Y999" s="1790"/>
      <c r="Z999" s="1790"/>
      <c r="AA999" s="1790"/>
      <c r="AB999" s="1790"/>
      <c r="AC999" s="1790"/>
      <c r="AD999" s="1790"/>
      <c r="AE999" s="1791"/>
      <c r="AF999" s="77"/>
      <c r="AG999" s="7"/>
      <c r="AH999" s="7"/>
      <c r="AI999" s="78"/>
      <c r="AJ999" s="1807"/>
      <c r="AK999" s="1808"/>
      <c r="AL999" s="1808"/>
      <c r="AM999" s="1808"/>
      <c r="AN999" s="1808"/>
      <c r="AO999" s="1808"/>
      <c r="AP999" s="1808"/>
      <c r="AQ999" s="180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87" t="s">
        <v>1396</v>
      </c>
      <c r="E1000" s="1688"/>
      <c r="F1000" s="1688"/>
      <c r="G1000" s="1688"/>
      <c r="H1000" s="1688"/>
      <c r="I1000" s="1688"/>
      <c r="J1000" s="1688"/>
      <c r="K1000" s="1688"/>
      <c r="L1000" s="1688"/>
      <c r="M1000" s="1688"/>
      <c r="N1000" s="1688"/>
      <c r="O1000" s="1688"/>
      <c r="P1000" s="1688"/>
      <c r="Q1000" s="1688"/>
      <c r="R1000" s="1688"/>
      <c r="S1000" s="1688"/>
      <c r="T1000" s="1688"/>
      <c r="U1000" s="1688"/>
      <c r="V1000" s="1688"/>
      <c r="W1000" s="1688"/>
      <c r="X1000" s="1688"/>
      <c r="Y1000" s="1688"/>
      <c r="Z1000" s="1688"/>
      <c r="AA1000" s="1688"/>
      <c r="AB1000" s="1688"/>
      <c r="AC1000" s="1688"/>
      <c r="AD1000" s="1688"/>
      <c r="AE1000" s="1689"/>
      <c r="AF1000" s="79"/>
      <c r="AG1000" s="1650" t="s">
        <v>677</v>
      </c>
      <c r="AH1000" s="1651"/>
      <c r="AI1000" s="87"/>
      <c r="AJ1000" s="1801">
        <f>ROUND(IF(AG1000="yes",AJ991*0.05,0),0)</f>
        <v>0</v>
      </c>
      <c r="AK1000" s="1802"/>
      <c r="AL1000" s="1802"/>
      <c r="AM1000" s="1802"/>
      <c r="AN1000" s="1802"/>
      <c r="AO1000" s="1802"/>
      <c r="AP1000" s="1802"/>
      <c r="AQ1000" s="180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90" t="s">
        <v>1394</v>
      </c>
      <c r="E1001" s="1691"/>
      <c r="F1001" s="1691"/>
      <c r="G1001" s="1691"/>
      <c r="H1001" s="1691"/>
      <c r="I1001" s="1691"/>
      <c r="J1001" s="1691"/>
      <c r="K1001" s="1691"/>
      <c r="L1001" s="1691"/>
      <c r="M1001" s="1691"/>
      <c r="N1001" s="1691"/>
      <c r="O1001" s="1691"/>
      <c r="P1001" s="1691"/>
      <c r="Q1001" s="1691"/>
      <c r="R1001" s="1691"/>
      <c r="S1001" s="1691"/>
      <c r="T1001" s="1691"/>
      <c r="U1001" s="1691"/>
      <c r="V1001" s="1691"/>
      <c r="W1001" s="1691"/>
      <c r="X1001" s="1691"/>
      <c r="Y1001" s="1691"/>
      <c r="Z1001" s="1691"/>
      <c r="AA1001" s="1691"/>
      <c r="AB1001" s="1691"/>
      <c r="AC1001" s="1691"/>
      <c r="AD1001" s="1691"/>
      <c r="AE1001" s="1692"/>
      <c r="AF1001" s="73"/>
      <c r="AG1001" s="14"/>
      <c r="AH1001" s="14"/>
      <c r="AI1001" s="83"/>
      <c r="AJ1001" s="1804"/>
      <c r="AK1001" s="1805"/>
      <c r="AL1001" s="1805"/>
      <c r="AM1001" s="1805"/>
      <c r="AN1001" s="1805"/>
      <c r="AO1001" s="1805"/>
      <c r="AP1001" s="1805"/>
      <c r="AQ1001" s="180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90"/>
      <c r="E1002" s="1691"/>
      <c r="F1002" s="1691"/>
      <c r="G1002" s="1691"/>
      <c r="H1002" s="1691"/>
      <c r="I1002" s="1691"/>
      <c r="J1002" s="1691"/>
      <c r="K1002" s="1691"/>
      <c r="L1002" s="1691"/>
      <c r="M1002" s="1691"/>
      <c r="N1002" s="1691"/>
      <c r="O1002" s="1691"/>
      <c r="P1002" s="1691"/>
      <c r="Q1002" s="1691"/>
      <c r="R1002" s="1691"/>
      <c r="S1002" s="1691"/>
      <c r="T1002" s="1691"/>
      <c r="U1002" s="1691"/>
      <c r="V1002" s="1691"/>
      <c r="W1002" s="1691"/>
      <c r="X1002" s="1691"/>
      <c r="Y1002" s="1691"/>
      <c r="Z1002" s="1691"/>
      <c r="AA1002" s="1691"/>
      <c r="AB1002" s="1691"/>
      <c r="AC1002" s="1691"/>
      <c r="AD1002" s="1691"/>
      <c r="AE1002" s="1692"/>
      <c r="AF1002" s="73"/>
      <c r="AG1002" s="14"/>
      <c r="AH1002" s="14"/>
      <c r="AI1002" s="83"/>
      <c r="AJ1002" s="1804"/>
      <c r="AK1002" s="1805"/>
      <c r="AL1002" s="1805"/>
      <c r="AM1002" s="1805"/>
      <c r="AN1002" s="1805"/>
      <c r="AO1002" s="1805"/>
      <c r="AP1002" s="1805"/>
      <c r="AQ1002" s="1806"/>
      <c r="AR1002" s="68"/>
      <c r="AS1002" s="68"/>
      <c r="AT1002" s="68"/>
      <c r="AU1002" s="68"/>
      <c r="AV1002" s="68"/>
      <c r="AW1002" s="68"/>
      <c r="AX1002" s="68"/>
      <c r="AY1002" s="949">
        <f>G753+O797</f>
        <v>134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90"/>
      <c r="E1003" s="1691"/>
      <c r="F1003" s="1691"/>
      <c r="G1003" s="1691"/>
      <c r="H1003" s="1691"/>
      <c r="I1003" s="1691"/>
      <c r="J1003" s="1691"/>
      <c r="K1003" s="1691"/>
      <c r="L1003" s="1691"/>
      <c r="M1003" s="1691"/>
      <c r="N1003" s="1691"/>
      <c r="O1003" s="1691"/>
      <c r="P1003" s="1691"/>
      <c r="Q1003" s="1691"/>
      <c r="R1003" s="1691"/>
      <c r="S1003" s="1691"/>
      <c r="T1003" s="1691"/>
      <c r="U1003" s="1691"/>
      <c r="V1003" s="1691"/>
      <c r="W1003" s="1691"/>
      <c r="X1003" s="1691"/>
      <c r="Y1003" s="1691"/>
      <c r="Z1003" s="1691"/>
      <c r="AA1003" s="1691"/>
      <c r="AB1003" s="1691"/>
      <c r="AC1003" s="1691"/>
      <c r="AD1003" s="1691"/>
      <c r="AE1003" s="1692"/>
      <c r="AF1003" s="73"/>
      <c r="AG1003" s="14"/>
      <c r="AH1003" s="14"/>
      <c r="AI1003" s="83"/>
      <c r="AJ1003" s="1804"/>
      <c r="AK1003" s="1805"/>
      <c r="AL1003" s="1805"/>
      <c r="AM1003" s="1805"/>
      <c r="AN1003" s="1805"/>
      <c r="AO1003" s="1805"/>
      <c r="AP1003" s="1805"/>
      <c r="AQ1003" s="180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90"/>
      <c r="E1004" s="1691"/>
      <c r="F1004" s="1691"/>
      <c r="G1004" s="1691"/>
      <c r="H1004" s="1691"/>
      <c r="I1004" s="1691"/>
      <c r="J1004" s="1691"/>
      <c r="K1004" s="1691"/>
      <c r="L1004" s="1691"/>
      <c r="M1004" s="1691"/>
      <c r="N1004" s="1691"/>
      <c r="O1004" s="1691"/>
      <c r="P1004" s="1691"/>
      <c r="Q1004" s="1691"/>
      <c r="R1004" s="1691"/>
      <c r="S1004" s="1691"/>
      <c r="T1004" s="1691"/>
      <c r="U1004" s="1691"/>
      <c r="V1004" s="1691"/>
      <c r="W1004" s="1691"/>
      <c r="X1004" s="1691"/>
      <c r="Y1004" s="1691"/>
      <c r="Z1004" s="1691"/>
      <c r="AA1004" s="1691"/>
      <c r="AB1004" s="1691"/>
      <c r="AC1004" s="1691"/>
      <c r="AD1004" s="1691"/>
      <c r="AE1004" s="1692"/>
      <c r="AF1004" s="73"/>
      <c r="AG1004" s="14"/>
      <c r="AH1004" s="14"/>
      <c r="AI1004" s="83"/>
      <c r="AJ1004" s="1804"/>
      <c r="AK1004" s="1805"/>
      <c r="AL1004" s="1805"/>
      <c r="AM1004" s="1805"/>
      <c r="AN1004" s="1805"/>
      <c r="AO1004" s="1805"/>
      <c r="AP1004" s="1805"/>
      <c r="AQ1004" s="1806"/>
      <c r="AR1004" s="68"/>
      <c r="AS1004" s="68"/>
      <c r="AT1004" s="68"/>
      <c r="AU1004" s="68"/>
      <c r="AV1004" s="68"/>
      <c r="AW1004" s="68"/>
      <c r="AX1004" s="68"/>
      <c r="AY1004" s="948">
        <f>ROUNDDOWN(X1047/I1047,2)</f>
        <v>0.27</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93"/>
      <c r="E1005" s="1694"/>
      <c r="F1005" s="1694"/>
      <c r="G1005" s="1694"/>
      <c r="H1005" s="1694"/>
      <c r="I1005" s="1694"/>
      <c r="J1005" s="1694"/>
      <c r="K1005" s="1694"/>
      <c r="L1005" s="1694"/>
      <c r="M1005" s="1694"/>
      <c r="N1005" s="1694"/>
      <c r="O1005" s="1694"/>
      <c r="P1005" s="1694"/>
      <c r="Q1005" s="1694"/>
      <c r="R1005" s="1694"/>
      <c r="S1005" s="1694"/>
      <c r="T1005" s="1694"/>
      <c r="U1005" s="1694"/>
      <c r="V1005" s="1694"/>
      <c r="W1005" s="1694"/>
      <c r="X1005" s="1694"/>
      <c r="Y1005" s="1694"/>
      <c r="Z1005" s="1694"/>
      <c r="AA1005" s="1694"/>
      <c r="AB1005" s="1694"/>
      <c r="AC1005" s="1694"/>
      <c r="AD1005" s="1694"/>
      <c r="AE1005" s="1695"/>
      <c r="AF1005" s="77"/>
      <c r="AG1005" s="7"/>
      <c r="AH1005" s="7"/>
      <c r="AI1005" s="78"/>
      <c r="AJ1005" s="1807"/>
      <c r="AK1005" s="1808"/>
      <c r="AL1005" s="1808"/>
      <c r="AM1005" s="1808"/>
      <c r="AN1005" s="1808"/>
      <c r="AO1005" s="1808"/>
      <c r="AP1005" s="1808"/>
      <c r="AQ1005" s="1809"/>
      <c r="AR1005" s="68"/>
      <c r="AS1005" s="68"/>
      <c r="AT1005" s="68"/>
      <c r="AU1005" s="68"/>
      <c r="AV1005" s="68"/>
      <c r="AW1005" s="68"/>
      <c r="AX1005" s="68"/>
      <c r="AY1005" s="948">
        <f>ROUNDDOWN(X1051/I1051,2)</f>
        <v>0.72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87" t="s">
        <v>1873</v>
      </c>
      <c r="E1006" s="1688"/>
      <c r="F1006" s="1688"/>
      <c r="G1006" s="1688"/>
      <c r="H1006" s="1688"/>
      <c r="I1006" s="1688"/>
      <c r="J1006" s="1688"/>
      <c r="K1006" s="1688"/>
      <c r="L1006" s="1688"/>
      <c r="M1006" s="1688"/>
      <c r="N1006" s="1688"/>
      <c r="O1006" s="1688"/>
      <c r="P1006" s="1688"/>
      <c r="Q1006" s="1688"/>
      <c r="R1006" s="1688"/>
      <c r="S1006" s="1688"/>
      <c r="T1006" s="1688"/>
      <c r="U1006" s="1688"/>
      <c r="V1006" s="1688"/>
      <c r="W1006" s="1688"/>
      <c r="X1006" s="1688"/>
      <c r="Y1006" s="1688"/>
      <c r="Z1006" s="1688"/>
      <c r="AA1006" s="1688"/>
      <c r="AB1006" s="1688"/>
      <c r="AC1006" s="1688"/>
      <c r="AD1006" s="1688"/>
      <c r="AE1006" s="1689"/>
      <c r="AF1006" s="86"/>
      <c r="AG1006" s="1650" t="s">
        <v>677</v>
      </c>
      <c r="AH1006" s="1651"/>
      <c r="AI1006" s="87"/>
      <c r="AJ1006" s="1801">
        <f>ROUND(IF(AG1006="yes",AJ991*0.1,0),0)</f>
        <v>0</v>
      </c>
      <c r="AK1006" s="1802"/>
      <c r="AL1006" s="1802"/>
      <c r="AM1006" s="1802"/>
      <c r="AN1006" s="1802"/>
      <c r="AO1006" s="1802"/>
      <c r="AP1006" s="1802"/>
      <c r="AQ1006" s="1803"/>
      <c r="AR1006" s="68"/>
      <c r="AS1006" s="68"/>
      <c r="AT1006" s="68"/>
      <c r="AU1006" s="68"/>
      <c r="AV1006" s="68"/>
      <c r="AW1006" s="68"/>
      <c r="AX1006" s="68"/>
      <c r="BB1006" s="34"/>
      <c r="BD1006" s="34"/>
      <c r="BE1006" s="34"/>
      <c r="BF1006" s="34"/>
    </row>
    <row r="1007" spans="1:157" ht="12.95" customHeight="1">
      <c r="A1007" s="14"/>
      <c r="B1007" s="73"/>
      <c r="C1007" s="74"/>
      <c r="D1007" s="1671" t="s">
        <v>1395</v>
      </c>
      <c r="E1007" s="1672"/>
      <c r="F1007" s="1672"/>
      <c r="G1007" s="1672"/>
      <c r="H1007" s="1672"/>
      <c r="I1007" s="1672"/>
      <c r="J1007" s="1672"/>
      <c r="K1007" s="1672"/>
      <c r="L1007" s="1672"/>
      <c r="M1007" s="1672"/>
      <c r="N1007" s="1672"/>
      <c r="O1007" s="1672"/>
      <c r="P1007" s="1672"/>
      <c r="Q1007" s="1672"/>
      <c r="R1007" s="1672"/>
      <c r="S1007" s="1672"/>
      <c r="T1007" s="1672"/>
      <c r="U1007" s="1672"/>
      <c r="V1007" s="1672"/>
      <c r="W1007" s="1672"/>
      <c r="X1007" s="1672"/>
      <c r="Y1007" s="1672"/>
      <c r="Z1007" s="1672"/>
      <c r="AA1007" s="1672"/>
      <c r="AB1007" s="1672"/>
      <c r="AC1007" s="1672"/>
      <c r="AD1007" s="1672"/>
      <c r="AE1007" s="1673"/>
      <c r="AF1007" s="73"/>
      <c r="AI1007" s="83"/>
      <c r="AJ1007" s="1804"/>
      <c r="AK1007" s="1805"/>
      <c r="AL1007" s="1805"/>
      <c r="AM1007" s="1805"/>
      <c r="AN1007" s="1805"/>
      <c r="AO1007" s="1805"/>
      <c r="AP1007" s="1805"/>
      <c r="AQ1007" s="1806"/>
      <c r="AR1007" s="68"/>
      <c r="AS1007" s="68"/>
      <c r="AT1007" s="68"/>
      <c r="AU1007" s="68"/>
      <c r="AV1007" s="68"/>
      <c r="AW1007" s="68"/>
      <c r="AX1007" s="68"/>
    </row>
    <row r="1008" spans="1:157" ht="12.95" customHeight="1">
      <c r="A1008" s="14"/>
      <c r="B1008" s="73"/>
      <c r="C1008" s="74"/>
      <c r="D1008" s="1671"/>
      <c r="E1008" s="1672"/>
      <c r="F1008" s="1672"/>
      <c r="G1008" s="1672"/>
      <c r="H1008" s="1672"/>
      <c r="I1008" s="1672"/>
      <c r="J1008" s="1672"/>
      <c r="K1008" s="1672"/>
      <c r="L1008" s="1672"/>
      <c r="M1008" s="1672"/>
      <c r="N1008" s="1672"/>
      <c r="O1008" s="1672"/>
      <c r="P1008" s="1672"/>
      <c r="Q1008" s="1672"/>
      <c r="R1008" s="1672"/>
      <c r="S1008" s="1672"/>
      <c r="T1008" s="1672"/>
      <c r="U1008" s="1672"/>
      <c r="V1008" s="1672"/>
      <c r="W1008" s="1672"/>
      <c r="X1008" s="1672"/>
      <c r="Y1008" s="1672"/>
      <c r="Z1008" s="1672"/>
      <c r="AA1008" s="1672"/>
      <c r="AB1008" s="1672"/>
      <c r="AC1008" s="1672"/>
      <c r="AD1008" s="1672"/>
      <c r="AE1008" s="1673"/>
      <c r="AF1008" s="73"/>
      <c r="AG1008" s="14"/>
      <c r="AH1008" s="14"/>
      <c r="AI1008" s="83"/>
      <c r="AJ1008" s="1804"/>
      <c r="AK1008" s="1805"/>
      <c r="AL1008" s="1805"/>
      <c r="AM1008" s="1805"/>
      <c r="AN1008" s="1805"/>
      <c r="AO1008" s="1805"/>
      <c r="AP1008" s="1805"/>
      <c r="AQ1008" s="1806"/>
      <c r="AR1008" s="68"/>
      <c r="AS1008" s="68"/>
      <c r="AT1008" s="68"/>
      <c r="AU1008" s="68"/>
      <c r="AV1008" s="68"/>
      <c r="AW1008" s="68"/>
      <c r="AX1008" s="68"/>
    </row>
    <row r="1009" spans="1:51" ht="12.95" customHeight="1">
      <c r="A1009" s="14"/>
      <c r="B1009" s="85"/>
      <c r="C1009" s="76"/>
      <c r="D1009" s="1674"/>
      <c r="E1009" s="1675"/>
      <c r="F1009" s="1675"/>
      <c r="G1009" s="1675"/>
      <c r="H1009" s="1675"/>
      <c r="I1009" s="1675"/>
      <c r="J1009" s="1675"/>
      <c r="K1009" s="1675"/>
      <c r="L1009" s="1675"/>
      <c r="M1009" s="1675"/>
      <c r="N1009" s="1675"/>
      <c r="O1009" s="1675"/>
      <c r="P1009" s="1675"/>
      <c r="Q1009" s="1675"/>
      <c r="R1009" s="1675"/>
      <c r="S1009" s="1675"/>
      <c r="T1009" s="1675"/>
      <c r="U1009" s="1675"/>
      <c r="V1009" s="1675"/>
      <c r="W1009" s="1675"/>
      <c r="X1009" s="1675"/>
      <c r="Y1009" s="1675"/>
      <c r="Z1009" s="1675"/>
      <c r="AA1009" s="1675"/>
      <c r="AB1009" s="1675"/>
      <c r="AC1009" s="1675"/>
      <c r="AD1009" s="1675"/>
      <c r="AE1009" s="1676"/>
      <c r="AF1009" s="77"/>
      <c r="AG1009" s="7"/>
      <c r="AH1009" s="7"/>
      <c r="AI1009" s="78"/>
      <c r="AJ1009" s="1807"/>
      <c r="AK1009" s="1808"/>
      <c r="AL1009" s="1808"/>
      <c r="AM1009" s="1808"/>
      <c r="AN1009" s="1808"/>
      <c r="AO1009" s="1808"/>
      <c r="AP1009" s="1808"/>
      <c r="AQ1009" s="1809"/>
      <c r="AR1009" s="68"/>
      <c r="AS1009" s="68"/>
      <c r="AT1009" s="68"/>
      <c r="AU1009" s="68"/>
      <c r="AV1009" s="68"/>
      <c r="AW1009" s="68"/>
      <c r="AX1009" s="68"/>
    </row>
    <row r="1010" spans="1:51" ht="12.95" customHeight="1">
      <c r="A1010" s="14"/>
      <c r="B1010" s="79"/>
      <c r="C1010" s="80" t="s">
        <v>213</v>
      </c>
      <c r="D1010" s="1687" t="s">
        <v>1397</v>
      </c>
      <c r="E1010" s="1688"/>
      <c r="F1010" s="1688"/>
      <c r="G1010" s="1688"/>
      <c r="H1010" s="1688"/>
      <c r="I1010" s="1688"/>
      <c r="J1010" s="1688"/>
      <c r="K1010" s="1688"/>
      <c r="L1010" s="1688"/>
      <c r="M1010" s="1688"/>
      <c r="N1010" s="1688"/>
      <c r="O1010" s="1688"/>
      <c r="P1010" s="1688"/>
      <c r="Q1010" s="1688"/>
      <c r="R1010" s="1688"/>
      <c r="S1010" s="1688"/>
      <c r="T1010" s="1688"/>
      <c r="U1010" s="1688"/>
      <c r="V1010" s="1688"/>
      <c r="W1010" s="1688"/>
      <c r="X1010" s="1688"/>
      <c r="Y1010" s="1688"/>
      <c r="Z1010" s="1688"/>
      <c r="AA1010" s="1688"/>
      <c r="AB1010" s="1688"/>
      <c r="AC1010" s="1688"/>
      <c r="AD1010" s="1688"/>
      <c r="AE1010" s="1689"/>
      <c r="AF1010" s="79"/>
      <c r="AG1010" s="1650" t="s">
        <v>677</v>
      </c>
      <c r="AH1010" s="1651"/>
      <c r="AI1010" s="87"/>
      <c r="AJ1010" s="1801">
        <f>ROUND(IF(AG1010="yes",AJ991*0.02,0),0)</f>
        <v>0</v>
      </c>
      <c r="AK1010" s="1802"/>
      <c r="AL1010" s="1802"/>
      <c r="AM1010" s="1802"/>
      <c r="AN1010" s="1802"/>
      <c r="AO1010" s="1802"/>
      <c r="AP1010" s="1802"/>
      <c r="AQ1010" s="1803"/>
      <c r="AR1010" s="68"/>
      <c r="AS1010" s="68"/>
      <c r="AT1010" s="68"/>
      <c r="AU1010" s="68"/>
      <c r="AV1010" s="68"/>
      <c r="AW1010" s="68"/>
      <c r="AX1010" s="68"/>
      <c r="AY1010" s="215">
        <f>IF(SUM(AY1012:AY1020)&lt;=0.1,SUM(AY1012:AY1020),0.1)</f>
        <v>0</v>
      </c>
    </row>
    <row r="1011" spans="1:51" ht="14.25" customHeight="1">
      <c r="A1011" s="14"/>
      <c r="B1011" s="73"/>
      <c r="C1011" s="74"/>
      <c r="D1011" s="1674" t="s">
        <v>1398</v>
      </c>
      <c r="E1011" s="1675"/>
      <c r="F1011" s="1675"/>
      <c r="G1011" s="1675"/>
      <c r="H1011" s="1675"/>
      <c r="I1011" s="1675"/>
      <c r="J1011" s="1675"/>
      <c r="K1011" s="1675"/>
      <c r="L1011" s="1675"/>
      <c r="M1011" s="1675"/>
      <c r="N1011" s="1675"/>
      <c r="O1011" s="1675"/>
      <c r="P1011" s="1675"/>
      <c r="Q1011" s="1675"/>
      <c r="R1011" s="1675"/>
      <c r="S1011" s="1675"/>
      <c r="T1011" s="1675"/>
      <c r="U1011" s="1675"/>
      <c r="V1011" s="1675"/>
      <c r="W1011" s="1675"/>
      <c r="X1011" s="1675"/>
      <c r="Y1011" s="1675"/>
      <c r="Z1011" s="1675"/>
      <c r="AA1011" s="1675"/>
      <c r="AB1011" s="1675"/>
      <c r="AC1011" s="1675"/>
      <c r="AD1011" s="1675"/>
      <c r="AE1011" s="1676"/>
      <c r="AF1011" s="77"/>
      <c r="AG1011" s="7"/>
      <c r="AH1011" s="7"/>
      <c r="AI1011" s="78"/>
      <c r="AJ1011" s="1807"/>
      <c r="AK1011" s="1808"/>
      <c r="AL1011" s="1808"/>
      <c r="AM1011" s="1808"/>
      <c r="AN1011" s="1808"/>
      <c r="AO1011" s="1808"/>
      <c r="AP1011" s="1808"/>
      <c r="AQ1011" s="1809"/>
      <c r="AR1011" s="68"/>
      <c r="AS1011" s="68"/>
      <c r="AT1011" s="68"/>
      <c r="AU1011" s="68"/>
      <c r="AV1011" s="68"/>
      <c r="AW1011" s="68"/>
      <c r="AX1011" s="68"/>
    </row>
    <row r="1012" spans="1:51" ht="12.95" customHeight="1">
      <c r="A1012" s="14"/>
      <c r="B1012" s="79"/>
      <c r="C1012" s="80" t="s">
        <v>216</v>
      </c>
      <c r="D1012" s="1687" t="s">
        <v>1399</v>
      </c>
      <c r="E1012" s="1688"/>
      <c r="F1012" s="1688"/>
      <c r="G1012" s="1688"/>
      <c r="H1012" s="1688"/>
      <c r="I1012" s="1688"/>
      <c r="J1012" s="1688"/>
      <c r="K1012" s="1688"/>
      <c r="L1012" s="1688"/>
      <c r="M1012" s="1688"/>
      <c r="N1012" s="1688"/>
      <c r="O1012" s="1688"/>
      <c r="P1012" s="1688"/>
      <c r="Q1012" s="1688"/>
      <c r="R1012" s="1688"/>
      <c r="S1012" s="1688"/>
      <c r="T1012" s="1688"/>
      <c r="U1012" s="1688"/>
      <c r="V1012" s="1688"/>
      <c r="W1012" s="1688"/>
      <c r="X1012" s="1688"/>
      <c r="Y1012" s="1688"/>
      <c r="Z1012" s="1688"/>
      <c r="AA1012" s="1688"/>
      <c r="AB1012" s="1688"/>
      <c r="AC1012" s="1688"/>
      <c r="AD1012" s="1688"/>
      <c r="AE1012" s="1689"/>
      <c r="AF1012" s="79"/>
      <c r="AG1012" s="1650" t="s">
        <v>677</v>
      </c>
      <c r="AH1012" s="1651"/>
      <c r="AI1012" s="79"/>
      <c r="AJ1012" s="1801">
        <f>ROUND(IF(AG1012="yes",AJ991*0.02,0),0)</f>
        <v>0</v>
      </c>
      <c r="AK1012" s="1802"/>
      <c r="AL1012" s="1802"/>
      <c r="AM1012" s="1802"/>
      <c r="AN1012" s="1802"/>
      <c r="AO1012" s="1802"/>
      <c r="AP1012" s="1802"/>
      <c r="AQ1012" s="1803"/>
      <c r="AR1012" s="68"/>
      <c r="AS1012" s="68"/>
      <c r="AT1012" s="68"/>
      <c r="AU1012" s="68"/>
      <c r="AV1012" s="68"/>
      <c r="AW1012" s="68"/>
      <c r="AX1012" s="68"/>
      <c r="AY1012" s="213">
        <f>IF(A1064="Yes",0.05,0)</f>
        <v>0</v>
      </c>
    </row>
    <row r="1013" spans="1:51" ht="12.95" customHeight="1">
      <c r="A1013" s="14"/>
      <c r="B1013" s="73"/>
      <c r="C1013" s="74"/>
      <c r="D1013" s="1671" t="s">
        <v>1400</v>
      </c>
      <c r="E1013" s="1672"/>
      <c r="F1013" s="1672"/>
      <c r="G1013" s="1672"/>
      <c r="H1013" s="1672"/>
      <c r="I1013" s="1672"/>
      <c r="J1013" s="1672"/>
      <c r="K1013" s="1672"/>
      <c r="L1013" s="1672"/>
      <c r="M1013" s="1672"/>
      <c r="N1013" s="1672"/>
      <c r="O1013" s="1672"/>
      <c r="P1013" s="1672"/>
      <c r="Q1013" s="1672"/>
      <c r="R1013" s="1672"/>
      <c r="S1013" s="1672"/>
      <c r="T1013" s="1672"/>
      <c r="U1013" s="1672"/>
      <c r="V1013" s="1672"/>
      <c r="W1013" s="1672"/>
      <c r="X1013" s="1672"/>
      <c r="Y1013" s="1672"/>
      <c r="Z1013" s="1672"/>
      <c r="AA1013" s="1672"/>
      <c r="AB1013" s="1672"/>
      <c r="AC1013" s="1672"/>
      <c r="AD1013" s="1672"/>
      <c r="AE1013" s="1673"/>
      <c r="AF1013" s="1860" t="str">
        <f>IF(AND(AG1012="yes",AB212&lt;&gt;1),"The project may not be eligible for this boost","")</f>
        <v/>
      </c>
      <c r="AG1013" s="1861"/>
      <c r="AH1013" s="1861"/>
      <c r="AI1013" s="1862"/>
      <c r="AJ1013" s="1804"/>
      <c r="AK1013" s="1805"/>
      <c r="AL1013" s="1805"/>
      <c r="AM1013" s="1805"/>
      <c r="AN1013" s="1805"/>
      <c r="AO1013" s="1805"/>
      <c r="AP1013" s="1805"/>
      <c r="AQ1013" s="1806"/>
      <c r="AR1013" s="68"/>
      <c r="AS1013" s="68"/>
      <c r="AT1013" s="68"/>
      <c r="AU1013" s="68"/>
      <c r="AV1013" s="68"/>
      <c r="AW1013" s="68"/>
      <c r="AX1013" s="68"/>
      <c r="AY1013" s="213">
        <f>IF(A1070="Yes",0.02,0)</f>
        <v>0</v>
      </c>
    </row>
    <row r="1014" spans="1:51" ht="12.95" customHeight="1">
      <c r="A1014" s="14"/>
      <c r="B1014" s="75"/>
      <c r="C1014" s="76"/>
      <c r="D1014" s="1674"/>
      <c r="E1014" s="1675"/>
      <c r="F1014" s="1675"/>
      <c r="G1014" s="1675"/>
      <c r="H1014" s="1675"/>
      <c r="I1014" s="1675"/>
      <c r="J1014" s="1675"/>
      <c r="K1014" s="1675"/>
      <c r="L1014" s="1675"/>
      <c r="M1014" s="1675"/>
      <c r="N1014" s="1675"/>
      <c r="O1014" s="1675"/>
      <c r="P1014" s="1675"/>
      <c r="Q1014" s="1675"/>
      <c r="R1014" s="1675"/>
      <c r="S1014" s="1675"/>
      <c r="T1014" s="1675"/>
      <c r="U1014" s="1675"/>
      <c r="V1014" s="1675"/>
      <c r="W1014" s="1675"/>
      <c r="X1014" s="1675"/>
      <c r="Y1014" s="1675"/>
      <c r="Z1014" s="1675"/>
      <c r="AA1014" s="1675"/>
      <c r="AB1014" s="1675"/>
      <c r="AC1014" s="1675"/>
      <c r="AD1014" s="1675"/>
      <c r="AE1014" s="1676"/>
      <c r="AF1014" s="1863"/>
      <c r="AG1014" s="1864"/>
      <c r="AH1014" s="1864"/>
      <c r="AI1014" s="1865"/>
      <c r="AJ1014" s="1807"/>
      <c r="AK1014" s="1808"/>
      <c r="AL1014" s="1808"/>
      <c r="AM1014" s="1808"/>
      <c r="AN1014" s="1808"/>
      <c r="AO1014" s="1808"/>
      <c r="AP1014" s="1808"/>
      <c r="AQ1014" s="1809"/>
      <c r="AR1014" s="68"/>
      <c r="AS1014" s="68"/>
      <c r="AT1014" s="68"/>
      <c r="AU1014" s="68"/>
      <c r="AV1014" s="68"/>
      <c r="AW1014" s="68"/>
      <c r="AX1014" s="68"/>
      <c r="AY1014" s="213">
        <f>IF(A1076="Yes",0.04,0)</f>
        <v>0</v>
      </c>
    </row>
    <row r="1015" spans="1:51" ht="12.95" customHeight="1">
      <c r="A1015" s="14"/>
      <c r="B1015" s="79"/>
      <c r="C1015" s="80" t="s">
        <v>219</v>
      </c>
      <c r="D1015" s="1783" t="s">
        <v>1401</v>
      </c>
      <c r="E1015" s="1784"/>
      <c r="F1015" s="1784"/>
      <c r="G1015" s="1784"/>
      <c r="H1015" s="1784"/>
      <c r="I1015" s="1784"/>
      <c r="J1015" s="1784"/>
      <c r="K1015" s="1784"/>
      <c r="L1015" s="1784"/>
      <c r="M1015" s="1784"/>
      <c r="N1015" s="1784"/>
      <c r="O1015" s="1784"/>
      <c r="P1015" s="1784"/>
      <c r="Q1015" s="1784"/>
      <c r="R1015" s="1784"/>
      <c r="S1015" s="1784"/>
      <c r="T1015" s="1784"/>
      <c r="U1015" s="1784"/>
      <c r="V1015" s="1784"/>
      <c r="W1015" s="1784"/>
      <c r="X1015" s="1784"/>
      <c r="Y1015" s="1784"/>
      <c r="Z1015" s="1784"/>
      <c r="AA1015" s="1784"/>
      <c r="AB1015" s="1784"/>
      <c r="AC1015" s="1784"/>
      <c r="AD1015" s="1784"/>
      <c r="AE1015" s="1785"/>
      <c r="AF1015" s="79"/>
      <c r="AG1015" s="1650" t="s">
        <v>677</v>
      </c>
      <c r="AH1015" s="1651"/>
      <c r="AI1015" s="87"/>
      <c r="AJ1015" s="1801">
        <f>IF(AG1015="yes",AJ991*AY1010,0)</f>
        <v>0</v>
      </c>
      <c r="AK1015" s="1802"/>
      <c r="AL1015" s="1802"/>
      <c r="AM1015" s="1802"/>
      <c r="AN1015" s="1802"/>
      <c r="AO1015" s="1802"/>
      <c r="AP1015" s="1802"/>
      <c r="AQ1015" s="1803"/>
      <c r="AR1015" s="68"/>
      <c r="AS1015" s="68"/>
      <c r="AT1015" s="68"/>
      <c r="AU1015" s="68"/>
      <c r="AV1015" s="68"/>
      <c r="AW1015" s="68"/>
      <c r="AX1015" s="68"/>
      <c r="AY1015" s="213">
        <f>IF(A1083="Yes",0.04,0)</f>
        <v>0</v>
      </c>
    </row>
    <row r="1016" spans="1:51" ht="12.95" customHeight="1">
      <c r="A1016" s="14"/>
      <c r="B1016" s="73"/>
      <c r="C1016" s="74"/>
      <c r="D1016" s="1671" t="s">
        <v>1402</v>
      </c>
      <c r="E1016" s="1672"/>
      <c r="F1016" s="1672"/>
      <c r="G1016" s="1672"/>
      <c r="H1016" s="1672"/>
      <c r="I1016" s="1672"/>
      <c r="J1016" s="1672"/>
      <c r="K1016" s="1672"/>
      <c r="L1016" s="1672"/>
      <c r="M1016" s="1672"/>
      <c r="N1016" s="1672"/>
      <c r="O1016" s="1672"/>
      <c r="P1016" s="1672"/>
      <c r="Q1016" s="1672"/>
      <c r="R1016" s="1672"/>
      <c r="S1016" s="1672"/>
      <c r="T1016" s="1672"/>
      <c r="U1016" s="1672"/>
      <c r="V1016" s="1672"/>
      <c r="W1016" s="1672"/>
      <c r="X1016" s="1672"/>
      <c r="Y1016" s="1672"/>
      <c r="Z1016" s="1672"/>
      <c r="AA1016" s="1672"/>
      <c r="AB1016" s="1672"/>
      <c r="AC1016" s="1672"/>
      <c r="AD1016" s="1672"/>
      <c r="AE1016" s="1673"/>
      <c r="AF1016" s="1854" t="str">
        <f>IF(AND(AG1015="Yes",AY1010=0),AY1022,"")</f>
        <v/>
      </c>
      <c r="AG1016" s="1855"/>
      <c r="AH1016" s="1855"/>
      <c r="AI1016" s="1856"/>
      <c r="AJ1016" s="1804"/>
      <c r="AK1016" s="1805"/>
      <c r="AL1016" s="1805"/>
      <c r="AM1016" s="1805"/>
      <c r="AN1016" s="1805"/>
      <c r="AO1016" s="1805"/>
      <c r="AP1016" s="1805"/>
      <c r="AQ1016" s="1806"/>
      <c r="AR1016" s="68"/>
      <c r="AS1016" s="68"/>
      <c r="AT1016" s="68"/>
      <c r="AU1016" s="68"/>
      <c r="AV1016" s="68"/>
      <c r="AW1016" s="68"/>
      <c r="AX1016" s="68"/>
      <c r="AY1016" s="213">
        <f>IF(A1086="Yes",0.01,0)</f>
        <v>0</v>
      </c>
    </row>
    <row r="1017" spans="1:51" ht="12.95" customHeight="1">
      <c r="A1017" s="14"/>
      <c r="B1017" s="73"/>
      <c r="C1017" s="74"/>
      <c r="D1017" s="1671"/>
      <c r="E1017" s="1672"/>
      <c r="F1017" s="1672"/>
      <c r="G1017" s="1672"/>
      <c r="H1017" s="1672"/>
      <c r="I1017" s="1672"/>
      <c r="J1017" s="1672"/>
      <c r="K1017" s="1672"/>
      <c r="L1017" s="1672"/>
      <c r="M1017" s="1672"/>
      <c r="N1017" s="1672"/>
      <c r="O1017" s="1672"/>
      <c r="P1017" s="1672"/>
      <c r="Q1017" s="1672"/>
      <c r="R1017" s="1672"/>
      <c r="S1017" s="1672"/>
      <c r="T1017" s="1672"/>
      <c r="U1017" s="1672"/>
      <c r="V1017" s="1672"/>
      <c r="W1017" s="1672"/>
      <c r="X1017" s="1672"/>
      <c r="Y1017" s="1672"/>
      <c r="Z1017" s="1672"/>
      <c r="AA1017" s="1672"/>
      <c r="AB1017" s="1672"/>
      <c r="AC1017" s="1672"/>
      <c r="AD1017" s="1672"/>
      <c r="AE1017" s="1673"/>
      <c r="AF1017" s="1854"/>
      <c r="AG1017" s="1855"/>
      <c r="AH1017" s="1855"/>
      <c r="AI1017" s="1856"/>
      <c r="AJ1017" s="1804"/>
      <c r="AK1017" s="1805"/>
      <c r="AL1017" s="1805"/>
      <c r="AM1017" s="1805"/>
      <c r="AN1017" s="1805"/>
      <c r="AO1017" s="1805"/>
      <c r="AP1017" s="1805"/>
      <c r="AQ1017" s="1806"/>
      <c r="AR1017" s="68"/>
      <c r="AS1017" s="68"/>
      <c r="AT1017" s="68"/>
      <c r="AU1017" s="68"/>
      <c r="AV1017" s="68"/>
      <c r="AW1017" s="68"/>
      <c r="AX1017" s="68"/>
      <c r="AY1017" s="213">
        <f>IF(A1091="Yes",0.01,0)</f>
        <v>0</v>
      </c>
    </row>
    <row r="1018" spans="1:51" ht="12.95" customHeight="1">
      <c r="A1018" s="14"/>
      <c r="B1018" s="81"/>
      <c r="C1018" s="82"/>
      <c r="D1018" s="1674"/>
      <c r="E1018" s="1675"/>
      <c r="F1018" s="1675"/>
      <c r="G1018" s="1675"/>
      <c r="H1018" s="1675"/>
      <c r="I1018" s="1675"/>
      <c r="J1018" s="1675"/>
      <c r="K1018" s="1675"/>
      <c r="L1018" s="1675"/>
      <c r="M1018" s="1675"/>
      <c r="N1018" s="1675"/>
      <c r="O1018" s="1675"/>
      <c r="P1018" s="1675"/>
      <c r="Q1018" s="1675"/>
      <c r="R1018" s="1675"/>
      <c r="S1018" s="1675"/>
      <c r="T1018" s="1675"/>
      <c r="U1018" s="1675"/>
      <c r="V1018" s="1675"/>
      <c r="W1018" s="1675"/>
      <c r="X1018" s="1675"/>
      <c r="Y1018" s="1675"/>
      <c r="Z1018" s="1675"/>
      <c r="AA1018" s="1675"/>
      <c r="AB1018" s="1675"/>
      <c r="AC1018" s="1675"/>
      <c r="AD1018" s="1675"/>
      <c r="AE1018" s="1676"/>
      <c r="AF1018" s="1857"/>
      <c r="AG1018" s="1858"/>
      <c r="AH1018" s="1858"/>
      <c r="AI1018" s="1859"/>
      <c r="AJ1018" s="1807"/>
      <c r="AK1018" s="1808"/>
      <c r="AL1018" s="1808"/>
      <c r="AM1018" s="1808"/>
      <c r="AN1018" s="1808"/>
      <c r="AO1018" s="1808"/>
      <c r="AP1018" s="1808"/>
      <c r="AQ1018" s="1809"/>
      <c r="AR1018" s="68"/>
      <c r="AS1018" s="68"/>
      <c r="AT1018" s="68"/>
      <c r="AU1018" s="68"/>
      <c r="AV1018" s="68"/>
      <c r="AW1018" s="68"/>
      <c r="AX1018" s="68"/>
      <c r="AY1018" s="213">
        <f>IF(A1094="Yes",0.01,0)</f>
        <v>0</v>
      </c>
    </row>
    <row r="1019" spans="1:51" ht="12.95" customHeight="1">
      <c r="A1019" s="14"/>
      <c r="B1019" s="79"/>
      <c r="C1019" s="80" t="s">
        <v>224</v>
      </c>
      <c r="D1019" s="1810" t="s">
        <v>1403</v>
      </c>
      <c r="E1019" s="1811"/>
      <c r="F1019" s="1811"/>
      <c r="G1019" s="1811"/>
      <c r="H1019" s="1811"/>
      <c r="I1019" s="1811"/>
      <c r="J1019" s="1811"/>
      <c r="K1019" s="1811"/>
      <c r="L1019" s="1811"/>
      <c r="M1019" s="1811"/>
      <c r="N1019" s="1811"/>
      <c r="O1019" s="1811"/>
      <c r="P1019" s="1811"/>
      <c r="Q1019" s="1811"/>
      <c r="R1019" s="1811"/>
      <c r="S1019" s="1811"/>
      <c r="T1019" s="1811"/>
      <c r="U1019" s="1811"/>
      <c r="V1019" s="1811"/>
      <c r="W1019" s="1811"/>
      <c r="X1019" s="1811"/>
      <c r="Y1019" s="1811"/>
      <c r="Z1019" s="1811"/>
      <c r="AA1019" s="1811"/>
      <c r="AB1019" s="1811"/>
      <c r="AC1019" s="1811"/>
      <c r="AD1019" s="1811"/>
      <c r="AE1019" s="1812"/>
      <c r="AF1019" s="79"/>
      <c r="AG1019" s="1650" t="s">
        <v>677</v>
      </c>
      <c r="AH1019" s="1651"/>
      <c r="AI1019" s="87"/>
      <c r="AJ1019" s="1801">
        <f>ROUND(IF(AND(AG1019="Yes",J1023&lt;&gt;"N/A",AF1022&lt;&gt;""),MIN(AF1022,(0.15*AJ991)),0),0)</f>
        <v>0</v>
      </c>
      <c r="AK1019" s="1802"/>
      <c r="AL1019" s="1802"/>
      <c r="AM1019" s="1802"/>
      <c r="AN1019" s="1802"/>
      <c r="AO1019" s="1802"/>
      <c r="AP1019" s="1802"/>
      <c r="AQ1019" s="1803"/>
      <c r="AR1019" s="68"/>
      <c r="AS1019" s="68"/>
      <c r="AT1019" s="68"/>
      <c r="AU1019" s="68"/>
      <c r="AV1019" s="68"/>
      <c r="AW1019" s="68"/>
      <c r="AX1019" s="68"/>
      <c r="AY1019" s="213">
        <f>IF(A1098="Yes",0.02,0)</f>
        <v>0</v>
      </c>
    </row>
    <row r="1020" spans="1:51" ht="12.95" customHeight="1">
      <c r="A1020" s="14"/>
      <c r="B1020" s="81"/>
      <c r="C1020" s="84"/>
      <c r="D1020" s="1813"/>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1840" t="str">
        <f>IF(AG1019="yes","Please Select Type and Enter Amount:","")</f>
        <v/>
      </c>
      <c r="AG1020" s="1841"/>
      <c r="AH1020" s="1841"/>
      <c r="AI1020" s="1842"/>
      <c r="AJ1020" s="1804"/>
      <c r="AK1020" s="1805"/>
      <c r="AL1020" s="1805"/>
      <c r="AM1020" s="1805"/>
      <c r="AN1020" s="1805"/>
      <c r="AO1020" s="1805"/>
      <c r="AP1020" s="1805"/>
      <c r="AQ1020" s="1806"/>
      <c r="AR1020" s="68"/>
      <c r="AS1020" s="68"/>
      <c r="AT1020" s="68"/>
      <c r="AU1020" s="68"/>
      <c r="AV1020" s="68"/>
      <c r="AW1020" s="68"/>
      <c r="AX1020" s="68"/>
      <c r="AY1020" s="214">
        <f>IF(A1103="Yes",0.02,0)</f>
        <v>0</v>
      </c>
    </row>
    <row r="1021" spans="1:51" ht="12.95" customHeight="1">
      <c r="A1021" s="14"/>
      <c r="B1021" s="81"/>
      <c r="C1021" s="84"/>
      <c r="D1021" s="1671" t="s">
        <v>1404</v>
      </c>
      <c r="E1021" s="1672"/>
      <c r="F1021" s="1672"/>
      <c r="G1021" s="1672"/>
      <c r="H1021" s="1672"/>
      <c r="I1021" s="1672"/>
      <c r="J1021" s="1672"/>
      <c r="K1021" s="1672"/>
      <c r="L1021" s="1672"/>
      <c r="M1021" s="1672"/>
      <c r="N1021" s="1672"/>
      <c r="O1021" s="1672"/>
      <c r="P1021" s="1672"/>
      <c r="Q1021" s="1672"/>
      <c r="R1021" s="1672"/>
      <c r="S1021" s="1672"/>
      <c r="T1021" s="1672"/>
      <c r="U1021" s="1672"/>
      <c r="V1021" s="1672"/>
      <c r="W1021" s="1672"/>
      <c r="X1021" s="1672"/>
      <c r="Y1021" s="1672"/>
      <c r="Z1021" s="1672"/>
      <c r="AA1021" s="1672"/>
      <c r="AB1021" s="1672"/>
      <c r="AC1021" s="1672"/>
      <c r="AD1021" s="1672"/>
      <c r="AE1021" s="1673"/>
      <c r="AF1021" s="1840"/>
      <c r="AG1021" s="1841"/>
      <c r="AH1021" s="1841"/>
      <c r="AI1021" s="1842"/>
      <c r="AJ1021" s="1804"/>
      <c r="AK1021" s="1805"/>
      <c r="AL1021" s="1805"/>
      <c r="AM1021" s="1805"/>
      <c r="AN1021" s="1805"/>
      <c r="AO1021" s="1805"/>
      <c r="AP1021" s="1805"/>
      <c r="AQ1021" s="1806"/>
      <c r="AR1021" s="68"/>
      <c r="AS1021" s="68"/>
      <c r="AT1021" s="68"/>
      <c r="AU1021" s="68"/>
      <c r="AV1021" s="68"/>
      <c r="AW1021" s="68"/>
      <c r="AX1021" s="68"/>
      <c r="AY1021" s="68"/>
    </row>
    <row r="1022" spans="1:51" ht="12.95" customHeight="1">
      <c r="A1022" s="14"/>
      <c r="B1022" s="81"/>
      <c r="C1022" s="84"/>
      <c r="D1022" s="1671"/>
      <c r="E1022" s="1672"/>
      <c r="F1022" s="1672"/>
      <c r="G1022" s="1672"/>
      <c r="H1022" s="1672"/>
      <c r="I1022" s="1672"/>
      <c r="J1022" s="1672"/>
      <c r="K1022" s="1672"/>
      <c r="L1022" s="1672"/>
      <c r="M1022" s="1672"/>
      <c r="N1022" s="1672"/>
      <c r="O1022" s="1672"/>
      <c r="P1022" s="1672"/>
      <c r="Q1022" s="1672"/>
      <c r="R1022" s="1672"/>
      <c r="S1022" s="1672"/>
      <c r="T1022" s="1672"/>
      <c r="U1022" s="1672"/>
      <c r="V1022" s="1672"/>
      <c r="W1022" s="1672"/>
      <c r="X1022" s="1672"/>
      <c r="Y1022" s="1672"/>
      <c r="Z1022" s="1672"/>
      <c r="AA1022" s="1672"/>
      <c r="AB1022" s="1672"/>
      <c r="AC1022" s="1672"/>
      <c r="AD1022" s="1672"/>
      <c r="AE1022" s="1673"/>
      <c r="AF1022" s="1696"/>
      <c r="AG1022" s="1696"/>
      <c r="AH1022" s="1696"/>
      <c r="AI1022" s="1696"/>
      <c r="AJ1022" s="1804"/>
      <c r="AK1022" s="1805"/>
      <c r="AL1022" s="1805"/>
      <c r="AM1022" s="1805"/>
      <c r="AN1022" s="1805"/>
      <c r="AO1022" s="1805"/>
      <c r="AP1022" s="1805"/>
      <c r="AQ1022" s="1806"/>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2" t="s">
        <v>599</v>
      </c>
      <c r="K1023" s="1833"/>
      <c r="L1023" s="1833"/>
      <c r="M1023" s="1833"/>
      <c r="N1023" s="1833"/>
      <c r="O1023" s="1833"/>
      <c r="P1023" s="1833"/>
      <c r="Q1023" s="1833"/>
      <c r="R1023" s="1833"/>
      <c r="S1023" s="1833"/>
      <c r="T1023" s="1833"/>
      <c r="U1023" s="1833"/>
      <c r="V1023" s="1833"/>
      <c r="W1023" s="1833"/>
      <c r="X1023" s="1833"/>
      <c r="Y1023" s="1833"/>
      <c r="Z1023" s="1833"/>
      <c r="AA1023" s="1833"/>
      <c r="AB1023" s="1833"/>
      <c r="AC1023" s="1833"/>
      <c r="AD1023" s="1833"/>
      <c r="AE1023" s="1834"/>
      <c r="AF1023" s="1696"/>
      <c r="AG1023" s="1696"/>
      <c r="AH1023" s="1696"/>
      <c r="AI1023" s="1696"/>
      <c r="AJ1023" s="1807"/>
      <c r="AK1023" s="1808"/>
      <c r="AL1023" s="1808"/>
      <c r="AM1023" s="1808"/>
      <c r="AN1023" s="1808"/>
      <c r="AO1023" s="1808"/>
      <c r="AP1023" s="1808"/>
      <c r="AQ1023" s="1809"/>
      <c r="AR1023" s="68"/>
      <c r="AS1023" s="68"/>
      <c r="AT1023" s="68"/>
      <c r="AU1023" s="68"/>
      <c r="AV1023" s="68"/>
      <c r="AW1023" s="68"/>
      <c r="AX1023" s="68"/>
      <c r="AY1023" s="68"/>
    </row>
    <row r="1024" spans="1:51" ht="12.95" customHeight="1">
      <c r="A1024" s="14"/>
      <c r="B1024" s="79"/>
      <c r="C1024" s="80" t="s">
        <v>230</v>
      </c>
      <c r="D1024" s="1687" t="s">
        <v>1405</v>
      </c>
      <c r="E1024" s="1688"/>
      <c r="F1024" s="1688"/>
      <c r="G1024" s="1688"/>
      <c r="H1024" s="1688"/>
      <c r="I1024" s="1688"/>
      <c r="J1024" s="1688"/>
      <c r="K1024" s="1688"/>
      <c r="L1024" s="1688"/>
      <c r="M1024" s="1688"/>
      <c r="N1024" s="1688"/>
      <c r="O1024" s="1688"/>
      <c r="P1024" s="1688"/>
      <c r="Q1024" s="1688"/>
      <c r="R1024" s="1688"/>
      <c r="S1024" s="1688"/>
      <c r="T1024" s="1688"/>
      <c r="U1024" s="1688"/>
      <c r="V1024" s="1688"/>
      <c r="W1024" s="1688"/>
      <c r="X1024" s="1688"/>
      <c r="Y1024" s="1688"/>
      <c r="Z1024" s="1688"/>
      <c r="AA1024" s="1688"/>
      <c r="AB1024" s="1688"/>
      <c r="AC1024" s="1688"/>
      <c r="AD1024" s="1688"/>
      <c r="AE1024" s="1689"/>
      <c r="AF1024" s="79"/>
      <c r="AG1024" s="1650" t="s">
        <v>553</v>
      </c>
      <c r="AH1024" s="1651"/>
      <c r="AI1024" s="87"/>
      <c r="AJ1024" s="1801">
        <f>ROUND(IF(AG1024="Yes",AF1026,0),0)</f>
        <v>1532244</v>
      </c>
      <c r="AK1024" s="1802"/>
      <c r="AL1024" s="1802"/>
      <c r="AM1024" s="1802"/>
      <c r="AN1024" s="1802"/>
      <c r="AO1024" s="1802"/>
      <c r="AP1024" s="1802"/>
      <c r="AQ1024" s="1803"/>
      <c r="AR1024" s="68"/>
      <c r="AS1024" s="68"/>
      <c r="AT1024" s="68"/>
      <c r="AU1024" s="68"/>
      <c r="AV1024" s="68"/>
      <c r="AW1024" s="68"/>
      <c r="AX1024" s="68"/>
      <c r="AY1024" s="68"/>
    </row>
    <row r="1025" spans="1:51" ht="12.95" customHeight="1">
      <c r="A1025" s="14"/>
      <c r="B1025" s="73"/>
      <c r="C1025" s="74"/>
      <c r="D1025" s="1671" t="s">
        <v>1880</v>
      </c>
      <c r="E1025" s="1672"/>
      <c r="F1025" s="1672"/>
      <c r="G1025" s="1672"/>
      <c r="H1025" s="1672"/>
      <c r="I1025" s="1672"/>
      <c r="J1025" s="1672"/>
      <c r="K1025" s="1672"/>
      <c r="L1025" s="1672"/>
      <c r="M1025" s="1672"/>
      <c r="N1025" s="1672"/>
      <c r="O1025" s="1672"/>
      <c r="P1025" s="1672"/>
      <c r="Q1025" s="1672"/>
      <c r="R1025" s="1672"/>
      <c r="S1025" s="1672"/>
      <c r="T1025" s="1672"/>
      <c r="U1025" s="1672"/>
      <c r="V1025" s="1672"/>
      <c r="W1025" s="1672"/>
      <c r="X1025" s="1672"/>
      <c r="Y1025" s="1672"/>
      <c r="Z1025" s="1672"/>
      <c r="AA1025" s="1672"/>
      <c r="AB1025" s="1672"/>
      <c r="AC1025" s="1672"/>
      <c r="AD1025" s="1672"/>
      <c r="AE1025" s="1673"/>
      <c r="AF1025" s="1819" t="str">
        <f>IF(AG1024="yes","Enter Amount:","")</f>
        <v>Enter Amount:</v>
      </c>
      <c r="AG1025" s="1820"/>
      <c r="AH1025" s="1820"/>
      <c r="AI1025" s="1821"/>
      <c r="AJ1025" s="1804"/>
      <c r="AK1025" s="1805"/>
      <c r="AL1025" s="1805"/>
      <c r="AM1025" s="1805"/>
      <c r="AN1025" s="1805"/>
      <c r="AO1025" s="1805"/>
      <c r="AP1025" s="1805"/>
      <c r="AQ1025" s="1806"/>
      <c r="AR1025" s="68"/>
      <c r="AS1025" s="68"/>
      <c r="AT1025" s="68"/>
      <c r="AU1025" s="68"/>
      <c r="AV1025" s="68"/>
      <c r="AW1025" s="68"/>
      <c r="AX1025" s="68"/>
      <c r="AY1025" s="68"/>
    </row>
    <row r="1026" spans="1:51" ht="12.95" customHeight="1">
      <c r="A1026" s="14"/>
      <c r="B1026" s="73"/>
      <c r="C1026" s="74"/>
      <c r="D1026" s="1671"/>
      <c r="E1026" s="1672"/>
      <c r="F1026" s="1672"/>
      <c r="G1026" s="1672"/>
      <c r="H1026" s="1672"/>
      <c r="I1026" s="1672"/>
      <c r="J1026" s="1672"/>
      <c r="K1026" s="1672"/>
      <c r="L1026" s="1672"/>
      <c r="M1026" s="1672"/>
      <c r="N1026" s="1672"/>
      <c r="O1026" s="1672"/>
      <c r="P1026" s="1672"/>
      <c r="Q1026" s="1672"/>
      <c r="R1026" s="1672"/>
      <c r="S1026" s="1672"/>
      <c r="T1026" s="1672"/>
      <c r="U1026" s="1672"/>
      <c r="V1026" s="1672"/>
      <c r="W1026" s="1672"/>
      <c r="X1026" s="1672"/>
      <c r="Y1026" s="1672"/>
      <c r="Z1026" s="1672"/>
      <c r="AA1026" s="1672"/>
      <c r="AB1026" s="1672"/>
      <c r="AC1026" s="1672"/>
      <c r="AD1026" s="1672"/>
      <c r="AE1026" s="1673"/>
      <c r="AF1026" s="1696">
        <f>'Sources and Uses Budget'!C85</f>
        <v>1532244</v>
      </c>
      <c r="AG1026" s="1696"/>
      <c r="AH1026" s="1696"/>
      <c r="AI1026" s="1696"/>
      <c r="AJ1026" s="1804"/>
      <c r="AK1026" s="1805"/>
      <c r="AL1026" s="1805"/>
      <c r="AM1026" s="1805"/>
      <c r="AN1026" s="1805"/>
      <c r="AO1026" s="1805"/>
      <c r="AP1026" s="1805"/>
      <c r="AQ1026" s="1806"/>
      <c r="AR1026" s="68"/>
      <c r="AS1026" s="68"/>
      <c r="AT1026" s="68"/>
      <c r="AU1026" s="68"/>
      <c r="AV1026" s="68"/>
      <c r="AW1026" s="68"/>
      <c r="AX1026" s="68"/>
      <c r="AY1026" s="68"/>
    </row>
    <row r="1027" spans="1:51" ht="12.95" customHeight="1">
      <c r="A1027" s="14"/>
      <c r="B1027" s="85"/>
      <c r="C1027" s="84"/>
      <c r="D1027" s="1674"/>
      <c r="E1027" s="1675"/>
      <c r="F1027" s="1675"/>
      <c r="G1027" s="1675"/>
      <c r="H1027" s="1675"/>
      <c r="I1027" s="1675"/>
      <c r="J1027" s="1675"/>
      <c r="K1027" s="1675"/>
      <c r="L1027" s="1675"/>
      <c r="M1027" s="1675"/>
      <c r="N1027" s="1675"/>
      <c r="O1027" s="1675"/>
      <c r="P1027" s="1675"/>
      <c r="Q1027" s="1675"/>
      <c r="R1027" s="1675"/>
      <c r="S1027" s="1675"/>
      <c r="T1027" s="1675"/>
      <c r="U1027" s="1675"/>
      <c r="V1027" s="1675"/>
      <c r="W1027" s="1675"/>
      <c r="X1027" s="1675"/>
      <c r="Y1027" s="1675"/>
      <c r="Z1027" s="1675"/>
      <c r="AA1027" s="1675"/>
      <c r="AB1027" s="1675"/>
      <c r="AC1027" s="1675"/>
      <c r="AD1027" s="1675"/>
      <c r="AE1027" s="1676"/>
      <c r="AF1027" s="1696"/>
      <c r="AG1027" s="1696"/>
      <c r="AH1027" s="1696"/>
      <c r="AI1027" s="1696"/>
      <c r="AJ1027" s="1807"/>
      <c r="AK1027" s="1808"/>
      <c r="AL1027" s="1808"/>
      <c r="AM1027" s="1808"/>
      <c r="AN1027" s="1808"/>
      <c r="AO1027" s="1808"/>
      <c r="AP1027" s="1808"/>
      <c r="AQ1027" s="1809"/>
      <c r="AR1027" s="68"/>
      <c r="AS1027" s="68"/>
      <c r="AT1027" s="68"/>
      <c r="AU1027" s="68"/>
      <c r="AV1027" s="68"/>
      <c r="AW1027" s="68"/>
      <c r="AX1027" s="68"/>
      <c r="AY1027" s="68"/>
    </row>
    <row r="1028" spans="1:51" ht="12.95" customHeight="1">
      <c r="A1028" s="14"/>
      <c r="B1028" s="79"/>
      <c r="C1028" s="80" t="s">
        <v>235</v>
      </c>
      <c r="D1028" s="1783" t="s">
        <v>1406</v>
      </c>
      <c r="E1028" s="1784"/>
      <c r="F1028" s="1784"/>
      <c r="G1028" s="1784"/>
      <c r="H1028" s="1784"/>
      <c r="I1028" s="1784"/>
      <c r="J1028" s="1784"/>
      <c r="K1028" s="1784"/>
      <c r="L1028" s="1784"/>
      <c r="M1028" s="1784"/>
      <c r="N1028" s="1784"/>
      <c r="O1028" s="1784"/>
      <c r="P1028" s="1784"/>
      <c r="Q1028" s="1784"/>
      <c r="R1028" s="1784"/>
      <c r="S1028" s="1784"/>
      <c r="T1028" s="1784"/>
      <c r="U1028" s="1784"/>
      <c r="V1028" s="1784"/>
      <c r="W1028" s="1784"/>
      <c r="X1028" s="1784"/>
      <c r="Y1028" s="1784"/>
      <c r="Z1028" s="1784"/>
      <c r="AA1028" s="1784"/>
      <c r="AB1028" s="1784"/>
      <c r="AC1028" s="1784"/>
      <c r="AD1028" s="1784"/>
      <c r="AE1028" s="1785"/>
      <c r="AF1028" s="79"/>
      <c r="AG1028" s="1650" t="s">
        <v>553</v>
      </c>
      <c r="AH1028" s="1651"/>
      <c r="AI1028" s="87"/>
      <c r="AJ1028" s="1801">
        <f>ROUND(IF(AG1028="yes",(AJ991*0.1),0),0)</f>
        <v>5282463</v>
      </c>
      <c r="AK1028" s="1802"/>
      <c r="AL1028" s="1802"/>
      <c r="AM1028" s="1802"/>
      <c r="AN1028" s="1802"/>
      <c r="AO1028" s="1802"/>
      <c r="AP1028" s="1802"/>
      <c r="AQ1028" s="1803"/>
      <c r="AR1028" s="68"/>
      <c r="AS1028" s="68"/>
      <c r="AT1028" s="68"/>
      <c r="AU1028" s="68"/>
      <c r="AV1028" s="68"/>
      <c r="AW1028" s="68"/>
      <c r="AX1028" s="68"/>
      <c r="AY1028" s="68"/>
    </row>
    <row r="1029" spans="1:51" ht="12.95" customHeight="1">
      <c r="A1029" s="14"/>
      <c r="B1029" s="73"/>
      <c r="C1029" s="74"/>
      <c r="D1029" s="1671" t="s">
        <v>1407</v>
      </c>
      <c r="E1029" s="1672"/>
      <c r="F1029" s="1672"/>
      <c r="G1029" s="1672"/>
      <c r="H1029" s="1672"/>
      <c r="I1029" s="1672"/>
      <c r="J1029" s="1672"/>
      <c r="K1029" s="1672"/>
      <c r="L1029" s="1672"/>
      <c r="M1029" s="1672"/>
      <c r="N1029" s="1672"/>
      <c r="O1029" s="1672"/>
      <c r="P1029" s="1672"/>
      <c r="Q1029" s="1672"/>
      <c r="R1029" s="1672"/>
      <c r="S1029" s="1672"/>
      <c r="T1029" s="1672"/>
      <c r="U1029" s="1672"/>
      <c r="V1029" s="1672"/>
      <c r="W1029" s="1672"/>
      <c r="X1029" s="1672"/>
      <c r="Y1029" s="1672"/>
      <c r="Z1029" s="1672"/>
      <c r="AA1029" s="1672"/>
      <c r="AB1029" s="1672"/>
      <c r="AC1029" s="1672"/>
      <c r="AD1029" s="1672"/>
      <c r="AE1029" s="1673"/>
      <c r="AF1029" s="73"/>
      <c r="AG1029" s="14"/>
      <c r="AH1029" s="14"/>
      <c r="AI1029" s="83"/>
      <c r="AJ1029" s="1804"/>
      <c r="AK1029" s="1805"/>
      <c r="AL1029" s="1805"/>
      <c r="AM1029" s="1805"/>
      <c r="AN1029" s="1805"/>
      <c r="AO1029" s="1805"/>
      <c r="AP1029" s="1805"/>
      <c r="AQ1029" s="1806"/>
      <c r="AR1029" s="68"/>
      <c r="AS1029" s="68"/>
      <c r="AT1029" s="68"/>
      <c r="AU1029" s="68"/>
      <c r="AV1029" s="68"/>
      <c r="AW1029" s="68"/>
      <c r="AX1029" s="68"/>
      <c r="AY1029" s="68"/>
    </row>
    <row r="1030" spans="1:51" ht="12.95" customHeight="1">
      <c r="A1030" s="14"/>
      <c r="B1030" s="77"/>
      <c r="C1030" s="74"/>
      <c r="D1030" s="1674"/>
      <c r="E1030" s="1675"/>
      <c r="F1030" s="1675"/>
      <c r="G1030" s="1675"/>
      <c r="H1030" s="1675"/>
      <c r="I1030" s="1675"/>
      <c r="J1030" s="1675"/>
      <c r="K1030" s="1675"/>
      <c r="L1030" s="1675"/>
      <c r="M1030" s="1675"/>
      <c r="N1030" s="1675"/>
      <c r="O1030" s="1675"/>
      <c r="P1030" s="1675"/>
      <c r="Q1030" s="1675"/>
      <c r="R1030" s="1675"/>
      <c r="S1030" s="1675"/>
      <c r="T1030" s="1675"/>
      <c r="U1030" s="1675"/>
      <c r="V1030" s="1675"/>
      <c r="W1030" s="1675"/>
      <c r="X1030" s="1675"/>
      <c r="Y1030" s="1675"/>
      <c r="Z1030" s="1675"/>
      <c r="AA1030" s="1675"/>
      <c r="AB1030" s="1675"/>
      <c r="AC1030" s="1675"/>
      <c r="AD1030" s="1675"/>
      <c r="AE1030" s="1676"/>
      <c r="AF1030" s="73"/>
      <c r="AG1030" s="14"/>
      <c r="AH1030" s="14"/>
      <c r="AI1030" s="83"/>
      <c r="AJ1030" s="1807"/>
      <c r="AK1030" s="1808"/>
      <c r="AL1030" s="1808"/>
      <c r="AM1030" s="1808"/>
      <c r="AN1030" s="1808"/>
      <c r="AO1030" s="1808"/>
      <c r="AP1030" s="1808"/>
      <c r="AQ1030" s="1809"/>
      <c r="AR1030" s="68"/>
      <c r="AS1030" s="68"/>
      <c r="AT1030" s="68"/>
      <c r="AU1030" s="68"/>
      <c r="AV1030" s="68"/>
      <c r="AW1030" s="68"/>
      <c r="AX1030" s="68"/>
      <c r="AY1030" s="68"/>
    </row>
    <row r="1031" spans="1:51" ht="12.95" customHeight="1">
      <c r="A1031" s="14"/>
      <c r="B1031" s="73"/>
      <c r="C1031" s="367" t="s">
        <v>696</v>
      </c>
      <c r="D1031" s="1687" t="s">
        <v>1876</v>
      </c>
      <c r="E1031" s="1688"/>
      <c r="F1031" s="1688"/>
      <c r="G1031" s="1688"/>
      <c r="H1031" s="1688"/>
      <c r="I1031" s="1688"/>
      <c r="J1031" s="1688"/>
      <c r="K1031" s="1688"/>
      <c r="L1031" s="1688"/>
      <c r="M1031" s="1688"/>
      <c r="N1031" s="1688"/>
      <c r="O1031" s="1688"/>
      <c r="P1031" s="1688"/>
      <c r="Q1031" s="1688"/>
      <c r="R1031" s="1688"/>
      <c r="S1031" s="1688"/>
      <c r="T1031" s="1688"/>
      <c r="U1031" s="1688"/>
      <c r="V1031" s="1688"/>
      <c r="W1031" s="1688"/>
      <c r="X1031" s="1688"/>
      <c r="Y1031" s="1688"/>
      <c r="Z1031" s="1688"/>
      <c r="AA1031" s="1688"/>
      <c r="AB1031" s="1688"/>
      <c r="AC1031" s="1688"/>
      <c r="AD1031" s="1688"/>
      <c r="AE1031" s="1689"/>
      <c r="AF1031" s="79"/>
      <c r="AG1031" s="1650" t="s">
        <v>677</v>
      </c>
      <c r="AH1031" s="1651"/>
      <c r="AI1031" s="87"/>
      <c r="AJ1031" s="1801">
        <f>ROUND(IF(AG1031="yes",(AJ991*0.15),0),0)</f>
        <v>0</v>
      </c>
      <c r="AK1031" s="1802"/>
      <c r="AL1031" s="1802"/>
      <c r="AM1031" s="1802"/>
      <c r="AN1031" s="1802"/>
      <c r="AO1031" s="1802"/>
      <c r="AP1031" s="1802"/>
      <c r="AQ1031" s="1803"/>
      <c r="AR1031" s="68"/>
      <c r="AS1031" s="68"/>
      <c r="AT1031" s="68"/>
      <c r="AU1031" s="68"/>
      <c r="AV1031" s="68"/>
      <c r="AW1031" s="68"/>
      <c r="AX1031" s="68"/>
      <c r="AY1031" s="68"/>
    </row>
    <row r="1032" spans="1:51" ht="12.95" customHeight="1">
      <c r="A1032" s="14"/>
      <c r="B1032" s="73"/>
      <c r="C1032" s="74"/>
      <c r="D1032" s="1655"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56"/>
      <c r="AF1032" s="950"/>
      <c r="AG1032" s="951"/>
      <c r="AH1032" s="951"/>
      <c r="AI1032" s="952"/>
      <c r="AJ1032" s="1804"/>
      <c r="AK1032" s="1805"/>
      <c r="AL1032" s="1805"/>
      <c r="AM1032" s="1805"/>
      <c r="AN1032" s="1805"/>
      <c r="AO1032" s="1805"/>
      <c r="AP1032" s="1805"/>
      <c r="AQ1032" s="1806"/>
      <c r="AR1032" s="68"/>
      <c r="AS1032" s="68"/>
      <c r="AT1032" s="68"/>
      <c r="AU1032" s="68"/>
      <c r="AV1032" s="68"/>
      <c r="AW1032" s="68"/>
      <c r="AX1032" s="68"/>
      <c r="AY1032" s="68"/>
    </row>
    <row r="1033" spans="1:51" ht="12.95" customHeight="1">
      <c r="A1033" s="14"/>
      <c r="B1033" s="73"/>
      <c r="C1033" s="74"/>
      <c r="D1033" s="1655"/>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56"/>
      <c r="AF1033" s="950"/>
      <c r="AG1033" s="951"/>
      <c r="AH1033" s="951"/>
      <c r="AI1033" s="952"/>
      <c r="AJ1033" s="1804"/>
      <c r="AK1033" s="1805"/>
      <c r="AL1033" s="1805"/>
      <c r="AM1033" s="1805"/>
      <c r="AN1033" s="1805"/>
      <c r="AO1033" s="1805"/>
      <c r="AP1033" s="1805"/>
      <c r="AQ1033" s="1806"/>
      <c r="AR1033" s="68"/>
      <c r="AS1033" s="68"/>
      <c r="AT1033" s="68"/>
      <c r="AU1033" s="68"/>
      <c r="AV1033" s="68"/>
      <c r="AW1033" s="68"/>
      <c r="AX1033" s="68"/>
      <c r="AY1033" s="68"/>
    </row>
    <row r="1034" spans="1:51" ht="12.95" customHeight="1">
      <c r="A1034" s="14"/>
      <c r="B1034" s="73"/>
      <c r="C1034" s="74"/>
      <c r="D1034" s="1657"/>
      <c r="E1034" s="1658"/>
      <c r="F1034" s="1658"/>
      <c r="G1034" s="1658"/>
      <c r="H1034" s="1658"/>
      <c r="I1034" s="1658"/>
      <c r="J1034" s="1658"/>
      <c r="K1034" s="1658"/>
      <c r="L1034" s="1658"/>
      <c r="M1034" s="1658"/>
      <c r="N1034" s="1658"/>
      <c r="O1034" s="1658"/>
      <c r="P1034" s="1658"/>
      <c r="Q1034" s="1658"/>
      <c r="R1034" s="1658"/>
      <c r="S1034" s="1658"/>
      <c r="T1034" s="1658"/>
      <c r="U1034" s="1658"/>
      <c r="V1034" s="1658"/>
      <c r="W1034" s="1658"/>
      <c r="X1034" s="1658"/>
      <c r="Y1034" s="1658"/>
      <c r="Z1034" s="1658"/>
      <c r="AA1034" s="1658"/>
      <c r="AB1034" s="1658"/>
      <c r="AC1034" s="1658"/>
      <c r="AD1034" s="1658"/>
      <c r="AE1034" s="1659"/>
      <c r="AF1034" s="953"/>
      <c r="AG1034" s="954"/>
      <c r="AH1034" s="954"/>
      <c r="AI1034" s="955"/>
      <c r="AJ1034" s="1807"/>
      <c r="AK1034" s="1808"/>
      <c r="AL1034" s="1808"/>
      <c r="AM1034" s="1808"/>
      <c r="AN1034" s="1808"/>
      <c r="AO1034" s="1808"/>
      <c r="AP1034" s="1808"/>
      <c r="AQ1034" s="1809"/>
      <c r="AR1034" s="68"/>
      <c r="AS1034" s="68"/>
      <c r="AT1034" s="68"/>
      <c r="AU1034" s="68"/>
      <c r="AV1034" s="68"/>
      <c r="AW1034" s="68"/>
      <c r="AX1034" s="68"/>
      <c r="AY1034" s="68"/>
    </row>
    <row r="1035" spans="1:51" ht="12.95" customHeight="1">
      <c r="A1035" s="14"/>
      <c r="B1035" s="73"/>
      <c r="C1035" s="367" t="s">
        <v>696</v>
      </c>
      <c r="D1035" s="1783" t="s">
        <v>1878</v>
      </c>
      <c r="E1035" s="1784"/>
      <c r="F1035" s="1784"/>
      <c r="G1035" s="1784"/>
      <c r="H1035" s="1784"/>
      <c r="I1035" s="1784"/>
      <c r="J1035" s="1784"/>
      <c r="K1035" s="1784"/>
      <c r="L1035" s="1784"/>
      <c r="M1035" s="1784"/>
      <c r="N1035" s="1784"/>
      <c r="O1035" s="1784"/>
      <c r="P1035" s="1784"/>
      <c r="Q1035" s="1784"/>
      <c r="R1035" s="1784"/>
      <c r="S1035" s="1784"/>
      <c r="T1035" s="1784"/>
      <c r="U1035" s="1784"/>
      <c r="V1035" s="1784"/>
      <c r="W1035" s="1784"/>
      <c r="X1035" s="1784"/>
      <c r="Y1035" s="1784"/>
      <c r="Z1035" s="1784"/>
      <c r="AA1035" s="1784"/>
      <c r="AB1035" s="1784"/>
      <c r="AC1035" s="1784"/>
      <c r="AD1035" s="1784"/>
      <c r="AE1035" s="1785"/>
      <c r="AF1035" s="73"/>
      <c r="AG1035" s="1669" t="s">
        <v>553</v>
      </c>
      <c r="AH1035" s="1670"/>
      <c r="AI1035" s="83"/>
      <c r="AJ1035" s="1801">
        <f>ROUND(IF(AND(AG1035="yes",AJ1031=0),(AJ991*0.1),0),0)</f>
        <v>5282463</v>
      </c>
      <c r="AK1035" s="1802"/>
      <c r="AL1035" s="1802"/>
      <c r="AM1035" s="1802"/>
      <c r="AN1035" s="1802"/>
      <c r="AO1035" s="1802"/>
      <c r="AP1035" s="1802"/>
      <c r="AQ1035" s="1803"/>
      <c r="AR1035" s="68"/>
      <c r="AS1035" s="68"/>
      <c r="AT1035" s="68"/>
      <c r="AU1035" s="68"/>
      <c r="AV1035" s="68"/>
      <c r="AW1035" s="68"/>
      <c r="AX1035" s="68"/>
      <c r="AY1035" s="68"/>
    </row>
    <row r="1036" spans="1:51" ht="12.95" customHeight="1">
      <c r="A1036" s="14"/>
      <c r="B1036" s="73"/>
      <c r="C1036" s="74"/>
      <c r="D1036" s="1655"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56"/>
      <c r="AF1036" s="73"/>
      <c r="AG1036" s="14"/>
      <c r="AH1036" s="14"/>
      <c r="AI1036" s="83"/>
      <c r="AJ1036" s="1804"/>
      <c r="AK1036" s="1805"/>
      <c r="AL1036" s="1805"/>
      <c r="AM1036" s="1805"/>
      <c r="AN1036" s="1805"/>
      <c r="AO1036" s="1805"/>
      <c r="AP1036" s="1805"/>
      <c r="AQ1036" s="1806"/>
      <c r="AR1036" s="68"/>
      <c r="AS1036" s="68"/>
      <c r="AT1036" s="68"/>
      <c r="AU1036" s="68"/>
      <c r="AV1036" s="68"/>
      <c r="AW1036" s="68"/>
      <c r="AX1036" s="68"/>
      <c r="AY1036" s="68"/>
    </row>
    <row r="1037" spans="1:51" ht="12.95" customHeight="1">
      <c r="A1037" s="14"/>
      <c r="B1037" s="73"/>
      <c r="C1037" s="74"/>
      <c r="D1037" s="1655"/>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56"/>
      <c r="AF1037" s="73"/>
      <c r="AG1037" s="14"/>
      <c r="AH1037" s="14"/>
      <c r="AI1037" s="83"/>
      <c r="AJ1037" s="1804"/>
      <c r="AK1037" s="1805"/>
      <c r="AL1037" s="1805"/>
      <c r="AM1037" s="1805"/>
      <c r="AN1037" s="1805"/>
      <c r="AO1037" s="1805"/>
      <c r="AP1037" s="1805"/>
      <c r="AQ1037" s="1806"/>
      <c r="AR1037" s="68"/>
      <c r="AS1037" s="68"/>
      <c r="AT1037" s="68"/>
      <c r="AU1037" s="68"/>
      <c r="AV1037" s="68"/>
      <c r="AW1037" s="68"/>
      <c r="AX1037" s="68"/>
      <c r="AY1037" s="68"/>
    </row>
    <row r="1038" spans="1:51" ht="12.95" customHeight="1">
      <c r="A1038" s="14"/>
      <c r="B1038" s="73"/>
      <c r="C1038" s="74"/>
      <c r="D1038" s="1655"/>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56"/>
      <c r="AF1038" s="73"/>
      <c r="AG1038" s="14"/>
      <c r="AH1038" s="14"/>
      <c r="AI1038" s="83"/>
      <c r="AJ1038" s="1804"/>
      <c r="AK1038" s="1805"/>
      <c r="AL1038" s="1805"/>
      <c r="AM1038" s="1805"/>
      <c r="AN1038" s="1805"/>
      <c r="AO1038" s="1805"/>
      <c r="AP1038" s="1805"/>
      <c r="AQ1038" s="1806"/>
      <c r="AR1038" s="68"/>
      <c r="AS1038" s="68"/>
      <c r="AT1038" s="68"/>
      <c r="AU1038" s="68"/>
      <c r="AV1038" s="68"/>
      <c r="AW1038" s="68"/>
      <c r="AX1038" s="68"/>
      <c r="AY1038" s="68"/>
    </row>
    <row r="1039" spans="1:51" ht="12.95" customHeight="1">
      <c r="A1039" s="14"/>
      <c r="B1039" s="73"/>
      <c r="C1039" s="74"/>
      <c r="D1039" s="1657"/>
      <c r="E1039" s="1658"/>
      <c r="F1039" s="1658"/>
      <c r="G1039" s="1658"/>
      <c r="H1039" s="1658"/>
      <c r="I1039" s="1658"/>
      <c r="J1039" s="1658"/>
      <c r="K1039" s="1658"/>
      <c r="L1039" s="1658"/>
      <c r="M1039" s="1658"/>
      <c r="N1039" s="1658"/>
      <c r="O1039" s="1658"/>
      <c r="P1039" s="1658"/>
      <c r="Q1039" s="1658"/>
      <c r="R1039" s="1658"/>
      <c r="S1039" s="1658"/>
      <c r="T1039" s="1658"/>
      <c r="U1039" s="1658"/>
      <c r="V1039" s="1658"/>
      <c r="W1039" s="1658"/>
      <c r="X1039" s="1658"/>
      <c r="Y1039" s="1658"/>
      <c r="Z1039" s="1658"/>
      <c r="AA1039" s="1658"/>
      <c r="AB1039" s="1658"/>
      <c r="AC1039" s="1658"/>
      <c r="AD1039" s="1658"/>
      <c r="AE1039" s="1659"/>
      <c r="AF1039" s="73"/>
      <c r="AG1039" s="14"/>
      <c r="AH1039" s="14"/>
      <c r="AI1039" s="83"/>
      <c r="AJ1039" s="1804"/>
      <c r="AK1039" s="1805"/>
      <c r="AL1039" s="1805"/>
      <c r="AM1039" s="1805"/>
      <c r="AN1039" s="1805"/>
      <c r="AO1039" s="1805"/>
      <c r="AP1039" s="1805"/>
      <c r="AQ1039" s="1806"/>
      <c r="AR1039" s="68"/>
      <c r="AS1039" s="68"/>
      <c r="AT1039" s="68"/>
      <c r="AU1039" s="68"/>
      <c r="AV1039" s="68"/>
      <c r="AW1039" s="68"/>
      <c r="AX1039" s="68"/>
      <c r="AY1039" s="68"/>
    </row>
    <row r="1040" spans="1:51" ht="12.95" customHeight="1">
      <c r="A1040" s="14"/>
      <c r="B1040" s="79"/>
      <c r="C1040" s="131" t="s">
        <v>1034</v>
      </c>
      <c r="D1040" s="1687" t="s">
        <v>1408</v>
      </c>
      <c r="E1040" s="1688"/>
      <c r="F1040" s="1688"/>
      <c r="G1040" s="1688"/>
      <c r="H1040" s="1688"/>
      <c r="I1040" s="1688"/>
      <c r="J1040" s="1688"/>
      <c r="K1040" s="1688"/>
      <c r="L1040" s="1688"/>
      <c r="M1040" s="1688"/>
      <c r="N1040" s="1688"/>
      <c r="O1040" s="1688"/>
      <c r="P1040" s="1688"/>
      <c r="Q1040" s="1688"/>
      <c r="R1040" s="1688"/>
      <c r="S1040" s="1688"/>
      <c r="T1040" s="1688"/>
      <c r="U1040" s="1688"/>
      <c r="V1040" s="1688"/>
      <c r="W1040" s="1688"/>
      <c r="X1040" s="1688"/>
      <c r="Y1040" s="1688"/>
      <c r="Z1040" s="1688"/>
      <c r="AA1040" s="1688"/>
      <c r="AB1040" s="1688"/>
      <c r="AC1040" s="1688"/>
      <c r="AD1040" s="1688"/>
      <c r="AE1040" s="1689"/>
      <c r="AF1040" s="79"/>
      <c r="AG1040" s="1650" t="s">
        <v>677</v>
      </c>
      <c r="AH1040" s="1651"/>
      <c r="AI1040" s="87"/>
      <c r="AJ1040" s="1801">
        <f>ROUND(IF(AG1040="yes",(AJ991*0.1),0),0)</f>
        <v>0</v>
      </c>
      <c r="AK1040" s="1802"/>
      <c r="AL1040" s="1802"/>
      <c r="AM1040" s="1802"/>
      <c r="AN1040" s="1802"/>
      <c r="AO1040" s="1802"/>
      <c r="AP1040" s="1802"/>
      <c r="AQ1040" s="1803"/>
      <c r="AR1040" s="68"/>
      <c r="AS1040" s="68"/>
      <c r="AT1040" s="68"/>
      <c r="AU1040" s="68"/>
      <c r="AV1040" s="68"/>
      <c r="AW1040" s="68"/>
      <c r="AX1040" s="68"/>
      <c r="AY1040" s="68"/>
    </row>
    <row r="1041" spans="1:51" ht="12.95" customHeight="1">
      <c r="A1041" s="14"/>
      <c r="B1041" s="73"/>
      <c r="C1041" s="74"/>
      <c r="D1041" s="1671" t="s">
        <v>2504</v>
      </c>
      <c r="E1041" s="1672"/>
      <c r="F1041" s="1672"/>
      <c r="G1041" s="1672"/>
      <c r="H1041" s="1672"/>
      <c r="I1041" s="1672"/>
      <c r="J1041" s="1672"/>
      <c r="K1041" s="1672"/>
      <c r="L1041" s="1672"/>
      <c r="M1041" s="1672"/>
      <c r="N1041" s="1672"/>
      <c r="O1041" s="1672"/>
      <c r="P1041" s="1672"/>
      <c r="Q1041" s="1672"/>
      <c r="R1041" s="1672"/>
      <c r="S1041" s="1672"/>
      <c r="T1041" s="1672"/>
      <c r="U1041" s="1672"/>
      <c r="V1041" s="1672"/>
      <c r="W1041" s="1672"/>
      <c r="X1041" s="1672"/>
      <c r="Y1041" s="1672"/>
      <c r="Z1041" s="1672"/>
      <c r="AA1041" s="1672"/>
      <c r="AB1041" s="1672"/>
      <c r="AC1041" s="1672"/>
      <c r="AD1041" s="1672"/>
      <c r="AE1041" s="1673"/>
      <c r="AF1041" s="73"/>
      <c r="AG1041" s="14"/>
      <c r="AH1041" s="14"/>
      <c r="AI1041" s="83"/>
      <c r="AJ1041" s="1804"/>
      <c r="AK1041" s="1805"/>
      <c r="AL1041" s="1805"/>
      <c r="AM1041" s="1805"/>
      <c r="AN1041" s="1805"/>
      <c r="AO1041" s="1805"/>
      <c r="AP1041" s="1805"/>
      <c r="AQ1041" s="1806"/>
      <c r="AR1041" s="68"/>
      <c r="AS1041" s="68"/>
      <c r="AT1041" s="68"/>
      <c r="AU1041" s="68"/>
      <c r="AV1041" s="68"/>
      <c r="AW1041" s="68"/>
      <c r="AX1041" s="68"/>
      <c r="AY1041" s="68"/>
    </row>
    <row r="1042" spans="1:51" ht="12.95" customHeight="1">
      <c r="A1042" s="14"/>
      <c r="B1042" s="73"/>
      <c r="C1042" s="74"/>
      <c r="D1042" s="1671"/>
      <c r="E1042" s="1672"/>
      <c r="F1042" s="1672"/>
      <c r="G1042" s="1672"/>
      <c r="H1042" s="1672"/>
      <c r="I1042" s="1672"/>
      <c r="J1042" s="1672"/>
      <c r="K1042" s="1672"/>
      <c r="L1042" s="1672"/>
      <c r="M1042" s="1672"/>
      <c r="N1042" s="1672"/>
      <c r="O1042" s="1672"/>
      <c r="P1042" s="1672"/>
      <c r="Q1042" s="1672"/>
      <c r="R1042" s="1672"/>
      <c r="S1042" s="1672"/>
      <c r="T1042" s="1672"/>
      <c r="U1042" s="1672"/>
      <c r="V1042" s="1672"/>
      <c r="W1042" s="1672"/>
      <c r="X1042" s="1672"/>
      <c r="Y1042" s="1672"/>
      <c r="Z1042" s="1672"/>
      <c r="AA1042" s="1672"/>
      <c r="AB1042" s="1672"/>
      <c r="AC1042" s="1672"/>
      <c r="AD1042" s="1672"/>
      <c r="AE1042" s="1673"/>
      <c r="AF1042" s="73"/>
      <c r="AG1042" s="14"/>
      <c r="AH1042" s="14"/>
      <c r="AI1042" s="83"/>
      <c r="AJ1042" s="1804"/>
      <c r="AK1042" s="1805"/>
      <c r="AL1042" s="1805"/>
      <c r="AM1042" s="1805"/>
      <c r="AN1042" s="1805"/>
      <c r="AO1042" s="1805"/>
      <c r="AP1042" s="1805"/>
      <c r="AQ1042" s="1806"/>
      <c r="AR1042" s="68"/>
      <c r="AS1042" s="68"/>
      <c r="AT1042" s="68"/>
      <c r="AU1042" s="68"/>
      <c r="AV1042" s="68"/>
      <c r="AW1042" s="68"/>
      <c r="AX1042" s="68"/>
      <c r="AY1042" s="68"/>
    </row>
    <row r="1043" spans="1:51" ht="12.95" customHeight="1">
      <c r="A1043" s="14"/>
      <c r="B1043" s="73"/>
      <c r="C1043" s="74"/>
      <c r="D1043" s="1674"/>
      <c r="E1043" s="1675"/>
      <c r="F1043" s="1675"/>
      <c r="G1043" s="1675"/>
      <c r="H1043" s="1675"/>
      <c r="I1043" s="1675"/>
      <c r="J1043" s="1675"/>
      <c r="K1043" s="1675"/>
      <c r="L1043" s="1675"/>
      <c r="M1043" s="1675"/>
      <c r="N1043" s="1675"/>
      <c r="O1043" s="1675"/>
      <c r="P1043" s="1675"/>
      <c r="Q1043" s="1675"/>
      <c r="R1043" s="1675"/>
      <c r="S1043" s="1675"/>
      <c r="T1043" s="1675"/>
      <c r="U1043" s="1675"/>
      <c r="V1043" s="1675"/>
      <c r="W1043" s="1675"/>
      <c r="X1043" s="1675"/>
      <c r="Y1043" s="1675"/>
      <c r="Z1043" s="1675"/>
      <c r="AA1043" s="1675"/>
      <c r="AB1043" s="1675"/>
      <c r="AC1043" s="1675"/>
      <c r="AD1043" s="1675"/>
      <c r="AE1043" s="1676"/>
      <c r="AF1043" s="73"/>
      <c r="AG1043" s="14"/>
      <c r="AH1043" s="14"/>
      <c r="AI1043" s="83"/>
      <c r="AJ1043" s="1807"/>
      <c r="AK1043" s="1808"/>
      <c r="AL1043" s="1808"/>
      <c r="AM1043" s="1808"/>
      <c r="AN1043" s="1808"/>
      <c r="AO1043" s="1808"/>
      <c r="AP1043" s="1808"/>
      <c r="AQ1043" s="1809"/>
      <c r="AR1043" s="68"/>
      <c r="AS1043" s="68"/>
      <c r="AT1043" s="68"/>
      <c r="AU1043" s="68"/>
      <c r="AV1043" s="68"/>
      <c r="AW1043" s="68"/>
      <c r="AX1043" s="68"/>
      <c r="AY1043" s="68"/>
    </row>
    <row r="1044" spans="1:51" ht="12.95" customHeight="1">
      <c r="A1044" s="14"/>
      <c r="B1044" s="79"/>
      <c r="C1044" s="131" t="s">
        <v>1874</v>
      </c>
      <c r="D1044" s="1783" t="s">
        <v>2056</v>
      </c>
      <c r="E1044" s="1784"/>
      <c r="F1044" s="1784"/>
      <c r="G1044" s="1784"/>
      <c r="H1044" s="1784"/>
      <c r="I1044" s="1784"/>
      <c r="J1044" s="1784"/>
      <c r="K1044" s="1784"/>
      <c r="L1044" s="1784"/>
      <c r="M1044" s="1784"/>
      <c r="N1044" s="1784"/>
      <c r="O1044" s="1784"/>
      <c r="P1044" s="1784"/>
      <c r="Q1044" s="1784"/>
      <c r="R1044" s="1784"/>
      <c r="S1044" s="1784"/>
      <c r="T1044" s="1784"/>
      <c r="U1044" s="1784"/>
      <c r="V1044" s="1784"/>
      <c r="W1044" s="1784"/>
      <c r="X1044" s="1784"/>
      <c r="Y1044" s="1784"/>
      <c r="Z1044" s="1784"/>
      <c r="AA1044" s="1784"/>
      <c r="AB1044" s="1784"/>
      <c r="AC1044" s="1784"/>
      <c r="AD1044" s="1784"/>
      <c r="AE1044" s="1785"/>
      <c r="AF1044" s="79"/>
      <c r="AG1044" s="1799" t="str">
        <f>IF(X1047&gt;0,"Yes","No")</f>
        <v>Yes</v>
      </c>
      <c r="AH1044" s="1800"/>
      <c r="AI1044" s="87"/>
      <c r="AJ1044" s="1801">
        <f>IF((X1047=0),0,AY1004*AJ991)</f>
        <v>14262650.640000001</v>
      </c>
      <c r="AK1044" s="1802"/>
      <c r="AL1044" s="1802"/>
      <c r="AM1044" s="1802"/>
      <c r="AN1044" s="1802"/>
      <c r="AO1044" s="1802"/>
      <c r="AP1044" s="1802"/>
      <c r="AQ1044" s="1803"/>
      <c r="AR1044" s="68"/>
      <c r="AS1044" s="68"/>
      <c r="AT1044" s="68"/>
      <c r="AU1044" s="68"/>
      <c r="AV1044" s="68"/>
      <c r="AW1044" s="68"/>
      <c r="AX1044" s="68"/>
      <c r="AY1044" s="68"/>
    </row>
    <row r="1045" spans="1:51" ht="12.95" customHeight="1">
      <c r="A1045" s="14"/>
      <c r="B1045" s="73"/>
      <c r="C1045" s="476"/>
      <c r="D1045" s="1671" t="s">
        <v>1410</v>
      </c>
      <c r="E1045" s="1672"/>
      <c r="F1045" s="1672"/>
      <c r="G1045" s="1672"/>
      <c r="H1045" s="1672"/>
      <c r="I1045" s="1672"/>
      <c r="J1045" s="1672"/>
      <c r="K1045" s="1672"/>
      <c r="L1045" s="1672"/>
      <c r="M1045" s="1672"/>
      <c r="N1045" s="1672"/>
      <c r="O1045" s="1672"/>
      <c r="P1045" s="1672"/>
      <c r="Q1045" s="1672"/>
      <c r="R1045" s="1672"/>
      <c r="S1045" s="1672"/>
      <c r="T1045" s="1672"/>
      <c r="U1045" s="1672"/>
      <c r="V1045" s="1672"/>
      <c r="W1045" s="1672"/>
      <c r="X1045" s="1672"/>
      <c r="Y1045" s="1672"/>
      <c r="Z1045" s="1672"/>
      <c r="AA1045" s="1672"/>
      <c r="AB1045" s="1672"/>
      <c r="AC1045" s="1672"/>
      <c r="AD1045" s="1672"/>
      <c r="AE1045" s="1673"/>
      <c r="AF1045" s="73"/>
      <c r="AG1045" s="477"/>
      <c r="AH1045" s="477"/>
      <c r="AI1045" s="83"/>
      <c r="AJ1045" s="1804"/>
      <c r="AK1045" s="1805"/>
      <c r="AL1045" s="1805"/>
      <c r="AM1045" s="1805"/>
      <c r="AN1045" s="1805"/>
      <c r="AO1045" s="1805"/>
      <c r="AP1045" s="1805"/>
      <c r="AQ1045" s="1806"/>
      <c r="AR1045" s="68"/>
      <c r="AS1045" s="68"/>
      <c r="AT1045" s="68"/>
      <c r="AU1045" s="13"/>
      <c r="AV1045" s="68"/>
      <c r="AW1045" s="68"/>
      <c r="AX1045" s="68"/>
      <c r="AY1045" s="68"/>
    </row>
    <row r="1046" spans="1:51" ht="12.95" customHeight="1">
      <c r="A1046" s="14"/>
      <c r="B1046" s="73"/>
      <c r="C1046" s="476"/>
      <c r="D1046" s="1671"/>
      <c r="E1046" s="1672"/>
      <c r="F1046" s="1672"/>
      <c r="G1046" s="1672"/>
      <c r="H1046" s="1672"/>
      <c r="I1046" s="1672"/>
      <c r="J1046" s="1672"/>
      <c r="K1046" s="1672"/>
      <c r="L1046" s="1672"/>
      <c r="M1046" s="1672"/>
      <c r="N1046" s="1672"/>
      <c r="O1046" s="1672"/>
      <c r="P1046" s="1672"/>
      <c r="Q1046" s="1672"/>
      <c r="R1046" s="1672"/>
      <c r="S1046" s="1672"/>
      <c r="T1046" s="1672"/>
      <c r="U1046" s="1672"/>
      <c r="V1046" s="1672"/>
      <c r="W1046" s="1672"/>
      <c r="X1046" s="1672"/>
      <c r="Y1046" s="1672"/>
      <c r="Z1046" s="1672"/>
      <c r="AA1046" s="1672"/>
      <c r="AB1046" s="1672"/>
      <c r="AC1046" s="1672"/>
      <c r="AD1046" s="1672"/>
      <c r="AE1046" s="1673"/>
      <c r="AF1046" s="73"/>
      <c r="AG1046" s="477"/>
      <c r="AH1046" s="477"/>
      <c r="AI1046" s="83"/>
      <c r="AJ1046" s="1804"/>
      <c r="AK1046" s="1805"/>
      <c r="AL1046" s="1805"/>
      <c r="AM1046" s="1805"/>
      <c r="AN1046" s="1805"/>
      <c r="AO1046" s="1805"/>
      <c r="AP1046" s="1805"/>
      <c r="AQ1046" s="1806"/>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97">
        <f>AY1002</f>
        <v>134</v>
      </c>
      <c r="J1047" s="1798"/>
      <c r="K1047" s="7"/>
      <c r="L1047" s="133"/>
      <c r="M1047" s="133"/>
      <c r="N1047" s="133"/>
      <c r="O1047" s="133"/>
      <c r="P1047" s="133"/>
      <c r="Q1047" s="133"/>
      <c r="R1047" s="133"/>
      <c r="S1047" s="133"/>
      <c r="T1047" s="133"/>
      <c r="U1047" s="133"/>
      <c r="V1047" s="134" t="s">
        <v>992</v>
      </c>
      <c r="W1047" s="48"/>
      <c r="X1047" s="1795">
        <f>BG632</f>
        <v>37</v>
      </c>
      <c r="Y1047" s="1796"/>
      <c r="Z1047" s="48"/>
      <c r="AA1047" s="48"/>
      <c r="AB1047" s="48"/>
      <c r="AC1047" s="48"/>
      <c r="AD1047" s="48"/>
      <c r="AE1047" s="49"/>
      <c r="AF1047" s="959"/>
      <c r="AG1047" s="960"/>
      <c r="AH1047" s="960"/>
      <c r="AI1047" s="961"/>
      <c r="AJ1047" s="1807"/>
      <c r="AK1047" s="1808"/>
      <c r="AL1047" s="1808"/>
      <c r="AM1047" s="1808"/>
      <c r="AN1047" s="1808"/>
      <c r="AO1047" s="1808"/>
      <c r="AP1047" s="1808"/>
      <c r="AQ1047" s="1809"/>
      <c r="AR1047" s="68"/>
      <c r="AS1047" s="68"/>
      <c r="AT1047" s="68"/>
      <c r="AU1047" s="14"/>
      <c r="AV1047" s="68"/>
      <c r="AW1047" s="68"/>
      <c r="AX1047" s="68"/>
      <c r="AY1047" s="68"/>
    </row>
    <row r="1048" spans="1:51" ht="12.95" customHeight="1">
      <c r="A1048" s="14"/>
      <c r="B1048" s="79"/>
      <c r="C1048" s="131" t="s">
        <v>1875</v>
      </c>
      <c r="D1048" s="1687" t="s">
        <v>2535</v>
      </c>
      <c r="E1048" s="1688"/>
      <c r="F1048" s="1688"/>
      <c r="G1048" s="1688"/>
      <c r="H1048" s="1688"/>
      <c r="I1048" s="1688"/>
      <c r="J1048" s="1688"/>
      <c r="K1048" s="1688"/>
      <c r="L1048" s="1688"/>
      <c r="M1048" s="1688"/>
      <c r="N1048" s="1688"/>
      <c r="O1048" s="1688"/>
      <c r="P1048" s="1688"/>
      <c r="Q1048" s="1688"/>
      <c r="R1048" s="1688"/>
      <c r="S1048" s="1688"/>
      <c r="T1048" s="1688"/>
      <c r="U1048" s="1688"/>
      <c r="V1048" s="1688"/>
      <c r="W1048" s="1688"/>
      <c r="X1048" s="1688"/>
      <c r="Y1048" s="1688"/>
      <c r="Z1048" s="1688"/>
      <c r="AA1048" s="1688"/>
      <c r="AB1048" s="1688"/>
      <c r="AC1048" s="1688"/>
      <c r="AD1048" s="1688"/>
      <c r="AE1048" s="1689"/>
      <c r="AF1048" s="73"/>
      <c r="AG1048" s="1799" t="str">
        <f>IF(X1051&gt;0,"Yes","No")</f>
        <v>Yes</v>
      </c>
      <c r="AH1048" s="1800"/>
      <c r="AI1048" s="83"/>
      <c r="AJ1048" s="1801">
        <f>IF((X1051=0),0,(2*AY1005)*AJ991)</f>
        <v>76067470.079999998</v>
      </c>
      <c r="AK1048" s="1802"/>
      <c r="AL1048" s="1802"/>
      <c r="AM1048" s="1802"/>
      <c r="AN1048" s="1802"/>
      <c r="AO1048" s="1802"/>
      <c r="AP1048" s="1802"/>
      <c r="AQ1048" s="1803"/>
      <c r="AR1048" s="68"/>
      <c r="AS1048" s="68"/>
      <c r="AT1048" s="68"/>
      <c r="AU1048" s="14"/>
      <c r="AV1048" s="68"/>
      <c r="AW1048" s="68"/>
      <c r="AX1048" s="68"/>
      <c r="AY1048" s="68"/>
    </row>
    <row r="1049" spans="1:51" ht="12.95" customHeight="1">
      <c r="A1049" s="14"/>
      <c r="B1049" s="73"/>
      <c r="C1049" s="476"/>
      <c r="D1049" s="1671" t="s">
        <v>1409</v>
      </c>
      <c r="E1049" s="1672"/>
      <c r="F1049" s="1672"/>
      <c r="G1049" s="1672"/>
      <c r="H1049" s="1672"/>
      <c r="I1049" s="1672"/>
      <c r="J1049" s="1672"/>
      <c r="K1049" s="1672"/>
      <c r="L1049" s="1672"/>
      <c r="M1049" s="1672"/>
      <c r="N1049" s="1672"/>
      <c r="O1049" s="1672"/>
      <c r="P1049" s="1672"/>
      <c r="Q1049" s="1672"/>
      <c r="R1049" s="1672"/>
      <c r="S1049" s="1672"/>
      <c r="T1049" s="1672"/>
      <c r="U1049" s="1672"/>
      <c r="V1049" s="1672"/>
      <c r="W1049" s="1672"/>
      <c r="X1049" s="1672"/>
      <c r="Y1049" s="1672"/>
      <c r="Z1049" s="1672"/>
      <c r="AA1049" s="1672"/>
      <c r="AB1049" s="1672"/>
      <c r="AC1049" s="1672"/>
      <c r="AD1049" s="1672"/>
      <c r="AE1049" s="1673"/>
      <c r="AF1049" s="73"/>
      <c r="AG1049" s="477"/>
      <c r="AH1049" s="477"/>
      <c r="AI1049" s="83"/>
      <c r="AJ1049" s="1804"/>
      <c r="AK1049" s="1805"/>
      <c r="AL1049" s="1805"/>
      <c r="AM1049" s="1805"/>
      <c r="AN1049" s="1805"/>
      <c r="AO1049" s="1805"/>
      <c r="AP1049" s="1805"/>
      <c r="AQ1049" s="1806"/>
      <c r="AR1049" s="68"/>
      <c r="AS1049" s="68"/>
      <c r="AT1049" s="68"/>
      <c r="AU1049" s="68"/>
      <c r="AV1049" s="68"/>
      <c r="AW1049" s="68"/>
      <c r="AX1049" s="68"/>
      <c r="AY1049" s="68"/>
    </row>
    <row r="1050" spans="1:51" ht="12.95" customHeight="1">
      <c r="A1050" s="14"/>
      <c r="B1050" s="73"/>
      <c r="C1050" s="83"/>
      <c r="D1050" s="1671"/>
      <c r="E1050" s="1672"/>
      <c r="F1050" s="1672"/>
      <c r="G1050" s="1672"/>
      <c r="H1050" s="1672"/>
      <c r="I1050" s="1672"/>
      <c r="J1050" s="1672"/>
      <c r="K1050" s="1672"/>
      <c r="L1050" s="1672"/>
      <c r="M1050" s="1672"/>
      <c r="N1050" s="1672"/>
      <c r="O1050" s="1672"/>
      <c r="P1050" s="1672"/>
      <c r="Q1050" s="1672"/>
      <c r="R1050" s="1672"/>
      <c r="S1050" s="1672"/>
      <c r="T1050" s="1672"/>
      <c r="U1050" s="1672"/>
      <c r="V1050" s="1672"/>
      <c r="W1050" s="1672"/>
      <c r="X1050" s="1672"/>
      <c r="Y1050" s="1672"/>
      <c r="Z1050" s="1672"/>
      <c r="AA1050" s="1672"/>
      <c r="AB1050" s="1672"/>
      <c r="AC1050" s="1672"/>
      <c r="AD1050" s="1672"/>
      <c r="AE1050" s="1673"/>
      <c r="AF1050" s="956"/>
      <c r="AG1050" s="957"/>
      <c r="AH1050" s="957"/>
      <c r="AI1050" s="958"/>
      <c r="AJ1050" s="1804"/>
      <c r="AK1050" s="1805"/>
      <c r="AL1050" s="1805"/>
      <c r="AM1050" s="1805"/>
      <c r="AN1050" s="1805"/>
      <c r="AO1050" s="1805"/>
      <c r="AP1050" s="1805"/>
      <c r="AQ1050" s="1806"/>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97">
        <f>AY1002</f>
        <v>134</v>
      </c>
      <c r="J1051" s="1798"/>
      <c r="K1051" s="14"/>
      <c r="L1051" s="133"/>
      <c r="M1051" s="133"/>
      <c r="N1051" s="133"/>
      <c r="O1051" s="133"/>
      <c r="P1051" s="133"/>
      <c r="Q1051" s="133"/>
      <c r="R1051" s="133"/>
      <c r="S1051" s="133"/>
      <c r="T1051" s="133"/>
      <c r="U1051" s="133"/>
      <c r="V1051" s="134" t="s">
        <v>993</v>
      </c>
      <c r="X1051" s="1795">
        <f>BK632</f>
        <v>97</v>
      </c>
      <c r="Y1051" s="1796"/>
      <c r="AF1051" s="959"/>
      <c r="AG1051" s="960"/>
      <c r="AH1051" s="960"/>
      <c r="AI1051" s="961"/>
      <c r="AJ1051" s="1807"/>
      <c r="AK1051" s="1808"/>
      <c r="AL1051" s="1808"/>
      <c r="AM1051" s="1808"/>
      <c r="AN1051" s="1808"/>
      <c r="AO1051" s="1808"/>
      <c r="AP1051" s="1808"/>
      <c r="AQ1051" s="1809"/>
      <c r="AR1051" s="68"/>
      <c r="AS1051" s="68"/>
      <c r="AT1051" s="68"/>
      <c r="AU1051" s="68"/>
      <c r="AV1051" s="68"/>
      <c r="AW1051" s="68"/>
      <c r="AX1051" s="68"/>
      <c r="AY1051" s="68"/>
    </row>
    <row r="1052" spans="1:51" ht="12.95" customHeight="1">
      <c r="A1052" s="14"/>
      <c r="B1052" s="102"/>
      <c r="C1052" s="103"/>
      <c r="D1052" s="1793" t="s">
        <v>521</v>
      </c>
      <c r="E1052" s="1793"/>
      <c r="F1052" s="1793"/>
      <c r="G1052" s="1793"/>
      <c r="H1052" s="1793"/>
      <c r="I1052" s="1793"/>
      <c r="J1052" s="1793"/>
      <c r="K1052" s="1793"/>
      <c r="L1052" s="1793"/>
      <c r="M1052" s="1793"/>
      <c r="N1052" s="1793"/>
      <c r="O1052" s="1793"/>
      <c r="P1052" s="1793"/>
      <c r="Q1052" s="1793"/>
      <c r="R1052" s="1793"/>
      <c r="S1052" s="1793"/>
      <c r="T1052" s="1793"/>
      <c r="U1052" s="1793"/>
      <c r="V1052" s="1793"/>
      <c r="W1052" s="1793"/>
      <c r="X1052" s="1793"/>
      <c r="Y1052" s="1793"/>
      <c r="Z1052" s="1793"/>
      <c r="AA1052" s="1793"/>
      <c r="AB1052" s="1793"/>
      <c r="AC1052" s="1793"/>
      <c r="AD1052" s="1793"/>
      <c r="AE1052" s="1793"/>
      <c r="AF1052" s="1793"/>
      <c r="AG1052" s="1793"/>
      <c r="AH1052" s="1793"/>
      <c r="AI1052" s="1794"/>
      <c r="AJ1052" s="1697">
        <f>SUM(AJ991:AQ1051)</f>
        <v>165816848.72</v>
      </c>
      <c r="AK1052" s="1698"/>
      <c r="AL1052" s="1698"/>
      <c r="AM1052" s="1698"/>
      <c r="AN1052" s="1698"/>
      <c r="AO1052" s="1698"/>
      <c r="AP1052" s="1698"/>
      <c r="AQ1052" s="1699"/>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49">
        <f>IF(ISNA(IF((AJ1019&gt;(AJ991*0.15)),"(f) cannot be greater than 15% of unadjusted eligible basis.",0)),"",(IF((AJ1019&gt;(AJ991*0.15)),"(f) cannot be greater than 15% of unadjusted eligible basis.",0)))</f>
        <v>0</v>
      </c>
      <c r="C1059" s="1849"/>
      <c r="D1059" s="1849"/>
      <c r="E1059" s="1849"/>
      <c r="F1059" s="1849"/>
      <c r="G1059" s="1849"/>
      <c r="H1059" s="1849"/>
      <c r="I1059" s="1849"/>
      <c r="J1059" s="1849"/>
      <c r="K1059" s="1849"/>
      <c r="L1059" s="1849"/>
      <c r="M1059" s="1849"/>
      <c r="N1059" s="1849"/>
      <c r="O1059" s="1849"/>
      <c r="P1059" s="1849"/>
      <c r="Q1059" s="1849"/>
      <c r="R1059" s="1849"/>
      <c r="S1059" s="1849"/>
      <c r="T1059" s="1849"/>
      <c r="U1059" s="1849"/>
      <c r="V1059" s="1849"/>
      <c r="W1059" s="1849"/>
      <c r="X1059" s="1849"/>
      <c r="Y1059" s="1849"/>
      <c r="Z1059" s="1849"/>
      <c r="AA1059" s="1849"/>
      <c r="AB1059" s="1849"/>
      <c r="AC1059" s="1849"/>
      <c r="AD1059" s="1849"/>
      <c r="AE1059" s="1849"/>
      <c r="AF1059" s="1849"/>
      <c r="AG1059" s="1849"/>
      <c r="AH1059" s="1849"/>
      <c r="AI1059" s="1849"/>
      <c r="AJ1059" s="1849"/>
      <c r="AK1059" s="1849"/>
      <c r="AL1059" s="1849"/>
      <c r="AM1059" s="1849"/>
      <c r="AN1059" s="1849"/>
      <c r="AO1059" s="1849"/>
      <c r="AP1059" s="1849"/>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35" t="s">
        <v>599</v>
      </c>
      <c r="B1064" s="1435"/>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35" t="s">
        <v>599</v>
      </c>
      <c r="B1070" s="1435"/>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35" t="s">
        <v>599</v>
      </c>
      <c r="B1076" s="1435"/>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35" t="s">
        <v>599</v>
      </c>
      <c r="B1083" s="1435"/>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35" t="s">
        <v>599</v>
      </c>
      <c r="B1086" s="1435"/>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35" t="s">
        <v>599</v>
      </c>
      <c r="B1091" s="1435"/>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35" t="s">
        <v>599</v>
      </c>
      <c r="B1094" s="1435"/>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35" t="s">
        <v>599</v>
      </c>
      <c r="B1098" s="1435"/>
      <c r="C1098" s="212">
        <v>8</v>
      </c>
      <c r="D1098" s="1350" t="s">
        <v>1872</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35" t="s">
        <v>599</v>
      </c>
      <c r="B1103" s="1435"/>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X746:AB746"/>
    <mergeCell ref="X747:AB747"/>
    <mergeCell ref="X748:AB748"/>
    <mergeCell ref="X749:AB749"/>
    <mergeCell ref="X750:AB750"/>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T733:W733"/>
    <mergeCell ref="O734:S734"/>
    <mergeCell ref="K739:N739"/>
    <mergeCell ref="AC734:AG734"/>
    <mergeCell ref="AC735:AG735"/>
    <mergeCell ref="AH733:AJ733"/>
    <mergeCell ref="O756:R756"/>
    <mergeCell ref="AG756:AJ756"/>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B742:F742"/>
    <mergeCell ref="B743:F743"/>
    <mergeCell ref="B744:F744"/>
    <mergeCell ref="B745:F745"/>
    <mergeCell ref="X745:AB74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Z686:AK68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Z667:AK667"/>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X732:AB732"/>
    <mergeCell ref="AC733:AG733"/>
    <mergeCell ref="BX653:CB653"/>
    <mergeCell ref="BX654:CB654"/>
    <mergeCell ref="Z651:AK651"/>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5:CW655"/>
    <mergeCell ref="DH652:DL652"/>
    <mergeCell ref="DM652:DQ652"/>
    <mergeCell ref="CS653:CW653"/>
    <mergeCell ref="CX653:DB653"/>
    <mergeCell ref="DR649:DV649"/>
    <mergeCell ref="DR652:DV652"/>
    <mergeCell ref="DR647:DV647"/>
    <mergeCell ref="DR651:DV651"/>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20:CG620"/>
    <mergeCell ref="CH625:CL625"/>
    <mergeCell ref="CM625:CQ625"/>
    <mergeCell ref="CS620:CW620"/>
    <mergeCell ref="CX620:DB620"/>
    <mergeCell ref="CS624:CW624"/>
    <mergeCell ref="CM638:CQ638"/>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S650:BW650"/>
    <mergeCell ref="DC647:DG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DX656:EB656"/>
    <mergeCell ref="EC656:EG656"/>
    <mergeCell ref="EH656:EL656"/>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M955:S955"/>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O783:S786"/>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O725:S725"/>
    <mergeCell ref="F931:T931"/>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BX620:CB620"/>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T972:Z972"/>
    <mergeCell ref="I946:T946"/>
    <mergeCell ref="D1000:AE1000"/>
    <mergeCell ref="D1001:AE1005"/>
    <mergeCell ref="D1010:AE1010"/>
    <mergeCell ref="D1011:AE1011"/>
    <mergeCell ref="AF1026:AI1027"/>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B956:AK956"/>
    <mergeCell ref="U948:Z948"/>
    <mergeCell ref="AA927:AF927"/>
    <mergeCell ref="U922:Z922"/>
    <mergeCell ref="AE954:AK954"/>
    <mergeCell ref="U945:Z945"/>
    <mergeCell ref="AA945:AF945"/>
    <mergeCell ref="U925:Z925"/>
    <mergeCell ref="AA925:AF925"/>
    <mergeCell ref="U926:Z926"/>
    <mergeCell ref="AA926:AF926"/>
    <mergeCell ref="U936:Z936"/>
    <mergeCell ref="AA936:AF936"/>
    <mergeCell ref="U941:Z941"/>
    <mergeCell ref="AA941:AF941"/>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46:Z946"/>
    <mergeCell ref="U918:Z918"/>
    <mergeCell ref="U944:Z944"/>
    <mergeCell ref="AA933:AF933"/>
    <mergeCell ref="U920:Z920"/>
    <mergeCell ref="AA920:AF920"/>
    <mergeCell ref="BD909:BE909"/>
    <mergeCell ref="BD903:BE903"/>
    <mergeCell ref="U919:Z919"/>
    <mergeCell ref="U914:Z916"/>
    <mergeCell ref="U917:Z917"/>
    <mergeCell ref="AC883:AH883"/>
    <mergeCell ref="W863:AC863"/>
    <mergeCell ref="C893:AB893"/>
    <mergeCell ref="W855:AC855"/>
    <mergeCell ref="AC892:AH892"/>
    <mergeCell ref="A909:AT910"/>
    <mergeCell ref="AC887:AH887"/>
    <mergeCell ref="AC890:AH890"/>
    <mergeCell ref="AC888:AH888"/>
    <mergeCell ref="M878:V878"/>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G727:J727"/>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O722:S722"/>
    <mergeCell ref="X722:AB722"/>
    <mergeCell ref="G723:J723"/>
    <mergeCell ref="R705:T705"/>
    <mergeCell ref="G678:R678"/>
    <mergeCell ref="P679:R679"/>
    <mergeCell ref="G677:R677"/>
    <mergeCell ref="G685:R685"/>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AA582:AK58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AE561:AH561"/>
    <mergeCell ref="AC531:AF531"/>
    <mergeCell ref="AH500:AK500"/>
    <mergeCell ref="M555:P555"/>
    <mergeCell ref="C556:L556"/>
    <mergeCell ref="M556:P556"/>
    <mergeCell ref="AC508:AF508"/>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510:AF510"/>
    <mergeCell ref="AH510:AK510"/>
    <mergeCell ref="AC512:AF512"/>
    <mergeCell ref="AH512:AK512"/>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S627:BW627"/>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BN620:BR620"/>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CM623:CQ623"/>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DH626:DL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1" zoomScaleNormal="100" workbookViewId="0">
      <selection activeCell="E101" sqref="E10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7" t="s">
        <v>629</v>
      </c>
      <c r="G1" s="1878"/>
      <c r="H1" s="1878"/>
      <c r="I1" s="1878"/>
      <c r="J1" s="1878"/>
      <c r="K1" s="1878"/>
      <c r="L1" s="1878"/>
      <c r="M1" s="1878"/>
      <c r="N1" s="1878"/>
      <c r="O1" s="1878"/>
      <c r="P1" s="1878"/>
      <c r="Q1" s="1878"/>
      <c r="R1" s="1879"/>
      <c r="S1" s="112"/>
      <c r="T1" s="111"/>
      <c r="U1" s="113"/>
    </row>
    <row r="2" spans="1:21" s="138" customFormat="1" ht="71.25" customHeight="1">
      <c r="A2" s="137"/>
      <c r="B2" s="138" t="s">
        <v>23</v>
      </c>
      <c r="C2" s="138" t="s">
        <v>375</v>
      </c>
      <c r="D2" s="138" t="s">
        <v>374</v>
      </c>
      <c r="E2" s="138" t="s">
        <v>24</v>
      </c>
      <c r="F2" s="139" t="str">
        <f>Application!B627&amp;Application!C627</f>
        <v>1)Seller Carryback Loan</v>
      </c>
      <c r="G2" s="139" t="str">
        <f>Application!B628&amp;Application!C628</f>
        <v>2)HACSB GP Perm Loan</v>
      </c>
      <c r="H2" s="139" t="str">
        <f>Application!B629&amp;Application!C629</f>
        <v>3)County of Ventura General Funds</v>
      </c>
      <c r="I2" s="139" t="str">
        <f>Application!B630&amp;Application!C630</f>
        <v>4)HACSB Development Loan</v>
      </c>
      <c r="J2" s="139" t="str">
        <f>Application!B631&amp;Application!C631</f>
        <v>5)Project Homekey COSR</v>
      </c>
      <c r="K2" s="139" t="str">
        <f>Application!B632&amp;Application!C632</f>
        <v>6)City of Ventura PLHA</v>
      </c>
      <c r="L2" s="139" t="str">
        <f>Application!B633&amp;Application!C633</f>
        <v>7)HACSB Loan</v>
      </c>
      <c r="M2" s="139" t="str">
        <f>Application!B634&amp;Application!C634</f>
        <v>8)Deferred Developer Fee</v>
      </c>
      <c r="N2" s="139" t="str">
        <f>Application!B635&amp;Application!C635</f>
        <v>9)Accrued/Deferred interest</v>
      </c>
      <c r="O2" s="139" t="str">
        <f>Application!B636&amp;Application!C636</f>
        <v>10)FHLB AHP</v>
      </c>
      <c r="P2" s="139" t="str">
        <f>Application!B637&amp;Application!C637</f>
        <v>11)City of Ventura Fee Deferral</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5689647</v>
      </c>
      <c r="C4" s="147">
        <v>5689647</v>
      </c>
      <c r="D4" s="147"/>
      <c r="E4" s="147">
        <f>C4-SUM(F4:Q4)</f>
        <v>0</v>
      </c>
      <c r="F4" s="147">
        <f>C4</f>
        <v>5689647</v>
      </c>
      <c r="G4" s="147"/>
      <c r="H4" s="147"/>
      <c r="I4" s="147"/>
      <c r="J4" s="147"/>
      <c r="K4" s="147"/>
      <c r="L4" s="147"/>
      <c r="M4" s="147"/>
      <c r="N4" s="147"/>
      <c r="O4" s="147"/>
      <c r="P4" s="147"/>
      <c r="Q4" s="147"/>
      <c r="R4" s="550">
        <f>SUM(E4:Q4)</f>
        <v>5689647</v>
      </c>
      <c r="S4" s="148"/>
      <c r="T4" s="148"/>
      <c r="U4" s="143"/>
    </row>
    <row r="5" spans="1:21" s="144" customFormat="1">
      <c r="A5" s="145" t="s">
        <v>28</v>
      </c>
      <c r="B5" s="146">
        <f>SUM(C5+D5)</f>
        <v>0</v>
      </c>
      <c r="C5" s="147"/>
      <c r="D5" s="147"/>
      <c r="E5" s="147">
        <f t="shared" ref="E5:E7" si="0">C5-SUM(F5:Q5)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601</v>
      </c>
      <c r="B8" s="146">
        <f>SUM(C8:D8)</f>
        <v>5689647</v>
      </c>
      <c r="C8" s="146">
        <f t="shared" ref="C8:Q8" si="1">SUM(C4:C7)</f>
        <v>5689647</v>
      </c>
      <c r="D8" s="146">
        <f t="shared" si="1"/>
        <v>0</v>
      </c>
      <c r="E8" s="146">
        <f t="shared" si="1"/>
        <v>0</v>
      </c>
      <c r="F8" s="146">
        <f t="shared" si="1"/>
        <v>5689647</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5689647</v>
      </c>
      <c r="S8" s="148"/>
      <c r="T8" s="148"/>
      <c r="U8" s="143"/>
    </row>
    <row r="9" spans="1:21" s="144" customFormat="1">
      <c r="A9" s="145" t="s">
        <v>602</v>
      </c>
      <c r="B9" s="146">
        <f>SUM(C9+D9)</f>
        <v>29390353</v>
      </c>
      <c r="C9" s="147">
        <f>29340353+50000</f>
        <v>29390353</v>
      </c>
      <c r="D9" s="147"/>
      <c r="E9" s="147">
        <v>0</v>
      </c>
      <c r="F9" s="147">
        <f>F108-F4</f>
        <v>8862130</v>
      </c>
      <c r="G9" s="147">
        <f>G108</f>
        <v>14670783</v>
      </c>
      <c r="H9" s="147">
        <v>5500000</v>
      </c>
      <c r="I9" s="147"/>
      <c r="J9" s="147"/>
      <c r="K9" s="147">
        <v>357440</v>
      </c>
      <c r="L9" s="147"/>
      <c r="M9" s="147"/>
      <c r="N9" s="147"/>
      <c r="O9" s="147"/>
      <c r="P9" s="147"/>
      <c r="Q9" s="147"/>
      <c r="R9" s="550">
        <f>SUM(E9:Q9)</f>
        <v>29390353</v>
      </c>
      <c r="S9" s="148"/>
      <c r="T9" s="147">
        <f>R9</f>
        <v>29390353</v>
      </c>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29390353</v>
      </c>
      <c r="C11" s="146">
        <f t="shared" ref="C11:Q11" si="2">SUM(C9:C10)</f>
        <v>29390353</v>
      </c>
      <c r="D11" s="146">
        <f t="shared" si="2"/>
        <v>0</v>
      </c>
      <c r="E11" s="146">
        <f t="shared" si="2"/>
        <v>0</v>
      </c>
      <c r="F11" s="146">
        <f t="shared" si="2"/>
        <v>8862130</v>
      </c>
      <c r="G11" s="146">
        <f t="shared" si="2"/>
        <v>14670783</v>
      </c>
      <c r="H11" s="146">
        <f t="shared" si="2"/>
        <v>5500000</v>
      </c>
      <c r="I11" s="146">
        <f t="shared" si="2"/>
        <v>0</v>
      </c>
      <c r="J11" s="146">
        <f t="shared" si="2"/>
        <v>0</v>
      </c>
      <c r="K11" s="146">
        <f t="shared" si="2"/>
        <v>357440</v>
      </c>
      <c r="L11" s="146">
        <f t="shared" si="2"/>
        <v>0</v>
      </c>
      <c r="M11" s="146">
        <f t="shared" si="2"/>
        <v>0</v>
      </c>
      <c r="N11" s="146">
        <f t="shared" si="2"/>
        <v>0</v>
      </c>
      <c r="O11" s="146">
        <f t="shared" si="2"/>
        <v>0</v>
      </c>
      <c r="P11" s="146"/>
      <c r="Q11" s="146">
        <f t="shared" si="2"/>
        <v>0</v>
      </c>
      <c r="R11" s="370">
        <f>SUM(R9:R10)</f>
        <v>29390353</v>
      </c>
      <c r="S11" s="148"/>
      <c r="T11" s="150">
        <f>SUM(T9:T10)</f>
        <v>29390353</v>
      </c>
      <c r="U11" s="143"/>
    </row>
    <row r="12" spans="1:21" s="144" customFormat="1">
      <c r="A12" s="149" t="s">
        <v>84</v>
      </c>
      <c r="B12" s="146">
        <f t="shared" ref="B12:Q12" si="3">SUM(B8+B11)</f>
        <v>35080000</v>
      </c>
      <c r="C12" s="146">
        <f t="shared" si="3"/>
        <v>35080000</v>
      </c>
      <c r="D12" s="146">
        <f t="shared" si="3"/>
        <v>0</v>
      </c>
      <c r="E12" s="146">
        <f t="shared" si="3"/>
        <v>0</v>
      </c>
      <c r="F12" s="146">
        <f t="shared" si="3"/>
        <v>14551777</v>
      </c>
      <c r="G12" s="146">
        <f t="shared" si="3"/>
        <v>14670783</v>
      </c>
      <c r="H12" s="146">
        <f t="shared" si="3"/>
        <v>5500000</v>
      </c>
      <c r="I12" s="146">
        <f t="shared" si="3"/>
        <v>0</v>
      </c>
      <c r="J12" s="146">
        <f t="shared" si="3"/>
        <v>0</v>
      </c>
      <c r="K12" s="146">
        <f t="shared" si="3"/>
        <v>357440</v>
      </c>
      <c r="L12" s="146">
        <f t="shared" si="3"/>
        <v>0</v>
      </c>
      <c r="M12" s="146">
        <f t="shared" si="3"/>
        <v>0</v>
      </c>
      <c r="N12" s="146">
        <f t="shared" si="3"/>
        <v>0</v>
      </c>
      <c r="O12" s="146">
        <f t="shared" si="3"/>
        <v>0</v>
      </c>
      <c r="P12" s="146"/>
      <c r="Q12" s="146">
        <f t="shared" si="3"/>
        <v>0</v>
      </c>
      <c r="R12" s="370">
        <f>SUM(R8+R11)</f>
        <v>35080000</v>
      </c>
      <c r="S12" s="148"/>
      <c r="T12" s="148"/>
      <c r="U12" s="143"/>
    </row>
    <row r="13" spans="1:21" s="144" customFormat="1">
      <c r="A13" s="309" t="s">
        <v>917</v>
      </c>
      <c r="B13" s="146">
        <f>SUM(C13+D13)</f>
        <v>330000</v>
      </c>
      <c r="C13" s="147">
        <f>130000+200000</f>
        <v>330000</v>
      </c>
      <c r="D13" s="147"/>
      <c r="E13" s="147">
        <f>C13-SUM(F13:Q13)</f>
        <v>330000</v>
      </c>
      <c r="F13" s="147"/>
      <c r="G13" s="147"/>
      <c r="H13" s="147"/>
      <c r="I13" s="147"/>
      <c r="J13" s="147"/>
      <c r="K13" s="147"/>
      <c r="L13" s="147"/>
      <c r="M13" s="147"/>
      <c r="N13" s="147"/>
      <c r="O13" s="147"/>
      <c r="P13" s="147"/>
      <c r="Q13" s="147"/>
      <c r="R13" s="550">
        <f>SUM(E13:Q13)</f>
        <v>330000</v>
      </c>
      <c r="S13" s="147"/>
      <c r="T13" s="147">
        <v>108885</v>
      </c>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5" si="4">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4"/>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4"/>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50">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50">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50">
        <f t="shared" si="5"/>
        <v>0</v>
      </c>
      <c r="S23" s="147"/>
      <c r="T23" s="147"/>
      <c r="U23" s="143"/>
    </row>
    <row r="24" spans="1:21" s="144" customFormat="1">
      <c r="A24" s="542" t="s">
        <v>1753</v>
      </c>
      <c r="B24" s="146">
        <f t="shared" si="4"/>
        <v>0</v>
      </c>
      <c r="C24" s="147"/>
      <c r="D24" s="147"/>
      <c r="E24" s="147"/>
      <c r="F24" s="147"/>
      <c r="G24" s="147"/>
      <c r="H24" s="147"/>
      <c r="I24" s="147"/>
      <c r="J24" s="147"/>
      <c r="K24" s="147"/>
      <c r="L24" s="147"/>
      <c r="M24" s="147"/>
      <c r="N24" s="147"/>
      <c r="O24" s="147"/>
      <c r="P24" s="147"/>
      <c r="Q24" s="147"/>
      <c r="R24" s="550">
        <f t="shared" si="5"/>
        <v>0</v>
      </c>
      <c r="S24" s="147"/>
      <c r="T24" s="147"/>
      <c r="U24" s="143"/>
    </row>
    <row r="25" spans="1:21" s="144" customFormat="1">
      <c r="A25" s="1193" t="s">
        <v>34</v>
      </c>
      <c r="B25" s="146">
        <f t="shared" si="4"/>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c r="A26" s="149" t="s">
        <v>133</v>
      </c>
      <c r="B26" s="146">
        <f t="shared" ref="B26" si="6">SUM(C26+D26)</f>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0</v>
      </c>
      <c r="S26" s="150">
        <f>SUM(S17:S25)</f>
        <v>0</v>
      </c>
      <c r="T26" s="150">
        <f>SUM(T17:T25)</f>
        <v>0</v>
      </c>
      <c r="U26" s="143"/>
    </row>
    <row r="27" spans="1:21" s="144" customFormat="1">
      <c r="A27" s="149" t="s">
        <v>141</v>
      </c>
      <c r="B27" s="146">
        <f>SUM(C27:D27)</f>
        <v>90000</v>
      </c>
      <c r="C27" s="147">
        <v>90000</v>
      </c>
      <c r="D27" s="147"/>
      <c r="E27" s="147">
        <f>C27-SUM(F27:Q27)</f>
        <v>90000</v>
      </c>
      <c r="F27" s="147"/>
      <c r="G27" s="147"/>
      <c r="H27" s="147"/>
      <c r="I27" s="147"/>
      <c r="J27" s="147"/>
      <c r="K27" s="147"/>
      <c r="L27" s="147"/>
      <c r="M27" s="147"/>
      <c r="N27" s="147"/>
      <c r="O27" s="147"/>
      <c r="P27" s="147"/>
      <c r="Q27" s="147"/>
      <c r="R27" s="550">
        <f t="shared" si="5"/>
        <v>90000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7" si="8">SUM(C29+D29)</f>
        <v>4569444.444444445</v>
      </c>
      <c r="C29" s="147">
        <v>4569444.444444445</v>
      </c>
      <c r="D29" s="147"/>
      <c r="E29" s="147">
        <f>C29-SUM(F29:Q29)</f>
        <v>4569444.444444445</v>
      </c>
      <c r="F29" s="147"/>
      <c r="G29" s="147"/>
      <c r="H29" s="147"/>
      <c r="I29" s="147"/>
      <c r="J29" s="147"/>
      <c r="K29" s="147"/>
      <c r="L29" s="147"/>
      <c r="M29" s="147"/>
      <c r="N29" s="147"/>
      <c r="O29" s="147"/>
      <c r="P29" s="147"/>
      <c r="Q29" s="147"/>
      <c r="R29" s="550">
        <f t="shared" ref="R29:R37" si="9">SUM(E29:Q29)</f>
        <v>4569444.444444445</v>
      </c>
      <c r="S29" s="147">
        <f>R29</f>
        <v>4569444.444444445</v>
      </c>
      <c r="T29" s="147"/>
      <c r="U29" s="143"/>
    </row>
    <row r="30" spans="1:21" s="144" customFormat="1">
      <c r="A30" s="145" t="s">
        <v>607</v>
      </c>
      <c r="B30" s="146">
        <f t="shared" si="8"/>
        <v>14718888.888888888</v>
      </c>
      <c r="C30" s="147">
        <f>22500000-SUM(C29,C31,C32:C35)</f>
        <v>14718888.888888888</v>
      </c>
      <c r="D30" s="147"/>
      <c r="E30" s="147">
        <f t="shared" ref="E30:E37" si="10">C30-SUM(F30:Q30)</f>
        <v>11337036.888888888</v>
      </c>
      <c r="F30" s="147"/>
      <c r="G30" s="147"/>
      <c r="H30" s="147"/>
      <c r="I30" s="147">
        <v>1000000</v>
      </c>
      <c r="J30" s="147"/>
      <c r="K30" s="147">
        <f>K108-K9</f>
        <v>1381852</v>
      </c>
      <c r="L30" s="147"/>
      <c r="M30" s="147"/>
      <c r="N30" s="147"/>
      <c r="O30" s="147">
        <v>1000000</v>
      </c>
      <c r="P30" s="147"/>
      <c r="Q30" s="147"/>
      <c r="R30" s="550">
        <f t="shared" si="9"/>
        <v>14718888.888888888</v>
      </c>
      <c r="S30" s="147">
        <f t="shared" ref="S30:S37" si="11">R30</f>
        <v>14718888.888888888</v>
      </c>
      <c r="T30" s="147"/>
      <c r="U30" s="143"/>
    </row>
    <row r="31" spans="1:21" s="144" customFormat="1">
      <c r="A31" s="145" t="s">
        <v>608</v>
      </c>
      <c r="B31" s="146">
        <f t="shared" si="8"/>
        <v>1253333.3333333335</v>
      </c>
      <c r="C31" s="147">
        <v>1253333.3333333335</v>
      </c>
      <c r="D31" s="147"/>
      <c r="E31" s="147">
        <f t="shared" si="10"/>
        <v>1253333.3333333335</v>
      </c>
      <c r="F31" s="147"/>
      <c r="G31" s="147"/>
      <c r="H31" s="147"/>
      <c r="I31" s="147"/>
      <c r="J31" s="147"/>
      <c r="K31" s="147"/>
      <c r="L31" s="147"/>
      <c r="M31" s="147"/>
      <c r="N31" s="147"/>
      <c r="O31" s="147"/>
      <c r="P31" s="147"/>
      <c r="Q31" s="147"/>
      <c r="R31" s="550">
        <f t="shared" si="9"/>
        <v>1253333.3333333335</v>
      </c>
      <c r="S31" s="147">
        <f t="shared" si="11"/>
        <v>1253333.3333333335</v>
      </c>
      <c r="T31" s="147"/>
      <c r="U31" s="143"/>
    </row>
    <row r="32" spans="1:21" s="144" customFormat="1">
      <c r="A32" s="145" t="s">
        <v>137</v>
      </c>
      <c r="B32" s="146">
        <f t="shared" si="8"/>
        <v>822500.00000000012</v>
      </c>
      <c r="C32" s="147">
        <v>822500.00000000012</v>
      </c>
      <c r="D32" s="147"/>
      <c r="E32" s="147">
        <f t="shared" si="10"/>
        <v>822500.00000000012</v>
      </c>
      <c r="F32" s="147"/>
      <c r="G32" s="147"/>
      <c r="H32" s="147"/>
      <c r="I32" s="147"/>
      <c r="J32" s="147"/>
      <c r="K32" s="147"/>
      <c r="L32" s="147"/>
      <c r="M32" s="147"/>
      <c r="N32" s="147"/>
      <c r="O32" s="147"/>
      <c r="P32" s="147"/>
      <c r="Q32" s="147"/>
      <c r="R32" s="550">
        <f t="shared" si="9"/>
        <v>822500.00000000012</v>
      </c>
      <c r="S32" s="147">
        <f t="shared" si="11"/>
        <v>822500.00000000012</v>
      </c>
      <c r="T32" s="147"/>
      <c r="U32" s="143"/>
    </row>
    <row r="33" spans="1:21" s="144" customFormat="1">
      <c r="A33" s="145" t="s">
        <v>138</v>
      </c>
      <c r="B33" s="146">
        <f t="shared" si="8"/>
        <v>822500.00000000012</v>
      </c>
      <c r="C33" s="147">
        <v>822500.00000000012</v>
      </c>
      <c r="D33" s="147"/>
      <c r="E33" s="147">
        <f t="shared" si="10"/>
        <v>822500.00000000012</v>
      </c>
      <c r="F33" s="147"/>
      <c r="G33" s="147"/>
      <c r="H33" s="147"/>
      <c r="I33" s="147"/>
      <c r="J33" s="147"/>
      <c r="K33" s="147"/>
      <c r="L33" s="147"/>
      <c r="M33" s="147"/>
      <c r="N33" s="147"/>
      <c r="O33" s="147"/>
      <c r="P33" s="147"/>
      <c r="Q33" s="147"/>
      <c r="R33" s="550">
        <f t="shared" si="9"/>
        <v>822500.00000000012</v>
      </c>
      <c r="S33" s="147">
        <f t="shared" si="11"/>
        <v>822500.00000000012</v>
      </c>
      <c r="T33" s="147"/>
      <c r="U33" s="143"/>
    </row>
    <row r="34" spans="1:21" s="144" customFormat="1">
      <c r="A34" s="145" t="s">
        <v>139</v>
      </c>
      <c r="B34" s="146">
        <f t="shared" si="8"/>
        <v>0</v>
      </c>
      <c r="C34" s="147"/>
      <c r="D34" s="147"/>
      <c r="E34" s="147">
        <f t="shared" si="10"/>
        <v>0</v>
      </c>
      <c r="F34" s="147"/>
      <c r="G34" s="147"/>
      <c r="H34" s="147"/>
      <c r="I34" s="147"/>
      <c r="J34" s="147"/>
      <c r="K34" s="147"/>
      <c r="L34" s="147"/>
      <c r="M34" s="147"/>
      <c r="N34" s="147"/>
      <c r="O34" s="147"/>
      <c r="P34" s="147"/>
      <c r="Q34" s="147"/>
      <c r="R34" s="550">
        <f t="shared" si="9"/>
        <v>0</v>
      </c>
      <c r="S34" s="147">
        <f t="shared" si="11"/>
        <v>0</v>
      </c>
      <c r="T34" s="147"/>
      <c r="U34" s="143"/>
    </row>
    <row r="35" spans="1:21" s="144" customFormat="1">
      <c r="A35" s="145" t="s">
        <v>140</v>
      </c>
      <c r="B35" s="146">
        <f t="shared" si="8"/>
        <v>313333.33333333337</v>
      </c>
      <c r="C35" s="147">
        <v>313333.33333333337</v>
      </c>
      <c r="D35" s="147"/>
      <c r="E35" s="147">
        <f t="shared" si="10"/>
        <v>313333.33333333337</v>
      </c>
      <c r="F35" s="147"/>
      <c r="G35" s="147"/>
      <c r="H35" s="147"/>
      <c r="I35" s="147"/>
      <c r="J35" s="147"/>
      <c r="K35" s="147"/>
      <c r="L35" s="147"/>
      <c r="M35" s="147"/>
      <c r="N35" s="147"/>
      <c r="O35" s="147"/>
      <c r="P35" s="147"/>
      <c r="Q35" s="147"/>
      <c r="R35" s="550">
        <f t="shared" si="9"/>
        <v>313333.33333333337</v>
      </c>
      <c r="S35" s="147">
        <f t="shared" si="11"/>
        <v>313333.33333333337</v>
      </c>
      <c r="T35" s="147"/>
      <c r="U35" s="143"/>
    </row>
    <row r="36" spans="1:21" s="144" customFormat="1">
      <c r="A36" s="304" t="s">
        <v>1753</v>
      </c>
      <c r="B36" s="146">
        <f t="shared" si="8"/>
        <v>210000</v>
      </c>
      <c r="C36" s="147">
        <v>210000</v>
      </c>
      <c r="D36" s="147"/>
      <c r="E36" s="147">
        <f t="shared" si="10"/>
        <v>210000</v>
      </c>
      <c r="F36" s="147"/>
      <c r="G36" s="147"/>
      <c r="H36" s="147"/>
      <c r="I36" s="147"/>
      <c r="J36" s="147"/>
      <c r="K36" s="147"/>
      <c r="L36" s="147"/>
      <c r="M36" s="147"/>
      <c r="N36" s="147"/>
      <c r="O36" s="147"/>
      <c r="P36" s="147"/>
      <c r="Q36" s="147"/>
      <c r="R36" s="550">
        <f t="shared" si="9"/>
        <v>210000</v>
      </c>
      <c r="S36" s="147">
        <f t="shared" si="11"/>
        <v>210000</v>
      </c>
      <c r="T36" s="147"/>
      <c r="U36" s="143"/>
    </row>
    <row r="37" spans="1:21" s="144" customFormat="1">
      <c r="A37" s="1193" t="s">
        <v>34</v>
      </c>
      <c r="B37" s="146">
        <f t="shared" si="8"/>
        <v>0</v>
      </c>
      <c r="C37" s="147"/>
      <c r="D37" s="147"/>
      <c r="E37" s="147">
        <f t="shared" si="10"/>
        <v>0</v>
      </c>
      <c r="F37" s="147"/>
      <c r="G37" s="147"/>
      <c r="H37" s="147"/>
      <c r="I37" s="147"/>
      <c r="J37" s="147"/>
      <c r="K37" s="147"/>
      <c r="L37" s="147"/>
      <c r="M37" s="147"/>
      <c r="N37" s="147"/>
      <c r="O37" s="147"/>
      <c r="P37" s="147"/>
      <c r="Q37" s="147"/>
      <c r="R37" s="550">
        <f t="shared" si="9"/>
        <v>0</v>
      </c>
      <c r="S37" s="147">
        <f t="shared" si="11"/>
        <v>0</v>
      </c>
      <c r="T37" s="147"/>
      <c r="U37" s="143"/>
    </row>
    <row r="38" spans="1:21" s="144" customFormat="1">
      <c r="A38" s="149" t="s">
        <v>143</v>
      </c>
      <c r="B38" s="146">
        <f t="shared" ref="B38" si="12">SUM(C38+D38)</f>
        <v>22709999.999999996</v>
      </c>
      <c r="C38" s="146">
        <f>SUM(C29:C37)</f>
        <v>22709999.999999996</v>
      </c>
      <c r="D38" s="146">
        <f t="shared" ref="D38:Q38" si="13">SUM(D29:D37)</f>
        <v>0</v>
      </c>
      <c r="E38" s="146">
        <f t="shared" si="13"/>
        <v>19328147.999999996</v>
      </c>
      <c r="F38" s="146">
        <f t="shared" si="13"/>
        <v>0</v>
      </c>
      <c r="G38" s="146">
        <f t="shared" si="13"/>
        <v>0</v>
      </c>
      <c r="H38" s="146">
        <f t="shared" si="13"/>
        <v>0</v>
      </c>
      <c r="I38" s="146">
        <f t="shared" si="13"/>
        <v>1000000</v>
      </c>
      <c r="J38" s="146">
        <f t="shared" si="13"/>
        <v>0</v>
      </c>
      <c r="K38" s="146">
        <f t="shared" si="13"/>
        <v>1381852</v>
      </c>
      <c r="L38" s="146">
        <f t="shared" si="13"/>
        <v>0</v>
      </c>
      <c r="M38" s="146">
        <f t="shared" si="13"/>
        <v>0</v>
      </c>
      <c r="N38" s="146">
        <f t="shared" si="13"/>
        <v>0</v>
      </c>
      <c r="O38" s="146">
        <f t="shared" si="13"/>
        <v>1000000</v>
      </c>
      <c r="P38" s="146">
        <f t="shared" si="13"/>
        <v>0</v>
      </c>
      <c r="Q38" s="146">
        <f t="shared" si="13"/>
        <v>0</v>
      </c>
      <c r="R38" s="370">
        <f>SUM(R29:R37)</f>
        <v>22709999.999999996</v>
      </c>
      <c r="S38" s="150">
        <f>SUM(S29:S37)</f>
        <v>22709999.999999996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1281108</v>
      </c>
      <c r="C40" s="147">
        <v>1281108</v>
      </c>
      <c r="D40" s="147"/>
      <c r="E40" s="147">
        <f t="shared" ref="E40:E41" si="14">C40-SUM(F40:Q40)</f>
        <v>1281108</v>
      </c>
      <c r="F40" s="147"/>
      <c r="G40" s="147"/>
      <c r="H40" s="147"/>
      <c r="I40" s="147"/>
      <c r="J40" s="147"/>
      <c r="K40" s="147"/>
      <c r="L40" s="147"/>
      <c r="M40" s="147"/>
      <c r="N40" s="147"/>
      <c r="O40" s="147"/>
      <c r="P40" s="147"/>
      <c r="Q40" s="147"/>
      <c r="R40" s="550">
        <f>SUM(E40:Q40)</f>
        <v>1281108</v>
      </c>
      <c r="S40" s="147">
        <f>R40</f>
        <v>1281108</v>
      </c>
      <c r="T40" s="147"/>
      <c r="U40" s="143"/>
    </row>
    <row r="41" spans="1:21" s="144" customFormat="1">
      <c r="A41" s="145" t="s">
        <v>146</v>
      </c>
      <c r="B41" s="146">
        <f>SUM(C41+D41)</f>
        <v>226078</v>
      </c>
      <c r="C41" s="147">
        <v>226078</v>
      </c>
      <c r="D41" s="147"/>
      <c r="E41" s="147">
        <f t="shared" si="14"/>
        <v>226078</v>
      </c>
      <c r="F41" s="147"/>
      <c r="G41" s="147"/>
      <c r="H41" s="147"/>
      <c r="I41" s="147"/>
      <c r="J41" s="147"/>
      <c r="K41" s="147"/>
      <c r="L41" s="147"/>
      <c r="M41" s="147"/>
      <c r="N41" s="147"/>
      <c r="O41" s="147"/>
      <c r="P41" s="147"/>
      <c r="Q41" s="147"/>
      <c r="R41" s="550">
        <f>SUM(E41:Q41)</f>
        <v>226078</v>
      </c>
      <c r="S41" s="147">
        <f>R41</f>
        <v>226078</v>
      </c>
      <c r="T41" s="147"/>
      <c r="U41" s="143"/>
    </row>
    <row r="42" spans="1:21" s="144" customFormat="1">
      <c r="A42" s="149" t="s">
        <v>147</v>
      </c>
      <c r="B42" s="146">
        <f>SUM(C42:D42)</f>
        <v>1507186</v>
      </c>
      <c r="C42" s="146">
        <f>SUM(C39:C41)</f>
        <v>1507186</v>
      </c>
      <c r="D42" s="146">
        <f>SUM(D39:D41)</f>
        <v>0</v>
      </c>
      <c r="E42" s="146">
        <f t="shared" ref="E42:T42" si="15">SUM(E40:E41)</f>
        <v>1507186</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70">
        <f>SUM(R40:R41)</f>
        <v>1507186</v>
      </c>
      <c r="S42" s="150">
        <f t="shared" si="15"/>
        <v>1507186</v>
      </c>
      <c r="T42" s="150">
        <f t="shared" si="15"/>
        <v>0</v>
      </c>
      <c r="U42" s="143"/>
    </row>
    <row r="43" spans="1:21" s="144" customFormat="1">
      <c r="A43" s="149" t="s">
        <v>148</v>
      </c>
      <c r="B43" s="146">
        <f>SUM(C43:D43)</f>
        <v>185000</v>
      </c>
      <c r="C43" s="147">
        <f>150000+35000</f>
        <v>185000</v>
      </c>
      <c r="D43" s="147"/>
      <c r="E43" s="147">
        <f t="shared" ref="E43" si="16">C43-SUM(F43:Q43)</f>
        <v>185000</v>
      </c>
      <c r="F43" s="147"/>
      <c r="G43" s="147"/>
      <c r="H43" s="147"/>
      <c r="I43" s="147"/>
      <c r="J43" s="147"/>
      <c r="K43" s="147"/>
      <c r="L43" s="147"/>
      <c r="M43" s="147"/>
      <c r="N43" s="147"/>
      <c r="O43" s="147"/>
      <c r="P43" s="147"/>
      <c r="Q43" s="147"/>
      <c r="R43" s="550">
        <f>SUM(E43:Q43)</f>
        <v>185000</v>
      </c>
      <c r="S43" s="147">
        <f>R43</f>
        <v>185000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4744736</v>
      </c>
      <c r="C45" s="147">
        <f>4824018-79282</f>
        <v>4744736</v>
      </c>
      <c r="D45" s="147"/>
      <c r="E45" s="147">
        <f t="shared" ref="E45:E53" si="18">C45-SUM(F45:Q45)</f>
        <v>4744736</v>
      </c>
      <c r="F45" s="147"/>
      <c r="G45" s="147"/>
      <c r="H45" s="147"/>
      <c r="I45" s="147"/>
      <c r="J45" s="147"/>
      <c r="K45" s="147"/>
      <c r="L45" s="147"/>
      <c r="M45" s="147"/>
      <c r="N45" s="147"/>
      <c r="O45" s="147"/>
      <c r="P45" s="147"/>
      <c r="Q45" s="147"/>
      <c r="R45" s="550">
        <f t="shared" ref="R45:R53" si="19">SUM(E45:Q45)</f>
        <v>4744736</v>
      </c>
      <c r="S45" s="147">
        <f>3357388</f>
        <v>3357388</v>
      </c>
      <c r="T45" s="147"/>
      <c r="U45" s="143"/>
    </row>
    <row r="46" spans="1:21" s="144" customFormat="1">
      <c r="A46" s="145" t="s">
        <v>151</v>
      </c>
      <c r="B46" s="146">
        <f t="shared" si="17"/>
        <v>329320</v>
      </c>
      <c r="C46" s="147">
        <v>329320</v>
      </c>
      <c r="D46" s="147"/>
      <c r="E46" s="147">
        <f t="shared" si="18"/>
        <v>329320</v>
      </c>
      <c r="F46" s="147"/>
      <c r="G46" s="147"/>
      <c r="H46" s="147"/>
      <c r="I46" s="147"/>
      <c r="J46" s="147"/>
      <c r="K46" s="147"/>
      <c r="L46" s="147"/>
      <c r="M46" s="147"/>
      <c r="N46" s="147"/>
      <c r="O46" s="147"/>
      <c r="P46" s="147"/>
      <c r="Q46" s="147"/>
      <c r="R46" s="550">
        <f t="shared" si="19"/>
        <v>329320</v>
      </c>
      <c r="S46" s="147">
        <v>233027</v>
      </c>
      <c r="T46" s="147"/>
      <c r="U46" s="143"/>
    </row>
    <row r="47" spans="1:21" s="144" customFormat="1">
      <c r="A47" s="198" t="s">
        <v>152</v>
      </c>
      <c r="B47" s="146">
        <f t="shared" si="17"/>
        <v>45000</v>
      </c>
      <c r="C47" s="147">
        <v>45000</v>
      </c>
      <c r="D47" s="147"/>
      <c r="E47" s="147">
        <f t="shared" si="18"/>
        <v>45000</v>
      </c>
      <c r="F47" s="147"/>
      <c r="G47" s="147"/>
      <c r="H47" s="147"/>
      <c r="I47" s="147"/>
      <c r="J47" s="147"/>
      <c r="K47" s="147"/>
      <c r="L47" s="147"/>
      <c r="M47" s="147"/>
      <c r="N47" s="147"/>
      <c r="O47" s="147"/>
      <c r="P47" s="147"/>
      <c r="Q47" s="147"/>
      <c r="R47" s="550">
        <f t="shared" si="19"/>
        <v>45000</v>
      </c>
      <c r="S47" s="147">
        <v>31842</v>
      </c>
      <c r="T47" s="147"/>
      <c r="U47" s="143"/>
    </row>
    <row r="48" spans="1:21" s="144" customFormat="1">
      <c r="A48" s="145" t="s">
        <v>153</v>
      </c>
      <c r="B48" s="146">
        <f t="shared" si="17"/>
        <v>0</v>
      </c>
      <c r="C48" s="147"/>
      <c r="D48" s="147"/>
      <c r="E48" s="147"/>
      <c r="F48" s="147"/>
      <c r="G48" s="147"/>
      <c r="H48" s="147"/>
      <c r="I48" s="147"/>
      <c r="J48" s="147"/>
      <c r="K48" s="147"/>
      <c r="L48" s="147"/>
      <c r="M48" s="147"/>
      <c r="N48" s="147"/>
      <c r="O48" s="147"/>
      <c r="P48" s="147"/>
      <c r="Q48" s="147"/>
      <c r="R48" s="550">
        <f t="shared" si="19"/>
        <v>0</v>
      </c>
      <c r="S48" s="147"/>
      <c r="T48" s="147"/>
      <c r="U48" s="143"/>
    </row>
    <row r="49" spans="1:21" s="144" customFormat="1">
      <c r="A49" s="145" t="s">
        <v>57</v>
      </c>
      <c r="B49" s="146">
        <f t="shared" si="17"/>
        <v>41058</v>
      </c>
      <c r="C49" s="147">
        <f>42558-1500</f>
        <v>41058</v>
      </c>
      <c r="D49" s="147"/>
      <c r="E49" s="147">
        <f t="shared" si="18"/>
        <v>41058</v>
      </c>
      <c r="F49" s="147"/>
      <c r="G49" s="147"/>
      <c r="H49" s="147"/>
      <c r="I49" s="147"/>
      <c r="J49" s="147"/>
      <c r="K49" s="147"/>
      <c r="L49" s="147"/>
      <c r="M49" s="147"/>
      <c r="N49" s="147"/>
      <c r="O49" s="147"/>
      <c r="P49" s="147"/>
      <c r="Q49" s="147"/>
      <c r="R49" s="550">
        <f t="shared" si="19"/>
        <v>41058</v>
      </c>
      <c r="S49" s="147"/>
      <c r="T49" s="147"/>
      <c r="U49" s="143"/>
    </row>
    <row r="50" spans="1:21" s="144" customFormat="1">
      <c r="A50" s="145" t="s">
        <v>156</v>
      </c>
      <c r="B50" s="146">
        <f t="shared" si="17"/>
        <v>0</v>
      </c>
      <c r="C50" s="147"/>
      <c r="D50" s="147"/>
      <c r="E50" s="147">
        <f t="shared" si="18"/>
        <v>0</v>
      </c>
      <c r="F50" s="147"/>
      <c r="G50" s="147"/>
      <c r="H50" s="147"/>
      <c r="I50" s="147"/>
      <c r="J50" s="147"/>
      <c r="K50" s="147"/>
      <c r="L50" s="147"/>
      <c r="M50" s="147"/>
      <c r="N50" s="147"/>
      <c r="O50" s="147"/>
      <c r="P50" s="147"/>
      <c r="Q50" s="147"/>
      <c r="R50" s="550">
        <f t="shared" si="19"/>
        <v>0</v>
      </c>
      <c r="S50" s="147"/>
      <c r="T50" s="147"/>
      <c r="U50" s="143"/>
    </row>
    <row r="51" spans="1:21" s="144" customFormat="1">
      <c r="A51" s="304" t="s">
        <v>154</v>
      </c>
      <c r="B51" s="146">
        <f t="shared" si="17"/>
        <v>197529</v>
      </c>
      <c r="C51" s="147">
        <v>197529</v>
      </c>
      <c r="D51" s="147"/>
      <c r="E51" s="147">
        <f t="shared" si="18"/>
        <v>197529</v>
      </c>
      <c r="F51" s="147"/>
      <c r="G51" s="147"/>
      <c r="H51" s="147"/>
      <c r="I51" s="147"/>
      <c r="J51" s="147"/>
      <c r="K51" s="147"/>
      <c r="L51" s="147"/>
      <c r="M51" s="147"/>
      <c r="N51" s="147"/>
      <c r="O51" s="147"/>
      <c r="P51" s="147"/>
      <c r="Q51" s="147"/>
      <c r="R51" s="550">
        <f t="shared" si="19"/>
        <v>197529</v>
      </c>
      <c r="S51" s="147">
        <f>R51</f>
        <v>197529</v>
      </c>
      <c r="T51" s="147"/>
      <c r="U51" s="143"/>
    </row>
    <row r="52" spans="1:21" s="144" customFormat="1">
      <c r="A52" s="145" t="s">
        <v>155</v>
      </c>
      <c r="B52" s="146">
        <f t="shared" si="17"/>
        <v>500000</v>
      </c>
      <c r="C52" s="147">
        <v>500000</v>
      </c>
      <c r="D52" s="147"/>
      <c r="E52" s="147">
        <f t="shared" si="18"/>
        <v>500000</v>
      </c>
      <c r="F52" s="147"/>
      <c r="G52" s="147"/>
      <c r="H52" s="147"/>
      <c r="I52" s="147"/>
      <c r="J52" s="147"/>
      <c r="K52" s="147"/>
      <c r="L52" s="147"/>
      <c r="M52" s="147"/>
      <c r="N52" s="147"/>
      <c r="O52" s="147"/>
      <c r="P52" s="147"/>
      <c r="Q52" s="147"/>
      <c r="R52" s="550">
        <f t="shared" si="19"/>
        <v>500000</v>
      </c>
      <c r="S52" s="147">
        <f>R52</f>
        <v>500000</v>
      </c>
      <c r="T52" s="147"/>
      <c r="U52" s="143"/>
    </row>
    <row r="53" spans="1:21" s="144" customFormat="1">
      <c r="A53" s="1193" t="s">
        <v>2727</v>
      </c>
      <c r="B53" s="146">
        <f t="shared" si="17"/>
        <v>1948170</v>
      </c>
      <c r="C53" s="147">
        <f>1968083-19913</f>
        <v>1948170</v>
      </c>
      <c r="D53" s="147"/>
      <c r="E53" s="147">
        <f t="shared" si="18"/>
        <v>0</v>
      </c>
      <c r="F53" s="147"/>
      <c r="G53" s="147"/>
      <c r="H53" s="147"/>
      <c r="I53" s="147"/>
      <c r="J53" s="147"/>
      <c r="K53" s="147"/>
      <c r="L53" s="147"/>
      <c r="M53" s="147"/>
      <c r="N53" s="147">
        <f>C53</f>
        <v>1948170</v>
      </c>
      <c r="O53" s="147"/>
      <c r="P53" s="147"/>
      <c r="Q53" s="147"/>
      <c r="R53" s="550">
        <f t="shared" si="19"/>
        <v>1948170</v>
      </c>
      <c r="S53" s="147">
        <v>319343</v>
      </c>
      <c r="T53" s="147"/>
      <c r="U53" s="143"/>
    </row>
    <row r="54" spans="1:21" s="153" customFormat="1">
      <c r="A54" s="149" t="s">
        <v>157</v>
      </c>
      <c r="B54" s="150">
        <f>SUM(C54:D54)</f>
        <v>7805813</v>
      </c>
      <c r="C54" s="150">
        <f t="shared" ref="C54:T54" si="20">SUM(C45:C53)</f>
        <v>7805813</v>
      </c>
      <c r="D54" s="150">
        <f t="shared" si="20"/>
        <v>0</v>
      </c>
      <c r="E54" s="150">
        <f t="shared" si="20"/>
        <v>5857643</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1948170</v>
      </c>
      <c r="O54" s="150">
        <f t="shared" si="20"/>
        <v>0</v>
      </c>
      <c r="P54" s="150">
        <f t="shared" si="20"/>
        <v>0</v>
      </c>
      <c r="Q54" s="150">
        <f t="shared" si="20"/>
        <v>0</v>
      </c>
      <c r="R54" s="370">
        <f t="shared" si="20"/>
        <v>7805813</v>
      </c>
      <c r="S54" s="150">
        <f t="shared" si="20"/>
        <v>4639129</v>
      </c>
      <c r="T54" s="150">
        <f t="shared" si="20"/>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0</v>
      </c>
      <c r="C56" s="147"/>
      <c r="D56" s="147"/>
      <c r="E56" s="147">
        <f t="shared" ref="E56:E61" si="22">C56-SUM(F56:Q56)</f>
        <v>0</v>
      </c>
      <c r="F56" s="147"/>
      <c r="G56" s="147"/>
      <c r="H56" s="147"/>
      <c r="I56" s="147"/>
      <c r="J56" s="147"/>
      <c r="K56" s="147"/>
      <c r="L56" s="147"/>
      <c r="M56" s="147"/>
      <c r="N56" s="147"/>
      <c r="O56" s="147"/>
      <c r="P56" s="147"/>
      <c r="Q56" s="147"/>
      <c r="R56" s="550">
        <f t="shared" ref="R56:R61" si="23">SUM(E56:Q56)</f>
        <v>0</v>
      </c>
      <c r="S56" s="148"/>
      <c r="T56" s="148"/>
      <c r="U56" s="143"/>
    </row>
    <row r="57" spans="1:21" s="204" customFormat="1">
      <c r="A57" s="198" t="s">
        <v>152</v>
      </c>
      <c r="B57" s="205">
        <f t="shared" si="21"/>
        <v>0</v>
      </c>
      <c r="C57" s="202"/>
      <c r="D57" s="202"/>
      <c r="E57" s="202">
        <f t="shared" si="22"/>
        <v>0</v>
      </c>
      <c r="F57" s="202"/>
      <c r="G57" s="202"/>
      <c r="H57" s="202"/>
      <c r="I57" s="202"/>
      <c r="J57" s="202"/>
      <c r="K57" s="202"/>
      <c r="L57" s="202"/>
      <c r="M57" s="202"/>
      <c r="N57" s="202"/>
      <c r="O57" s="202"/>
      <c r="P57" s="202"/>
      <c r="Q57" s="202"/>
      <c r="R57" s="550">
        <f t="shared" si="23"/>
        <v>0</v>
      </c>
      <c r="S57" s="206"/>
      <c r="T57" s="206"/>
      <c r="U57" s="203"/>
    </row>
    <row r="58" spans="1:21" s="144" customFormat="1">
      <c r="A58" s="145" t="s">
        <v>156</v>
      </c>
      <c r="B58" s="146">
        <f t="shared" si="21"/>
        <v>0</v>
      </c>
      <c r="C58" s="147"/>
      <c r="D58" s="147"/>
      <c r="E58" s="147">
        <f t="shared" si="22"/>
        <v>0</v>
      </c>
      <c r="F58" s="147"/>
      <c r="G58" s="147"/>
      <c r="H58" s="147"/>
      <c r="I58" s="147"/>
      <c r="J58" s="147"/>
      <c r="K58" s="147"/>
      <c r="L58" s="147"/>
      <c r="M58" s="147"/>
      <c r="N58" s="147"/>
      <c r="O58" s="147"/>
      <c r="P58" s="147"/>
      <c r="Q58" s="147"/>
      <c r="R58" s="550">
        <f t="shared" si="23"/>
        <v>0</v>
      </c>
      <c r="S58" s="148"/>
      <c r="T58" s="148"/>
      <c r="U58" s="143"/>
    </row>
    <row r="59" spans="1:21" s="144" customFormat="1">
      <c r="A59" s="304" t="s">
        <v>154</v>
      </c>
      <c r="B59" s="146">
        <f t="shared" si="21"/>
        <v>0</v>
      </c>
      <c r="C59" s="147"/>
      <c r="D59" s="147"/>
      <c r="E59" s="147">
        <f t="shared" si="22"/>
        <v>0</v>
      </c>
      <c r="F59" s="147"/>
      <c r="G59" s="147"/>
      <c r="H59" s="147"/>
      <c r="I59" s="147"/>
      <c r="J59" s="147"/>
      <c r="K59" s="147"/>
      <c r="L59" s="147"/>
      <c r="M59" s="147"/>
      <c r="N59" s="147"/>
      <c r="O59" s="147"/>
      <c r="P59" s="147"/>
      <c r="Q59" s="147"/>
      <c r="R59" s="550">
        <f t="shared" si="23"/>
        <v>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50">
        <f t="shared" si="23"/>
        <v>0</v>
      </c>
      <c r="S60" s="148"/>
      <c r="T60" s="148"/>
      <c r="U60" s="143"/>
    </row>
    <row r="61" spans="1:21" s="144" customFormat="1">
      <c r="A61" s="1193" t="s">
        <v>2778</v>
      </c>
      <c r="B61" s="146">
        <f t="shared" si="21"/>
        <v>30000</v>
      </c>
      <c r="C61" s="147">
        <v>30000</v>
      </c>
      <c r="D61" s="147"/>
      <c r="E61" s="147">
        <f t="shared" si="22"/>
        <v>30000</v>
      </c>
      <c r="F61" s="147"/>
      <c r="G61" s="147"/>
      <c r="H61" s="147"/>
      <c r="I61" s="147"/>
      <c r="J61" s="147"/>
      <c r="K61" s="147"/>
      <c r="L61" s="147"/>
      <c r="M61" s="147"/>
      <c r="N61" s="147"/>
      <c r="O61" s="147"/>
      <c r="P61" s="147"/>
      <c r="Q61" s="147"/>
      <c r="R61" s="550">
        <f t="shared" si="23"/>
        <v>30000</v>
      </c>
      <c r="S61" s="148"/>
      <c r="T61" s="148"/>
      <c r="U61" s="143"/>
    </row>
    <row r="62" spans="1:21" s="144" customFormat="1" ht="13.7" customHeight="1">
      <c r="A62" s="149" t="s">
        <v>302</v>
      </c>
      <c r="B62" s="146">
        <f>SUM(C62:D62)</f>
        <v>30000</v>
      </c>
      <c r="C62" s="146">
        <f t="shared" ref="C62:R62" si="24">SUM(C56:C61)</f>
        <v>30000</v>
      </c>
      <c r="D62" s="146">
        <f t="shared" si="24"/>
        <v>0</v>
      </c>
      <c r="E62" s="146">
        <f t="shared" si="24"/>
        <v>30000</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70">
        <f t="shared" si="24"/>
        <v>30000</v>
      </c>
      <c r="S62" s="148"/>
      <c r="T62" s="148"/>
      <c r="U62" s="143"/>
    </row>
    <row r="63" spans="1:21" s="144" customFormat="1">
      <c r="A63" s="154" t="s">
        <v>303</v>
      </c>
      <c r="B63" s="146">
        <f t="shared" ref="B63:R63" si="25">SUM(B8+B11+B13+B14+B15+B26+B27+B38+B42+B43+B54+B62)</f>
        <v>67737999</v>
      </c>
      <c r="C63" s="146">
        <f t="shared" si="25"/>
        <v>67737999</v>
      </c>
      <c r="D63" s="146">
        <f t="shared" si="25"/>
        <v>0</v>
      </c>
      <c r="E63" s="146">
        <f t="shared" si="25"/>
        <v>27327976.999999996</v>
      </c>
      <c r="F63" s="146">
        <f t="shared" si="25"/>
        <v>14551777</v>
      </c>
      <c r="G63" s="146">
        <f t="shared" si="25"/>
        <v>14670783</v>
      </c>
      <c r="H63" s="146">
        <f t="shared" si="25"/>
        <v>5500000</v>
      </c>
      <c r="I63" s="146">
        <f t="shared" si="25"/>
        <v>1000000</v>
      </c>
      <c r="J63" s="146">
        <f t="shared" si="25"/>
        <v>0</v>
      </c>
      <c r="K63" s="146">
        <f t="shared" si="25"/>
        <v>1739292</v>
      </c>
      <c r="L63" s="146">
        <f t="shared" si="25"/>
        <v>0</v>
      </c>
      <c r="M63" s="146">
        <f t="shared" si="25"/>
        <v>0</v>
      </c>
      <c r="N63" s="146">
        <f t="shared" si="25"/>
        <v>1948170</v>
      </c>
      <c r="O63" s="146">
        <f t="shared" si="25"/>
        <v>1000000</v>
      </c>
      <c r="P63" s="146">
        <f t="shared" si="25"/>
        <v>0</v>
      </c>
      <c r="Q63" s="146">
        <f t="shared" si="25"/>
        <v>0</v>
      </c>
      <c r="R63" s="370">
        <f t="shared" si="25"/>
        <v>67737999</v>
      </c>
      <c r="S63" s="146">
        <f>SUM(S10+S13+S14+S15+S26+S27+S38+S42+S43+S54)</f>
        <v>29041314.999999996</v>
      </c>
      <c r="T63" s="146">
        <f>SUM(T11+T13+T14+T15+T26+T27+T38+T42+T43+T54)</f>
        <v>29499238</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55000</v>
      </c>
      <c r="C65" s="147">
        <v>55000</v>
      </c>
      <c r="D65" s="147"/>
      <c r="E65" s="147">
        <f t="shared" ref="E65:E69" si="26">C65-SUM(F65:Q65)</f>
        <v>55000</v>
      </c>
      <c r="F65" s="147"/>
      <c r="G65" s="147"/>
      <c r="H65" s="147"/>
      <c r="I65" s="147"/>
      <c r="J65" s="147"/>
      <c r="K65" s="147"/>
      <c r="L65" s="147"/>
      <c r="M65" s="147"/>
      <c r="N65" s="147"/>
      <c r="O65" s="147"/>
      <c r="P65" s="147"/>
      <c r="Q65" s="147"/>
      <c r="R65" s="550">
        <f>SUM(E65:Q65)</f>
        <v>55000</v>
      </c>
      <c r="S65" s="147">
        <v>38918</v>
      </c>
      <c r="T65" s="147"/>
      <c r="U65" s="143"/>
    </row>
    <row r="66" spans="1:21" s="144" customFormat="1" ht="24" customHeight="1">
      <c r="A66" s="304" t="s">
        <v>1754</v>
      </c>
      <c r="B66" s="146">
        <f>SUM(C66+D66)</f>
        <v>0</v>
      </c>
      <c r="C66" s="147"/>
      <c r="D66" s="147"/>
      <c r="E66" s="147">
        <f t="shared" si="26"/>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f t="shared" si="26"/>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f t="shared" si="26"/>
        <v>0</v>
      </c>
      <c r="F68" s="147"/>
      <c r="G68" s="147"/>
      <c r="H68" s="147"/>
      <c r="I68" s="147"/>
      <c r="J68" s="147"/>
      <c r="K68" s="147"/>
      <c r="L68" s="147"/>
      <c r="M68" s="147"/>
      <c r="N68" s="147"/>
      <c r="O68" s="147"/>
      <c r="P68" s="147"/>
      <c r="Q68" s="147"/>
      <c r="R68" s="550">
        <f>SUM(E68:Q68)</f>
        <v>0</v>
      </c>
      <c r="S68" s="147"/>
      <c r="T68" s="147"/>
      <c r="U68" s="143"/>
    </row>
    <row r="69" spans="1:21" s="144" customFormat="1">
      <c r="A69" s="1193" t="s">
        <v>2778</v>
      </c>
      <c r="B69" s="146">
        <f>SUM(C69+D69)</f>
        <v>220979</v>
      </c>
      <c r="C69" s="147">
        <v>220979</v>
      </c>
      <c r="D69" s="147"/>
      <c r="E69" s="147">
        <f t="shared" si="26"/>
        <v>220979</v>
      </c>
      <c r="F69" s="147"/>
      <c r="G69" s="147"/>
      <c r="H69" s="147"/>
      <c r="I69" s="147"/>
      <c r="J69" s="147"/>
      <c r="K69" s="147"/>
      <c r="L69" s="147"/>
      <c r="M69" s="147"/>
      <c r="N69" s="147"/>
      <c r="O69" s="147"/>
      <c r="P69" s="147"/>
      <c r="Q69" s="147"/>
      <c r="R69" s="550">
        <f>SUM(E69:Q69)</f>
        <v>220979</v>
      </c>
      <c r="S69" s="147">
        <f>R69</f>
        <v>220979</v>
      </c>
      <c r="T69" s="147"/>
      <c r="U69" s="143"/>
    </row>
    <row r="70" spans="1:21" s="144" customFormat="1">
      <c r="A70" s="149" t="s">
        <v>1758</v>
      </c>
      <c r="B70" s="146">
        <f>SUM(C70:D70)</f>
        <v>275979</v>
      </c>
      <c r="C70" s="146">
        <f>SUM(C65:C69)</f>
        <v>275979</v>
      </c>
      <c r="D70" s="146">
        <f>SUM(D65:D69)</f>
        <v>0</v>
      </c>
      <c r="E70" s="146">
        <f t="shared" ref="E70:T70" si="27">SUM(E65:E69)</f>
        <v>275979</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70">
        <f t="shared" si="27"/>
        <v>275979</v>
      </c>
      <c r="S70" s="150">
        <f t="shared" si="27"/>
        <v>259897</v>
      </c>
      <c r="T70" s="150">
        <f t="shared" si="2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 t="shared" ref="E72:E76" si="28">C72-SUM(F72:Q72)</f>
        <v>0</v>
      </c>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f t="shared" si="28"/>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8"/>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860352</v>
      </c>
      <c r="C75" s="147">
        <v>860352</v>
      </c>
      <c r="D75" s="147"/>
      <c r="E75" s="147">
        <f t="shared" si="28"/>
        <v>860352</v>
      </c>
      <c r="F75" s="147"/>
      <c r="G75" s="147"/>
      <c r="H75" s="147"/>
      <c r="I75" s="147"/>
      <c r="J75" s="147"/>
      <c r="K75" s="147"/>
      <c r="L75" s="147"/>
      <c r="M75" s="147"/>
      <c r="N75" s="147"/>
      <c r="O75" s="147"/>
      <c r="P75" s="147"/>
      <c r="Q75" s="147"/>
      <c r="R75" s="550">
        <f>SUM(E75:Q75)</f>
        <v>860352</v>
      </c>
      <c r="S75" s="148"/>
      <c r="T75" s="148"/>
      <c r="U75" s="143"/>
    </row>
    <row r="76" spans="1:21" s="144" customFormat="1">
      <c r="A76" s="1193" t="s">
        <v>2728</v>
      </c>
      <c r="B76" s="146">
        <f>SUM(C76+D76)</f>
        <v>6890379</v>
      </c>
      <c r="C76" s="147">
        <f>SUM('15 Year Pro Forma'!E10:AG10)</f>
        <v>6890379</v>
      </c>
      <c r="D76" s="147"/>
      <c r="E76" s="147">
        <f t="shared" si="28"/>
        <v>4102439</v>
      </c>
      <c r="F76" s="147"/>
      <c r="G76" s="147"/>
      <c r="H76" s="147"/>
      <c r="I76" s="147"/>
      <c r="J76" s="147">
        <f>J108</f>
        <v>1418427</v>
      </c>
      <c r="K76" s="147"/>
      <c r="L76" s="147">
        <f>L108</f>
        <v>1369513</v>
      </c>
      <c r="M76" s="147"/>
      <c r="N76" s="147"/>
      <c r="O76" s="147"/>
      <c r="P76" s="147"/>
      <c r="Q76" s="147"/>
      <c r="R76" s="550">
        <f>SUM(E76:Q76)</f>
        <v>6890379</v>
      </c>
      <c r="S76" s="148"/>
      <c r="T76" s="148"/>
      <c r="U76" s="143"/>
    </row>
    <row r="77" spans="1:21" s="144" customFormat="1">
      <c r="A77" s="149" t="s">
        <v>614</v>
      </c>
      <c r="B77" s="146">
        <f>SUM(C77:D77)</f>
        <v>7750731</v>
      </c>
      <c r="C77" s="146">
        <f>SUM(C72:C76)</f>
        <v>7750731</v>
      </c>
      <c r="D77" s="146">
        <f>SUM(D72:D76)</f>
        <v>0</v>
      </c>
      <c r="E77" s="146">
        <f t="shared" ref="E77:Q77" si="29">SUM(E72:E76)</f>
        <v>4962791</v>
      </c>
      <c r="F77" s="146">
        <f t="shared" si="29"/>
        <v>0</v>
      </c>
      <c r="G77" s="146">
        <f t="shared" si="29"/>
        <v>0</v>
      </c>
      <c r="H77" s="146">
        <f t="shared" si="29"/>
        <v>0</v>
      </c>
      <c r="I77" s="146">
        <f t="shared" si="29"/>
        <v>0</v>
      </c>
      <c r="J77" s="146">
        <f t="shared" si="29"/>
        <v>1418427</v>
      </c>
      <c r="K77" s="146">
        <f t="shared" si="29"/>
        <v>0</v>
      </c>
      <c r="L77" s="146">
        <f t="shared" si="29"/>
        <v>1369513</v>
      </c>
      <c r="M77" s="146">
        <f t="shared" si="29"/>
        <v>0</v>
      </c>
      <c r="N77" s="146">
        <f t="shared" si="29"/>
        <v>0</v>
      </c>
      <c r="O77" s="146">
        <f t="shared" si="29"/>
        <v>0</v>
      </c>
      <c r="P77" s="146">
        <f t="shared" si="29"/>
        <v>0</v>
      </c>
      <c r="Q77" s="146">
        <f t="shared" si="29"/>
        <v>0</v>
      </c>
      <c r="R77" s="370">
        <f>SUM(R72:R76)</f>
        <v>7750731</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2250000</v>
      </c>
      <c r="C79" s="147">
        <v>2250000</v>
      </c>
      <c r="D79" s="147"/>
      <c r="E79" s="147">
        <f t="shared" ref="E79:E80" si="30">C79-SUM(F79:Q79)</f>
        <v>2250000</v>
      </c>
      <c r="F79" s="147"/>
      <c r="G79" s="147"/>
      <c r="H79" s="147"/>
      <c r="I79" s="147"/>
      <c r="J79" s="147"/>
      <c r="K79" s="147"/>
      <c r="L79" s="147"/>
      <c r="M79" s="147"/>
      <c r="N79" s="147"/>
      <c r="O79" s="147"/>
      <c r="P79" s="147"/>
      <c r="Q79" s="147"/>
      <c r="R79" s="550">
        <f>SUM(E79:Q79)</f>
        <v>2250000</v>
      </c>
      <c r="S79" s="147">
        <f>R79</f>
        <v>2250000</v>
      </c>
      <c r="T79" s="147"/>
      <c r="U79" s="143"/>
    </row>
    <row r="80" spans="1:21" s="144" customFormat="1">
      <c r="A80" s="304" t="s">
        <v>58</v>
      </c>
      <c r="B80" s="146">
        <f>SUM(C80:D80)</f>
        <v>609196</v>
      </c>
      <c r="C80" s="147">
        <v>609196</v>
      </c>
      <c r="D80" s="147"/>
      <c r="E80" s="147">
        <f t="shared" si="30"/>
        <v>609196</v>
      </c>
      <c r="F80" s="147"/>
      <c r="G80" s="147"/>
      <c r="H80" s="147"/>
      <c r="I80" s="147"/>
      <c r="J80" s="147"/>
      <c r="K80" s="147"/>
      <c r="L80" s="147"/>
      <c r="M80" s="147"/>
      <c r="N80" s="147"/>
      <c r="O80" s="147"/>
      <c r="P80" s="147"/>
      <c r="Q80" s="147"/>
      <c r="R80" s="550">
        <f>SUM(E80:Q80)</f>
        <v>609196</v>
      </c>
      <c r="S80" s="147">
        <f>R80</f>
        <v>609196</v>
      </c>
      <c r="T80" s="147"/>
      <c r="U80" s="143"/>
    </row>
    <row r="81" spans="1:21" s="144" customFormat="1">
      <c r="A81" s="149" t="s">
        <v>1315</v>
      </c>
      <c r="B81" s="146">
        <f>SUM(C81:D81)</f>
        <v>2859196</v>
      </c>
      <c r="C81" s="543">
        <f>SUM(C79:C80)</f>
        <v>2859196</v>
      </c>
      <c r="D81" s="543">
        <f t="shared" ref="D81:T81" si="31">SUM(D79:D80)</f>
        <v>0</v>
      </c>
      <c r="E81" s="543">
        <f t="shared" si="31"/>
        <v>2859196</v>
      </c>
      <c r="F81" s="543">
        <f t="shared" si="31"/>
        <v>0</v>
      </c>
      <c r="G81" s="543">
        <f t="shared" si="31"/>
        <v>0</v>
      </c>
      <c r="H81" s="543">
        <f t="shared" si="31"/>
        <v>0</v>
      </c>
      <c r="I81" s="543">
        <f t="shared" si="31"/>
        <v>0</v>
      </c>
      <c r="J81" s="543">
        <f t="shared" si="31"/>
        <v>0</v>
      </c>
      <c r="K81" s="543">
        <f t="shared" si="31"/>
        <v>0</v>
      </c>
      <c r="L81" s="543">
        <f t="shared" si="31"/>
        <v>0</v>
      </c>
      <c r="M81" s="543">
        <f t="shared" si="31"/>
        <v>0</v>
      </c>
      <c r="N81" s="543">
        <f t="shared" si="31"/>
        <v>0</v>
      </c>
      <c r="O81" s="543">
        <f t="shared" si="31"/>
        <v>0</v>
      </c>
      <c r="P81" s="543">
        <f t="shared" si="31"/>
        <v>0</v>
      </c>
      <c r="Q81" s="543">
        <f t="shared" si="31"/>
        <v>0</v>
      </c>
      <c r="R81" s="543">
        <f t="shared" si="31"/>
        <v>2859196</v>
      </c>
      <c r="S81" s="543">
        <f t="shared" si="31"/>
        <v>2859196</v>
      </c>
      <c r="T81" s="543">
        <f t="shared" si="31"/>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32">SUM(C83+D83)</f>
        <v>131174</v>
      </c>
      <c r="C83" s="147">
        <f>131174</f>
        <v>131174</v>
      </c>
      <c r="D83" s="147"/>
      <c r="E83" s="147">
        <f t="shared" ref="E83:E95" si="33">C83-SUM(F83:Q83)</f>
        <v>131174</v>
      </c>
      <c r="F83" s="147"/>
      <c r="G83" s="147"/>
      <c r="H83" s="147"/>
      <c r="I83" s="147"/>
      <c r="J83" s="147"/>
      <c r="K83" s="147"/>
      <c r="L83" s="147"/>
      <c r="M83" s="147"/>
      <c r="N83" s="147"/>
      <c r="O83" s="147"/>
      <c r="P83" s="147"/>
      <c r="Q83" s="147"/>
      <c r="R83" s="550">
        <f t="shared" ref="R83:R95" si="34">SUM(E83:Q83)</f>
        <v>131174</v>
      </c>
      <c r="S83" s="148"/>
      <c r="T83" s="148"/>
      <c r="U83" s="143"/>
    </row>
    <row r="84" spans="1:21" s="144" customFormat="1">
      <c r="A84" s="145" t="s">
        <v>776</v>
      </c>
      <c r="B84" s="146">
        <f t="shared" si="32"/>
        <v>65000</v>
      </c>
      <c r="C84" s="147">
        <v>65000</v>
      </c>
      <c r="D84" s="147"/>
      <c r="E84" s="147">
        <f t="shared" si="33"/>
        <v>65000</v>
      </c>
      <c r="F84" s="147"/>
      <c r="G84" s="147"/>
      <c r="H84" s="147"/>
      <c r="I84" s="147"/>
      <c r="J84" s="147"/>
      <c r="K84" s="147"/>
      <c r="L84" s="147"/>
      <c r="M84" s="147"/>
      <c r="N84" s="147"/>
      <c r="O84" s="147"/>
      <c r="P84" s="147"/>
      <c r="Q84" s="147"/>
      <c r="R84" s="550">
        <f t="shared" si="34"/>
        <v>65000</v>
      </c>
      <c r="S84" s="147">
        <f>R84</f>
        <v>65000</v>
      </c>
      <c r="T84" s="147"/>
      <c r="U84" s="143"/>
    </row>
    <row r="85" spans="1:21" s="144" customFormat="1">
      <c r="A85" s="145" t="s">
        <v>777</v>
      </c>
      <c r="B85" s="146">
        <f t="shared" si="32"/>
        <v>1532244</v>
      </c>
      <c r="C85" s="147">
        <v>1532244</v>
      </c>
      <c r="D85" s="147"/>
      <c r="E85" s="147">
        <f t="shared" si="33"/>
        <v>332244</v>
      </c>
      <c r="F85" s="147"/>
      <c r="G85" s="147"/>
      <c r="H85" s="147"/>
      <c r="I85" s="147"/>
      <c r="J85" s="147"/>
      <c r="K85" s="147"/>
      <c r="L85" s="147"/>
      <c r="M85" s="147"/>
      <c r="N85" s="147"/>
      <c r="O85" s="147"/>
      <c r="P85" s="147">
        <v>1200000</v>
      </c>
      <c r="Q85" s="147"/>
      <c r="R85" s="550">
        <f t="shared" si="34"/>
        <v>1532244</v>
      </c>
      <c r="S85" s="147">
        <f>R85</f>
        <v>1532244</v>
      </c>
      <c r="T85" s="147"/>
      <c r="U85" s="143"/>
    </row>
    <row r="86" spans="1:21" s="144" customFormat="1">
      <c r="A86" s="145" t="s">
        <v>778</v>
      </c>
      <c r="B86" s="146">
        <f t="shared" si="32"/>
        <v>230000</v>
      </c>
      <c r="C86" s="147">
        <v>230000</v>
      </c>
      <c r="D86" s="147"/>
      <c r="E86" s="147">
        <f t="shared" si="33"/>
        <v>230000</v>
      </c>
      <c r="F86" s="147"/>
      <c r="G86" s="147"/>
      <c r="H86" s="147"/>
      <c r="I86" s="147"/>
      <c r="J86" s="147"/>
      <c r="K86" s="147"/>
      <c r="L86" s="147"/>
      <c r="M86" s="147"/>
      <c r="N86" s="147"/>
      <c r="O86" s="147"/>
      <c r="P86" s="147"/>
      <c r="Q86" s="147"/>
      <c r="R86" s="550">
        <f t="shared" si="34"/>
        <v>230000</v>
      </c>
      <c r="S86" s="147">
        <f>R86</f>
        <v>230000</v>
      </c>
      <c r="T86" s="147"/>
      <c r="U86" s="143"/>
    </row>
    <row r="87" spans="1:21" s="144" customFormat="1">
      <c r="A87" s="145" t="s">
        <v>779</v>
      </c>
      <c r="B87" s="146">
        <f t="shared" si="32"/>
        <v>0</v>
      </c>
      <c r="C87" s="147"/>
      <c r="D87" s="147"/>
      <c r="E87" s="147">
        <f t="shared" si="33"/>
        <v>0</v>
      </c>
      <c r="F87" s="147"/>
      <c r="G87" s="147"/>
      <c r="H87" s="147"/>
      <c r="I87" s="147"/>
      <c r="J87" s="147"/>
      <c r="K87" s="147"/>
      <c r="L87" s="147"/>
      <c r="M87" s="147"/>
      <c r="N87" s="147"/>
      <c r="O87" s="147"/>
      <c r="P87" s="147"/>
      <c r="Q87" s="147"/>
      <c r="R87" s="550">
        <f t="shared" si="34"/>
        <v>0</v>
      </c>
      <c r="S87" s="147"/>
      <c r="T87" s="147"/>
      <c r="U87" s="143"/>
    </row>
    <row r="88" spans="1:21" s="144" customFormat="1">
      <c r="A88" s="145" t="s">
        <v>780</v>
      </c>
      <c r="B88" s="146">
        <f t="shared" si="32"/>
        <v>146000</v>
      </c>
      <c r="C88" s="147">
        <v>146000</v>
      </c>
      <c r="D88" s="147"/>
      <c r="E88" s="147">
        <f t="shared" si="33"/>
        <v>146000</v>
      </c>
      <c r="F88" s="147"/>
      <c r="G88" s="147"/>
      <c r="H88" s="147"/>
      <c r="I88" s="147"/>
      <c r="J88" s="147"/>
      <c r="K88" s="147"/>
      <c r="L88" s="147"/>
      <c r="M88" s="147"/>
      <c r="N88" s="147"/>
      <c r="O88" s="147"/>
      <c r="P88" s="147"/>
      <c r="Q88" s="147"/>
      <c r="R88" s="550">
        <f t="shared" si="34"/>
        <v>146000</v>
      </c>
      <c r="S88" s="148"/>
      <c r="T88" s="148"/>
      <c r="U88" s="143"/>
    </row>
    <row r="89" spans="1:21" s="144" customFormat="1">
      <c r="A89" s="145" t="s">
        <v>781</v>
      </c>
      <c r="B89" s="146">
        <f t="shared" si="32"/>
        <v>324000</v>
      </c>
      <c r="C89" s="147">
        <v>324000</v>
      </c>
      <c r="D89" s="147"/>
      <c r="E89" s="147">
        <f t="shared" si="33"/>
        <v>324000</v>
      </c>
      <c r="F89" s="147"/>
      <c r="G89" s="147"/>
      <c r="H89" s="147"/>
      <c r="I89" s="147"/>
      <c r="J89" s="147"/>
      <c r="K89" s="147"/>
      <c r="L89" s="147"/>
      <c r="M89" s="147"/>
      <c r="N89" s="147"/>
      <c r="O89" s="147"/>
      <c r="P89" s="147"/>
      <c r="Q89" s="147"/>
      <c r="R89" s="550">
        <f t="shared" si="34"/>
        <v>324000</v>
      </c>
      <c r="S89" s="147">
        <f>R89</f>
        <v>324000</v>
      </c>
      <c r="T89" s="147"/>
      <c r="U89" s="143"/>
    </row>
    <row r="90" spans="1:21" s="144" customFormat="1">
      <c r="A90" s="145" t="s">
        <v>782</v>
      </c>
      <c r="B90" s="146">
        <f t="shared" si="32"/>
        <v>15000</v>
      </c>
      <c r="C90" s="147">
        <v>15000</v>
      </c>
      <c r="D90" s="147"/>
      <c r="E90" s="147">
        <f t="shared" si="33"/>
        <v>15000</v>
      </c>
      <c r="F90" s="147"/>
      <c r="G90" s="147"/>
      <c r="H90" s="147"/>
      <c r="I90" s="147"/>
      <c r="J90" s="147"/>
      <c r="K90" s="147"/>
      <c r="L90" s="147"/>
      <c r="M90" s="147"/>
      <c r="N90" s="147"/>
      <c r="O90" s="147"/>
      <c r="P90" s="147"/>
      <c r="Q90" s="147"/>
      <c r="R90" s="550">
        <f t="shared" si="34"/>
        <v>15000</v>
      </c>
      <c r="S90" s="147"/>
      <c r="T90" s="147"/>
      <c r="U90" s="143"/>
    </row>
    <row r="91" spans="1:21" s="144" customFormat="1">
      <c r="A91" s="145" t="s">
        <v>373</v>
      </c>
      <c r="B91" s="146">
        <f t="shared" si="32"/>
        <v>0</v>
      </c>
      <c r="C91" s="147"/>
      <c r="D91" s="147"/>
      <c r="E91" s="147">
        <f t="shared" si="33"/>
        <v>0</v>
      </c>
      <c r="F91" s="147"/>
      <c r="G91" s="147"/>
      <c r="H91" s="147"/>
      <c r="I91" s="147"/>
      <c r="J91" s="147"/>
      <c r="K91" s="147"/>
      <c r="L91" s="147"/>
      <c r="M91" s="147"/>
      <c r="N91" s="147"/>
      <c r="O91" s="147"/>
      <c r="P91" s="147"/>
      <c r="Q91" s="147"/>
      <c r="R91" s="550">
        <f t="shared" si="34"/>
        <v>0</v>
      </c>
      <c r="S91" s="147"/>
      <c r="T91" s="147"/>
      <c r="U91" s="143"/>
    </row>
    <row r="92" spans="1:21" s="144" customFormat="1">
      <c r="A92" s="304" t="s">
        <v>1317</v>
      </c>
      <c r="B92" s="146">
        <f t="shared" si="32"/>
        <v>25000</v>
      </c>
      <c r="C92" s="147">
        <v>25000</v>
      </c>
      <c r="D92" s="147"/>
      <c r="E92" s="147">
        <f t="shared" si="33"/>
        <v>25000</v>
      </c>
      <c r="F92" s="147"/>
      <c r="G92" s="147"/>
      <c r="H92" s="147"/>
      <c r="I92" s="147"/>
      <c r="J92" s="147"/>
      <c r="K92" s="147"/>
      <c r="L92" s="147"/>
      <c r="M92" s="147"/>
      <c r="N92" s="147"/>
      <c r="O92" s="147"/>
      <c r="P92" s="147"/>
      <c r="Q92" s="147"/>
      <c r="R92" s="550">
        <f t="shared" si="34"/>
        <v>25000</v>
      </c>
      <c r="S92" s="147"/>
      <c r="T92" s="147"/>
      <c r="U92" s="143"/>
    </row>
    <row r="93" spans="1:21" s="144" customFormat="1" ht="24">
      <c r="A93" s="1193" t="s">
        <v>2742</v>
      </c>
      <c r="B93" s="146">
        <f t="shared" si="32"/>
        <v>125000</v>
      </c>
      <c r="C93" s="147">
        <f>50000+75000</f>
        <v>125000</v>
      </c>
      <c r="D93" s="147"/>
      <c r="E93" s="147">
        <f t="shared" si="33"/>
        <v>125000</v>
      </c>
      <c r="F93" s="147"/>
      <c r="G93" s="147"/>
      <c r="H93" s="147"/>
      <c r="I93" s="147"/>
      <c r="J93" s="147"/>
      <c r="K93" s="147"/>
      <c r="L93" s="147"/>
      <c r="M93" s="147"/>
      <c r="N93" s="147"/>
      <c r="O93" s="147"/>
      <c r="P93" s="147"/>
      <c r="Q93" s="147"/>
      <c r="R93" s="550">
        <f t="shared" si="34"/>
        <v>125000</v>
      </c>
      <c r="S93" s="147">
        <f>R93</f>
        <v>125000</v>
      </c>
      <c r="T93" s="147"/>
      <c r="U93" s="143"/>
    </row>
    <row r="94" spans="1:21" s="144" customFormat="1">
      <c r="A94" s="1193" t="s">
        <v>2726</v>
      </c>
      <c r="B94" s="146">
        <f t="shared" si="32"/>
        <v>120000</v>
      </c>
      <c r="C94" s="147">
        <v>120000</v>
      </c>
      <c r="D94" s="147"/>
      <c r="E94" s="147">
        <f t="shared" si="33"/>
        <v>120000</v>
      </c>
      <c r="F94" s="147"/>
      <c r="G94" s="147"/>
      <c r="H94" s="147"/>
      <c r="I94" s="147"/>
      <c r="J94" s="147"/>
      <c r="K94" s="147"/>
      <c r="L94" s="147"/>
      <c r="M94" s="147"/>
      <c r="N94" s="147"/>
      <c r="O94" s="147"/>
      <c r="P94" s="147"/>
      <c r="Q94" s="147"/>
      <c r="R94" s="550">
        <f t="shared" si="34"/>
        <v>120000</v>
      </c>
      <c r="S94" s="147">
        <f t="shared" ref="S94:S95" si="35">R94</f>
        <v>120000</v>
      </c>
      <c r="T94" s="147"/>
      <c r="U94" s="143"/>
    </row>
    <row r="95" spans="1:21" s="144" customFormat="1" ht="24">
      <c r="A95" s="1193" t="s">
        <v>2743</v>
      </c>
      <c r="B95" s="146">
        <f t="shared" si="32"/>
        <v>400000</v>
      </c>
      <c r="C95" s="1014">
        <f>400000</f>
        <v>400000</v>
      </c>
      <c r="D95" s="147"/>
      <c r="E95" s="147">
        <f t="shared" si="33"/>
        <v>400000</v>
      </c>
      <c r="F95" s="147"/>
      <c r="G95" s="147"/>
      <c r="H95" s="147"/>
      <c r="I95" s="147"/>
      <c r="J95" s="147"/>
      <c r="K95" s="147"/>
      <c r="L95" s="147"/>
      <c r="M95" s="147"/>
      <c r="N95" s="147"/>
      <c r="O95" s="147"/>
      <c r="P95" s="147"/>
      <c r="Q95" s="147"/>
      <c r="R95" s="550">
        <f t="shared" si="34"/>
        <v>400000</v>
      </c>
      <c r="S95" s="147">
        <f t="shared" si="35"/>
        <v>400000</v>
      </c>
      <c r="T95" s="147"/>
      <c r="U95" s="143"/>
    </row>
    <row r="96" spans="1:21" s="144" customFormat="1">
      <c r="A96" s="149" t="s">
        <v>783</v>
      </c>
      <c r="B96" s="146">
        <f>SUM(C96:D96)</f>
        <v>3113418</v>
      </c>
      <c r="C96" s="146">
        <f t="shared" ref="C96:R96" si="36">SUM(C83:C95)</f>
        <v>3113418</v>
      </c>
      <c r="D96" s="146">
        <f t="shared" si="36"/>
        <v>0</v>
      </c>
      <c r="E96" s="146">
        <f t="shared" si="36"/>
        <v>1913418</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1200000</v>
      </c>
      <c r="Q96" s="146">
        <f t="shared" si="36"/>
        <v>0</v>
      </c>
      <c r="R96" s="370">
        <f t="shared" si="36"/>
        <v>3113418</v>
      </c>
      <c r="S96" s="150">
        <f>SUM(S84:S87,S89:S95)</f>
        <v>2796244</v>
      </c>
      <c r="T96" s="146">
        <f>SUM(T84:T87,T89:T95)</f>
        <v>0</v>
      </c>
      <c r="U96" s="143"/>
    </row>
    <row r="97" spans="1:21" s="144" customFormat="1">
      <c r="A97" s="149" t="s">
        <v>784</v>
      </c>
      <c r="B97" s="146">
        <f>SUM(C97:D97)</f>
        <v>81737323</v>
      </c>
      <c r="C97" s="146">
        <f t="shared" ref="C97:R97" si="37">SUM(C63+C70+C77+C81+C96)</f>
        <v>81737323</v>
      </c>
      <c r="D97" s="146">
        <f t="shared" si="37"/>
        <v>0</v>
      </c>
      <c r="E97" s="146">
        <f t="shared" si="37"/>
        <v>37339361</v>
      </c>
      <c r="F97" s="146">
        <f t="shared" si="37"/>
        <v>14551777</v>
      </c>
      <c r="G97" s="146">
        <f t="shared" si="37"/>
        <v>14670783</v>
      </c>
      <c r="H97" s="146">
        <f t="shared" si="37"/>
        <v>5500000</v>
      </c>
      <c r="I97" s="146">
        <f t="shared" si="37"/>
        <v>1000000</v>
      </c>
      <c r="J97" s="146">
        <f t="shared" si="37"/>
        <v>1418427</v>
      </c>
      <c r="K97" s="146">
        <f t="shared" si="37"/>
        <v>1739292</v>
      </c>
      <c r="L97" s="146">
        <f t="shared" si="37"/>
        <v>1369513</v>
      </c>
      <c r="M97" s="146">
        <f t="shared" si="37"/>
        <v>0</v>
      </c>
      <c r="N97" s="146">
        <f t="shared" si="37"/>
        <v>1948170</v>
      </c>
      <c r="O97" s="146">
        <f t="shared" si="37"/>
        <v>1000000</v>
      </c>
      <c r="P97" s="146">
        <f t="shared" si="37"/>
        <v>1200000</v>
      </c>
      <c r="Q97" s="146">
        <f t="shared" si="37"/>
        <v>0</v>
      </c>
      <c r="R97" s="146">
        <f t="shared" si="37"/>
        <v>81737323</v>
      </c>
      <c r="S97" s="146">
        <f>SUM(S63+S70+S81+S96)</f>
        <v>34956652</v>
      </c>
      <c r="T97" s="146">
        <f>SUM(T63+T70+T81+T96)</f>
        <v>29499238</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9668384</v>
      </c>
      <c r="C99" s="1014">
        <v>9668384</v>
      </c>
      <c r="D99" s="1014"/>
      <c r="E99" s="1014">
        <f t="shared" ref="E99" si="38">C99-SUM(F99:Q99)</f>
        <v>2800000</v>
      </c>
      <c r="F99" s="147"/>
      <c r="G99" s="147"/>
      <c r="H99" s="147"/>
      <c r="I99" s="147"/>
      <c r="J99" s="147"/>
      <c r="K99" s="147"/>
      <c r="L99" s="147"/>
      <c r="M99" s="147">
        <f>M108</f>
        <v>6868384</v>
      </c>
      <c r="N99" s="147"/>
      <c r="O99" s="147"/>
      <c r="P99" s="147"/>
      <c r="Q99" s="147"/>
      <c r="R99" s="550">
        <f>SUM(E99:Q99)</f>
        <v>9668384</v>
      </c>
      <c r="S99" s="147">
        <v>5243498</v>
      </c>
      <c r="T99" s="147">
        <v>4424886</v>
      </c>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9668384</v>
      </c>
      <c r="C104" s="146">
        <f>SUM(C99:C103)</f>
        <v>9668384</v>
      </c>
      <c r="D104" s="146">
        <f t="shared" ref="D104:T104" si="39">SUM(D99:D103)</f>
        <v>0</v>
      </c>
      <c r="E104" s="146">
        <f t="shared" si="39"/>
        <v>2800000</v>
      </c>
      <c r="F104" s="146">
        <f t="shared" si="39"/>
        <v>0</v>
      </c>
      <c r="G104" s="146">
        <f t="shared" si="39"/>
        <v>0</v>
      </c>
      <c r="H104" s="146">
        <f t="shared" si="39"/>
        <v>0</v>
      </c>
      <c r="I104" s="146">
        <f t="shared" si="39"/>
        <v>0</v>
      </c>
      <c r="J104" s="146">
        <f t="shared" si="39"/>
        <v>0</v>
      </c>
      <c r="K104" s="146">
        <f t="shared" si="39"/>
        <v>0</v>
      </c>
      <c r="L104" s="146">
        <f t="shared" si="39"/>
        <v>0</v>
      </c>
      <c r="M104" s="146">
        <f t="shared" si="39"/>
        <v>6868384</v>
      </c>
      <c r="N104" s="146">
        <f t="shared" si="39"/>
        <v>0</v>
      </c>
      <c r="O104" s="146">
        <f t="shared" si="39"/>
        <v>0</v>
      </c>
      <c r="P104" s="146">
        <f t="shared" si="39"/>
        <v>0</v>
      </c>
      <c r="Q104" s="146">
        <f t="shared" si="39"/>
        <v>0</v>
      </c>
      <c r="R104" s="370">
        <f t="shared" si="39"/>
        <v>9668384</v>
      </c>
      <c r="S104" s="150">
        <f t="shared" si="39"/>
        <v>5243498</v>
      </c>
      <c r="T104" s="150">
        <f t="shared" si="39"/>
        <v>4424886</v>
      </c>
      <c r="U104" s="143"/>
    </row>
    <row r="105" spans="1:21" s="144" customFormat="1">
      <c r="A105" s="149" t="s">
        <v>789</v>
      </c>
      <c r="B105" s="150">
        <f>SUM(C105:D105)</f>
        <v>91405707</v>
      </c>
      <c r="C105" s="150">
        <f t="shared" ref="C105:R105" si="40">SUM(C97+C104)</f>
        <v>91405707</v>
      </c>
      <c r="D105" s="150">
        <f t="shared" si="40"/>
        <v>0</v>
      </c>
      <c r="E105" s="150">
        <f t="shared" si="40"/>
        <v>40139361</v>
      </c>
      <c r="F105" s="150">
        <f t="shared" si="40"/>
        <v>14551777</v>
      </c>
      <c r="G105" s="150">
        <f t="shared" si="40"/>
        <v>14670783</v>
      </c>
      <c r="H105" s="150">
        <f t="shared" si="40"/>
        <v>5500000</v>
      </c>
      <c r="I105" s="150">
        <f t="shared" si="40"/>
        <v>1000000</v>
      </c>
      <c r="J105" s="150">
        <f t="shared" si="40"/>
        <v>1418427</v>
      </c>
      <c r="K105" s="150">
        <f t="shared" si="40"/>
        <v>1739292</v>
      </c>
      <c r="L105" s="150">
        <f t="shared" si="40"/>
        <v>1369513</v>
      </c>
      <c r="M105" s="150">
        <f t="shared" si="40"/>
        <v>6868384</v>
      </c>
      <c r="N105" s="150">
        <f t="shared" si="40"/>
        <v>1948170</v>
      </c>
      <c r="O105" s="150">
        <f t="shared" si="40"/>
        <v>1000000</v>
      </c>
      <c r="P105" s="150">
        <f t="shared" si="40"/>
        <v>1200000</v>
      </c>
      <c r="Q105" s="150">
        <f t="shared" si="40"/>
        <v>0</v>
      </c>
      <c r="R105" s="370">
        <f t="shared" si="40"/>
        <v>91405707</v>
      </c>
      <c r="S105" s="150">
        <f>S97+S104</f>
        <v>40200150</v>
      </c>
      <c r="T105" s="150">
        <f>T97+T104</f>
        <v>33924124</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40200150</v>
      </c>
      <c r="T107" s="150">
        <f>T105+T106</f>
        <v>33924124</v>
      </c>
    </row>
    <row r="108" spans="1:21" s="201" customFormat="1">
      <c r="A108" s="162" t="s">
        <v>891</v>
      </c>
      <c r="B108" s="157"/>
      <c r="C108" s="157"/>
      <c r="D108" s="157"/>
      <c r="E108" s="323">
        <f>Application!AO640</f>
        <v>40139361</v>
      </c>
      <c r="F108" s="323">
        <f>Application!AO627</f>
        <v>14551777</v>
      </c>
      <c r="G108" s="323">
        <f>Application!AO628</f>
        <v>14670783</v>
      </c>
      <c r="H108" s="323">
        <f>Application!AO629</f>
        <v>5500000</v>
      </c>
      <c r="I108" s="323">
        <f>Application!AO630</f>
        <v>1000000</v>
      </c>
      <c r="J108" s="323">
        <f>Application!AO631</f>
        <v>1418427</v>
      </c>
      <c r="K108" s="323">
        <f>Application!AO632</f>
        <v>1739292</v>
      </c>
      <c r="L108" s="323">
        <f>Application!AO633</f>
        <v>1369513</v>
      </c>
      <c r="M108" s="323">
        <f>Application!AO634</f>
        <v>6868384</v>
      </c>
      <c r="N108" s="323">
        <f>Application!AO635</f>
        <v>1948170</v>
      </c>
      <c r="O108" s="323">
        <f>Application!AO636</f>
        <v>1000000</v>
      </c>
      <c r="P108" s="323">
        <f>Application!AO637</f>
        <v>1200000</v>
      </c>
      <c r="Q108" s="323">
        <f>Application!AO638</f>
        <v>0</v>
      </c>
      <c r="R108" s="158"/>
      <c r="S108" s="158"/>
      <c r="T108" s="158"/>
      <c r="U108" s="200"/>
    </row>
    <row r="109" spans="1:21" ht="10.3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1" t="s">
        <v>1014</v>
      </c>
      <c r="E122" s="1881"/>
      <c r="F122" s="1881"/>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3" t="s">
        <v>1331</v>
      </c>
      <c r="E123" s="1539"/>
      <c r="F123" s="1539"/>
      <c r="G123" s="1539"/>
      <c r="H123" s="1539"/>
      <c r="I123" s="1539"/>
      <c r="J123" s="1539"/>
      <c r="K123" s="1539"/>
      <c r="L123" s="1539"/>
      <c r="M123" s="1539"/>
      <c r="N123" s="1539"/>
      <c r="O123" s="1539"/>
      <c r="P123" s="1539"/>
      <c r="Q123" s="1539"/>
      <c r="R123" s="1539"/>
      <c r="S123" s="1539"/>
      <c r="T123" s="352"/>
      <c r="U123" s="354"/>
    </row>
    <row r="124" spans="1:21" ht="12.75">
      <c r="A124" s="117" t="s">
        <v>1016</v>
      </c>
      <c r="B124" s="361"/>
      <c r="C124" s="117"/>
      <c r="D124" s="1539"/>
      <c r="E124" s="1539"/>
      <c r="F124" s="1539"/>
      <c r="G124" s="1539"/>
      <c r="H124" s="1539"/>
      <c r="I124" s="1539"/>
      <c r="J124" s="1539"/>
      <c r="K124" s="1539"/>
      <c r="L124" s="1539"/>
      <c r="M124" s="1539"/>
      <c r="N124" s="1539"/>
      <c r="O124" s="1539"/>
      <c r="P124" s="1539"/>
      <c r="Q124" s="1539"/>
      <c r="R124" s="1539"/>
      <c r="S124" s="1539"/>
      <c r="T124" s="352"/>
      <c r="U124" s="354"/>
    </row>
    <row r="125" spans="1:21" ht="12.75">
      <c r="A125" s="117" t="s">
        <v>1017</v>
      </c>
      <c r="B125" s="361"/>
      <c r="C125" s="117"/>
      <c r="D125" s="1539"/>
      <c r="E125" s="1539"/>
      <c r="F125" s="1539"/>
      <c r="G125" s="1539"/>
      <c r="H125" s="1539"/>
      <c r="I125" s="1539"/>
      <c r="J125" s="1539"/>
      <c r="K125" s="1539"/>
      <c r="L125" s="1539"/>
      <c r="M125" s="1539"/>
      <c r="N125" s="1539"/>
      <c r="O125" s="1539"/>
      <c r="P125" s="1539"/>
      <c r="Q125" s="1539"/>
      <c r="R125" s="1539"/>
      <c r="S125" s="1539"/>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6"/>
      <c r="E128" s="1876"/>
      <c r="F128" s="1876"/>
      <c r="G128" s="1876"/>
      <c r="H128" s="1876"/>
      <c r="I128" s="117"/>
      <c r="J128" s="1872"/>
      <c r="K128" s="1872"/>
      <c r="L128" s="117"/>
      <c r="M128" s="117"/>
      <c r="N128" s="117"/>
      <c r="O128" s="117"/>
      <c r="P128" s="117"/>
      <c r="Q128" s="117"/>
      <c r="R128" s="117"/>
      <c r="S128" s="117"/>
      <c r="T128" s="352"/>
      <c r="U128" s="354"/>
    </row>
    <row r="129" spans="1:21" ht="12.75">
      <c r="A129" s="117" t="s">
        <v>301</v>
      </c>
      <c r="B129" s="361"/>
      <c r="C129" s="117"/>
      <c r="D129" s="1880" t="s">
        <v>1021</v>
      </c>
      <c r="E129" s="1880"/>
      <c r="F129" s="1880"/>
      <c r="G129" s="1880"/>
      <c r="H129" s="1880"/>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83"/>
      <c r="E131" s="1483"/>
      <c r="F131" s="1483"/>
      <c r="G131" s="1483"/>
      <c r="H131" s="1483"/>
      <c r="I131" s="117"/>
      <c r="J131" s="1483"/>
      <c r="K131" s="1483"/>
      <c r="L131" s="1483"/>
      <c r="M131" s="1483"/>
      <c r="N131" s="117"/>
      <c r="O131" s="117"/>
      <c r="P131" s="117"/>
      <c r="Q131" s="117"/>
      <c r="R131" s="117"/>
      <c r="S131" s="117"/>
      <c r="T131" s="352"/>
      <c r="U131" s="354"/>
    </row>
    <row r="132" spans="1:21" ht="12" customHeight="1">
      <c r="A132" s="364"/>
      <c r="B132" s="117"/>
      <c r="C132" s="117"/>
      <c r="D132" s="1874" t="s">
        <v>1024</v>
      </c>
      <c r="E132" s="1874"/>
      <c r="F132" s="1874"/>
      <c r="G132" s="1874"/>
      <c r="H132" s="1874"/>
      <c r="I132" s="117"/>
      <c r="J132" s="1874" t="s">
        <v>1025</v>
      </c>
      <c r="K132" s="1874"/>
      <c r="L132" s="1874"/>
      <c r="M132" s="187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5"/>
      <c r="B138" s="1876"/>
      <c r="C138" s="1876"/>
      <c r="D138" s="356"/>
      <c r="E138" s="1872"/>
      <c r="F138" s="1872"/>
      <c r="G138" s="117"/>
      <c r="H138" s="117"/>
      <c r="I138" s="117"/>
      <c r="J138" s="117"/>
      <c r="K138" s="117"/>
      <c r="L138" s="117"/>
      <c r="M138" s="117"/>
      <c r="N138" s="117"/>
      <c r="O138" s="117"/>
      <c r="P138" s="117"/>
      <c r="Q138" s="117"/>
      <c r="R138" s="117"/>
      <c r="S138" s="117"/>
      <c r="T138" s="358"/>
      <c r="U138" s="359"/>
    </row>
    <row r="139" spans="1:21" ht="12.75">
      <c r="A139" s="1871" t="s">
        <v>1028</v>
      </c>
      <c r="B139" s="1871"/>
      <c r="C139" s="1871"/>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4" t="s">
        <v>1334</v>
      </c>
      <c r="B1" s="1885"/>
      <c r="C1" s="1885"/>
      <c r="D1" s="1885"/>
      <c r="E1" s="1885"/>
      <c r="F1" s="1885"/>
      <c r="G1" s="1885"/>
      <c r="H1" s="1885"/>
      <c r="I1" s="1885"/>
      <c r="J1" s="1886"/>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5689647</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5689647</v>
      </c>
      <c r="C8" s="392">
        <f>SUM(C4:C7)</f>
        <v>0</v>
      </c>
      <c r="D8" s="392">
        <f>SUM(D4:D7)</f>
        <v>0</v>
      </c>
      <c r="E8" s="394"/>
      <c r="F8" s="394"/>
      <c r="G8" s="394"/>
      <c r="H8" s="394"/>
      <c r="I8" s="394"/>
      <c r="J8" s="394"/>
      <c r="K8" s="390"/>
    </row>
    <row r="9" spans="1:11" s="391" customFormat="1">
      <c r="A9" s="395" t="s">
        <v>602</v>
      </c>
      <c r="B9" s="392">
        <f>'Sources and Uses Budget'!C9</f>
        <v>29390353</v>
      </c>
      <c r="C9" s="393"/>
      <c r="D9" s="393"/>
      <c r="E9" s="394"/>
      <c r="F9" s="394"/>
      <c r="G9" s="394"/>
      <c r="H9" s="392">
        <f>'Sources and Uses Budget'!T9</f>
        <v>29390353</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29390353</v>
      </c>
      <c r="C11" s="392">
        <f>SUM(C9:C10)</f>
        <v>0</v>
      </c>
      <c r="D11" s="392">
        <f>SUM(D9:D10)</f>
        <v>0</v>
      </c>
      <c r="E11" s="394"/>
      <c r="F11" s="394"/>
      <c r="G11" s="394"/>
      <c r="H11" s="392">
        <f>'Sources and Uses Budget'!T11</f>
        <v>29390353</v>
      </c>
      <c r="I11" s="392">
        <f>SUM(I9:I10)</f>
        <v>0</v>
      </c>
      <c r="J11" s="392">
        <f>SUM(J9:J10)</f>
        <v>0</v>
      </c>
      <c r="K11" s="390"/>
    </row>
    <row r="12" spans="1:11" s="391" customFormat="1">
      <c r="A12" s="396" t="s">
        <v>84</v>
      </c>
      <c r="B12" s="392">
        <f>'Sources and Uses Budget'!C12</f>
        <v>35080000</v>
      </c>
      <c r="C12" s="392">
        <f>SUM(C8+C11)</f>
        <v>0</v>
      </c>
      <c r="D12" s="392">
        <f>SUM(D8+D11)</f>
        <v>0</v>
      </c>
      <c r="E12" s="394"/>
      <c r="F12" s="394"/>
      <c r="G12" s="394"/>
      <c r="H12" s="394"/>
      <c r="I12" s="394"/>
      <c r="J12" s="394"/>
      <c r="K12" s="390"/>
    </row>
    <row r="13" spans="1:11" s="391" customFormat="1">
      <c r="A13" s="397" t="s">
        <v>917</v>
      </c>
      <c r="B13" s="392">
        <f>'Sources and Uses Budget'!C13</f>
        <v>330000</v>
      </c>
      <c r="C13" s="393"/>
      <c r="D13" s="393"/>
      <c r="E13" s="392">
        <f>'Sources and Uses Budget'!S13</f>
        <v>0</v>
      </c>
      <c r="F13" s="393"/>
      <c r="G13" s="393"/>
      <c r="H13" s="392">
        <f>'Sources and Uses Budget'!T13</f>
        <v>108885</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90000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4569444.444444445</v>
      </c>
      <c r="C29" s="393"/>
      <c r="D29" s="393"/>
      <c r="E29" s="392">
        <f>'Sources and Uses Budget'!S29</f>
        <v>4569444.444444445</v>
      </c>
      <c r="F29" s="393"/>
      <c r="G29" s="393"/>
      <c r="H29" s="392">
        <f>'Sources and Uses Budget'!T29</f>
        <v>0</v>
      </c>
      <c r="I29" s="393"/>
      <c r="J29" s="393"/>
      <c r="K29" s="390"/>
    </row>
    <row r="30" spans="1:11" s="391" customFormat="1">
      <c r="A30" s="145" t="s">
        <v>607</v>
      </c>
      <c r="B30" s="392">
        <f>'Sources and Uses Budget'!C30</f>
        <v>14718888.888888888</v>
      </c>
      <c r="C30" s="393"/>
      <c r="D30" s="393"/>
      <c r="E30" s="392">
        <f>'Sources and Uses Budget'!S30</f>
        <v>14718888.888888888</v>
      </c>
      <c r="F30" s="393"/>
      <c r="G30" s="393"/>
      <c r="H30" s="392">
        <f>'Sources and Uses Budget'!T30</f>
        <v>0</v>
      </c>
      <c r="I30" s="393"/>
      <c r="J30" s="393"/>
      <c r="K30" s="390"/>
    </row>
    <row r="31" spans="1:11" s="391" customFormat="1">
      <c r="A31" s="145" t="s">
        <v>608</v>
      </c>
      <c r="B31" s="392">
        <f>'Sources and Uses Budget'!C31</f>
        <v>1253333.3333333335</v>
      </c>
      <c r="C31" s="393"/>
      <c r="D31" s="393"/>
      <c r="E31" s="392">
        <f>'Sources and Uses Budget'!S31</f>
        <v>1253333.3333333335</v>
      </c>
      <c r="F31" s="393"/>
      <c r="G31" s="393"/>
      <c r="H31" s="392">
        <f>'Sources and Uses Budget'!T31</f>
        <v>0</v>
      </c>
      <c r="I31" s="393"/>
      <c r="J31" s="393"/>
      <c r="K31" s="390"/>
    </row>
    <row r="32" spans="1:11" s="391" customFormat="1">
      <c r="A32" s="145" t="s">
        <v>137</v>
      </c>
      <c r="B32" s="392">
        <f>'Sources and Uses Budget'!C32</f>
        <v>822500.00000000012</v>
      </c>
      <c r="C32" s="393"/>
      <c r="D32" s="393"/>
      <c r="E32" s="392">
        <f>'Sources and Uses Budget'!S32</f>
        <v>822500.00000000012</v>
      </c>
      <c r="F32" s="393"/>
      <c r="G32" s="393"/>
      <c r="H32" s="392">
        <f>'Sources and Uses Budget'!T32</f>
        <v>0</v>
      </c>
      <c r="I32" s="393"/>
      <c r="J32" s="393"/>
      <c r="K32" s="390"/>
    </row>
    <row r="33" spans="1:11" s="391" customFormat="1">
      <c r="A33" s="145" t="s">
        <v>138</v>
      </c>
      <c r="B33" s="392">
        <f>'Sources and Uses Budget'!C33</f>
        <v>822500.00000000012</v>
      </c>
      <c r="C33" s="393"/>
      <c r="D33" s="393"/>
      <c r="E33" s="392">
        <f>'Sources and Uses Budget'!S33</f>
        <v>822500.00000000012</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313333.33333333337</v>
      </c>
      <c r="C35" s="393"/>
      <c r="D35" s="393"/>
      <c r="E35" s="392">
        <f>'Sources and Uses Budget'!S35</f>
        <v>313333.33333333337</v>
      </c>
      <c r="F35" s="393"/>
      <c r="G35" s="393"/>
      <c r="H35" s="392">
        <f>'Sources and Uses Budget'!T35</f>
        <v>0</v>
      </c>
      <c r="I35" s="393"/>
      <c r="J35" s="393"/>
      <c r="K35" s="390"/>
    </row>
    <row r="36" spans="1:11" s="391" customFormat="1">
      <c r="A36" s="542" t="s">
        <v>1753</v>
      </c>
      <c r="B36" s="392">
        <f>'Sources and Uses Budget'!C36</f>
        <v>210000</v>
      </c>
      <c r="C36" s="393"/>
      <c r="D36" s="393"/>
      <c r="E36" s="392">
        <f>'Sources and Uses Budget'!S36</f>
        <v>210000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22709999.999999996</v>
      </c>
      <c r="C38" s="392">
        <f>SUM(C29:C37)</f>
        <v>0</v>
      </c>
      <c r="D38" s="392">
        <f>SUM(D29:D37)</f>
        <v>0</v>
      </c>
      <c r="E38" s="392">
        <f>'Sources and Uses Budget'!S38</f>
        <v>22709999.999999996</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1281108</v>
      </c>
      <c r="C40" s="393"/>
      <c r="D40" s="393"/>
      <c r="E40" s="392">
        <f>'Sources and Uses Budget'!S40</f>
        <v>1281108</v>
      </c>
      <c r="F40" s="393"/>
      <c r="G40" s="393"/>
      <c r="H40" s="392">
        <f>'Sources and Uses Budget'!T40</f>
        <v>0</v>
      </c>
      <c r="I40" s="393"/>
      <c r="J40" s="393"/>
      <c r="K40" s="390"/>
    </row>
    <row r="41" spans="1:11" s="391" customFormat="1">
      <c r="A41" s="395" t="s">
        <v>146</v>
      </c>
      <c r="B41" s="392">
        <f>'Sources and Uses Budget'!C41</f>
        <v>226078</v>
      </c>
      <c r="C41" s="393"/>
      <c r="D41" s="393"/>
      <c r="E41" s="392">
        <f>'Sources and Uses Budget'!S41</f>
        <v>226078</v>
      </c>
      <c r="F41" s="393"/>
      <c r="G41" s="393"/>
      <c r="H41" s="392">
        <f>'Sources and Uses Budget'!T41</f>
        <v>0</v>
      </c>
      <c r="I41" s="393"/>
      <c r="J41" s="393"/>
      <c r="K41" s="390"/>
    </row>
    <row r="42" spans="1:11" s="391" customFormat="1">
      <c r="A42" s="396" t="s">
        <v>147</v>
      </c>
      <c r="B42" s="392">
        <f>'Sources and Uses Budget'!C42</f>
        <v>1507186</v>
      </c>
      <c r="C42" s="392">
        <f>SUM(C39:C41)</f>
        <v>0</v>
      </c>
      <c r="D42" s="392">
        <f>SUM(D39:D41)</f>
        <v>0</v>
      </c>
      <c r="E42" s="392">
        <f>'Sources and Uses Budget'!S42</f>
        <v>1507186</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185000</v>
      </c>
      <c r="C43" s="393"/>
      <c r="D43" s="393"/>
      <c r="E43" s="392">
        <f>'Sources and Uses Budget'!S43</f>
        <v>185000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4744736</v>
      </c>
      <c r="C45" s="393"/>
      <c r="D45" s="393"/>
      <c r="E45" s="392">
        <f>'Sources and Uses Budget'!S45</f>
        <v>3357388</v>
      </c>
      <c r="F45" s="393"/>
      <c r="G45" s="393"/>
      <c r="H45" s="392">
        <f>'Sources and Uses Budget'!T45</f>
        <v>0</v>
      </c>
      <c r="I45" s="393"/>
      <c r="J45" s="393"/>
      <c r="K45" s="390"/>
    </row>
    <row r="46" spans="1:11" s="391" customFormat="1">
      <c r="A46" s="395" t="s">
        <v>151</v>
      </c>
      <c r="B46" s="392">
        <f>'Sources and Uses Budget'!C46</f>
        <v>329320</v>
      </c>
      <c r="C46" s="393"/>
      <c r="D46" s="393"/>
      <c r="E46" s="392">
        <f>'Sources and Uses Budget'!S46</f>
        <v>233027</v>
      </c>
      <c r="F46" s="393"/>
      <c r="G46" s="393"/>
      <c r="H46" s="392">
        <f>'Sources and Uses Budget'!T46</f>
        <v>0</v>
      </c>
      <c r="I46" s="393"/>
      <c r="J46" s="393"/>
      <c r="K46" s="390"/>
    </row>
    <row r="47" spans="1:11" s="391" customFormat="1" ht="12" customHeight="1">
      <c r="A47" s="395" t="s">
        <v>152</v>
      </c>
      <c r="B47" s="392">
        <f>'Sources and Uses Budget'!C47</f>
        <v>45000</v>
      </c>
      <c r="C47" s="393"/>
      <c r="D47" s="393"/>
      <c r="E47" s="392">
        <f>'Sources and Uses Budget'!S47</f>
        <v>31842</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41058</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0</v>
      </c>
      <c r="C50" s="393"/>
      <c r="D50" s="393"/>
      <c r="E50" s="392">
        <f>'Sources and Uses Budget'!S50</f>
        <v>0</v>
      </c>
      <c r="F50" s="393"/>
      <c r="G50" s="393"/>
      <c r="H50" s="392">
        <f>'Sources and Uses Budget'!T50</f>
        <v>0</v>
      </c>
      <c r="I50" s="393"/>
      <c r="J50" s="393"/>
      <c r="K50" s="390"/>
    </row>
    <row r="51" spans="1:11" s="391" customFormat="1">
      <c r="A51" s="395" t="s">
        <v>154</v>
      </c>
      <c r="B51" s="392">
        <f>'Sources and Uses Budget'!C51</f>
        <v>197529</v>
      </c>
      <c r="C51" s="393"/>
      <c r="D51" s="393"/>
      <c r="E51" s="392">
        <f>'Sources and Uses Budget'!S51</f>
        <v>197529</v>
      </c>
      <c r="F51" s="393"/>
      <c r="G51" s="393"/>
      <c r="H51" s="392">
        <f>'Sources and Uses Budget'!T51</f>
        <v>0</v>
      </c>
      <c r="I51" s="393"/>
      <c r="J51" s="393"/>
      <c r="K51" s="390"/>
    </row>
    <row r="52" spans="1:11" s="391" customFormat="1">
      <c r="A52" s="395" t="s">
        <v>155</v>
      </c>
      <c r="B52" s="392">
        <f>'Sources and Uses Budget'!C52</f>
        <v>500000</v>
      </c>
      <c r="C52" s="393"/>
      <c r="D52" s="393"/>
      <c r="E52" s="392">
        <f>'Sources and Uses Budget'!S52</f>
        <v>500000</v>
      </c>
      <c r="F52" s="393"/>
      <c r="G52" s="393"/>
      <c r="H52" s="392">
        <f>'Sources and Uses Budget'!T52</f>
        <v>0</v>
      </c>
      <c r="I52" s="393"/>
      <c r="J52" s="393"/>
      <c r="K52" s="390"/>
    </row>
    <row r="53" spans="1:11" s="391" customFormat="1">
      <c r="A53" s="395" t="str">
        <f>'Sources and Uses Budget'!$A53</f>
        <v>Accrued/Deferred Interest</v>
      </c>
      <c r="B53" s="392">
        <f>'Sources and Uses Budget'!C53</f>
        <v>1948170</v>
      </c>
      <c r="C53" s="393"/>
      <c r="D53" s="393"/>
      <c r="E53" s="392">
        <f>'Sources and Uses Budget'!S53</f>
        <v>319343</v>
      </c>
      <c r="F53" s="393"/>
      <c r="G53" s="393"/>
      <c r="H53" s="392">
        <f>'Sources and Uses Budget'!T53</f>
        <v>0</v>
      </c>
      <c r="I53" s="393"/>
      <c r="J53" s="393"/>
      <c r="K53" s="390"/>
    </row>
    <row r="54" spans="1:11" s="400" customFormat="1">
      <c r="A54" s="396" t="s">
        <v>157</v>
      </c>
      <c r="B54" s="392">
        <f>'Sources and Uses Budget'!C54</f>
        <v>7805813</v>
      </c>
      <c r="C54" s="398">
        <f>SUM(C45:C53)</f>
        <v>0</v>
      </c>
      <c r="D54" s="398">
        <f>SUM(D45:D53)</f>
        <v>0</v>
      </c>
      <c r="E54" s="392">
        <f>'Sources and Uses Budget'!S54</f>
        <v>4639129</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Sponsor Legal</v>
      </c>
      <c r="B61" s="392">
        <f>'Sources and Uses Budget'!C61</f>
        <v>30000</v>
      </c>
      <c r="C61" s="393"/>
      <c r="D61" s="393"/>
      <c r="E61" s="394"/>
      <c r="F61" s="394"/>
      <c r="G61" s="394"/>
      <c r="H61" s="394"/>
      <c r="I61" s="394"/>
      <c r="J61" s="394"/>
      <c r="K61" s="390"/>
    </row>
    <row r="62" spans="1:11" s="391" customFormat="1" ht="13.7" customHeight="1">
      <c r="A62" s="396" t="s">
        <v>302</v>
      </c>
      <c r="B62" s="392">
        <f>'Sources and Uses Budget'!C62</f>
        <v>30000</v>
      </c>
      <c r="C62" s="392">
        <f>SUM(C56:C61)</f>
        <v>0</v>
      </c>
      <c r="D62" s="392">
        <f>SUM(D56:D61)</f>
        <v>0</v>
      </c>
      <c r="E62" s="394"/>
      <c r="F62" s="394"/>
      <c r="G62" s="394"/>
      <c r="H62" s="394"/>
      <c r="I62" s="394"/>
      <c r="J62" s="394"/>
      <c r="K62" s="390"/>
    </row>
    <row r="63" spans="1:11" s="391" customFormat="1">
      <c r="A63" s="401" t="s">
        <v>303</v>
      </c>
      <c r="B63" s="392">
        <f>'Sources and Uses Budget'!C63</f>
        <v>67737999</v>
      </c>
      <c r="C63" s="392">
        <f>SUM(C8+C11+C13+C14+C15+C26+C27+C38+C42+C43+C54+C62)</f>
        <v>0</v>
      </c>
      <c r="D63" s="392">
        <f>SUM(D8+D11+D13+D14+D15+D26+D27+D38+D42+D43+D54+D62)</f>
        <v>0</v>
      </c>
      <c r="E63" s="392">
        <f>'Sources and Uses Budget'!S63</f>
        <v>29041314.999999996</v>
      </c>
      <c r="F63" s="392">
        <f>SUM(F10+F13+F14+F15+F26+F27+F38+F42+F43+F54)</f>
        <v>0</v>
      </c>
      <c r="G63" s="392">
        <f>SUM(G10+G13+G14+G15+G26+G27+G38+G42+G43+G54)</f>
        <v>0</v>
      </c>
      <c r="H63" s="392">
        <f>'Sources and Uses Budget'!T63</f>
        <v>29499238</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55000</v>
      </c>
      <c r="C65" s="393"/>
      <c r="D65" s="393"/>
      <c r="E65" s="392">
        <f>'Sources and Uses Budget'!S65</f>
        <v>38918</v>
      </c>
      <c r="F65" s="393"/>
      <c r="G65" s="393"/>
      <c r="H65" s="392">
        <f>'Sources and Uses Budget'!T65</f>
        <v>0</v>
      </c>
      <c r="I65" s="393"/>
      <c r="J65" s="393"/>
      <c r="K65" s="390"/>
    </row>
    <row r="66" spans="1:11" s="391" customFormat="1" ht="24">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Sponsor Legal</v>
      </c>
      <c r="B69" s="392">
        <f>'Sources and Uses Budget'!C69</f>
        <v>220979</v>
      </c>
      <c r="C69" s="393"/>
      <c r="D69" s="393"/>
      <c r="E69" s="392">
        <f>'Sources and Uses Budget'!S69</f>
        <v>220979</v>
      </c>
      <c r="F69" s="393"/>
      <c r="G69" s="393"/>
      <c r="H69" s="392">
        <f>'Sources and Uses Budget'!T69</f>
        <v>0</v>
      </c>
      <c r="I69" s="393"/>
      <c r="J69" s="393"/>
      <c r="K69" s="390"/>
    </row>
    <row r="70" spans="1:11" s="391" customFormat="1">
      <c r="A70" s="396" t="s">
        <v>609</v>
      </c>
      <c r="B70" s="392">
        <f>'Sources and Uses Budget'!C70</f>
        <v>275979</v>
      </c>
      <c r="C70" s="392">
        <f>SUM(C64:C69)</f>
        <v>0</v>
      </c>
      <c r="D70" s="392">
        <f>SUM(D64:D69)</f>
        <v>0</v>
      </c>
      <c r="E70" s="392">
        <f>'Sources and Uses Budget'!S70</f>
        <v>259897</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860352</v>
      </c>
      <c r="C75" s="393"/>
      <c r="D75" s="393"/>
      <c r="E75" s="394"/>
      <c r="F75" s="394"/>
      <c r="G75" s="394"/>
      <c r="H75" s="394"/>
      <c r="I75" s="394"/>
      <c r="J75" s="394"/>
      <c r="K75" s="390"/>
    </row>
    <row r="76" spans="1:11" s="391" customFormat="1" ht="24">
      <c r="A76" s="395" t="str">
        <f>'Sources and Uses Budget'!$A76</f>
        <v>Capitalized Operating Subsidy Reserves</v>
      </c>
      <c r="B76" s="392">
        <f>'Sources and Uses Budget'!C76</f>
        <v>6890379</v>
      </c>
      <c r="C76" s="393"/>
      <c r="D76" s="393"/>
      <c r="E76" s="394"/>
      <c r="F76" s="394"/>
      <c r="G76" s="394"/>
      <c r="H76" s="394"/>
      <c r="I76" s="394"/>
      <c r="J76" s="394"/>
      <c r="K76" s="390"/>
    </row>
    <row r="77" spans="1:11" s="391" customFormat="1">
      <c r="A77" s="396" t="s">
        <v>614</v>
      </c>
      <c r="B77" s="392">
        <f>'Sources and Uses Budget'!C77</f>
        <v>7750731</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2250000</v>
      </c>
      <c r="C79" s="393"/>
      <c r="D79" s="393"/>
      <c r="E79" s="392">
        <f>'Sources and Uses Budget'!S79</f>
        <v>2250000</v>
      </c>
      <c r="F79" s="393"/>
      <c r="G79" s="393"/>
      <c r="H79" s="392">
        <f>'Sources and Uses Budget'!T79</f>
        <v>0</v>
      </c>
      <c r="I79" s="393"/>
      <c r="J79" s="393"/>
      <c r="K79" s="390"/>
    </row>
    <row r="80" spans="1:11" s="391" customFormat="1">
      <c r="A80" s="395" t="s">
        <v>58</v>
      </c>
      <c r="B80" s="392">
        <f>'Sources and Uses Budget'!C80</f>
        <v>609196</v>
      </c>
      <c r="C80" s="393"/>
      <c r="D80" s="393"/>
      <c r="E80" s="392">
        <f>'Sources and Uses Budget'!S80</f>
        <v>609196</v>
      </c>
      <c r="F80" s="393"/>
      <c r="G80" s="393"/>
      <c r="H80" s="392">
        <f>'Sources and Uses Budget'!T80</f>
        <v>0</v>
      </c>
      <c r="I80" s="393"/>
      <c r="J80" s="393"/>
      <c r="K80" s="390"/>
    </row>
    <row r="81" spans="1:11" s="391" customFormat="1">
      <c r="A81" s="396" t="s">
        <v>1315</v>
      </c>
      <c r="B81" s="392">
        <f>'Sources and Uses Budget'!C81</f>
        <v>2859196</v>
      </c>
      <c r="C81" s="392">
        <f>SUM(C79:C80)</f>
        <v>0</v>
      </c>
      <c r="D81" s="392">
        <f>SUM(D79:D80)</f>
        <v>0</v>
      </c>
      <c r="E81" s="392">
        <f>'Sources and Uses Budget'!S81</f>
        <v>2859196</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131174</v>
      </c>
      <c r="C83" s="393"/>
      <c r="D83" s="393"/>
      <c r="E83" s="394"/>
      <c r="F83" s="394"/>
      <c r="G83" s="394"/>
      <c r="H83" s="394"/>
      <c r="I83" s="394"/>
      <c r="J83" s="394"/>
      <c r="K83" s="390"/>
    </row>
    <row r="84" spans="1:11" s="391" customFormat="1">
      <c r="A84" s="145" t="s">
        <v>776</v>
      </c>
      <c r="B84" s="392">
        <f>'Sources and Uses Budget'!C84</f>
        <v>65000</v>
      </c>
      <c r="C84" s="393"/>
      <c r="D84" s="393"/>
      <c r="E84" s="392">
        <f>'Sources and Uses Budget'!S84</f>
        <v>65000</v>
      </c>
      <c r="F84" s="393"/>
      <c r="G84" s="393"/>
      <c r="H84" s="392">
        <f>'Sources and Uses Budget'!T84</f>
        <v>0</v>
      </c>
      <c r="I84" s="393"/>
      <c r="J84" s="393"/>
      <c r="K84" s="390"/>
    </row>
    <row r="85" spans="1:11" s="391" customFormat="1">
      <c r="A85" s="145" t="s">
        <v>777</v>
      </c>
      <c r="B85" s="392">
        <f>'Sources and Uses Budget'!C85</f>
        <v>1532244</v>
      </c>
      <c r="C85" s="393"/>
      <c r="D85" s="393"/>
      <c r="E85" s="392">
        <f>'Sources and Uses Budget'!S85</f>
        <v>1532244</v>
      </c>
      <c r="F85" s="393"/>
      <c r="G85" s="393"/>
      <c r="H85" s="392">
        <f>'Sources and Uses Budget'!T85</f>
        <v>0</v>
      </c>
      <c r="I85" s="393"/>
      <c r="J85" s="393"/>
      <c r="K85" s="390"/>
    </row>
    <row r="86" spans="1:11" s="391" customFormat="1">
      <c r="A86" s="145" t="s">
        <v>778</v>
      </c>
      <c r="B86" s="392">
        <f>'Sources and Uses Budget'!C86</f>
        <v>230000</v>
      </c>
      <c r="C86" s="393"/>
      <c r="D86" s="393"/>
      <c r="E86" s="392">
        <f>'Sources and Uses Budget'!S86</f>
        <v>230000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146000</v>
      </c>
      <c r="C88" s="393"/>
      <c r="D88" s="393"/>
      <c r="E88" s="394"/>
      <c r="F88" s="394"/>
      <c r="G88" s="394"/>
      <c r="H88" s="394"/>
      <c r="I88" s="394"/>
      <c r="J88" s="394"/>
      <c r="K88" s="390"/>
    </row>
    <row r="89" spans="1:11" s="391" customFormat="1">
      <c r="A89" s="145" t="s">
        <v>781</v>
      </c>
      <c r="B89" s="392">
        <f>'Sources and Uses Budget'!C89</f>
        <v>324000</v>
      </c>
      <c r="C89" s="393"/>
      <c r="D89" s="393"/>
      <c r="E89" s="392">
        <f>'Sources and Uses Budget'!S89</f>
        <v>324000</v>
      </c>
      <c r="F89" s="393"/>
      <c r="G89" s="393"/>
      <c r="H89" s="392">
        <f>'Sources and Uses Budget'!T89</f>
        <v>0</v>
      </c>
      <c r="I89" s="393"/>
      <c r="J89" s="393"/>
      <c r="K89" s="390"/>
    </row>
    <row r="90" spans="1:11" s="391" customFormat="1">
      <c r="A90" s="145" t="s">
        <v>782</v>
      </c>
      <c r="B90" s="392">
        <f>'Sources and Uses Budget'!C90</f>
        <v>15000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25000</v>
      </c>
      <c r="C92" s="393"/>
      <c r="D92" s="393"/>
      <c r="E92" s="392">
        <f>'Sources and Uses Budget'!S92</f>
        <v>0</v>
      </c>
      <c r="F92" s="393"/>
      <c r="G92" s="393"/>
      <c r="H92" s="392">
        <f>'Sources and Uses Budget'!T92</f>
        <v>0</v>
      </c>
      <c r="I92" s="393"/>
      <c r="J92" s="393"/>
      <c r="K92" s="390"/>
    </row>
    <row r="93" spans="1:11" s="391" customFormat="1" ht="24">
      <c r="A93" s="395" t="str">
        <f>'Sources and Uses Budget'!$A93</f>
        <v>Prevaling Wage Monitor, HERS GPR RATER</v>
      </c>
      <c r="B93" s="392">
        <f>'Sources and Uses Budget'!C93</f>
        <v>125000</v>
      </c>
      <c r="C93" s="393"/>
      <c r="D93" s="393"/>
      <c r="E93" s="392">
        <f>'Sources and Uses Budget'!S93</f>
        <v>125000</v>
      </c>
      <c r="F93" s="393"/>
      <c r="G93" s="393"/>
      <c r="H93" s="392">
        <f>'Sources and Uses Budget'!T93</f>
        <v>0</v>
      </c>
      <c r="I93" s="393"/>
      <c r="J93" s="393"/>
      <c r="K93" s="390"/>
    </row>
    <row r="94" spans="1:11" s="391" customFormat="1">
      <c r="A94" s="395" t="str">
        <f>'Sources and Uses Budget'!$A94</f>
        <v>Site Security During Construction</v>
      </c>
      <c r="B94" s="392">
        <f>'Sources and Uses Budget'!C94</f>
        <v>120000</v>
      </c>
      <c r="C94" s="393"/>
      <c r="D94" s="393"/>
      <c r="E94" s="392">
        <f>'Sources and Uses Budget'!S94</f>
        <v>120000</v>
      </c>
      <c r="F94" s="393"/>
      <c r="G94" s="393"/>
      <c r="H94" s="392">
        <f>'Sources and Uses Budget'!T94</f>
        <v>0</v>
      </c>
      <c r="I94" s="393"/>
      <c r="J94" s="393"/>
      <c r="K94" s="390"/>
    </row>
    <row r="95" spans="1:11" s="391" customFormat="1" ht="24">
      <c r="A95" s="395" t="str">
        <f>'Sources and Uses Budget'!$A95</f>
        <v>Low Voltage Repair, Security Camera install not in Contract</v>
      </c>
      <c r="B95" s="392">
        <f>'Sources and Uses Budget'!C95</f>
        <v>400000</v>
      </c>
      <c r="C95" s="393"/>
      <c r="D95" s="393"/>
      <c r="E95" s="392">
        <f>'Sources and Uses Budget'!S95</f>
        <v>400000</v>
      </c>
      <c r="F95" s="393"/>
      <c r="G95" s="393"/>
      <c r="H95" s="392">
        <f>'Sources and Uses Budget'!T95</f>
        <v>0</v>
      </c>
      <c r="I95" s="393"/>
      <c r="J95" s="393"/>
      <c r="K95" s="390"/>
    </row>
    <row r="96" spans="1:11" s="391" customFormat="1">
      <c r="A96" s="396" t="s">
        <v>783</v>
      </c>
      <c r="B96" s="392">
        <f>'Sources and Uses Budget'!C96</f>
        <v>3113418</v>
      </c>
      <c r="C96" s="392">
        <f>SUM(C83:C95)</f>
        <v>0</v>
      </c>
      <c r="D96" s="392">
        <f>SUM(D83:D95)</f>
        <v>0</v>
      </c>
      <c r="E96" s="392">
        <f>'Sources and Uses Budget'!S96</f>
        <v>2796244</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81737323</v>
      </c>
      <c r="C97" s="392">
        <f>SUM(C63+C70+C77+C81+C96)</f>
        <v>0</v>
      </c>
      <c r="D97" s="392">
        <f>SUM(D63+D70+D77+D81+D96)</f>
        <v>0</v>
      </c>
      <c r="E97" s="392">
        <f>'Sources and Uses Budget'!S97</f>
        <v>34956652</v>
      </c>
      <c r="F97" s="398">
        <f>SUM(+F63+F70+F81+F96)</f>
        <v>0</v>
      </c>
      <c r="G97" s="398">
        <f>SUM(+G63+G70+G81+G96)</f>
        <v>0</v>
      </c>
      <c r="H97" s="392">
        <f>'Sources and Uses Budget'!T97</f>
        <v>29499238</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9668384</v>
      </c>
      <c r="C99" s="393"/>
      <c r="D99" s="393"/>
      <c r="E99" s="392">
        <f>'Sources and Uses Budget'!S99</f>
        <v>5243498</v>
      </c>
      <c r="F99" s="393"/>
      <c r="G99" s="393"/>
      <c r="H99" s="392">
        <f>'Sources and Uses Budget'!T99</f>
        <v>4424886</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9668384</v>
      </c>
      <c r="C104" s="392">
        <f>SUM(C99:C103)</f>
        <v>0</v>
      </c>
      <c r="D104" s="392">
        <f>SUM(D99:D103)</f>
        <v>0</v>
      </c>
      <c r="E104" s="392">
        <f>'Sources and Uses Budget'!S104</f>
        <v>5243498</v>
      </c>
      <c r="F104" s="398">
        <f>SUM(F99:F103)</f>
        <v>0</v>
      </c>
      <c r="G104" s="398">
        <f>SUM(G99:G103)</f>
        <v>0</v>
      </c>
      <c r="H104" s="392">
        <f>'Sources and Uses Budget'!T104</f>
        <v>4424886</v>
      </c>
      <c r="I104" s="398">
        <f>SUM(I99:I103)</f>
        <v>0</v>
      </c>
      <c r="J104" s="398">
        <f>SUM(J99:J103)</f>
        <v>0</v>
      </c>
      <c r="K104" s="390"/>
    </row>
    <row r="105" spans="1:11" s="391" customFormat="1">
      <c r="A105" s="396" t="s">
        <v>1054</v>
      </c>
      <c r="B105" s="392">
        <f>'Sources and Uses Budget'!C105</f>
        <v>91405707</v>
      </c>
      <c r="C105" s="398">
        <f>SUM(C97+C104)</f>
        <v>0</v>
      </c>
      <c r="D105" s="398">
        <f>SUM(D97+D104)</f>
        <v>0</v>
      </c>
      <c r="E105" s="392">
        <f>'Sources and Uses Budget'!S105</f>
        <v>40200150</v>
      </c>
      <c r="F105" s="398">
        <f>F97+F104</f>
        <v>0</v>
      </c>
      <c r="G105" s="398">
        <f>G97+G104</f>
        <v>0</v>
      </c>
      <c r="H105" s="392">
        <f>'Sources and Uses Budget'!T105</f>
        <v>33924124</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40200150</v>
      </c>
      <c r="F107" s="398">
        <f>F105+F106</f>
        <v>0</v>
      </c>
      <c r="G107" s="398">
        <f>G105+G106</f>
        <v>0</v>
      </c>
      <c r="H107" s="392">
        <f>'Sources and Uses Budget'!T107</f>
        <v>33924124</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2"/>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3"/>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F267" sqref="F267:AD27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115" t="s">
        <v>1411</v>
      </c>
      <c r="B1" s="2115"/>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row>
    <row r="2" spans="1:42" s="570" customFormat="1" ht="12.75" customHeight="1" thickBot="1">
      <c r="A2" s="2116"/>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c r="Z2" s="2116"/>
      <c r="AA2" s="2116"/>
      <c r="AB2" s="2116"/>
      <c r="AC2" s="2116"/>
      <c r="AD2" s="2116"/>
      <c r="AE2" s="2116"/>
      <c r="AF2" s="2116"/>
      <c r="AG2" s="2116"/>
      <c r="AH2" s="2116"/>
      <c r="AI2" s="2116"/>
      <c r="AJ2" s="2116"/>
      <c r="AK2" s="2116"/>
      <c r="AL2" s="2116"/>
      <c r="AM2" s="21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7" t="s">
        <v>1416</v>
      </c>
      <c r="AF7" s="1927"/>
      <c r="AG7" s="1927"/>
      <c r="AH7" s="1927"/>
      <c r="AI7" s="1927"/>
      <c r="AJ7" s="1927"/>
      <c r="AK7" s="1927"/>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9" t="s">
        <v>599</v>
      </c>
      <c r="C13" s="2109"/>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7"/>
      <c r="AH13" s="2117"/>
      <c r="AI13" s="2117"/>
      <c r="AJ13" s="21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9" t="s">
        <v>599</v>
      </c>
      <c r="C16" s="2109"/>
      <c r="D16" s="581"/>
      <c r="E16" s="2101" t="s">
        <v>1418</v>
      </c>
      <c r="F16" s="2102"/>
      <c r="G16" s="2102"/>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3"/>
      <c r="AK16" s="574"/>
      <c r="AL16" s="574"/>
      <c r="AM16" s="574"/>
      <c r="AN16" s="569"/>
      <c r="AO16" s="584">
        <f>IF($B25="yes",20,0)</f>
        <v>0</v>
      </c>
      <c r="AP16" s="14"/>
    </row>
    <row r="17" spans="1:42" s="570" customFormat="1" ht="12.75" customHeight="1">
      <c r="A17" s="574"/>
      <c r="B17" s="574"/>
      <c r="C17" s="574"/>
      <c r="D17" s="585"/>
      <c r="E17" s="2104"/>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6"/>
      <c r="AK17" s="574"/>
      <c r="AL17" s="574"/>
      <c r="AM17" s="574"/>
      <c r="AN17" s="569"/>
      <c r="AO17" s="570">
        <f>IF(SUM(AO13:AO16)&gt;20,20,(SUM(AO13:AO16)))</f>
        <v>0</v>
      </c>
      <c r="AP17" s="570" t="s">
        <v>1419</v>
      </c>
    </row>
    <row r="18" spans="1:42" s="570" customFormat="1" ht="12.75" customHeight="1">
      <c r="A18" s="574"/>
      <c r="B18" s="574"/>
      <c r="C18" s="574"/>
      <c r="D18" s="585"/>
      <c r="E18" s="2104"/>
      <c r="F18" s="2105"/>
      <c r="G18" s="2105"/>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6"/>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5"/>
      <c r="F20" s="2126"/>
      <c r="G20" s="2126"/>
      <c r="H20" s="2126"/>
      <c r="I20" s="2126"/>
      <c r="J20" s="2126"/>
      <c r="K20" s="2126"/>
      <c r="L20" s="2126"/>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9" t="s">
        <v>599</v>
      </c>
      <c r="C22" s="2109"/>
      <c r="D22" s="581"/>
      <c r="E22" s="2119" t="s">
        <v>1421</v>
      </c>
      <c r="F22" s="2120"/>
      <c r="G22" s="2120"/>
      <c r="H22" s="2120"/>
      <c r="I22" s="2120"/>
      <c r="J22" s="2120"/>
      <c r="K22" s="2120"/>
      <c r="L22" s="2120"/>
      <c r="M22" s="2120"/>
      <c r="N22" s="2120"/>
      <c r="O22" s="2120"/>
      <c r="P22" s="2120"/>
      <c r="Q22" s="2120"/>
      <c r="R22" s="2120"/>
      <c r="S22" s="2120"/>
      <c r="T22" s="2120"/>
      <c r="U22" s="2120"/>
      <c r="V22" s="2120"/>
      <c r="W22" s="2120"/>
      <c r="X22" s="2120"/>
      <c r="Y22" s="2120"/>
      <c r="Z22" s="2120"/>
      <c r="AA22" s="2120"/>
      <c r="AB22" s="2120"/>
      <c r="AC22" s="2120"/>
      <c r="AD22" s="2120"/>
      <c r="AE22" s="2120"/>
      <c r="AF22" s="2120"/>
      <c r="AG22" s="2120"/>
      <c r="AH22" s="2120"/>
      <c r="AI22" s="2120"/>
      <c r="AJ22" s="2121"/>
      <c r="AK22" s="574"/>
      <c r="AL22" s="574"/>
      <c r="AM22" s="574"/>
      <c r="AN22" s="569"/>
      <c r="AO22" s="570">
        <f>IF(SUM(AO20:AO21)&gt;14,14,SUM(AO20:AO21))</f>
        <v>0</v>
      </c>
      <c r="AP22" s="570" t="s">
        <v>1419</v>
      </c>
    </row>
    <row r="23" spans="1:42" s="570" customFormat="1" ht="12.75" customHeight="1">
      <c r="A23" s="574"/>
      <c r="B23" s="574"/>
      <c r="C23" s="574"/>
      <c r="D23" s="584"/>
      <c r="E23" s="2122"/>
      <c r="F23" s="2123"/>
      <c r="G23" s="2123"/>
      <c r="H23" s="2123"/>
      <c r="I23" s="2123"/>
      <c r="J23" s="2123"/>
      <c r="K23" s="2123"/>
      <c r="L23" s="2123"/>
      <c r="M23" s="2123"/>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9" t="s">
        <v>599</v>
      </c>
      <c r="C25" s="2109"/>
      <c r="D25" s="581"/>
      <c r="E25" s="2037" t="s">
        <v>2348</v>
      </c>
      <c r="F25" s="2038"/>
      <c r="G25" s="2038"/>
      <c r="H25" s="2038"/>
      <c r="I25" s="2038"/>
      <c r="J25" s="2038"/>
      <c r="K25" s="2038"/>
      <c r="L25" s="2038"/>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9"/>
      <c r="AK25" s="574"/>
      <c r="AL25" s="574"/>
      <c r="AM25" s="574"/>
      <c r="AN25" s="569"/>
      <c r="AO25" s="570">
        <f>IF(AO24&gt;6,6,AO24)</f>
        <v>0</v>
      </c>
      <c r="AP25" s="570" t="s">
        <v>1419</v>
      </c>
    </row>
    <row r="26" spans="1:42" s="570" customFormat="1" ht="12.75" customHeight="1">
      <c r="A26" s="574"/>
      <c r="B26" s="574"/>
      <c r="C26" s="574"/>
      <c r="D26" s="584"/>
      <c r="E26" s="2062"/>
      <c r="F26" s="2063"/>
      <c r="G26" s="2063"/>
      <c r="H26" s="2063"/>
      <c r="I26" s="2063"/>
      <c r="J26" s="2063"/>
      <c r="K26" s="2063"/>
      <c r="L26" s="2063"/>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09" t="s">
        <v>599</v>
      </c>
      <c r="C30" s="2109"/>
      <c r="D30" s="581"/>
      <c r="E30" s="2119" t="s">
        <v>2320</v>
      </c>
      <c r="F30" s="2120"/>
      <c r="G30" s="2120"/>
      <c r="H30" s="2120"/>
      <c r="I30" s="2120"/>
      <c r="J30" s="2120"/>
      <c r="K30" s="2120"/>
      <c r="L30" s="2120"/>
      <c r="M30" s="2120"/>
      <c r="N30" s="2120"/>
      <c r="O30" s="2120"/>
      <c r="P30" s="2120"/>
      <c r="Q30" s="2120"/>
      <c r="R30" s="2120"/>
      <c r="S30" s="2120"/>
      <c r="T30" s="2120"/>
      <c r="U30" s="2120"/>
      <c r="V30" s="2120"/>
      <c r="W30" s="2120"/>
      <c r="X30" s="2120"/>
      <c r="Y30" s="2120"/>
      <c r="Z30" s="2120"/>
      <c r="AA30" s="2120"/>
      <c r="AB30" s="2120"/>
      <c r="AC30" s="2120"/>
      <c r="AD30" s="2120"/>
      <c r="AE30" s="2120"/>
      <c r="AF30" s="2120"/>
      <c r="AG30" s="2120"/>
      <c r="AH30" s="2120"/>
      <c r="AI30" s="2120"/>
      <c r="AJ30" s="2121"/>
      <c r="AK30" s="574"/>
      <c r="AL30" s="574"/>
      <c r="AM30" s="574"/>
      <c r="AN30" s="569"/>
      <c r="AO30" s="584"/>
    </row>
    <row r="31" spans="1:42" s="570" customFormat="1" ht="12.75" customHeight="1">
      <c r="A31" s="574"/>
      <c r="B31" s="574"/>
      <c r="C31" s="574"/>
      <c r="E31" s="2122"/>
      <c r="F31" s="2123"/>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9" t="s">
        <v>599</v>
      </c>
      <c r="C33" s="2109"/>
      <c r="D33" s="581"/>
      <c r="E33" s="2037" t="s">
        <v>2321</v>
      </c>
      <c r="F33" s="2038"/>
      <c r="G33" s="2038"/>
      <c r="H33" s="2038"/>
      <c r="I33" s="2038"/>
      <c r="J33" s="2038"/>
      <c r="K33" s="2038"/>
      <c r="L33" s="2038"/>
      <c r="M33" s="2038"/>
      <c r="N33" s="2038"/>
      <c r="O33" s="2038"/>
      <c r="P33" s="2038"/>
      <c r="Q33" s="2038"/>
      <c r="R33" s="2038"/>
      <c r="S33" s="2038"/>
      <c r="T33" s="2038"/>
      <c r="U33" s="2038"/>
      <c r="V33" s="2038"/>
      <c r="W33" s="2038"/>
      <c r="X33" s="2038"/>
      <c r="Y33" s="2038"/>
      <c r="Z33" s="2038"/>
      <c r="AA33" s="2038"/>
      <c r="AB33" s="2038"/>
      <c r="AC33" s="2038"/>
      <c r="AD33" s="2038"/>
      <c r="AE33" s="2038"/>
      <c r="AF33" s="2038"/>
      <c r="AG33" s="2038"/>
      <c r="AH33" s="2038"/>
      <c r="AI33" s="2038"/>
      <c r="AJ33" s="2039"/>
      <c r="AK33" s="574"/>
      <c r="AL33" s="574"/>
      <c r="AM33" s="574"/>
      <c r="AN33" s="569"/>
    </row>
    <row r="34" spans="1:41" s="570" customFormat="1" ht="12.75" customHeight="1">
      <c r="A34" s="574"/>
      <c r="B34" s="574"/>
      <c r="C34" s="574"/>
      <c r="E34" s="2040"/>
      <c r="F34" s="2041"/>
      <c r="G34" s="2041"/>
      <c r="H34" s="2041"/>
      <c r="I34" s="2041"/>
      <c r="J34" s="2041"/>
      <c r="K34" s="2041"/>
      <c r="L34" s="2041"/>
      <c r="M34" s="2041"/>
      <c r="N34" s="2041"/>
      <c r="O34" s="2041"/>
      <c r="P34" s="2041"/>
      <c r="Q34" s="2041"/>
      <c r="R34" s="2041"/>
      <c r="S34" s="2041"/>
      <c r="T34" s="2041"/>
      <c r="U34" s="2041"/>
      <c r="V34" s="2041"/>
      <c r="W34" s="2041"/>
      <c r="X34" s="2041"/>
      <c r="Y34" s="2041"/>
      <c r="Z34" s="2041"/>
      <c r="AA34" s="2041"/>
      <c r="AB34" s="2041"/>
      <c r="AC34" s="2041"/>
      <c r="AD34" s="2041"/>
      <c r="AE34" s="2041"/>
      <c r="AF34" s="2041"/>
      <c r="AG34" s="2041"/>
      <c r="AH34" s="2041"/>
      <c r="AI34" s="2041"/>
      <c r="AJ34" s="2042"/>
      <c r="AK34" s="574"/>
      <c r="AL34" s="574"/>
      <c r="AM34" s="574"/>
      <c r="AN34" s="569"/>
    </row>
    <row r="35" spans="1:41" s="570" customFormat="1" ht="12.75" customHeight="1">
      <c r="A35" s="574"/>
      <c r="B35" s="574"/>
      <c r="C35" s="574"/>
      <c r="E35" s="2062"/>
      <c r="F35" s="2063"/>
      <c r="G35" s="2063"/>
      <c r="H35" s="2063"/>
      <c r="I35" s="2063"/>
      <c r="J35" s="2063"/>
      <c r="K35" s="2063"/>
      <c r="L35" s="2063"/>
      <c r="M35" s="2063"/>
      <c r="N35" s="2063"/>
      <c r="O35" s="2063"/>
      <c r="P35" s="2063"/>
      <c r="Q35" s="2063"/>
      <c r="R35" s="2063"/>
      <c r="S35" s="2063"/>
      <c r="T35" s="2063"/>
      <c r="U35" s="2063"/>
      <c r="V35" s="2063"/>
      <c r="W35" s="2063"/>
      <c r="X35" s="2063"/>
      <c r="Y35" s="2063"/>
      <c r="Z35" s="2063"/>
      <c r="AA35" s="2063"/>
      <c r="AB35" s="2063"/>
      <c r="AC35" s="2063"/>
      <c r="AD35" s="2063"/>
      <c r="AE35" s="2063"/>
      <c r="AF35" s="2063"/>
      <c r="AG35" s="2063"/>
      <c r="AH35" s="2063"/>
      <c r="AI35" s="2063"/>
      <c r="AJ35" s="206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9" t="s">
        <v>599</v>
      </c>
      <c r="C39" s="2109"/>
      <c r="D39" s="1186"/>
      <c r="E39" s="2037" t="s">
        <v>2322</v>
      </c>
      <c r="F39" s="2038"/>
      <c r="G39" s="2038"/>
      <c r="H39" s="2038"/>
      <c r="I39" s="2038"/>
      <c r="J39" s="2038"/>
      <c r="K39" s="2038"/>
      <c r="L39" s="2038"/>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38"/>
      <c r="AI39" s="2038"/>
      <c r="AJ39" s="2039"/>
      <c r="AK39" s="1186"/>
      <c r="AL39" s="574"/>
      <c r="AM39" s="574"/>
      <c r="AN39" s="569"/>
    </row>
    <row r="40" spans="1:41" s="570" customFormat="1" ht="12.75" customHeight="1">
      <c r="A40" s="574"/>
      <c r="B40" s="574"/>
      <c r="C40" s="574"/>
      <c r="E40" s="2040"/>
      <c r="F40" s="2041"/>
      <c r="G40" s="2041"/>
      <c r="H40" s="2041"/>
      <c r="I40" s="2041"/>
      <c r="J40" s="2041"/>
      <c r="K40" s="2041"/>
      <c r="L40" s="2041"/>
      <c r="M40" s="2041"/>
      <c r="N40" s="2041"/>
      <c r="O40" s="2041"/>
      <c r="P40" s="2041"/>
      <c r="Q40" s="2041"/>
      <c r="R40" s="2041"/>
      <c r="S40" s="2041"/>
      <c r="T40" s="2041"/>
      <c r="U40" s="2041"/>
      <c r="V40" s="2041"/>
      <c r="W40" s="2041"/>
      <c r="X40" s="2041"/>
      <c r="Y40" s="2041"/>
      <c r="Z40" s="2041"/>
      <c r="AA40" s="2041"/>
      <c r="AB40" s="2041"/>
      <c r="AC40" s="2041"/>
      <c r="AD40" s="2041"/>
      <c r="AE40" s="2041"/>
      <c r="AF40" s="2041"/>
      <c r="AG40" s="2041"/>
      <c r="AH40" s="2041"/>
      <c r="AI40" s="2041"/>
      <c r="AJ40" s="2042"/>
      <c r="AK40" s="574"/>
      <c r="AL40" s="574"/>
      <c r="AM40" s="574"/>
      <c r="AN40" s="569"/>
    </row>
    <row r="41" spans="1:41" s="570" customFormat="1" ht="12.75" customHeight="1">
      <c r="A41" s="574"/>
      <c r="D41" s="581"/>
      <c r="E41" s="2062"/>
      <c r="F41" s="2063"/>
      <c r="G41" s="2063"/>
      <c r="H41" s="2063"/>
      <c r="I41" s="2063"/>
      <c r="J41" s="2063"/>
      <c r="K41" s="2063"/>
      <c r="L41" s="2063"/>
      <c r="M41" s="2063"/>
      <c r="N41" s="2063"/>
      <c r="O41" s="2063"/>
      <c r="P41" s="2063"/>
      <c r="Q41" s="2063"/>
      <c r="R41" s="2063"/>
      <c r="S41" s="2063"/>
      <c r="T41" s="2063"/>
      <c r="U41" s="2063"/>
      <c r="V41" s="2063"/>
      <c r="W41" s="2063"/>
      <c r="X41" s="2063"/>
      <c r="Y41" s="2063"/>
      <c r="Z41" s="2063"/>
      <c r="AA41" s="2063"/>
      <c r="AB41" s="2063"/>
      <c r="AC41" s="2063"/>
      <c r="AD41" s="2063"/>
      <c r="AE41" s="2063"/>
      <c r="AF41" s="2063"/>
      <c r="AG41" s="2063"/>
      <c r="AH41" s="2063"/>
      <c r="AI41" s="2063"/>
      <c r="AJ41" s="206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9" t="s">
        <v>599</v>
      </c>
      <c r="C46" s="2109"/>
      <c r="D46" s="574"/>
      <c r="E46" s="2037" t="s">
        <v>2327</v>
      </c>
      <c r="F46" s="2038"/>
      <c r="G46" s="2038"/>
      <c r="H46" s="2038"/>
      <c r="I46" s="2038"/>
      <c r="J46" s="2038"/>
      <c r="K46" s="2038"/>
      <c r="L46" s="2038"/>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9"/>
      <c r="AK46" s="574"/>
      <c r="AL46" s="574"/>
      <c r="AM46" s="574"/>
      <c r="AN46" s="569"/>
      <c r="AO46" s="593"/>
    </row>
    <row r="47" spans="1:41" s="570" customFormat="1" ht="12.75" customHeight="1">
      <c r="A47" s="574"/>
      <c r="D47" s="581"/>
      <c r="E47" s="2040"/>
      <c r="F47" s="2041"/>
      <c r="G47" s="2041"/>
      <c r="H47" s="2041"/>
      <c r="I47" s="2041"/>
      <c r="J47" s="2041"/>
      <c r="K47" s="2041"/>
      <c r="L47" s="2041"/>
      <c r="M47" s="2041"/>
      <c r="N47" s="2041"/>
      <c r="O47" s="2041"/>
      <c r="P47" s="2041"/>
      <c r="Q47" s="2041"/>
      <c r="R47" s="2041"/>
      <c r="S47" s="2041"/>
      <c r="T47" s="2041"/>
      <c r="U47" s="2041"/>
      <c r="V47" s="2041"/>
      <c r="W47" s="2041"/>
      <c r="X47" s="2041"/>
      <c r="Y47" s="2041"/>
      <c r="Z47" s="2041"/>
      <c r="AA47" s="2041"/>
      <c r="AB47" s="2041"/>
      <c r="AC47" s="2041"/>
      <c r="AD47" s="2041"/>
      <c r="AE47" s="2041"/>
      <c r="AF47" s="2041"/>
      <c r="AG47" s="2041"/>
      <c r="AH47" s="2041"/>
      <c r="AI47" s="2041"/>
      <c r="AJ47" s="2042"/>
      <c r="AK47" s="574"/>
      <c r="AL47" s="574"/>
      <c r="AM47" s="574"/>
      <c r="AN47" s="569"/>
      <c r="AO47" s="593"/>
    </row>
    <row r="48" spans="1:41" s="570" customFormat="1" ht="12.75" customHeight="1">
      <c r="A48" s="574"/>
      <c r="D48" s="574"/>
      <c r="E48" s="2062"/>
      <c r="F48" s="2063"/>
      <c r="G48" s="2063"/>
      <c r="H48" s="2063"/>
      <c r="I48" s="2063"/>
      <c r="J48" s="2063"/>
      <c r="K48" s="2063"/>
      <c r="L48" s="2063"/>
      <c r="M48" s="2063"/>
      <c r="N48" s="2063"/>
      <c r="O48" s="2063"/>
      <c r="P48" s="2063"/>
      <c r="Q48" s="2063"/>
      <c r="R48" s="2063"/>
      <c r="S48" s="2063"/>
      <c r="T48" s="2063"/>
      <c r="U48" s="2063"/>
      <c r="V48" s="2063"/>
      <c r="W48" s="2063"/>
      <c r="X48" s="2063"/>
      <c r="Y48" s="2063"/>
      <c r="Z48" s="2063"/>
      <c r="AA48" s="2063"/>
      <c r="AB48" s="2063"/>
      <c r="AC48" s="2063"/>
      <c r="AD48" s="2063"/>
      <c r="AE48" s="2063"/>
      <c r="AF48" s="2063"/>
      <c r="AG48" s="2063"/>
      <c r="AH48" s="2063"/>
      <c r="AI48" s="2063"/>
      <c r="AJ48" s="206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9" t="s">
        <v>599</v>
      </c>
      <c r="C50" s="2109"/>
      <c r="D50" s="574"/>
      <c r="E50" s="2135" t="s">
        <v>2328</v>
      </c>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9" t="s">
        <v>599</v>
      </c>
      <c r="C52" s="2109"/>
      <c r="D52" s="574"/>
      <c r="E52" s="2037" t="s">
        <v>2329</v>
      </c>
      <c r="F52" s="2038"/>
      <c r="G52" s="2038"/>
      <c r="H52" s="2038"/>
      <c r="I52" s="2038"/>
      <c r="J52" s="2038"/>
      <c r="K52" s="2038"/>
      <c r="L52" s="2038"/>
      <c r="M52" s="2038"/>
      <c r="N52" s="2038"/>
      <c r="O52" s="2038"/>
      <c r="P52" s="2038"/>
      <c r="Q52" s="2038"/>
      <c r="R52" s="2038"/>
      <c r="S52" s="2038"/>
      <c r="T52" s="2038"/>
      <c r="U52" s="2038"/>
      <c r="V52" s="2038"/>
      <c r="W52" s="2038"/>
      <c r="X52" s="2038"/>
      <c r="Y52" s="2038"/>
      <c r="Z52" s="2038"/>
      <c r="AA52" s="2038"/>
      <c r="AB52" s="2038"/>
      <c r="AC52" s="2038"/>
      <c r="AD52" s="2038"/>
      <c r="AE52" s="2038"/>
      <c r="AF52" s="2038"/>
      <c r="AG52" s="2038"/>
      <c r="AH52" s="2038"/>
      <c r="AI52" s="2038"/>
      <c r="AJ52" s="2039"/>
      <c r="AK52" s="574"/>
      <c r="AL52" s="574"/>
      <c r="AM52" s="574"/>
      <c r="AN52" s="569"/>
    </row>
    <row r="53" spans="1:50" s="570" customFormat="1" ht="12.75" customHeight="1">
      <c r="A53" s="574"/>
      <c r="B53" s="581"/>
      <c r="C53" s="581"/>
      <c r="D53" s="581"/>
      <c r="E53" s="2062"/>
      <c r="F53" s="2063"/>
      <c r="G53" s="2063"/>
      <c r="H53" s="2063"/>
      <c r="I53" s="2063"/>
      <c r="J53" s="2063"/>
      <c r="K53" s="2063"/>
      <c r="L53" s="2063"/>
      <c r="M53" s="2063"/>
      <c r="N53" s="2063"/>
      <c r="O53" s="2063"/>
      <c r="P53" s="2063"/>
      <c r="Q53" s="2063"/>
      <c r="R53" s="2063"/>
      <c r="S53" s="2063"/>
      <c r="T53" s="2063"/>
      <c r="U53" s="2063"/>
      <c r="V53" s="2063"/>
      <c r="W53" s="2063"/>
      <c r="X53" s="2063"/>
      <c r="Y53" s="2063"/>
      <c r="Z53" s="2063"/>
      <c r="AA53" s="2063"/>
      <c r="AB53" s="2063"/>
      <c r="AC53" s="2063"/>
      <c r="AD53" s="2063"/>
      <c r="AE53" s="2063"/>
      <c r="AF53" s="2063"/>
      <c r="AG53" s="2063"/>
      <c r="AH53" s="2063"/>
      <c r="AI53" s="2063"/>
      <c r="AJ53" s="206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3">
        <f>AO36</f>
        <v>0</v>
      </c>
      <c r="AL56" s="2084"/>
      <c r="AM56" s="208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7" t="s">
        <v>1425</v>
      </c>
      <c r="AF59" s="1927"/>
      <c r="AG59" s="1927"/>
      <c r="AH59" s="1927"/>
      <c r="AI59" s="1927"/>
      <c r="AJ59" s="1927"/>
      <c r="AK59" s="1927"/>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9" t="s">
        <v>553</v>
      </c>
      <c r="C62" s="2109"/>
      <c r="D62" s="581" t="s">
        <v>1426</v>
      </c>
      <c r="E62" s="2101" t="s">
        <v>2330</v>
      </c>
      <c r="F62" s="2102"/>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3"/>
      <c r="AK62" s="577"/>
      <c r="AL62" s="574"/>
      <c r="AM62" s="574"/>
      <c r="AN62" s="569"/>
      <c r="AO62" s="584">
        <f>IF($B62="yes",10,0)</f>
        <v>10</v>
      </c>
    </row>
    <row r="63" spans="1:50" s="570" customFormat="1" ht="12.75" customHeight="1">
      <c r="A63" s="572"/>
      <c r="B63" s="574"/>
      <c r="C63" s="574"/>
      <c r="D63" s="585"/>
      <c r="E63" s="2104"/>
      <c r="F63" s="2105"/>
      <c r="G63" s="2105"/>
      <c r="H63" s="2105"/>
      <c r="I63" s="2105"/>
      <c r="J63" s="2105"/>
      <c r="K63" s="2105"/>
      <c r="L63" s="2105"/>
      <c r="M63" s="2105"/>
      <c r="N63" s="2105"/>
      <c r="O63" s="2105"/>
      <c r="P63" s="2105"/>
      <c r="Q63" s="2105"/>
      <c r="R63" s="2105"/>
      <c r="S63" s="2105"/>
      <c r="T63" s="2105"/>
      <c r="U63" s="2105"/>
      <c r="V63" s="2105"/>
      <c r="W63" s="2105"/>
      <c r="X63" s="2105"/>
      <c r="Y63" s="2105"/>
      <c r="Z63" s="2105"/>
      <c r="AA63" s="2105"/>
      <c r="AB63" s="2105"/>
      <c r="AC63" s="2105"/>
      <c r="AD63" s="2105"/>
      <c r="AE63" s="2105"/>
      <c r="AF63" s="2105"/>
      <c r="AG63" s="2105"/>
      <c r="AH63" s="2105"/>
      <c r="AI63" s="2105"/>
      <c r="AJ63" s="2106"/>
      <c r="AK63" s="577"/>
      <c r="AL63" s="574"/>
      <c r="AM63" s="574"/>
      <c r="AN63" s="569"/>
      <c r="AO63" s="584">
        <f>IF($B68="yes",10,0)</f>
        <v>10</v>
      </c>
    </row>
    <row r="64" spans="1:50" s="570" customFormat="1" ht="12.75" customHeight="1">
      <c r="A64" s="572"/>
      <c r="B64" s="574"/>
      <c r="C64" s="574"/>
      <c r="D64" s="585"/>
      <c r="E64" s="2104"/>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6"/>
      <c r="AK64" s="577"/>
      <c r="AL64" s="574"/>
      <c r="AM64" s="574"/>
      <c r="AN64" s="569"/>
      <c r="AO64" s="584">
        <f>IF($B75="yes",10,0)</f>
        <v>0</v>
      </c>
    </row>
    <row r="65" spans="1:42" s="570" customFormat="1" ht="12.75" customHeight="1">
      <c r="A65" s="572"/>
      <c r="B65" s="574"/>
      <c r="C65" s="574"/>
      <c r="D65" s="585"/>
      <c r="E65" s="2104"/>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c r="AI65" s="2105"/>
      <c r="AJ65" s="2106"/>
      <c r="AK65" s="577"/>
      <c r="AL65" s="574"/>
      <c r="AM65" s="574"/>
      <c r="AN65" s="569"/>
      <c r="AO65" s="570">
        <f>IF(SUM(AO62:AO64)&gt;10,10,(SUM(AO62:AO64)))</f>
        <v>10</v>
      </c>
      <c r="AP65" s="608" t="s">
        <v>1427</v>
      </c>
    </row>
    <row r="66" spans="1:42" s="570" customFormat="1" ht="12.75" customHeight="1">
      <c r="A66" s="572"/>
      <c r="B66" s="574"/>
      <c r="C66" s="574"/>
      <c r="D66" s="585"/>
      <c r="E66" s="2131"/>
      <c r="F66" s="2132"/>
      <c r="G66" s="2132"/>
      <c r="H66" s="2132"/>
      <c r="I66" s="2132"/>
      <c r="J66" s="2132"/>
      <c r="K66" s="2132"/>
      <c r="L66" s="2132"/>
      <c r="M66" s="2132"/>
      <c r="N66" s="2132"/>
      <c r="O66" s="2132"/>
      <c r="P66" s="2132"/>
      <c r="Q66" s="2132"/>
      <c r="R66" s="2132"/>
      <c r="S66" s="2132"/>
      <c r="T66" s="2132"/>
      <c r="U66" s="2132"/>
      <c r="V66" s="2132"/>
      <c r="W66" s="2132"/>
      <c r="X66" s="2132"/>
      <c r="Y66" s="2132"/>
      <c r="Z66" s="2132"/>
      <c r="AA66" s="2132"/>
      <c r="AB66" s="2132"/>
      <c r="AC66" s="2132"/>
      <c r="AD66" s="2132"/>
      <c r="AE66" s="2132"/>
      <c r="AF66" s="2132"/>
      <c r="AG66" s="2132"/>
      <c r="AH66" s="2132"/>
      <c r="AI66" s="2132"/>
      <c r="AJ66" s="213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9" t="s">
        <v>553</v>
      </c>
      <c r="C68" s="2109"/>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4" t="s">
        <v>599</v>
      </c>
      <c r="F69" s="2109"/>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9" t="s">
        <v>553</v>
      </c>
      <c r="F70" s="2130"/>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9" t="s">
        <v>599</v>
      </c>
      <c r="F71" s="2130"/>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4" t="s">
        <v>553</v>
      </c>
      <c r="F73" s="2109"/>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9" t="s">
        <v>599</v>
      </c>
      <c r="C75" s="2109"/>
      <c r="D75" s="581" t="s">
        <v>1431</v>
      </c>
      <c r="E75" s="2037" t="s">
        <v>1930</v>
      </c>
      <c r="F75" s="2038"/>
      <c r="G75" s="2038"/>
      <c r="H75" s="2038"/>
      <c r="I75" s="2038"/>
      <c r="J75" s="2038"/>
      <c r="K75" s="2038"/>
      <c r="L75" s="2038"/>
      <c r="M75" s="2038"/>
      <c r="N75" s="2038"/>
      <c r="O75" s="2038"/>
      <c r="P75" s="2038"/>
      <c r="Q75" s="2038"/>
      <c r="R75" s="2038"/>
      <c r="S75" s="2038"/>
      <c r="T75" s="2038"/>
      <c r="U75" s="2038"/>
      <c r="V75" s="2038"/>
      <c r="W75" s="2038"/>
      <c r="X75" s="2038"/>
      <c r="Y75" s="2038"/>
      <c r="Z75" s="2038"/>
      <c r="AA75" s="2038"/>
      <c r="AB75" s="2038"/>
      <c r="AC75" s="2038"/>
      <c r="AD75" s="2038"/>
      <c r="AE75" s="2038"/>
      <c r="AF75" s="2038"/>
      <c r="AG75" s="2038"/>
      <c r="AH75" s="2038"/>
      <c r="AI75" s="2038"/>
      <c r="AJ75" s="2039"/>
      <c r="AK75" s="577"/>
      <c r="AL75" s="574"/>
      <c r="AM75" s="574"/>
      <c r="AN75" s="569"/>
    </row>
    <row r="76" spans="1:42" s="570" customFormat="1" ht="12.75" customHeight="1">
      <c r="A76" s="572"/>
      <c r="B76" s="574"/>
      <c r="C76" s="574"/>
      <c r="D76" s="584"/>
      <c r="E76" s="2062"/>
      <c r="F76" s="2063"/>
      <c r="G76" s="2063"/>
      <c r="H76" s="2063"/>
      <c r="I76" s="2063"/>
      <c r="J76" s="2063"/>
      <c r="K76" s="2063"/>
      <c r="L76" s="2063"/>
      <c r="M76" s="2063"/>
      <c r="N76" s="2063"/>
      <c r="O76" s="2063"/>
      <c r="P76" s="2063"/>
      <c r="Q76" s="2063"/>
      <c r="R76" s="2063"/>
      <c r="S76" s="2063"/>
      <c r="T76" s="2063"/>
      <c r="U76" s="2063"/>
      <c r="V76" s="2063"/>
      <c r="W76" s="2063"/>
      <c r="X76" s="2063"/>
      <c r="Y76" s="2063"/>
      <c r="Z76" s="2063"/>
      <c r="AA76" s="2063"/>
      <c r="AB76" s="2063"/>
      <c r="AC76" s="2063"/>
      <c r="AD76" s="2063"/>
      <c r="AE76" s="2063"/>
      <c r="AF76" s="2063"/>
      <c r="AG76" s="2063"/>
      <c r="AH76" s="2063"/>
      <c r="AI76" s="2063"/>
      <c r="AJ76" s="206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3">
        <f>IF(AK56&gt;0,0,AO65)</f>
        <v>10</v>
      </c>
      <c r="AL78" s="2084"/>
      <c r="AM78" s="208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7" t="s">
        <v>1416</v>
      </c>
      <c r="AF81" s="1927"/>
      <c r="AG81" s="1927"/>
      <c r="AH81" s="1927"/>
      <c r="AI81" s="1927"/>
      <c r="AJ81" s="1927"/>
      <c r="AK81" s="1927"/>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9" t="s">
        <v>553</v>
      </c>
      <c r="C84" s="2109"/>
      <c r="D84" s="581" t="s">
        <v>1426</v>
      </c>
      <c r="E84" s="2101" t="s">
        <v>1436</v>
      </c>
      <c r="F84" s="2102"/>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3"/>
      <c r="AK84" s="577"/>
      <c r="AL84" s="574"/>
      <c r="AM84" s="574"/>
      <c r="AN84" s="569"/>
    </row>
    <row r="85" spans="1:43" s="570" customFormat="1" ht="12.75" customHeight="1">
      <c r="A85" s="572"/>
      <c r="B85" s="573"/>
      <c r="C85" s="573"/>
      <c r="D85" s="573"/>
      <c r="E85" s="2104"/>
      <c r="F85" s="2105"/>
      <c r="G85" s="2105"/>
      <c r="H85" s="2105"/>
      <c r="I85" s="2105"/>
      <c r="J85" s="2105"/>
      <c r="K85" s="2105"/>
      <c r="L85" s="2105"/>
      <c r="M85" s="2105"/>
      <c r="N85" s="2105"/>
      <c r="O85" s="2105"/>
      <c r="P85" s="2105"/>
      <c r="Q85" s="2105"/>
      <c r="R85" s="2105"/>
      <c r="S85" s="2105"/>
      <c r="T85" s="2105"/>
      <c r="U85" s="2105"/>
      <c r="V85" s="2105"/>
      <c r="W85" s="2105"/>
      <c r="X85" s="2105"/>
      <c r="Y85" s="2105"/>
      <c r="Z85" s="2105"/>
      <c r="AA85" s="2105"/>
      <c r="AB85" s="2105"/>
      <c r="AC85" s="2105"/>
      <c r="AD85" s="2105"/>
      <c r="AE85" s="2105"/>
      <c r="AF85" s="2105"/>
      <c r="AG85" s="2105"/>
      <c r="AH85" s="2105"/>
      <c r="AI85" s="2105"/>
      <c r="AJ85" s="21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7">
        <f>Application!AC753</f>
        <v>0.35298507462686574</v>
      </c>
      <c r="F87" s="2098"/>
      <c r="G87" s="2098"/>
      <c r="H87" s="2098"/>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8">
        <f>0.6-ROUNDUP(E87,2)</f>
        <v>0.24</v>
      </c>
      <c r="F88" s="1901"/>
      <c r="G88" s="1901"/>
      <c r="H88" s="1901"/>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3">
        <f>IF(E88*200&gt;20,20,E88*200)</f>
        <v>20</v>
      </c>
      <c r="F89" s="2114"/>
      <c r="G89" s="2114"/>
      <c r="H89" s="2114"/>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9" t="s">
        <v>553</v>
      </c>
      <c r="C92" s="2109"/>
      <c r="D92" s="581" t="s">
        <v>1428</v>
      </c>
      <c r="E92" s="2101" t="s">
        <v>1915</v>
      </c>
      <c r="F92" s="2102"/>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3"/>
      <c r="AK92" s="577"/>
      <c r="AL92" s="574"/>
      <c r="AM92" s="574"/>
      <c r="AN92" s="569"/>
    </row>
    <row r="93" spans="1:43" s="570" customFormat="1" ht="12.75" customHeight="1">
      <c r="A93" s="572"/>
      <c r="B93" s="573"/>
      <c r="C93" s="573"/>
      <c r="D93" s="573"/>
      <c r="E93" s="2104"/>
      <c r="F93" s="2105"/>
      <c r="G93" s="2105"/>
      <c r="H93" s="2105"/>
      <c r="I93" s="2105"/>
      <c r="J93" s="2105"/>
      <c r="K93" s="2105"/>
      <c r="L93" s="2105"/>
      <c r="M93" s="2105"/>
      <c r="N93" s="2105"/>
      <c r="O93" s="2105"/>
      <c r="P93" s="2105"/>
      <c r="Q93" s="2105"/>
      <c r="R93" s="2105"/>
      <c r="S93" s="2105"/>
      <c r="T93" s="2105"/>
      <c r="U93" s="2105"/>
      <c r="V93" s="2105"/>
      <c r="W93" s="2105"/>
      <c r="X93" s="2105"/>
      <c r="Y93" s="2105"/>
      <c r="Z93" s="2105"/>
      <c r="AA93" s="2105"/>
      <c r="AB93" s="2105"/>
      <c r="AC93" s="2105"/>
      <c r="AD93" s="2105"/>
      <c r="AE93" s="2105"/>
      <c r="AF93" s="2105"/>
      <c r="AG93" s="2105"/>
      <c r="AH93" s="2105"/>
      <c r="AI93" s="2105"/>
      <c r="AJ93" s="2106"/>
      <c r="AK93" s="577"/>
      <c r="AL93" s="574"/>
      <c r="AM93" s="574"/>
      <c r="AN93" s="569"/>
    </row>
    <row r="94" spans="1:43" s="570" customFormat="1" ht="12.75" customHeight="1">
      <c r="A94" s="572"/>
      <c r="B94" s="573"/>
      <c r="C94" s="573"/>
      <c r="D94" s="573"/>
      <c r="E94" s="2104"/>
      <c r="F94" s="2105"/>
      <c r="G94" s="2105"/>
      <c r="H94" s="2105"/>
      <c r="I94" s="2105"/>
      <c r="J94" s="2105"/>
      <c r="K94" s="2105"/>
      <c r="L94" s="2105"/>
      <c r="M94" s="2105"/>
      <c r="N94" s="2105"/>
      <c r="O94" s="2105"/>
      <c r="P94" s="2105"/>
      <c r="Q94" s="2105"/>
      <c r="R94" s="2105"/>
      <c r="S94" s="2105"/>
      <c r="T94" s="2105"/>
      <c r="U94" s="2105"/>
      <c r="V94" s="2105"/>
      <c r="W94" s="2105"/>
      <c r="X94" s="2105"/>
      <c r="Y94" s="2105"/>
      <c r="Z94" s="2105"/>
      <c r="AA94" s="2105"/>
      <c r="AB94" s="2105"/>
      <c r="AC94" s="2105"/>
      <c r="AD94" s="2105"/>
      <c r="AE94" s="2105"/>
      <c r="AF94" s="2105"/>
      <c r="AG94" s="2105"/>
      <c r="AH94" s="2105"/>
      <c r="AI94" s="2105"/>
      <c r="AJ94" s="2106"/>
      <c r="AK94" s="577"/>
      <c r="AL94" s="574"/>
      <c r="AM94" s="574"/>
      <c r="AN94" s="569"/>
    </row>
    <row r="95" spans="1:43" s="570" customFormat="1" ht="12.75" customHeight="1">
      <c r="A95" s="572"/>
      <c r="B95" s="573"/>
      <c r="C95" s="573"/>
      <c r="D95" s="573"/>
      <c r="E95" s="2104"/>
      <c r="F95" s="2105"/>
      <c r="G95" s="2105"/>
      <c r="H95" s="2105"/>
      <c r="I95" s="2105"/>
      <c r="J95" s="2105"/>
      <c r="K95" s="2105"/>
      <c r="L95" s="2105"/>
      <c r="M95" s="2105"/>
      <c r="N95" s="2105"/>
      <c r="O95" s="2105"/>
      <c r="P95" s="2105"/>
      <c r="Q95" s="2105"/>
      <c r="R95" s="2105"/>
      <c r="S95" s="2105"/>
      <c r="T95" s="2105"/>
      <c r="U95" s="2105"/>
      <c r="V95" s="2105"/>
      <c r="W95" s="2105"/>
      <c r="X95" s="2105"/>
      <c r="Y95" s="2105"/>
      <c r="Z95" s="2105"/>
      <c r="AA95" s="2105"/>
      <c r="AB95" s="2105"/>
      <c r="AC95" s="2105"/>
      <c r="AD95" s="2105"/>
      <c r="AE95" s="2105"/>
      <c r="AF95" s="2105"/>
      <c r="AG95" s="2105"/>
      <c r="AH95" s="2105"/>
      <c r="AI95" s="2105"/>
      <c r="AJ95" s="21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7">
        <f>Application!AC753</f>
        <v>0.35298507462686574</v>
      </c>
      <c r="F97" s="2098"/>
      <c r="G97" s="2098"/>
      <c r="H97" s="2098"/>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7">
        <f ca="1">SUMIF(Application!AC718:AG752,0.2,Application!G718:J752)/Application!G753+SUMIF(Application!AC718:AG752,0.25,Application!G718:J752)/Application!G753+SUMIF(Application!AC718:AG752,0.3,Application!G718:J752)/Application!G753</f>
        <v>0.72388059701492535</v>
      </c>
      <c r="F98" s="2098"/>
      <c r="G98" s="2098"/>
      <c r="H98" s="2098"/>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7">
        <f ca="1">SUMIF(Application!AC718:AG752,0.35,Application!G718:J752)/Application!G753+SUMIF(Application!AC718:AG752,0.4,Application!G718:J752)/Application!G753+SUMIF(Application!AC718:AG752,0.45,Application!G718:J752)/Application!G753+SUMIF(Application!AC718:AG752,0.5,Application!G718:J752)/Application!G753</f>
        <v>0.27611940298507465</v>
      </c>
      <c r="F99" s="2098"/>
      <c r="G99" s="2098"/>
      <c r="H99" s="2098"/>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5">
        <f ca="1">IF(AND(E97&lt;=0.6,E98&gt;=0.1,OR(E99&gt;=0.1,E98&gt;=0.2)),20,0)</f>
        <v>20</v>
      </c>
      <c r="F100" s="2096"/>
      <c r="G100" s="2096"/>
      <c r="H100" s="2096"/>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3">
        <f ca="1">MAX(AP89,AP100)</f>
        <v>20</v>
      </c>
      <c r="AL103" s="2084"/>
      <c r="AM103" s="208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7" t="s">
        <v>1425</v>
      </c>
      <c r="AF106" s="1927"/>
      <c r="AG106" s="1927"/>
      <c r="AH106" s="1927"/>
      <c r="AI106" s="1927"/>
      <c r="AJ106" s="1927"/>
      <c r="AK106" s="1927"/>
      <c r="AL106" s="574"/>
      <c r="AM106" s="574"/>
      <c r="AN106" s="569"/>
      <c r="AO106" s="570" t="str">
        <f>Application!B718</f>
        <v>SRO/Studio</v>
      </c>
      <c r="AQ106" s="570">
        <f>Application!O718</f>
        <v>1162</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929.6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697</v>
      </c>
    </row>
    <row r="109" spans="1:49" s="570" customFormat="1" ht="12.75" customHeight="1">
      <c r="A109" s="574"/>
      <c r="B109" s="2109" t="s">
        <v>553</v>
      </c>
      <c r="C109" s="2109"/>
      <c r="D109" s="581" t="s">
        <v>1426</v>
      </c>
      <c r="E109" s="2101" t="s">
        <v>2049</v>
      </c>
      <c r="F109" s="2102"/>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3"/>
      <c r="AK109" s="574"/>
      <c r="AL109" s="574"/>
      <c r="AM109" s="574"/>
      <c r="AN109" s="569"/>
      <c r="AO109" s="570" t="str">
        <f>Application!B721</f>
        <v>SRO/Studio</v>
      </c>
      <c r="AQ109" s="570">
        <f>Application!O721</f>
        <v>609</v>
      </c>
      <c r="AU109" s="570" t="s">
        <v>2031</v>
      </c>
      <c r="AV109" s="629" t="s">
        <v>2032</v>
      </c>
      <c r="AW109" s="570" t="s">
        <v>2033</v>
      </c>
    </row>
    <row r="110" spans="1:49" s="570" customFormat="1" ht="12.75" customHeight="1">
      <c r="A110" s="574"/>
      <c r="B110" s="573"/>
      <c r="C110" s="573"/>
      <c r="D110" s="573"/>
      <c r="E110" s="2104"/>
      <c r="F110" s="2105"/>
      <c r="G110" s="2105"/>
      <c r="H110" s="2105"/>
      <c r="I110" s="2105"/>
      <c r="J110" s="2105"/>
      <c r="K110" s="2105"/>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2105"/>
      <c r="AG110" s="2105"/>
      <c r="AH110" s="2105"/>
      <c r="AI110" s="2105"/>
      <c r="AJ110" s="2106"/>
      <c r="AK110" s="574"/>
      <c r="AL110" s="574"/>
      <c r="AM110" s="574"/>
      <c r="AN110" s="569"/>
      <c r="AO110" s="570" t="str">
        <f>Application!B722</f>
        <v>SRO/Studio</v>
      </c>
      <c r="AQ110" s="570">
        <f>Application!O722</f>
        <v>355</v>
      </c>
      <c r="AU110" s="890" t="str">
        <f>E118</f>
        <v>Studio/SRO</v>
      </c>
      <c r="AV110" s="570">
        <f t="array" ref="AV110">SUM(IF(Application!B718:F752="SRO/Studio",Application!G718:J752))</f>
        <v>133</v>
      </c>
      <c r="AW110" s="1046">
        <f>AV110/AV116</f>
        <v>0.9925373134328358</v>
      </c>
    </row>
    <row r="111" spans="1:49" s="570" customFormat="1" ht="12.75" customHeight="1">
      <c r="A111" s="574"/>
      <c r="B111" s="573"/>
      <c r="C111" s="573"/>
      <c r="D111" s="573"/>
      <c r="E111" s="2104"/>
      <c r="F111" s="2105"/>
      <c r="G111" s="2105"/>
      <c r="H111" s="2105"/>
      <c r="I111" s="2105"/>
      <c r="J111" s="2105"/>
      <c r="K111" s="2105"/>
      <c r="L111" s="2105"/>
      <c r="M111" s="2105"/>
      <c r="N111" s="2105"/>
      <c r="O111" s="2105"/>
      <c r="P111" s="2105"/>
      <c r="Q111" s="2105"/>
      <c r="R111" s="2105"/>
      <c r="S111" s="2105"/>
      <c r="T111" s="2105"/>
      <c r="U111" s="2105"/>
      <c r="V111" s="2105"/>
      <c r="W111" s="2105"/>
      <c r="X111" s="2105"/>
      <c r="Y111" s="2105"/>
      <c r="Z111" s="2105"/>
      <c r="AA111" s="2105"/>
      <c r="AB111" s="2105"/>
      <c r="AC111" s="2105"/>
      <c r="AD111" s="2105"/>
      <c r="AE111" s="2105"/>
      <c r="AF111" s="2105"/>
      <c r="AG111" s="2105"/>
      <c r="AH111" s="2105"/>
      <c r="AI111" s="2105"/>
      <c r="AJ111" s="2106"/>
      <c r="AK111" s="574"/>
      <c r="AL111" s="574"/>
      <c r="AM111" s="574"/>
      <c r="AN111" s="569"/>
      <c r="AO111" s="570" t="str">
        <f>Application!B723</f>
        <v>1 Bedroom</v>
      </c>
      <c r="AQ111" s="570">
        <f>Application!O723</f>
        <v>747</v>
      </c>
      <c r="AU111" s="890" t="str">
        <f>J118</f>
        <v>1-bedroom</v>
      </c>
      <c r="AV111" s="570">
        <f t="array" ref="AV111">SUM(IF(Application!B718:F752="1 Bedroom",Application!G718:J752))</f>
        <v>1</v>
      </c>
      <c r="AW111" s="1046">
        <f>AV111/AV116</f>
        <v>7.462686567164179E-3</v>
      </c>
    </row>
    <row r="112" spans="1:49" s="570" customFormat="1" ht="12.75" customHeight="1">
      <c r="A112" s="574"/>
      <c r="B112" s="573"/>
      <c r="C112" s="573"/>
      <c r="D112" s="573"/>
      <c r="E112" s="2104"/>
      <c r="F112" s="2105"/>
      <c r="G112" s="2105"/>
      <c r="H112" s="2105"/>
      <c r="I112" s="2105"/>
      <c r="J112" s="2105"/>
      <c r="K112" s="2105"/>
      <c r="L112" s="2105"/>
      <c r="M112" s="2105"/>
      <c r="N112" s="2105"/>
      <c r="O112" s="2105"/>
      <c r="P112" s="2105"/>
      <c r="Q112" s="2105"/>
      <c r="R112" s="2105"/>
      <c r="S112" s="2105"/>
      <c r="T112" s="2105"/>
      <c r="U112" s="2105"/>
      <c r="V112" s="2105"/>
      <c r="W112" s="2105"/>
      <c r="X112" s="2105"/>
      <c r="Y112" s="2105"/>
      <c r="Z112" s="2105"/>
      <c r="AA112" s="2105"/>
      <c r="AB112" s="2105"/>
      <c r="AC112" s="2105"/>
      <c r="AD112" s="2105"/>
      <c r="AE112" s="2105"/>
      <c r="AF112" s="2105"/>
      <c r="AG112" s="2105"/>
      <c r="AH112" s="2105"/>
      <c r="AI112" s="2105"/>
      <c r="AJ112" s="2106"/>
      <c r="AK112" s="574"/>
      <c r="AL112" s="574"/>
      <c r="AM112" s="574"/>
      <c r="AN112" s="569"/>
      <c r="AO112" s="570" t="str">
        <f>Application!B724</f>
        <v>SRO/Studio</v>
      </c>
      <c r="AQ112" s="570">
        <f>Application!O724</f>
        <v>355</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04"/>
      <c r="F113" s="2105"/>
      <c r="G113" s="2105"/>
      <c r="H113" s="2105"/>
      <c r="I113" s="2105"/>
      <c r="J113" s="2105"/>
      <c r="K113" s="2105"/>
      <c r="L113" s="2105"/>
      <c r="M113" s="2105"/>
      <c r="N113" s="2105"/>
      <c r="O113" s="2105"/>
      <c r="P113" s="2105"/>
      <c r="Q113" s="2105"/>
      <c r="R113" s="2105"/>
      <c r="S113" s="2105"/>
      <c r="T113" s="2105"/>
      <c r="U113" s="2105"/>
      <c r="V113" s="2105"/>
      <c r="W113" s="2105"/>
      <c r="X113" s="2105"/>
      <c r="Y113" s="2105"/>
      <c r="Z113" s="2105"/>
      <c r="AA113" s="2105"/>
      <c r="AB113" s="2105"/>
      <c r="AC113" s="2105"/>
      <c r="AD113" s="2105"/>
      <c r="AE113" s="2105"/>
      <c r="AF113" s="2105"/>
      <c r="AG113" s="2105"/>
      <c r="AH113" s="2105"/>
      <c r="AI113" s="2105"/>
      <c r="AJ113" s="2106"/>
      <c r="AK113" s="574"/>
      <c r="AL113" s="574"/>
      <c r="AM113" s="574"/>
      <c r="AN113" s="569"/>
      <c r="AO113" s="570" t="str">
        <f>Application!B725</f>
        <v>SRO/Studio</v>
      </c>
      <c r="AQ113" s="570">
        <f>Application!O725</f>
        <v>465</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4"/>
      <c r="F114" s="2105"/>
      <c r="G114" s="2105"/>
      <c r="H114" s="2105"/>
      <c r="I114" s="2105"/>
      <c r="J114" s="2105"/>
      <c r="K114" s="2105"/>
      <c r="L114" s="2105"/>
      <c r="M114" s="2105"/>
      <c r="N114" s="2105"/>
      <c r="O114" s="2105"/>
      <c r="P114" s="2105"/>
      <c r="Q114" s="2105"/>
      <c r="R114" s="2105"/>
      <c r="S114" s="2105"/>
      <c r="T114" s="2105"/>
      <c r="U114" s="2105"/>
      <c r="V114" s="2105"/>
      <c r="W114" s="2105"/>
      <c r="X114" s="2105"/>
      <c r="Y114" s="2105"/>
      <c r="Z114" s="2105"/>
      <c r="AA114" s="2105"/>
      <c r="AB114" s="2105"/>
      <c r="AC114" s="2105"/>
      <c r="AD114" s="2105"/>
      <c r="AE114" s="2105"/>
      <c r="AF114" s="2105"/>
      <c r="AG114" s="2105"/>
      <c r="AH114" s="2105"/>
      <c r="AI114" s="2105"/>
      <c r="AJ114" s="2106"/>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4"/>
      <c r="F115" s="2105"/>
      <c r="G115" s="2105"/>
      <c r="H115" s="2105"/>
      <c r="I115" s="2105"/>
      <c r="J115" s="2105"/>
      <c r="K115" s="2105"/>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2105"/>
      <c r="AF115" s="2105"/>
      <c r="AG115" s="2105"/>
      <c r="AH115" s="2105"/>
      <c r="AI115" s="2105"/>
      <c r="AJ115" s="21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4"/>
      <c r="F116" s="2105"/>
      <c r="G116" s="2105"/>
      <c r="H116" s="2105"/>
      <c r="I116" s="2105"/>
      <c r="J116" s="2105"/>
      <c r="K116" s="2105"/>
      <c r="L116" s="2105"/>
      <c r="M116" s="2105"/>
      <c r="N116" s="2105"/>
      <c r="O116" s="2105"/>
      <c r="P116" s="2105"/>
      <c r="Q116" s="2105"/>
      <c r="R116" s="2105"/>
      <c r="S116" s="2105"/>
      <c r="T116" s="2105"/>
      <c r="U116" s="2105"/>
      <c r="V116" s="2105"/>
      <c r="W116" s="2105"/>
      <c r="X116" s="2105"/>
      <c r="Y116" s="2105"/>
      <c r="Z116" s="2105"/>
      <c r="AA116" s="2105"/>
      <c r="AB116" s="2105"/>
      <c r="AC116" s="2105"/>
      <c r="AD116" s="2105"/>
      <c r="AE116" s="2105"/>
      <c r="AF116" s="2105"/>
      <c r="AG116" s="2105"/>
      <c r="AH116" s="2105"/>
      <c r="AI116" s="2105"/>
      <c r="AJ116" s="2106"/>
      <c r="AK116" s="574"/>
      <c r="AL116" s="574"/>
      <c r="AM116" s="574"/>
      <c r="AN116" s="569"/>
      <c r="AO116" s="570">
        <f>Application!B728</f>
        <v>0</v>
      </c>
      <c r="AQ116" s="570">
        <f>Application!O728</f>
        <v>0</v>
      </c>
      <c r="AV116" s="570">
        <f>SUM(AV110:AV115)</f>
        <v>134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7" t="s">
        <v>1700</v>
      </c>
      <c r="F118" s="2098"/>
      <c r="G118" s="2098"/>
      <c r="H118" s="2098"/>
      <c r="I118" s="611"/>
      <c r="J118" s="2098" t="s">
        <v>1744</v>
      </c>
      <c r="K118" s="2098"/>
      <c r="L118" s="2098"/>
      <c r="M118" s="2098"/>
      <c r="N118" s="611"/>
      <c r="O118" s="2098" t="s">
        <v>1745</v>
      </c>
      <c r="P118" s="2098"/>
      <c r="Q118" s="2098"/>
      <c r="R118" s="2098"/>
      <c r="S118" s="611"/>
      <c r="T118" s="2098" t="s">
        <v>1445</v>
      </c>
      <c r="U118" s="2098"/>
      <c r="V118" s="2098"/>
      <c r="W118" s="2098"/>
      <c r="X118" s="611"/>
      <c r="Y118" s="2098" t="s">
        <v>1746</v>
      </c>
      <c r="Z118" s="2098"/>
      <c r="AA118" s="2098"/>
      <c r="AB118" s="2098"/>
      <c r="AC118" s="611"/>
      <c r="AD118" s="2098" t="s">
        <v>1747</v>
      </c>
      <c r="AE118" s="2098"/>
      <c r="AF118" s="2098"/>
      <c r="AG118" s="209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9">
        <v>2690</v>
      </c>
      <c r="F121" s="2100"/>
      <c r="G121" s="2100"/>
      <c r="H121" s="2100"/>
      <c r="I121" s="898"/>
      <c r="J121" s="2100">
        <v>2379</v>
      </c>
      <c r="K121" s="2100"/>
      <c r="L121" s="2100"/>
      <c r="M121" s="2100"/>
      <c r="N121" s="898"/>
      <c r="O121" s="2100"/>
      <c r="P121" s="2100"/>
      <c r="Q121" s="2100"/>
      <c r="R121" s="2100"/>
      <c r="S121" s="898"/>
      <c r="T121" s="2100"/>
      <c r="U121" s="2100"/>
      <c r="V121" s="2100"/>
      <c r="W121" s="2100"/>
      <c r="X121" s="898"/>
      <c r="Y121" s="2100"/>
      <c r="Z121" s="2100"/>
      <c r="AA121" s="2100"/>
      <c r="AB121" s="2100"/>
      <c r="AC121" s="898"/>
      <c r="AD121" s="2100"/>
      <c r="AE121" s="2100"/>
      <c r="AF121" s="2100"/>
      <c r="AG121" s="210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7">
        <f>Application!DX670</f>
        <v>656.72781954887216</v>
      </c>
      <c r="F124" s="2108"/>
      <c r="G124" s="2108"/>
      <c r="H124" s="2108"/>
      <c r="I124" s="898"/>
      <c r="J124" s="2108">
        <f>Application!EC670</f>
        <v>747</v>
      </c>
      <c r="K124" s="2108"/>
      <c r="L124" s="2108"/>
      <c r="M124" s="2108"/>
      <c r="N124" s="898"/>
      <c r="O124" s="2108">
        <f>Application!EH670</f>
        <v>0</v>
      </c>
      <c r="P124" s="2108"/>
      <c r="Q124" s="2108"/>
      <c r="R124" s="2108"/>
      <c r="S124" s="902"/>
      <c r="T124" s="2108">
        <f>Application!EM670</f>
        <v>0</v>
      </c>
      <c r="U124" s="2108"/>
      <c r="V124" s="2108"/>
      <c r="W124" s="2108"/>
      <c r="X124" s="902"/>
      <c r="Y124" s="2108">
        <f>Application!ER670</f>
        <v>0</v>
      </c>
      <c r="Z124" s="2108"/>
      <c r="AA124" s="2108"/>
      <c r="AB124" s="2108"/>
      <c r="AC124" s="902"/>
      <c r="AD124" s="2108">
        <f>Application!EW670</f>
        <v>0</v>
      </c>
      <c r="AE124" s="2108"/>
      <c r="AF124" s="2108"/>
      <c r="AG124" s="210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0">
        <f>(E121-E124)/E121</f>
        <v>0.75586326410822602</v>
      </c>
      <c r="F127" s="1901"/>
      <c r="G127" s="1901"/>
      <c r="H127" s="1902"/>
      <c r="I127" s="611"/>
      <c r="J127" s="1900">
        <f>(J121-J124)/J121</f>
        <v>0.68600252206809587</v>
      </c>
      <c r="K127" s="1901"/>
      <c r="L127" s="1901"/>
      <c r="M127" s="1902"/>
      <c r="N127" s="611"/>
      <c r="O127" s="1900" t="e">
        <f>(O121-O124)/O121</f>
        <v>#DIV/0!</v>
      </c>
      <c r="P127" s="1901"/>
      <c r="Q127" s="1901"/>
      <c r="R127" s="1902"/>
      <c r="S127" s="611"/>
      <c r="T127" s="1900" t="e">
        <f>(T121-T124)/T121</f>
        <v>#DIV/0!</v>
      </c>
      <c r="U127" s="1901"/>
      <c r="V127" s="1901"/>
      <c r="W127" s="1902"/>
      <c r="X127" s="611"/>
      <c r="Y127" s="1900" t="e">
        <f>(Y121-Y124)/Y121</f>
        <v>#DIV/0!</v>
      </c>
      <c r="Z127" s="1901"/>
      <c r="AA127" s="1901"/>
      <c r="AB127" s="1902"/>
      <c r="AC127" s="611"/>
      <c r="AD127" s="1900" t="e">
        <f>(AD121-AD124)/AD121</f>
        <v>#DIV/0!</v>
      </c>
      <c r="AE127" s="1901"/>
      <c r="AF127" s="1901"/>
      <c r="AG127" s="190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0">
        <f>IF(((E127-0.1)*AW110)&gt;0,((E127-0.1)*AW110),0)</f>
        <v>0.65096876213726906</v>
      </c>
      <c r="F130" s="2111"/>
      <c r="G130" s="2111"/>
      <c r="H130" s="2112"/>
      <c r="I130" s="611"/>
      <c r="J130" s="2110">
        <f>IF(((J127-0.1)*AW111)&gt;0,((J127-0.1)*AW111),0)</f>
        <v>4.3731531497619098E-3</v>
      </c>
      <c r="K130" s="2111"/>
      <c r="L130" s="2111"/>
      <c r="M130" s="2112"/>
      <c r="N130" s="611"/>
      <c r="O130" s="2110" t="e">
        <f>IF(((O127-0.1)*AW112)&gt;0,((O127-0.1)*AW112),0)</f>
        <v>#DIV/0!</v>
      </c>
      <c r="P130" s="2111"/>
      <c r="Q130" s="2111"/>
      <c r="R130" s="2112"/>
      <c r="S130" s="611"/>
      <c r="T130" s="2110" t="e">
        <f>IF(((T127-0.1)*AW113)&gt;0,((T127-0.1)*AW113),0)</f>
        <v>#DIV/0!</v>
      </c>
      <c r="U130" s="2111"/>
      <c r="V130" s="2111"/>
      <c r="W130" s="2112"/>
      <c r="X130" s="611"/>
      <c r="Y130" s="2110" t="e">
        <f>IF(((Y127-0.1)*AW114)&gt;0,((Y127-0.1)*AW114),0)</f>
        <v>#DIV/0!</v>
      </c>
      <c r="Z130" s="2111"/>
      <c r="AA130" s="2111"/>
      <c r="AB130" s="2112"/>
      <c r="AC130" s="611"/>
      <c r="AD130" s="2110" t="e">
        <f>IF(((AD127-0.1)*AW115)&gt;0,((AD127-0.1)*AW115),0)</f>
        <v>#DIV/0!</v>
      </c>
      <c r="AE130" s="2111"/>
      <c r="AF130" s="2111"/>
      <c r="AG130" s="211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0">
        <f>ROUNDDOWN(SUMIF(E130:AG130,"&gt;0"),2)</f>
        <v>0.65</v>
      </c>
      <c r="F132" s="1901"/>
      <c r="G132" s="1901"/>
      <c r="H132" s="1902"/>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3">
        <f>IF((E132*100)&gt;10,10,E132*100)</f>
        <v>10</v>
      </c>
      <c r="F133" s="2084"/>
      <c r="G133" s="2084"/>
      <c r="H133" s="2085"/>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3">
        <f>E133</f>
        <v>10</v>
      </c>
      <c r="AL137" s="2084"/>
      <c r="AM137" s="208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7" t="s">
        <v>1425</v>
      </c>
      <c r="AF140" s="1927"/>
      <c r="AG140" s="1927"/>
      <c r="AH140" s="1927"/>
      <c r="AI140" s="1927"/>
      <c r="AJ140" s="1927"/>
      <c r="AK140" s="192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4" t="s">
        <v>1449</v>
      </c>
      <c r="AG142" s="1994"/>
      <c r="AH142" s="1994"/>
      <c r="AI142" s="1994"/>
      <c r="AJ142" s="1994"/>
      <c r="AK142" s="1994"/>
      <c r="AL142" s="1994"/>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8" t="s">
        <v>2775</v>
      </c>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89" t="s">
        <v>1452</v>
      </c>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30" t="s">
        <v>599</v>
      </c>
      <c r="AC149" s="203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89" t="s">
        <v>1454</v>
      </c>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4">
        <f>IF($AB$149="N/A",VLOOKUP($B$147,$AO$145:$AP$148,2,FALSE),VLOOKUP($B$152,$AO$150:$AP$152,2,FALSE))</f>
        <v>7</v>
      </c>
      <c r="AK155" s="195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4" t="s">
        <v>1463</v>
      </c>
      <c r="AG157" s="1994"/>
      <c r="AH157" s="1994"/>
      <c r="AI157" s="1994"/>
      <c r="AJ157" s="1994"/>
      <c r="AK157" s="1994"/>
      <c r="AL157" s="1994"/>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9" t="s">
        <v>1461</v>
      </c>
      <c r="D159" s="2089"/>
      <c r="E159" s="2089"/>
      <c r="F159" s="2089"/>
      <c r="G159" s="2089"/>
      <c r="H159" s="2089"/>
      <c r="I159" s="2089"/>
      <c r="J159" s="2089"/>
      <c r="K159" s="2089"/>
      <c r="L159" s="2089"/>
      <c r="M159" s="2089"/>
      <c r="N159" s="2089"/>
      <c r="O159" s="2089"/>
      <c r="P159" s="2089"/>
      <c r="Q159" s="2089"/>
      <c r="R159" s="2089"/>
      <c r="S159" s="2089"/>
      <c r="T159" s="2089"/>
      <c r="U159" s="2089"/>
      <c r="V159" s="2089"/>
      <c r="W159" s="2089"/>
      <c r="X159" s="2089"/>
      <c r="Y159" s="2089"/>
      <c r="Z159" s="2089"/>
      <c r="AA159" s="2089"/>
      <c r="AB159" s="2089"/>
      <c r="AC159" s="2089"/>
      <c r="AD159" s="2089"/>
      <c r="AE159" s="2089"/>
      <c r="AF159" s="2089"/>
      <c r="AG159" s="2089"/>
      <c r="AH159" s="2089"/>
      <c r="AI159" s="2089"/>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0" t="s">
        <v>599</v>
      </c>
      <c r="AG161" s="2030"/>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89" t="s">
        <v>1454</v>
      </c>
      <c r="D163" s="2089"/>
      <c r="E163" s="2089"/>
      <c r="F163" s="2089"/>
      <c r="G163" s="2089"/>
      <c r="H163" s="2089"/>
      <c r="I163" s="2089"/>
      <c r="J163" s="2089"/>
      <c r="K163" s="2089"/>
      <c r="L163" s="2089"/>
      <c r="M163" s="2089"/>
      <c r="N163" s="2089"/>
      <c r="O163" s="2089"/>
      <c r="P163" s="2089"/>
      <c r="Q163" s="2089"/>
      <c r="R163" s="2089"/>
      <c r="S163" s="2089"/>
      <c r="T163" s="2089"/>
      <c r="U163" s="2089"/>
      <c r="V163" s="2089"/>
      <c r="W163" s="2089"/>
      <c r="X163" s="2089"/>
      <c r="Y163" s="2089"/>
      <c r="Z163" s="2089"/>
      <c r="AA163" s="2089"/>
      <c r="AB163" s="2089"/>
      <c r="AC163" s="2089"/>
      <c r="AD163" s="2089"/>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88" t="s">
        <v>2650</v>
      </c>
      <c r="D167" s="2088"/>
      <c r="E167" s="2088"/>
      <c r="F167" s="2088"/>
      <c r="G167" s="2088"/>
      <c r="H167" s="2088"/>
      <c r="I167" s="2088"/>
      <c r="J167" s="2088"/>
      <c r="K167" s="2088"/>
      <c r="L167" s="2088"/>
      <c r="M167" s="2088"/>
      <c r="N167" s="2088"/>
      <c r="O167" s="2088"/>
      <c r="P167" s="2088"/>
      <c r="Q167" s="2088"/>
      <c r="R167" s="2088"/>
      <c r="S167" s="2088"/>
      <c r="T167" s="2088"/>
      <c r="U167" s="2088"/>
      <c r="V167" s="2088"/>
      <c r="W167" s="2088"/>
      <c r="X167" s="2088"/>
      <c r="Y167" s="2088"/>
      <c r="Z167" s="2088"/>
      <c r="AA167" s="2088"/>
      <c r="AB167" s="2088"/>
      <c r="AC167" s="2088"/>
      <c r="AD167" s="2088"/>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3">
        <f>IF($AF$161="N/A",VLOOKUP($C$159,$AO$159:$AP$162,2,FALSE),VLOOKUP($C$163,$AO$166:$AP$168,2,FALSE))</f>
        <v>3</v>
      </c>
      <c r="AK169" s="195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3">
        <f>$AJ$155+$AJ$169</f>
        <v>10</v>
      </c>
      <c r="AL172" s="2084"/>
      <c r="AM172" s="208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7" t="s">
        <v>1425</v>
      </c>
      <c r="AF175" s="1927"/>
      <c r="AG175" s="1927"/>
      <c r="AH175" s="1927"/>
      <c r="AI175" s="1927"/>
      <c r="AJ175" s="1927"/>
      <c r="AK175" s="1927"/>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6" t="s">
        <v>1067</v>
      </c>
      <c r="C177" s="2086"/>
      <c r="D177" s="2086"/>
      <c r="E177" s="2086"/>
      <c r="F177" s="2086"/>
      <c r="G177" s="2086"/>
      <c r="H177" s="2086"/>
      <c r="I177" s="2086"/>
      <c r="J177" s="2086"/>
      <c r="K177" s="2086"/>
      <c r="L177" s="2086"/>
      <c r="M177" s="2086"/>
      <c r="N177" s="2086"/>
      <c r="O177" s="2086"/>
      <c r="P177" s="2086"/>
      <c r="Q177" s="2086"/>
      <c r="R177" s="2086"/>
      <c r="S177" s="2086"/>
      <c r="T177" s="2086"/>
      <c r="U177" s="2086"/>
      <c r="V177" s="2086"/>
      <c r="W177" s="2086"/>
      <c r="X177" s="2086"/>
      <c r="Y177" s="2086"/>
      <c r="Z177" s="2086"/>
      <c r="AA177" s="2086"/>
      <c r="AB177" s="2086"/>
      <c r="AC177" s="2086"/>
      <c r="AD177" s="570"/>
      <c r="AE177" s="570"/>
      <c r="AF177" s="1994" t="s">
        <v>1474</v>
      </c>
      <c r="AG177" s="1994"/>
      <c r="AH177" s="1994"/>
      <c r="AI177" s="1994"/>
      <c r="AJ177" s="1994"/>
      <c r="AK177" s="1994"/>
      <c r="AL177" s="1994"/>
      <c r="AN177" s="631"/>
      <c r="AP177" s="584" t="s">
        <v>1067</v>
      </c>
      <c r="AQ177" s="584">
        <v>10</v>
      </c>
    </row>
    <row r="178" spans="1:45" s="584" customFormat="1" ht="12.75" customHeight="1">
      <c r="A178" s="570"/>
      <c r="B178" s="2087" t="s">
        <v>1916</v>
      </c>
      <c r="C178" s="2087"/>
      <c r="D178" s="2087"/>
      <c r="E178" s="2087"/>
      <c r="F178" s="2087"/>
      <c r="G178" s="2087"/>
      <c r="H178" s="2087"/>
      <c r="I178" s="2087"/>
      <c r="J178" s="2087"/>
      <c r="K178" s="2087"/>
      <c r="L178" s="2087"/>
      <c r="M178" s="2087"/>
      <c r="N178" s="2087"/>
      <c r="O178" s="2087"/>
      <c r="P178" s="2087"/>
      <c r="Q178" s="2087"/>
      <c r="R178" s="2087"/>
      <c r="S178" s="2087"/>
      <c r="T178" s="2088" t="s">
        <v>599</v>
      </c>
      <c r="U178" s="2088"/>
      <c r="V178" s="2088"/>
      <c r="W178" s="2088"/>
      <c r="X178" s="2088"/>
      <c r="Y178" s="2088"/>
      <c r="Z178" s="2088"/>
      <c r="AA178" s="2088"/>
      <c r="AB178" s="2088"/>
      <c r="AC178" s="2088"/>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1">
        <f>IF(AK78&gt;0,VLOOKUP($B$177,AP174:AQ180,2,FALSE),0)</f>
        <v>10</v>
      </c>
      <c r="AL180" s="1922"/>
      <c r="AM180" s="1923"/>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7" t="s">
        <v>1483</v>
      </c>
      <c r="AF183" s="1927"/>
      <c r="AG183" s="1927"/>
      <c r="AH183" s="1927"/>
      <c r="AI183" s="1927"/>
      <c r="AJ183" s="1927"/>
      <c r="AK183" s="192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0" t="str">
        <f>Application!C629</f>
        <v>County of Ventura General Funds</v>
      </c>
      <c r="C188" s="2080"/>
      <c r="D188" s="2080"/>
      <c r="E188" s="2080"/>
      <c r="F188" s="2080"/>
      <c r="G188" s="2080"/>
      <c r="H188" s="2080"/>
      <c r="I188" s="2080"/>
      <c r="J188" s="2080"/>
      <c r="K188" s="2080"/>
      <c r="L188" s="2080"/>
      <c r="M188" s="2080"/>
      <c r="N188" s="2080"/>
      <c r="O188" s="2080"/>
      <c r="P188" s="2080"/>
      <c r="Q188" s="2080"/>
      <c r="R188" s="2080"/>
      <c r="S188" s="2080"/>
      <c r="T188" s="2080"/>
      <c r="U188" s="2080"/>
      <c r="V188" s="2080"/>
      <c r="W188" s="2080"/>
      <c r="X188" s="2080"/>
      <c r="Y188" s="2080"/>
      <c r="Z188" s="2080"/>
      <c r="AA188" s="2080"/>
      <c r="AB188" s="2080"/>
      <c r="AC188" s="880"/>
      <c r="AD188" s="2070">
        <f>Application!AO629</f>
        <v>5500000</v>
      </c>
      <c r="AE188" s="2070"/>
      <c r="AF188" s="2070"/>
      <c r="AG188" s="2070"/>
      <c r="AH188" s="2070"/>
      <c r="AI188" s="2070"/>
      <c r="AJ188" s="2070"/>
      <c r="AK188" s="644"/>
    </row>
    <row r="189" spans="1:45">
      <c r="A189" s="639"/>
      <c r="B189" s="2080" t="str">
        <f>Application!C632</f>
        <v>City of Ventura PLHA</v>
      </c>
      <c r="C189" s="2080"/>
      <c r="D189" s="2080"/>
      <c r="E189" s="2080"/>
      <c r="F189" s="2080"/>
      <c r="G189" s="2080"/>
      <c r="H189" s="2080"/>
      <c r="I189" s="2080"/>
      <c r="J189" s="2080"/>
      <c r="K189" s="2080"/>
      <c r="L189" s="2080"/>
      <c r="M189" s="2080"/>
      <c r="N189" s="2080"/>
      <c r="O189" s="2080"/>
      <c r="P189" s="2080"/>
      <c r="Q189" s="2080"/>
      <c r="R189" s="2080"/>
      <c r="S189" s="2080"/>
      <c r="T189" s="2080"/>
      <c r="U189" s="2080"/>
      <c r="V189" s="2080"/>
      <c r="W189" s="2080"/>
      <c r="X189" s="2080"/>
      <c r="Y189" s="2080"/>
      <c r="Z189" s="2080"/>
      <c r="AA189" s="2080"/>
      <c r="AB189" s="2080"/>
      <c r="AC189" s="880"/>
      <c r="AD189" s="2070">
        <f>Application!AO632</f>
        <v>1739292</v>
      </c>
      <c r="AE189" s="2070"/>
      <c r="AF189" s="2070"/>
      <c r="AG189" s="2070"/>
      <c r="AH189" s="2070"/>
      <c r="AI189" s="2070"/>
      <c r="AJ189" s="2070"/>
      <c r="AK189" s="644"/>
    </row>
    <row r="190" spans="1:45">
      <c r="A190" s="639"/>
      <c r="B190" s="2080" t="str">
        <f>Application!C630</f>
        <v>HACSB Development Loan</v>
      </c>
      <c r="C190" s="2080"/>
      <c r="D190" s="2080"/>
      <c r="E190" s="2080"/>
      <c r="F190" s="2080"/>
      <c r="G190" s="2080"/>
      <c r="H190" s="2080"/>
      <c r="I190" s="2080"/>
      <c r="J190" s="2080"/>
      <c r="K190" s="2080"/>
      <c r="L190" s="2080"/>
      <c r="M190" s="2080"/>
      <c r="N190" s="2080"/>
      <c r="O190" s="2080"/>
      <c r="P190" s="2080"/>
      <c r="Q190" s="2080"/>
      <c r="R190" s="2080"/>
      <c r="S190" s="2080"/>
      <c r="T190" s="2080"/>
      <c r="U190" s="2080"/>
      <c r="V190" s="2080"/>
      <c r="W190" s="2080"/>
      <c r="X190" s="2080"/>
      <c r="Y190" s="2080"/>
      <c r="Z190" s="2080"/>
      <c r="AA190" s="2080"/>
      <c r="AB190" s="2080"/>
      <c r="AC190" s="880"/>
      <c r="AD190" s="2070">
        <f>Application!AO630</f>
        <v>1000000</v>
      </c>
      <c r="AE190" s="2070"/>
      <c r="AF190" s="2070"/>
      <c r="AG190" s="2070"/>
      <c r="AH190" s="2070"/>
      <c r="AI190" s="2070"/>
      <c r="AJ190" s="2070"/>
      <c r="AK190" s="644"/>
    </row>
    <row r="191" spans="1:45">
      <c r="A191" s="639"/>
      <c r="B191" s="2080"/>
      <c r="C191" s="2080"/>
      <c r="D191" s="2080"/>
      <c r="E191" s="2080"/>
      <c r="F191" s="2080"/>
      <c r="G191" s="2080"/>
      <c r="H191" s="2080"/>
      <c r="I191" s="2080"/>
      <c r="J191" s="2080"/>
      <c r="K191" s="2080"/>
      <c r="L191" s="2080"/>
      <c r="M191" s="2080"/>
      <c r="N191" s="2080"/>
      <c r="O191" s="2080"/>
      <c r="P191" s="2080"/>
      <c r="Q191" s="2080"/>
      <c r="R191" s="2080"/>
      <c r="S191" s="2080"/>
      <c r="T191" s="2080"/>
      <c r="U191" s="2080"/>
      <c r="V191" s="2080"/>
      <c r="W191" s="2080"/>
      <c r="X191" s="2080"/>
      <c r="Y191" s="2080"/>
      <c r="Z191" s="2080"/>
      <c r="AA191" s="2080"/>
      <c r="AB191" s="2080"/>
      <c r="AC191" s="880"/>
      <c r="AD191" s="2070"/>
      <c r="AE191" s="2070"/>
      <c r="AF191" s="2070"/>
      <c r="AG191" s="2070"/>
      <c r="AH191" s="2070"/>
      <c r="AI191" s="2070"/>
      <c r="AJ191" s="2070"/>
      <c r="AK191" s="644"/>
    </row>
    <row r="192" spans="1:45">
      <c r="A192" s="639"/>
      <c r="B192" s="2080"/>
      <c r="C192" s="2080"/>
      <c r="D192" s="2080"/>
      <c r="E192" s="2080"/>
      <c r="F192" s="2080"/>
      <c r="G192" s="2080"/>
      <c r="H192" s="2080"/>
      <c r="I192" s="2080"/>
      <c r="J192" s="2080"/>
      <c r="K192" s="2080"/>
      <c r="L192" s="2080"/>
      <c r="M192" s="2080"/>
      <c r="N192" s="2080"/>
      <c r="O192" s="2080"/>
      <c r="P192" s="2080"/>
      <c r="Q192" s="2080"/>
      <c r="R192" s="2080"/>
      <c r="S192" s="2080"/>
      <c r="T192" s="2080"/>
      <c r="U192" s="2080"/>
      <c r="V192" s="2080"/>
      <c r="W192" s="2080"/>
      <c r="X192" s="2080"/>
      <c r="Y192" s="2080"/>
      <c r="Z192" s="2080"/>
      <c r="AA192" s="2080"/>
      <c r="AB192" s="2080"/>
      <c r="AC192" s="880"/>
      <c r="AD192" s="2070"/>
      <c r="AE192" s="2070"/>
      <c r="AF192" s="2070"/>
      <c r="AG192" s="2070"/>
      <c r="AH192" s="2070"/>
      <c r="AI192" s="2070"/>
      <c r="AJ192" s="2070"/>
      <c r="AK192" s="644"/>
    </row>
    <row r="193" spans="1:37">
      <c r="A193" s="639"/>
      <c r="B193" s="2080"/>
      <c r="C193" s="2080"/>
      <c r="D193" s="2080"/>
      <c r="E193" s="2080"/>
      <c r="F193" s="2080"/>
      <c r="G193" s="2080"/>
      <c r="H193" s="2080"/>
      <c r="I193" s="2080"/>
      <c r="J193" s="2080"/>
      <c r="K193" s="2080"/>
      <c r="L193" s="2080"/>
      <c r="M193" s="2080"/>
      <c r="N193" s="2080"/>
      <c r="O193" s="2080"/>
      <c r="P193" s="2080"/>
      <c r="Q193" s="2080"/>
      <c r="R193" s="2080"/>
      <c r="S193" s="2080"/>
      <c r="T193" s="2080"/>
      <c r="U193" s="2080"/>
      <c r="V193" s="2080"/>
      <c r="W193" s="2080"/>
      <c r="X193" s="2080"/>
      <c r="Y193" s="2080"/>
      <c r="Z193" s="2080"/>
      <c r="AA193" s="2080"/>
      <c r="AB193" s="2080"/>
      <c r="AC193" s="880"/>
      <c r="AD193" s="2070"/>
      <c r="AE193" s="2070"/>
      <c r="AF193" s="2070"/>
      <c r="AG193" s="2070"/>
      <c r="AH193" s="2070"/>
      <c r="AI193" s="2070"/>
      <c r="AJ193" s="2070"/>
      <c r="AK193" s="644"/>
    </row>
    <row r="194" spans="1:37">
      <c r="A194" s="639"/>
      <c r="B194" s="2080"/>
      <c r="C194" s="2080"/>
      <c r="D194" s="2080"/>
      <c r="E194" s="2080"/>
      <c r="F194" s="2080"/>
      <c r="G194" s="2080"/>
      <c r="H194" s="2080"/>
      <c r="I194" s="2080"/>
      <c r="J194" s="2080"/>
      <c r="K194" s="2080"/>
      <c r="L194" s="2080"/>
      <c r="M194" s="2080"/>
      <c r="N194" s="2080"/>
      <c r="O194" s="2080"/>
      <c r="P194" s="2080"/>
      <c r="Q194" s="2080"/>
      <c r="R194" s="2080"/>
      <c r="S194" s="2080"/>
      <c r="T194" s="2080"/>
      <c r="U194" s="2080"/>
      <c r="V194" s="2080"/>
      <c r="W194" s="2080"/>
      <c r="X194" s="2080"/>
      <c r="Y194" s="2080"/>
      <c r="Z194" s="2080"/>
      <c r="AA194" s="2080"/>
      <c r="AB194" s="2080"/>
      <c r="AC194" s="880"/>
      <c r="AD194" s="2070"/>
      <c r="AE194" s="2070"/>
      <c r="AF194" s="2070"/>
      <c r="AG194" s="2070"/>
      <c r="AH194" s="2070"/>
      <c r="AI194" s="2070"/>
      <c r="AJ194" s="2070"/>
      <c r="AK194" s="644"/>
    </row>
    <row r="195" spans="1:37">
      <c r="A195" s="639"/>
      <c r="B195" s="2080"/>
      <c r="C195" s="2080"/>
      <c r="D195" s="2080"/>
      <c r="E195" s="2080"/>
      <c r="F195" s="2080"/>
      <c r="G195" s="2080"/>
      <c r="H195" s="2080"/>
      <c r="I195" s="2080"/>
      <c r="J195" s="2080"/>
      <c r="K195" s="2080"/>
      <c r="L195" s="2080"/>
      <c r="M195" s="2080"/>
      <c r="N195" s="2080"/>
      <c r="O195" s="2080"/>
      <c r="P195" s="2080"/>
      <c r="Q195" s="2080"/>
      <c r="R195" s="2080"/>
      <c r="S195" s="2080"/>
      <c r="T195" s="2080"/>
      <c r="U195" s="2080"/>
      <c r="V195" s="2080"/>
      <c r="W195" s="2080"/>
      <c r="X195" s="2080"/>
      <c r="Y195" s="2080"/>
      <c r="Z195" s="2080"/>
      <c r="AA195" s="2080"/>
      <c r="AB195" s="2080"/>
      <c r="AC195" s="880"/>
      <c r="AD195" s="2070"/>
      <c r="AE195" s="2070"/>
      <c r="AF195" s="2070"/>
      <c r="AG195" s="2070"/>
      <c r="AH195" s="2070"/>
      <c r="AI195" s="2070"/>
      <c r="AJ195" s="2070"/>
      <c r="AK195" s="644"/>
    </row>
    <row r="196" spans="1:37">
      <c r="A196" s="639"/>
      <c r="B196" s="2080"/>
      <c r="C196" s="2080"/>
      <c r="D196" s="2080"/>
      <c r="E196" s="2080"/>
      <c r="F196" s="2080"/>
      <c r="G196" s="2080"/>
      <c r="H196" s="2080"/>
      <c r="I196" s="2080"/>
      <c r="J196" s="2080"/>
      <c r="K196" s="2080"/>
      <c r="L196" s="2080"/>
      <c r="M196" s="2080"/>
      <c r="N196" s="2080"/>
      <c r="O196" s="2080"/>
      <c r="P196" s="2080"/>
      <c r="Q196" s="2080"/>
      <c r="R196" s="2080"/>
      <c r="S196" s="2080"/>
      <c r="T196" s="2080"/>
      <c r="U196" s="2080"/>
      <c r="V196" s="2080"/>
      <c r="W196" s="2080"/>
      <c r="X196" s="2080"/>
      <c r="Y196" s="2080"/>
      <c r="Z196" s="2080"/>
      <c r="AA196" s="2080"/>
      <c r="AB196" s="2080"/>
      <c r="AC196" s="880"/>
      <c r="AD196" s="2070"/>
      <c r="AE196" s="2070"/>
      <c r="AF196" s="2070"/>
      <c r="AG196" s="2070"/>
      <c r="AH196" s="2070"/>
      <c r="AI196" s="2070"/>
      <c r="AJ196" s="2070"/>
      <c r="AK196" s="644"/>
    </row>
    <row r="197" spans="1:37">
      <c r="A197" s="639"/>
      <c r="B197" s="2080"/>
      <c r="C197" s="2080"/>
      <c r="D197" s="2080"/>
      <c r="E197" s="2080"/>
      <c r="F197" s="2080"/>
      <c r="G197" s="2080"/>
      <c r="H197" s="2080"/>
      <c r="I197" s="2080"/>
      <c r="J197" s="2080"/>
      <c r="K197" s="2080"/>
      <c r="L197" s="2080"/>
      <c r="M197" s="2080"/>
      <c r="N197" s="2080"/>
      <c r="O197" s="2080"/>
      <c r="P197" s="2080"/>
      <c r="Q197" s="2080"/>
      <c r="R197" s="2080"/>
      <c r="S197" s="2080"/>
      <c r="T197" s="2080"/>
      <c r="U197" s="2080"/>
      <c r="V197" s="2080"/>
      <c r="W197" s="2080"/>
      <c r="X197" s="2080"/>
      <c r="Y197" s="2080"/>
      <c r="Z197" s="2080"/>
      <c r="AA197" s="2080"/>
      <c r="AB197" s="2080"/>
      <c r="AC197" s="880"/>
      <c r="AD197" s="2070"/>
      <c r="AE197" s="2070"/>
      <c r="AF197" s="2070"/>
      <c r="AG197" s="2070"/>
      <c r="AH197" s="2070"/>
      <c r="AI197" s="2070"/>
      <c r="AJ197" s="2070"/>
      <c r="AK197" s="644"/>
    </row>
    <row r="198" spans="1:37">
      <c r="A198" s="639"/>
      <c r="B198" s="1941" t="s">
        <v>1739</v>
      </c>
      <c r="C198" s="1941"/>
      <c r="D198" s="1941"/>
      <c r="E198" s="1941"/>
      <c r="F198" s="1941"/>
      <c r="G198" s="1941"/>
      <c r="H198" s="1941"/>
      <c r="I198" s="1941"/>
      <c r="J198" s="1941"/>
      <c r="K198" s="1941"/>
      <c r="L198" s="1941"/>
      <c r="M198" s="1941"/>
      <c r="N198" s="1941"/>
      <c r="O198" s="1941"/>
      <c r="P198" s="1941"/>
      <c r="Q198" s="1941"/>
      <c r="R198" s="1941"/>
      <c r="S198" s="1941"/>
      <c r="T198" s="1941"/>
      <c r="U198" s="1941"/>
      <c r="V198" s="1941"/>
      <c r="W198" s="1941"/>
      <c r="X198" s="1941"/>
      <c r="Y198" s="1941"/>
      <c r="Z198" s="1941"/>
      <c r="AA198" s="1941"/>
      <c r="AB198" s="1941"/>
      <c r="AC198" s="570"/>
      <c r="AD198" s="2068">
        <f>AB249</f>
        <v>13964562.343864039</v>
      </c>
      <c r="AE198" s="2068"/>
      <c r="AF198" s="2068"/>
      <c r="AG198" s="2068"/>
      <c r="AH198" s="2068"/>
      <c r="AI198" s="2068"/>
      <c r="AJ198" s="2068"/>
      <c r="AK198" s="644"/>
    </row>
    <row r="199" spans="1:37">
      <c r="A199" s="639"/>
      <c r="B199" s="1939" t="s">
        <v>1702</v>
      </c>
      <c r="C199" s="1939"/>
      <c r="D199" s="1939"/>
      <c r="E199" s="1939"/>
      <c r="F199" s="1939"/>
      <c r="G199" s="1939"/>
      <c r="H199" s="1939"/>
      <c r="I199" s="1939"/>
      <c r="J199" s="1939"/>
      <c r="K199" s="1939"/>
      <c r="L199" s="1939"/>
      <c r="M199" s="1939"/>
      <c r="N199" s="1939"/>
      <c r="O199" s="1939"/>
      <c r="P199" s="1939"/>
      <c r="Q199" s="1939"/>
      <c r="R199" s="1939"/>
      <c r="S199" s="1939"/>
      <c r="T199" s="1939"/>
      <c r="U199" s="1939"/>
      <c r="V199" s="1939"/>
      <c r="W199" s="1939"/>
      <c r="X199" s="1939"/>
      <c r="Y199" s="1939"/>
      <c r="Z199" s="1939"/>
      <c r="AA199" s="1939"/>
      <c r="AB199" s="1939"/>
      <c r="AC199" s="880"/>
      <c r="AD199" s="2069">
        <f>'Sources and Uses Budget'!B15</f>
        <v>0</v>
      </c>
      <c r="AE199" s="2069"/>
      <c r="AF199" s="2069"/>
      <c r="AG199" s="2069"/>
      <c r="AH199" s="2069"/>
      <c r="AI199" s="2069"/>
      <c r="AJ199" s="206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4">
        <f>SUM(AD188:AJ198)-AD199</f>
        <v>22203854.343864039</v>
      </c>
      <c r="AE200" s="2074"/>
      <c r="AF200" s="2074"/>
      <c r="AG200" s="2074"/>
      <c r="AH200" s="2074"/>
      <c r="AI200" s="2074"/>
      <c r="AJ200" s="207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3" t="s">
        <v>1719</v>
      </c>
      <c r="J211" s="2093"/>
      <c r="K211" s="2093"/>
      <c r="L211" s="570"/>
      <c r="M211" s="570"/>
      <c r="N211" s="570"/>
      <c r="O211" s="570"/>
      <c r="P211" s="570"/>
      <c r="Q211" s="570"/>
      <c r="R211" s="570"/>
      <c r="S211" s="570"/>
      <c r="T211" s="1905" t="s">
        <v>1713</v>
      </c>
      <c r="U211" s="1905"/>
      <c r="V211" s="1905"/>
      <c r="W211" s="1905"/>
      <c r="X211" s="1905"/>
      <c r="Y211" s="1905"/>
      <c r="Z211" s="883"/>
      <c r="AA211" s="523"/>
      <c r="AB211" s="2090" t="s">
        <v>1714</v>
      </c>
      <c r="AC211" s="2090"/>
      <c r="AD211" s="2090"/>
      <c r="AE211" s="2090"/>
      <c r="AF211" s="2090"/>
      <c r="AG211" s="2090"/>
      <c r="AH211" s="861"/>
      <c r="AI211" s="861"/>
      <c r="AJ211" s="861"/>
      <c r="AK211" s="644"/>
    </row>
    <row r="212" spans="1:37">
      <c r="A212" s="639"/>
      <c r="B212" s="2091" t="s">
        <v>1699</v>
      </c>
      <c r="C212" s="2091"/>
      <c r="D212" s="2091"/>
      <c r="E212" s="2091"/>
      <c r="F212" s="2091"/>
      <c r="G212" s="2091"/>
      <c r="I212" s="2092" t="s">
        <v>1720</v>
      </c>
      <c r="J212" s="2092"/>
      <c r="K212" s="2092"/>
      <c r="L212" s="1043"/>
      <c r="N212" s="1940" t="s">
        <v>1715</v>
      </c>
      <c r="O212" s="1940"/>
      <c r="P212" s="1940"/>
      <c r="Q212" s="1940"/>
      <c r="R212" s="1940"/>
      <c r="T212" s="1940" t="s">
        <v>1716</v>
      </c>
      <c r="U212" s="1940"/>
      <c r="V212" s="1940"/>
      <c r="W212" s="1940"/>
      <c r="X212" s="1940"/>
      <c r="Y212" s="1940"/>
      <c r="Z212" s="884"/>
      <c r="AA212" s="523"/>
      <c r="AB212" s="1943" t="s">
        <v>1717</v>
      </c>
      <c r="AC212" s="1943"/>
      <c r="AD212" s="1943"/>
      <c r="AE212" s="1943"/>
      <c r="AF212" s="1943"/>
      <c r="AG212" s="1943"/>
      <c r="AH212" s="861"/>
      <c r="AI212" s="861"/>
      <c r="AJ212" s="861"/>
      <c r="AK212" s="644"/>
    </row>
    <row r="213" spans="1:37">
      <c r="A213" s="639"/>
      <c r="B213" s="1942" t="s">
        <v>325</v>
      </c>
      <c r="C213" s="1942"/>
      <c r="D213" s="1942"/>
      <c r="E213" s="1942"/>
      <c r="F213" s="1942"/>
      <c r="G213" s="1942"/>
      <c r="H213" s="886"/>
      <c r="I213" s="1910">
        <v>36</v>
      </c>
      <c r="J213" s="1910"/>
      <c r="K213" s="1910"/>
      <c r="L213" s="1043"/>
      <c r="N213" s="1907">
        <v>697.19999999999993</v>
      </c>
      <c r="O213" s="1907"/>
      <c r="P213" s="1907"/>
      <c r="Q213" s="1907"/>
      <c r="R213" s="1907"/>
      <c r="T213" s="1906">
        <v>1897</v>
      </c>
      <c r="U213" s="1906"/>
      <c r="V213" s="1906"/>
      <c r="W213" s="1906"/>
      <c r="X213" s="1906"/>
      <c r="Y213" s="1906"/>
      <c r="Z213" s="885"/>
      <c r="AA213" s="885"/>
      <c r="AB213" s="1904">
        <f t="shared" ref="AB213:AB222" si="0">MAX(($T213-$N213)*$I213*12,0)</f>
        <v>518313.60000000003</v>
      </c>
      <c r="AC213" s="1904"/>
      <c r="AD213" s="1904"/>
      <c r="AE213" s="1904"/>
      <c r="AF213" s="1904"/>
      <c r="AG213" s="1904"/>
      <c r="AH213" s="861"/>
      <c r="AI213" s="861"/>
      <c r="AJ213" s="861"/>
      <c r="AK213" s="644"/>
    </row>
    <row r="214" spans="1:37">
      <c r="A214" s="639"/>
      <c r="B214" s="1942" t="s">
        <v>2782</v>
      </c>
      <c r="C214" s="1942"/>
      <c r="D214" s="1942"/>
      <c r="E214" s="1942"/>
      <c r="F214" s="1942"/>
      <c r="G214" s="1942"/>
      <c r="I214" s="1910">
        <v>1</v>
      </c>
      <c r="J214" s="1910"/>
      <c r="K214" s="1910"/>
      <c r="L214" s="1043"/>
      <c r="N214" s="1907">
        <v>747</v>
      </c>
      <c r="O214" s="1907"/>
      <c r="P214" s="1907"/>
      <c r="Q214" s="1907"/>
      <c r="R214" s="1907"/>
      <c r="T214" s="1906">
        <v>1897</v>
      </c>
      <c r="U214" s="1906"/>
      <c r="V214" s="1906"/>
      <c r="W214" s="1906"/>
      <c r="X214" s="1906"/>
      <c r="Y214" s="1906"/>
      <c r="Z214" s="885"/>
      <c r="AA214" s="885"/>
      <c r="AB214" s="1904">
        <f t="shared" si="0"/>
        <v>13800</v>
      </c>
      <c r="AC214" s="1904"/>
      <c r="AD214" s="1904"/>
      <c r="AE214" s="1904"/>
      <c r="AF214" s="1904"/>
      <c r="AG214" s="1904"/>
      <c r="AH214" s="861"/>
      <c r="AI214" s="861"/>
      <c r="AJ214" s="861"/>
      <c r="AK214" s="644"/>
    </row>
    <row r="215" spans="1:37">
      <c r="A215" s="639"/>
      <c r="B215" s="1942" t="s">
        <v>325</v>
      </c>
      <c r="C215" s="1942"/>
      <c r="D215" s="1942"/>
      <c r="E215" s="1942"/>
      <c r="F215" s="1942"/>
      <c r="G215" s="1942"/>
      <c r="I215" s="1910">
        <v>18</v>
      </c>
      <c r="J215" s="1910"/>
      <c r="K215" s="1910"/>
      <c r="L215" s="1043"/>
      <c r="N215" s="1907">
        <v>697.19999999999993</v>
      </c>
      <c r="O215" s="1907"/>
      <c r="P215" s="1907"/>
      <c r="Q215" s="1907"/>
      <c r="R215" s="1907"/>
      <c r="T215" s="1906">
        <v>1897</v>
      </c>
      <c r="U215" s="1906"/>
      <c r="V215" s="1906"/>
      <c r="W215" s="1906"/>
      <c r="X215" s="1906"/>
      <c r="Y215" s="1906"/>
      <c r="Z215" s="885"/>
      <c r="AA215" s="885"/>
      <c r="AB215" s="1904">
        <f t="shared" si="0"/>
        <v>259156.80000000002</v>
      </c>
      <c r="AC215" s="1904"/>
      <c r="AD215" s="1904"/>
      <c r="AE215" s="1904"/>
      <c r="AF215" s="1904"/>
      <c r="AG215" s="1904"/>
      <c r="AH215" s="861"/>
      <c r="AI215" s="861"/>
      <c r="AJ215" s="861"/>
      <c r="AK215" s="644"/>
    </row>
    <row r="216" spans="1:37">
      <c r="A216" s="639"/>
      <c r="B216" s="1942" t="s">
        <v>325</v>
      </c>
      <c r="C216" s="1942"/>
      <c r="D216" s="1942"/>
      <c r="E216" s="1942"/>
      <c r="F216" s="1942"/>
      <c r="G216" s="1942"/>
      <c r="I216" s="1910">
        <v>6</v>
      </c>
      <c r="J216" s="1910"/>
      <c r="K216" s="1910"/>
      <c r="L216" s="1043"/>
      <c r="N216" s="1907">
        <v>697.19999999999993</v>
      </c>
      <c r="O216" s="1907"/>
      <c r="P216" s="1907"/>
      <c r="Q216" s="1907"/>
      <c r="R216" s="1907"/>
      <c r="T216" s="1906">
        <v>609</v>
      </c>
      <c r="U216" s="1906"/>
      <c r="V216" s="1906"/>
      <c r="W216" s="1906"/>
      <c r="X216" s="1906"/>
      <c r="Y216" s="1906"/>
      <c r="Z216" s="885"/>
      <c r="AA216" s="885"/>
      <c r="AB216" s="1904">
        <f t="shared" si="0"/>
        <v>0</v>
      </c>
      <c r="AC216" s="1904"/>
      <c r="AD216" s="1904"/>
      <c r="AE216" s="1904"/>
      <c r="AF216" s="1904"/>
      <c r="AG216" s="1904"/>
      <c r="AH216" s="861"/>
      <c r="AI216" s="861"/>
      <c r="AJ216" s="861"/>
      <c r="AK216" s="644"/>
    </row>
    <row r="217" spans="1:37">
      <c r="A217" s="639"/>
      <c r="B217" s="1942" t="s">
        <v>1290</v>
      </c>
      <c r="C217" s="1942"/>
      <c r="D217" s="1942"/>
      <c r="E217" s="1942"/>
      <c r="F217" s="1942"/>
      <c r="G217" s="1942"/>
      <c r="I217" s="1910"/>
      <c r="J217" s="1910"/>
      <c r="K217" s="1910"/>
      <c r="L217" s="1050"/>
      <c r="N217" s="1907"/>
      <c r="O217" s="1907"/>
      <c r="P217" s="1907"/>
      <c r="Q217" s="1907"/>
      <c r="R217" s="1907"/>
      <c r="T217" s="1906"/>
      <c r="U217" s="1906"/>
      <c r="V217" s="1906"/>
      <c r="W217" s="1906"/>
      <c r="X217" s="1906"/>
      <c r="Y217" s="1906"/>
      <c r="Z217" s="885"/>
      <c r="AA217" s="885"/>
      <c r="AB217" s="1904">
        <f t="shared" si="0"/>
        <v>0</v>
      </c>
      <c r="AC217" s="1904"/>
      <c r="AD217" s="1904"/>
      <c r="AE217" s="1904"/>
      <c r="AF217" s="1904"/>
      <c r="AG217" s="1904"/>
      <c r="AH217" s="861"/>
      <c r="AI217" s="861"/>
      <c r="AJ217" s="861"/>
      <c r="AK217" s="644"/>
    </row>
    <row r="218" spans="1:37">
      <c r="A218" s="639"/>
      <c r="B218" s="1942" t="s">
        <v>1290</v>
      </c>
      <c r="C218" s="1942"/>
      <c r="D218" s="1942"/>
      <c r="E218" s="1942"/>
      <c r="F218" s="1942"/>
      <c r="G218" s="1942"/>
      <c r="I218" s="1910"/>
      <c r="J218" s="1910"/>
      <c r="K218" s="1910"/>
      <c r="L218" s="1050"/>
      <c r="N218" s="1907"/>
      <c r="O218" s="1907"/>
      <c r="P218" s="1907"/>
      <c r="Q218" s="1907"/>
      <c r="R218" s="1907"/>
      <c r="T218" s="1906"/>
      <c r="U218" s="1906"/>
      <c r="V218" s="1906"/>
      <c r="W218" s="1906"/>
      <c r="X218" s="1906"/>
      <c r="Y218" s="1906"/>
      <c r="Z218" s="885"/>
      <c r="AA218" s="885"/>
      <c r="AB218" s="1904">
        <f t="shared" si="0"/>
        <v>0</v>
      </c>
      <c r="AC218" s="1904"/>
      <c r="AD218" s="1904"/>
      <c r="AE218" s="1904"/>
      <c r="AF218" s="1904"/>
      <c r="AG218" s="1904"/>
      <c r="AH218" s="861"/>
      <c r="AI218" s="861"/>
      <c r="AJ218" s="861"/>
      <c r="AK218" s="644"/>
    </row>
    <row r="219" spans="1:37">
      <c r="A219" s="639"/>
      <c r="B219" s="1942" t="s">
        <v>1290</v>
      </c>
      <c r="C219" s="1942"/>
      <c r="D219" s="1942"/>
      <c r="E219" s="1942"/>
      <c r="F219" s="1942"/>
      <c r="G219" s="1942"/>
      <c r="I219" s="1910"/>
      <c r="J219" s="1910"/>
      <c r="K219" s="1910"/>
      <c r="L219" s="1050"/>
      <c r="N219" s="1907"/>
      <c r="O219" s="1907"/>
      <c r="P219" s="1907"/>
      <c r="Q219" s="1907"/>
      <c r="R219" s="1907"/>
      <c r="T219" s="1906"/>
      <c r="U219" s="1906"/>
      <c r="V219" s="1906"/>
      <c r="W219" s="1906"/>
      <c r="X219" s="1906"/>
      <c r="Y219" s="1906"/>
      <c r="Z219" s="885"/>
      <c r="AA219" s="885"/>
      <c r="AB219" s="1904">
        <f t="shared" si="0"/>
        <v>0</v>
      </c>
      <c r="AC219" s="1904"/>
      <c r="AD219" s="1904"/>
      <c r="AE219" s="1904"/>
      <c r="AF219" s="1904"/>
      <c r="AG219" s="1904"/>
      <c r="AH219" s="861"/>
      <c r="AI219" s="861"/>
      <c r="AJ219" s="861"/>
      <c r="AK219" s="644"/>
    </row>
    <row r="220" spans="1:37">
      <c r="A220" s="639"/>
      <c r="B220" s="1942" t="s">
        <v>1290</v>
      </c>
      <c r="C220" s="1942"/>
      <c r="D220" s="1942"/>
      <c r="E220" s="1942"/>
      <c r="F220" s="1942"/>
      <c r="G220" s="1942"/>
      <c r="I220" s="1910"/>
      <c r="J220" s="1910"/>
      <c r="K220" s="1910"/>
      <c r="L220" s="1050"/>
      <c r="N220" s="1907"/>
      <c r="O220" s="1907"/>
      <c r="P220" s="1907"/>
      <c r="Q220" s="1907"/>
      <c r="R220" s="1907"/>
      <c r="T220" s="1906"/>
      <c r="U220" s="1906"/>
      <c r="V220" s="1906"/>
      <c r="W220" s="1906"/>
      <c r="X220" s="1906"/>
      <c r="Y220" s="1906"/>
      <c r="Z220" s="885"/>
      <c r="AA220" s="885"/>
      <c r="AB220" s="1904">
        <f t="shared" si="0"/>
        <v>0</v>
      </c>
      <c r="AC220" s="1904"/>
      <c r="AD220" s="1904"/>
      <c r="AE220" s="1904"/>
      <c r="AF220" s="1904"/>
      <c r="AG220" s="1904"/>
      <c r="AH220" s="861"/>
      <c r="AI220" s="861"/>
      <c r="AJ220" s="861"/>
      <c r="AK220" s="644"/>
    </row>
    <row r="221" spans="1:37">
      <c r="A221" s="639"/>
      <c r="B221" s="1942" t="s">
        <v>1290</v>
      </c>
      <c r="C221" s="1942"/>
      <c r="D221" s="1942"/>
      <c r="E221" s="1942"/>
      <c r="F221" s="1942"/>
      <c r="G221" s="1942"/>
      <c r="I221" s="1910"/>
      <c r="J221" s="1910"/>
      <c r="K221" s="1910"/>
      <c r="L221" s="1050"/>
      <c r="N221" s="1907"/>
      <c r="O221" s="1907"/>
      <c r="P221" s="1907"/>
      <c r="Q221" s="1907"/>
      <c r="R221" s="1907"/>
      <c r="T221" s="1906"/>
      <c r="U221" s="1906"/>
      <c r="V221" s="1906"/>
      <c r="W221" s="1906"/>
      <c r="X221" s="1906"/>
      <c r="Y221" s="1906"/>
      <c r="Z221" s="885"/>
      <c r="AA221" s="885"/>
      <c r="AB221" s="1904">
        <f t="shared" si="0"/>
        <v>0</v>
      </c>
      <c r="AC221" s="1904"/>
      <c r="AD221" s="1904"/>
      <c r="AE221" s="1904"/>
      <c r="AF221" s="1904"/>
      <c r="AG221" s="1904"/>
      <c r="AH221" s="861"/>
      <c r="AI221" s="861"/>
      <c r="AJ221" s="861"/>
      <c r="AK221" s="644"/>
    </row>
    <row r="222" spans="1:37">
      <c r="A222" s="639"/>
      <c r="B222" s="1942" t="s">
        <v>1290</v>
      </c>
      <c r="C222" s="1942"/>
      <c r="D222" s="1942"/>
      <c r="E222" s="1942"/>
      <c r="F222" s="1942"/>
      <c r="G222" s="1942"/>
      <c r="I222" s="2094"/>
      <c r="J222" s="2094"/>
      <c r="K222" s="2094"/>
      <c r="L222" s="1050"/>
      <c r="N222" s="1907"/>
      <c r="O222" s="1907"/>
      <c r="P222" s="1907"/>
      <c r="Q222" s="1907"/>
      <c r="R222" s="1907"/>
      <c r="T222" s="1906"/>
      <c r="U222" s="1906"/>
      <c r="V222" s="1906"/>
      <c r="W222" s="1906"/>
      <c r="X222" s="1906"/>
      <c r="Y222" s="1906"/>
      <c r="Z222" s="885"/>
      <c r="AA222" s="885"/>
      <c r="AB222" s="1911">
        <f t="shared" si="0"/>
        <v>0</v>
      </c>
      <c r="AC222" s="1911"/>
      <c r="AD222" s="1911"/>
      <c r="AE222" s="1911"/>
      <c r="AF222" s="1911"/>
      <c r="AG222" s="19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4">
        <f>SUM(AB213:AB222)</f>
        <v>791270.40000000014</v>
      </c>
      <c r="AC223" s="1904"/>
      <c r="AD223" s="1904"/>
      <c r="AE223" s="1904"/>
      <c r="AF223" s="1904"/>
      <c r="AG223" s="190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4"/>
      <c r="AC229" s="1944"/>
      <c r="AD229" s="1944"/>
      <c r="AE229" s="1944"/>
      <c r="AF229" s="1944"/>
      <c r="AG229" s="1944"/>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4">
        <v>1418427</v>
      </c>
      <c r="AC232" s="1944"/>
      <c r="AD232" s="1944"/>
      <c r="AE232" s="1944"/>
      <c r="AF232" s="1944"/>
      <c r="AG232" s="1944"/>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3">
        <v>2</v>
      </c>
      <c r="AC233" s="1903"/>
      <c r="AD233" s="1903"/>
      <c r="AE233" s="1903"/>
      <c r="AF233" s="1903"/>
      <c r="AG233" s="1903"/>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2">
        <f>IFERROR(AB232/AB233,0)</f>
        <v>709213.5</v>
      </c>
      <c r="AC234" s="1912"/>
      <c r="AD234" s="1912"/>
      <c r="AE234" s="1912"/>
      <c r="AF234" s="1912"/>
      <c r="AG234" s="191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1">
        <f>MAX(AB229,AB234)</f>
        <v>709213.5</v>
      </c>
      <c r="AC236" s="1911"/>
      <c r="AD236" s="1911"/>
      <c r="AE236" s="1911"/>
      <c r="AF236" s="1911"/>
      <c r="AG236" s="19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4">
        <f>AB223+AB236</f>
        <v>1500483.9000000001</v>
      </c>
      <c r="AC239" s="1904"/>
      <c r="AD239" s="1904"/>
      <c r="AE239" s="1904"/>
      <c r="AF239" s="1904"/>
      <c r="AG239" s="1904"/>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8">
        <v>0.05</v>
      </c>
      <c r="AC240" s="2078"/>
      <c r="AD240" s="2078"/>
      <c r="AE240" s="2078"/>
      <c r="AF240" s="2078"/>
      <c r="AG240" s="2078"/>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9">
        <f>AB239-(AB239*AB240)</f>
        <v>1425459.7050000001</v>
      </c>
      <c r="AC241" s="2079"/>
      <c r="AD241" s="2079"/>
      <c r="AE241" s="2079"/>
      <c r="AF241" s="2079"/>
      <c r="AG241" s="2079"/>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4">
        <f>AB241/AB247</f>
        <v>1239530.1782608698</v>
      </c>
      <c r="AC243" s="1904"/>
      <c r="AD243" s="1904"/>
      <c r="AE243" s="1904"/>
      <c r="AF243" s="1904"/>
      <c r="AG243" s="190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0">
        <v>15</v>
      </c>
      <c r="AC245" s="2090"/>
      <c r="AD245" s="2090"/>
      <c r="AE245" s="2090"/>
      <c r="AF245" s="2090"/>
      <c r="AG245" s="2090"/>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1">
        <v>0.04</v>
      </c>
      <c r="AC246" s="2081"/>
      <c r="AD246" s="2081"/>
      <c r="AE246" s="2081"/>
      <c r="AF246" s="2081"/>
      <c r="AG246" s="2081"/>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2">
        <v>1.1499999999999999</v>
      </c>
      <c r="AC247" s="2082"/>
      <c r="AD247" s="2082"/>
      <c r="AE247" s="2082"/>
      <c r="AF247" s="2082"/>
      <c r="AG247" s="208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1">
        <f>PV(AB246/12,AB245*12,-AB243/12, ,0)</f>
        <v>13964562.343864039</v>
      </c>
      <c r="AC249" s="2072"/>
      <c r="AD249" s="2072"/>
      <c r="AE249" s="2072"/>
      <c r="AF249" s="2072"/>
      <c r="AG249" s="207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5">
        <f>IFERROR(('Sources and Uses Budget'!D105/'Sources and Uses Budget'!B105),0)</f>
        <v>0</v>
      </c>
      <c r="AC255" s="2076"/>
      <c r="AD255" s="2076"/>
      <c r="AE255" s="2076"/>
      <c r="AF255" s="2076"/>
      <c r="AG255" s="207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8">
        <f>AD200*(1-AB255)</f>
        <v>22203854.343864039</v>
      </c>
      <c r="AH257" s="1918"/>
      <c r="AI257" s="1918"/>
      <c r="AJ257" s="1918"/>
      <c r="AK257" s="1918"/>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8">
        <f>'Sources and Uses Budget'!C105</f>
        <v>91405707</v>
      </c>
      <c r="AH258" s="1918"/>
      <c r="AI258" s="1918"/>
      <c r="AJ258" s="1918"/>
      <c r="AK258" s="191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7">
        <f>ROUNDDOWN(IF(AND(C281="Yes",AK78=10),((AG257*2)/AG258),AG257/AG258),2)</f>
        <v>0.24</v>
      </c>
      <c r="AH259" s="2067"/>
      <c r="AI259" s="2067"/>
      <c r="AJ259" s="2067"/>
      <c r="AK259" s="2067"/>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6">
        <f>IFERROR(IF(AG259=0,0,IF((AG259*100)&gt;8,8,(AG259*100))),0)</f>
        <v>8</v>
      </c>
      <c r="AL262" s="2056"/>
      <c r="AM262" s="205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6" t="s">
        <v>553</v>
      </c>
      <c r="D267" s="1936"/>
      <c r="E267" s="581"/>
      <c r="F267" s="1887" t="s">
        <v>2339</v>
      </c>
      <c r="G267" s="1888"/>
      <c r="H267" s="1888"/>
      <c r="I267" s="1888"/>
      <c r="J267" s="1888"/>
      <c r="K267" s="1888"/>
      <c r="L267" s="1888"/>
      <c r="M267" s="1888"/>
      <c r="N267" s="1888"/>
      <c r="O267" s="1888"/>
      <c r="P267" s="1888"/>
      <c r="Q267" s="1888"/>
      <c r="R267" s="1888"/>
      <c r="S267" s="1888"/>
      <c r="T267" s="1888"/>
      <c r="U267" s="1888"/>
      <c r="V267" s="1888"/>
      <c r="W267" s="1888"/>
      <c r="X267" s="1888"/>
      <c r="Y267" s="1888"/>
      <c r="Z267" s="1888"/>
      <c r="AA267" s="1888"/>
      <c r="AB267" s="1888"/>
      <c r="AC267" s="1888"/>
      <c r="AD267" s="1889"/>
      <c r="AE267" s="584"/>
      <c r="AF267" s="669"/>
      <c r="AG267" s="2065" t="s">
        <v>1474</v>
      </c>
      <c r="AH267" s="2065"/>
      <c r="AI267" s="2065"/>
      <c r="AJ267" s="2065"/>
      <c r="AK267" s="584"/>
      <c r="AL267" s="584"/>
      <c r="AM267" s="584"/>
      <c r="AO267" s="584"/>
    </row>
    <row r="268" spans="1:52" ht="13.7" customHeight="1">
      <c r="A268" s="584"/>
      <c r="B268" s="630"/>
      <c r="C268" s="670"/>
      <c r="D268" s="584"/>
      <c r="E268" s="581"/>
      <c r="F268" s="1890"/>
      <c r="G268" s="1891"/>
      <c r="H268" s="1891"/>
      <c r="I268" s="1891"/>
      <c r="J268" s="1891"/>
      <c r="K268" s="1891"/>
      <c r="L268" s="1891"/>
      <c r="M268" s="1891"/>
      <c r="N268" s="1891"/>
      <c r="O268" s="1891"/>
      <c r="P268" s="1891"/>
      <c r="Q268" s="1891"/>
      <c r="R268" s="1891"/>
      <c r="S268" s="1891"/>
      <c r="T268" s="1891"/>
      <c r="U268" s="1891"/>
      <c r="V268" s="1891"/>
      <c r="W268" s="1891"/>
      <c r="X268" s="1891"/>
      <c r="Y268" s="1891"/>
      <c r="Z268" s="1891"/>
      <c r="AA268" s="1891"/>
      <c r="AB268" s="1891"/>
      <c r="AC268" s="1891"/>
      <c r="AD268" s="1892"/>
      <c r="AE268" s="584"/>
      <c r="AF268" s="669"/>
      <c r="AG268" s="669"/>
      <c r="AH268" s="669"/>
      <c r="AI268" s="669"/>
      <c r="AJ268" s="584"/>
      <c r="AK268" s="584"/>
      <c r="AL268" s="584"/>
      <c r="AM268" s="584"/>
      <c r="AO268" s="584"/>
    </row>
    <row r="269" spans="1:52">
      <c r="A269" s="584"/>
      <c r="B269" s="630"/>
      <c r="C269" s="670"/>
      <c r="D269" s="584"/>
      <c r="E269" s="581"/>
      <c r="F269" s="1890"/>
      <c r="G269" s="1891"/>
      <c r="H269" s="1891"/>
      <c r="I269" s="1891"/>
      <c r="J269" s="1891"/>
      <c r="K269" s="1891"/>
      <c r="L269" s="1891"/>
      <c r="M269" s="1891"/>
      <c r="N269" s="1891"/>
      <c r="O269" s="1891"/>
      <c r="P269" s="1891"/>
      <c r="Q269" s="1891"/>
      <c r="R269" s="1891"/>
      <c r="S269" s="1891"/>
      <c r="T269" s="1891"/>
      <c r="U269" s="1891"/>
      <c r="V269" s="1891"/>
      <c r="W269" s="1891"/>
      <c r="X269" s="1891"/>
      <c r="Y269" s="1891"/>
      <c r="Z269" s="1891"/>
      <c r="AA269" s="1891"/>
      <c r="AB269" s="1891"/>
      <c r="AC269" s="1891"/>
      <c r="AD269" s="1892"/>
      <c r="AE269" s="584"/>
      <c r="AF269" s="669"/>
      <c r="AG269" s="669"/>
      <c r="AH269" s="669"/>
      <c r="AI269" s="669"/>
      <c r="AJ269" s="584"/>
      <c r="AK269" s="584"/>
      <c r="AL269" s="584"/>
      <c r="AM269" s="584"/>
      <c r="AO269" s="584"/>
      <c r="AP269" s="671"/>
    </row>
    <row r="270" spans="1:52">
      <c r="A270" s="584"/>
      <c r="B270" s="630"/>
      <c r="C270" s="670"/>
      <c r="D270" s="584"/>
      <c r="E270" s="581"/>
      <c r="F270" s="1890"/>
      <c r="G270" s="1891"/>
      <c r="H270" s="1891"/>
      <c r="I270" s="1891"/>
      <c r="J270" s="1891"/>
      <c r="K270" s="1891"/>
      <c r="L270" s="1891"/>
      <c r="M270" s="1891"/>
      <c r="N270" s="1891"/>
      <c r="O270" s="1891"/>
      <c r="P270" s="1891"/>
      <c r="Q270" s="1891"/>
      <c r="R270" s="1891"/>
      <c r="S270" s="1891"/>
      <c r="T270" s="1891"/>
      <c r="U270" s="1891"/>
      <c r="V270" s="1891"/>
      <c r="W270" s="1891"/>
      <c r="X270" s="1891"/>
      <c r="Y270" s="1891"/>
      <c r="Z270" s="1891"/>
      <c r="AA270" s="1891"/>
      <c r="AB270" s="1891"/>
      <c r="AC270" s="1891"/>
      <c r="AD270" s="1892"/>
      <c r="AE270" s="584"/>
      <c r="AF270" s="669"/>
      <c r="AG270" s="669"/>
      <c r="AH270" s="669"/>
      <c r="AI270" s="669"/>
      <c r="AJ270" s="584"/>
      <c r="AK270" s="584"/>
      <c r="AL270" s="584"/>
      <c r="AM270" s="584"/>
      <c r="AO270" s="584"/>
      <c r="AP270" s="671"/>
    </row>
    <row r="271" spans="1:52" ht="13.7" customHeight="1">
      <c r="A271" s="584"/>
      <c r="B271" s="630"/>
      <c r="C271" s="2066"/>
      <c r="D271" s="2066"/>
      <c r="E271" s="581"/>
      <c r="F271" s="1893"/>
      <c r="G271" s="1894"/>
      <c r="H271" s="1894"/>
      <c r="I271" s="1894"/>
      <c r="J271" s="1894"/>
      <c r="K271" s="1894"/>
      <c r="L271" s="1894"/>
      <c r="M271" s="1894"/>
      <c r="N271" s="1894"/>
      <c r="O271" s="1894"/>
      <c r="P271" s="1894"/>
      <c r="Q271" s="1894"/>
      <c r="R271" s="1894"/>
      <c r="S271" s="1894"/>
      <c r="T271" s="1894"/>
      <c r="U271" s="1894"/>
      <c r="V271" s="1894"/>
      <c r="W271" s="1894"/>
      <c r="X271" s="1894"/>
      <c r="Y271" s="1894"/>
      <c r="Z271" s="1894"/>
      <c r="AA271" s="1894"/>
      <c r="AB271" s="1894"/>
      <c r="AC271" s="1894"/>
      <c r="AD271" s="1895"/>
      <c r="AE271" s="584"/>
      <c r="AF271" s="669"/>
      <c r="AG271" s="2065"/>
      <c r="AH271" s="2065"/>
      <c r="AI271" s="2065"/>
      <c r="AJ271" s="206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6">
        <f>IF($C$267="yes",10,0)</f>
        <v>10</v>
      </c>
      <c r="AL274" s="2056"/>
      <c r="AM274" s="205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8" t="s">
        <v>1493</v>
      </c>
      <c r="B281" s="1618"/>
      <c r="C281" s="2030" t="s">
        <v>599</v>
      </c>
      <c r="D281" s="1936"/>
      <c r="E281" s="581"/>
      <c r="F281" s="2058" t="s">
        <v>1494</v>
      </c>
      <c r="G281" s="2059"/>
      <c r="H281" s="2059"/>
      <c r="I281" s="2059"/>
      <c r="J281" s="2059"/>
      <c r="K281" s="2059"/>
      <c r="L281" s="2059"/>
      <c r="M281" s="2059"/>
      <c r="N281" s="2059"/>
      <c r="O281" s="2059"/>
      <c r="P281" s="2059"/>
      <c r="Q281" s="2059"/>
      <c r="R281" s="2059"/>
      <c r="S281" s="2059"/>
      <c r="T281" s="2059"/>
      <c r="U281" s="2059"/>
      <c r="V281" s="2059"/>
      <c r="W281" s="2059"/>
      <c r="X281" s="2059"/>
      <c r="Y281" s="2059"/>
      <c r="Z281" s="2059"/>
      <c r="AA281" s="2059"/>
      <c r="AB281" s="2059"/>
      <c r="AC281" s="2059"/>
      <c r="AD281" s="2060"/>
      <c r="AE281" s="676"/>
      <c r="AF281" s="584"/>
      <c r="AG281" s="2061" t="s">
        <v>2332</v>
      </c>
      <c r="AH281" s="2061"/>
      <c r="AI281" s="2061"/>
      <c r="AJ281" s="2061"/>
      <c r="AK281" s="2061"/>
      <c r="AL281" s="584"/>
      <c r="AM281" s="584"/>
      <c r="AN281" s="73"/>
      <c r="AO281" s="14"/>
      <c r="AP281" s="30"/>
      <c r="AS281" s="604"/>
      <c r="AT281" s="604"/>
      <c r="AU281" s="604"/>
      <c r="AV281" s="32"/>
      <c r="AW281" s="32"/>
    </row>
    <row r="282" spans="1:49">
      <c r="A282" s="674"/>
      <c r="B282" s="630"/>
      <c r="F282" s="1913"/>
      <c r="G282" s="1914"/>
      <c r="H282" s="1914"/>
      <c r="I282" s="1914"/>
      <c r="J282" s="1914"/>
      <c r="K282" s="1914"/>
      <c r="L282" s="1914"/>
      <c r="M282" s="1914"/>
      <c r="N282" s="1914"/>
      <c r="O282" s="1914"/>
      <c r="P282" s="1914"/>
      <c r="Q282" s="1914"/>
      <c r="R282" s="1914"/>
      <c r="S282" s="1914"/>
      <c r="T282" s="1914"/>
      <c r="U282" s="1914"/>
      <c r="V282" s="1914"/>
      <c r="W282" s="1914"/>
      <c r="X282" s="1914"/>
      <c r="Y282" s="1914"/>
      <c r="Z282" s="1914"/>
      <c r="AA282" s="1914"/>
      <c r="AB282" s="1914"/>
      <c r="AC282" s="1914"/>
      <c r="AD282" s="191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3"/>
      <c r="G283" s="1914"/>
      <c r="H283" s="1914"/>
      <c r="I283" s="1914"/>
      <c r="J283" s="1914"/>
      <c r="K283" s="1914"/>
      <c r="L283" s="1914"/>
      <c r="M283" s="1914"/>
      <c r="N283" s="1914"/>
      <c r="O283" s="1914"/>
      <c r="P283" s="1914"/>
      <c r="Q283" s="1914"/>
      <c r="R283" s="1914"/>
      <c r="S283" s="1914"/>
      <c r="T283" s="1914"/>
      <c r="U283" s="1914"/>
      <c r="V283" s="1914"/>
      <c r="W283" s="1914"/>
      <c r="X283" s="1914"/>
      <c r="Y283" s="1914"/>
      <c r="Z283" s="1914"/>
      <c r="AA283" s="1914"/>
      <c r="AB283" s="1914"/>
      <c r="AC283" s="1914"/>
      <c r="AD283" s="1915"/>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3" t="s">
        <v>2340</v>
      </c>
      <c r="G284" s="1914"/>
      <c r="H284" s="1914"/>
      <c r="I284" s="1914"/>
      <c r="J284" s="1914"/>
      <c r="K284" s="1914"/>
      <c r="L284" s="1914"/>
      <c r="M284" s="1914"/>
      <c r="N284" s="1914"/>
      <c r="O284" s="1914"/>
      <c r="P284" s="1914"/>
      <c r="Q284" s="1914"/>
      <c r="R284" s="1914"/>
      <c r="S284" s="1914"/>
      <c r="T284" s="1914"/>
      <c r="U284" s="1914"/>
      <c r="V284" s="1914"/>
      <c r="W284" s="1914"/>
      <c r="X284" s="1914"/>
      <c r="Y284" s="1914"/>
      <c r="Z284" s="1914"/>
      <c r="AA284" s="1914"/>
      <c r="AB284" s="1914"/>
      <c r="AC284" s="1914"/>
      <c r="AD284" s="1915"/>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13"/>
      <c r="G285" s="1914"/>
      <c r="H285" s="1914"/>
      <c r="I285" s="1914"/>
      <c r="J285" s="1914"/>
      <c r="K285" s="1914"/>
      <c r="L285" s="1914"/>
      <c r="M285" s="1914"/>
      <c r="N285" s="1914"/>
      <c r="O285" s="1914"/>
      <c r="P285" s="1914"/>
      <c r="Q285" s="1914"/>
      <c r="R285" s="1914"/>
      <c r="S285" s="1914"/>
      <c r="T285" s="1914"/>
      <c r="U285" s="1914"/>
      <c r="V285" s="1914"/>
      <c r="W285" s="1914"/>
      <c r="X285" s="1914"/>
      <c r="Y285" s="1914"/>
      <c r="Z285" s="1914"/>
      <c r="AA285" s="1914"/>
      <c r="AB285" s="1914"/>
      <c r="AC285" s="1914"/>
      <c r="AD285" s="191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3" t="s">
        <v>1495</v>
      </c>
      <c r="G286" s="1914"/>
      <c r="H286" s="1914"/>
      <c r="I286" s="1914"/>
      <c r="J286" s="1914"/>
      <c r="K286" s="1914"/>
      <c r="L286" s="1914"/>
      <c r="M286" s="1914"/>
      <c r="N286" s="1914"/>
      <c r="O286" s="1914"/>
      <c r="P286" s="1914"/>
      <c r="Q286" s="1914"/>
      <c r="R286" s="1914"/>
      <c r="S286" s="1914"/>
      <c r="T286" s="1914"/>
      <c r="U286" s="1914"/>
      <c r="V286" s="1914"/>
      <c r="W286" s="1914"/>
      <c r="X286" s="1914"/>
      <c r="Y286" s="1914"/>
      <c r="Z286" s="1914"/>
      <c r="AA286" s="1914"/>
      <c r="AB286" s="1914"/>
      <c r="AC286" s="1914"/>
      <c r="AD286" s="191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3"/>
      <c r="G287" s="1914"/>
      <c r="H287" s="1914"/>
      <c r="I287" s="1914"/>
      <c r="J287" s="1914"/>
      <c r="K287" s="1914"/>
      <c r="L287" s="1914"/>
      <c r="M287" s="1914"/>
      <c r="N287" s="1914"/>
      <c r="O287" s="1914"/>
      <c r="P287" s="1914"/>
      <c r="Q287" s="1914"/>
      <c r="R287" s="1914"/>
      <c r="S287" s="1914"/>
      <c r="T287" s="1914"/>
      <c r="U287" s="1914"/>
      <c r="V287" s="1914"/>
      <c r="W287" s="1914"/>
      <c r="X287" s="1914"/>
      <c r="Y287" s="1914"/>
      <c r="Z287" s="1914"/>
      <c r="AA287" s="1914"/>
      <c r="AB287" s="1914"/>
      <c r="AC287" s="1914"/>
      <c r="AD287" s="191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3" t="s">
        <v>1496</v>
      </c>
      <c r="G288" s="1914"/>
      <c r="H288" s="1914"/>
      <c r="I288" s="1914"/>
      <c r="J288" s="1914"/>
      <c r="K288" s="1914"/>
      <c r="L288" s="1914"/>
      <c r="M288" s="1914"/>
      <c r="N288" s="1914"/>
      <c r="O288" s="1914"/>
      <c r="P288" s="1914"/>
      <c r="Q288" s="1914"/>
      <c r="R288" s="1914"/>
      <c r="S288" s="1914"/>
      <c r="T288" s="1914"/>
      <c r="U288" s="1914"/>
      <c r="V288" s="1914"/>
      <c r="W288" s="1914"/>
      <c r="X288" s="1914"/>
      <c r="Y288" s="1914"/>
      <c r="Z288" s="1914"/>
      <c r="AA288" s="1914"/>
      <c r="AB288" s="1914"/>
      <c r="AC288" s="1914"/>
      <c r="AD288" s="191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6"/>
      <c r="G289" s="1917"/>
      <c r="H289" s="1917"/>
      <c r="I289" s="1917"/>
      <c r="J289" s="1917"/>
      <c r="K289" s="1917"/>
      <c r="L289" s="1917"/>
      <c r="M289" s="1917"/>
      <c r="N289" s="1917"/>
      <c r="O289" s="1917"/>
      <c r="P289" s="1917"/>
      <c r="Q289" s="1917"/>
      <c r="R289" s="1917"/>
      <c r="S289" s="1917"/>
      <c r="T289" s="1917"/>
      <c r="U289" s="1917"/>
      <c r="V289" s="1917"/>
      <c r="W289" s="1917"/>
      <c r="X289" s="1917"/>
      <c r="Y289" s="1917"/>
      <c r="Z289" s="1917"/>
      <c r="AA289" s="1917"/>
      <c r="AB289" s="1917"/>
      <c r="AC289" s="1917"/>
      <c r="AD289" s="205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8" t="s">
        <v>1497</v>
      </c>
      <c r="B291" s="1618"/>
      <c r="C291" s="1936" t="s">
        <v>553</v>
      </c>
      <c r="D291" s="1936"/>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0" t="s">
        <v>2334</v>
      </c>
      <c r="G292" s="2041"/>
      <c r="H292" s="2041"/>
      <c r="I292" s="2041"/>
      <c r="J292" s="2041"/>
      <c r="K292" s="2041"/>
      <c r="L292" s="2041"/>
      <c r="M292" s="2041"/>
      <c r="N292" s="2041"/>
      <c r="O292" s="2041"/>
      <c r="P292" s="2041"/>
      <c r="Q292" s="2041"/>
      <c r="R292" s="2041"/>
      <c r="S292" s="2041"/>
      <c r="T292" s="2041"/>
      <c r="U292" s="2041"/>
      <c r="V292" s="2041"/>
      <c r="W292" s="2041"/>
      <c r="X292" s="2041"/>
      <c r="Y292" s="2041"/>
      <c r="Z292" s="2041"/>
      <c r="AA292" s="2041"/>
      <c r="AB292" s="2041"/>
      <c r="AC292" s="2041"/>
      <c r="AD292" s="2042"/>
      <c r="AE292" s="585"/>
      <c r="AF292" s="585"/>
      <c r="AG292" s="585"/>
      <c r="AH292" s="585"/>
      <c r="AI292" s="585"/>
      <c r="AJ292" s="584"/>
      <c r="AK292" s="584"/>
      <c r="AL292" s="584"/>
      <c r="AM292" s="584"/>
      <c r="AR292" s="682"/>
    </row>
    <row r="293" spans="1:49" ht="15" customHeight="1">
      <c r="A293" s="584"/>
      <c r="B293" s="585"/>
      <c r="C293" s="584"/>
      <c r="D293" s="585"/>
      <c r="E293" s="584"/>
      <c r="F293" s="2040"/>
      <c r="G293" s="2041"/>
      <c r="H293" s="2041"/>
      <c r="I293" s="2041"/>
      <c r="J293" s="2041"/>
      <c r="K293" s="2041"/>
      <c r="L293" s="2041"/>
      <c r="M293" s="2041"/>
      <c r="N293" s="2041"/>
      <c r="O293" s="2041"/>
      <c r="P293" s="2041"/>
      <c r="Q293" s="2041"/>
      <c r="R293" s="2041"/>
      <c r="S293" s="2041"/>
      <c r="T293" s="2041"/>
      <c r="U293" s="2041"/>
      <c r="V293" s="2041"/>
      <c r="W293" s="2041"/>
      <c r="X293" s="2041"/>
      <c r="Y293" s="2041"/>
      <c r="Z293" s="2041"/>
      <c r="AA293" s="2041"/>
      <c r="AB293" s="2041"/>
      <c r="AC293" s="2041"/>
      <c r="AD293" s="2042"/>
      <c r="AE293" s="585"/>
      <c r="AF293" s="585"/>
      <c r="AG293" s="585"/>
      <c r="AH293" s="585"/>
      <c r="AI293" s="585"/>
      <c r="AJ293" s="584"/>
      <c r="AK293" s="584"/>
      <c r="AL293" s="584"/>
      <c r="AM293" s="584"/>
      <c r="AR293" s="682"/>
    </row>
    <row r="294" spans="1:49">
      <c r="A294" s="584"/>
      <c r="B294" s="585"/>
      <c r="C294" s="584"/>
      <c r="D294" s="585"/>
      <c r="E294" s="584"/>
      <c r="F294" s="2040"/>
      <c r="G294" s="2041"/>
      <c r="H294" s="2041"/>
      <c r="I294" s="2041"/>
      <c r="J294" s="2041"/>
      <c r="K294" s="2041"/>
      <c r="L294" s="2041"/>
      <c r="M294" s="2041"/>
      <c r="N294" s="2041"/>
      <c r="O294" s="2041"/>
      <c r="P294" s="2041"/>
      <c r="Q294" s="2041"/>
      <c r="R294" s="2041"/>
      <c r="S294" s="2041"/>
      <c r="T294" s="2041"/>
      <c r="U294" s="2041"/>
      <c r="V294" s="2041"/>
      <c r="W294" s="2041"/>
      <c r="X294" s="2041"/>
      <c r="Y294" s="2041"/>
      <c r="Z294" s="2041"/>
      <c r="AA294" s="2041"/>
      <c r="AB294" s="2041"/>
      <c r="AC294" s="2041"/>
      <c r="AD294" s="204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2"/>
      <c r="G295" s="2063"/>
      <c r="H295" s="2063"/>
      <c r="I295" s="2063"/>
      <c r="J295" s="2063"/>
      <c r="K295" s="2063"/>
      <c r="L295" s="2063"/>
      <c r="M295" s="2063"/>
      <c r="N295" s="2063"/>
      <c r="O295" s="2063"/>
      <c r="P295" s="2063"/>
      <c r="Q295" s="2063"/>
      <c r="R295" s="2063"/>
      <c r="S295" s="2063"/>
      <c r="T295" s="2063"/>
      <c r="U295" s="2063"/>
      <c r="V295" s="2063"/>
      <c r="W295" s="2063"/>
      <c r="X295" s="2063"/>
      <c r="Y295" s="2063"/>
      <c r="Z295" s="2063"/>
      <c r="AA295" s="2063"/>
      <c r="AB295" s="2063"/>
      <c r="AC295" s="2063"/>
      <c r="AD295" s="206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8" t="s">
        <v>1500</v>
      </c>
      <c r="B299" s="1618"/>
      <c r="C299" s="1936" t="s">
        <v>599</v>
      </c>
      <c r="D299" s="1936"/>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13" t="s">
        <v>2341</v>
      </c>
      <c r="G300" s="1914"/>
      <c r="H300" s="1914"/>
      <c r="I300" s="1914"/>
      <c r="J300" s="1914"/>
      <c r="K300" s="1914"/>
      <c r="L300" s="1914"/>
      <c r="M300" s="1914"/>
      <c r="N300" s="1914"/>
      <c r="O300" s="1914"/>
      <c r="P300" s="1914"/>
      <c r="Q300" s="1914"/>
      <c r="R300" s="1914"/>
      <c r="S300" s="1914"/>
      <c r="T300" s="1914"/>
      <c r="U300" s="1914"/>
      <c r="V300" s="1914"/>
      <c r="W300" s="1914"/>
      <c r="X300" s="1914"/>
      <c r="Y300" s="1914"/>
      <c r="Z300" s="1914"/>
      <c r="AA300" s="1914"/>
      <c r="AB300" s="1914"/>
      <c r="AC300" s="1914"/>
      <c r="AD300" s="1915"/>
      <c r="AE300" s="585"/>
      <c r="AF300" s="585"/>
      <c r="AG300" s="573"/>
      <c r="AH300" s="585"/>
      <c r="AI300" s="585"/>
      <c r="AJ300" s="584"/>
      <c r="AK300" s="584"/>
      <c r="AL300" s="584"/>
      <c r="AM300" s="584"/>
      <c r="AN300" s="73"/>
      <c r="AO300" s="14"/>
      <c r="AP300" s="591" t="s">
        <v>1290</v>
      </c>
    </row>
    <row r="301" spans="1:49" hidden="1">
      <c r="F301" s="1913"/>
      <c r="G301" s="1914"/>
      <c r="H301" s="1914"/>
      <c r="I301" s="1914"/>
      <c r="J301" s="1914"/>
      <c r="K301" s="1914"/>
      <c r="L301" s="1914"/>
      <c r="M301" s="1914"/>
      <c r="N301" s="1914"/>
      <c r="O301" s="1914"/>
      <c r="P301" s="1914"/>
      <c r="Q301" s="1914"/>
      <c r="R301" s="1914"/>
      <c r="S301" s="1914"/>
      <c r="T301" s="1914"/>
      <c r="U301" s="1914"/>
      <c r="V301" s="1914"/>
      <c r="W301" s="1914"/>
      <c r="X301" s="1914"/>
      <c r="Y301" s="1914"/>
      <c r="Z301" s="1914"/>
      <c r="AA301" s="1914"/>
      <c r="AB301" s="1914"/>
      <c r="AC301" s="1914"/>
      <c r="AD301" s="1915"/>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3" t="s">
        <v>1290</v>
      </c>
      <c r="G305" s="2044"/>
      <c r="H305" s="2044"/>
      <c r="I305" s="2044"/>
      <c r="J305" s="2044"/>
      <c r="K305" s="2044"/>
      <c r="L305" s="2044"/>
      <c r="M305" s="2044"/>
      <c r="N305" s="2044"/>
      <c r="O305" s="2044"/>
      <c r="P305" s="2044"/>
      <c r="Q305" s="2044"/>
      <c r="R305" s="2044"/>
      <c r="S305" s="2044"/>
      <c r="T305" s="2044"/>
      <c r="U305" s="2044"/>
      <c r="V305" s="2044"/>
      <c r="W305" s="2044"/>
      <c r="X305" s="2044"/>
      <c r="Y305" s="2044"/>
      <c r="Z305" s="2044"/>
      <c r="AA305" s="2044"/>
      <c r="AB305" s="2044"/>
      <c r="AC305" s="2044"/>
      <c r="AD305" s="2045"/>
      <c r="AE305" s="676"/>
      <c r="AF305" s="676"/>
      <c r="AG305" s="676"/>
      <c r="AH305" s="676"/>
      <c r="AI305" s="676"/>
      <c r="AJ305" s="676"/>
      <c r="AK305" s="676"/>
      <c r="AL305" s="584"/>
      <c r="AM305" s="584"/>
      <c r="AN305" s="73"/>
      <c r="AO305" s="14"/>
      <c r="AP305" s="30"/>
    </row>
    <row r="306" spans="1:42" hidden="1">
      <c r="A306" s="584"/>
      <c r="B306" s="585"/>
      <c r="C306" s="764"/>
      <c r="D306" s="764"/>
      <c r="E306" s="581"/>
      <c r="F306" s="2043"/>
      <c r="G306" s="2044"/>
      <c r="H306" s="2044"/>
      <c r="I306" s="2044"/>
      <c r="J306" s="2044"/>
      <c r="K306" s="2044"/>
      <c r="L306" s="2044"/>
      <c r="M306" s="2044"/>
      <c r="N306" s="2044"/>
      <c r="O306" s="2044"/>
      <c r="P306" s="2044"/>
      <c r="Q306" s="2044"/>
      <c r="R306" s="2044"/>
      <c r="S306" s="2044"/>
      <c r="T306" s="2044"/>
      <c r="U306" s="2044"/>
      <c r="V306" s="2044"/>
      <c r="W306" s="2044"/>
      <c r="X306" s="2044"/>
      <c r="Y306" s="2044"/>
      <c r="Z306" s="2044"/>
      <c r="AA306" s="2044"/>
      <c r="AB306" s="2044"/>
      <c r="AC306" s="2044"/>
      <c r="AD306" s="2045"/>
      <c r="AE306" s="585"/>
      <c r="AF306" s="585"/>
      <c r="AG306" s="573"/>
      <c r="AH306" s="585"/>
      <c r="AI306" s="585"/>
      <c r="AJ306" s="584"/>
      <c r="AK306" s="584"/>
      <c r="AL306" s="584"/>
      <c r="AM306" s="584"/>
      <c r="AN306" s="73"/>
      <c r="AO306" s="14"/>
      <c r="AP306" s="30"/>
    </row>
    <row r="307" spans="1:42" hidden="1">
      <c r="A307" s="584"/>
      <c r="B307" s="585"/>
      <c r="C307" s="764"/>
      <c r="D307" s="764"/>
      <c r="E307" s="581"/>
      <c r="F307" s="2043"/>
      <c r="G307" s="2044"/>
      <c r="H307" s="2044"/>
      <c r="I307" s="2044"/>
      <c r="J307" s="2044"/>
      <c r="K307" s="2044"/>
      <c r="L307" s="2044"/>
      <c r="M307" s="2044"/>
      <c r="N307" s="2044"/>
      <c r="O307" s="2044"/>
      <c r="P307" s="2044"/>
      <c r="Q307" s="2044"/>
      <c r="R307" s="2044"/>
      <c r="S307" s="2044"/>
      <c r="T307" s="2044"/>
      <c r="U307" s="2044"/>
      <c r="V307" s="2044"/>
      <c r="W307" s="2044"/>
      <c r="X307" s="2044"/>
      <c r="Y307" s="2044"/>
      <c r="Z307" s="2044"/>
      <c r="AA307" s="2044"/>
      <c r="AB307" s="2044"/>
      <c r="AC307" s="2044"/>
      <c r="AD307" s="2045"/>
      <c r="AE307" s="585"/>
      <c r="AF307" s="585"/>
      <c r="AG307" s="573"/>
      <c r="AH307" s="585"/>
      <c r="AI307" s="585"/>
      <c r="AJ307" s="584"/>
      <c r="AK307" s="584"/>
      <c r="AL307" s="584"/>
      <c r="AM307" s="584"/>
      <c r="AN307" s="73"/>
      <c r="AO307" s="14"/>
      <c r="AP307" s="30"/>
    </row>
    <row r="308" spans="1:42" hidden="1">
      <c r="A308" s="584"/>
      <c r="B308" s="585"/>
      <c r="C308" s="764"/>
      <c r="D308" s="764"/>
      <c r="E308" s="581"/>
      <c r="F308" s="2043"/>
      <c r="G308" s="2044"/>
      <c r="H308" s="2044"/>
      <c r="I308" s="2044"/>
      <c r="J308" s="2044"/>
      <c r="K308" s="2044"/>
      <c r="L308" s="2044"/>
      <c r="M308" s="2044"/>
      <c r="N308" s="2044"/>
      <c r="O308" s="2044"/>
      <c r="P308" s="2044"/>
      <c r="Q308" s="2044"/>
      <c r="R308" s="2044"/>
      <c r="S308" s="2044"/>
      <c r="T308" s="2044"/>
      <c r="U308" s="2044"/>
      <c r="V308" s="2044"/>
      <c r="W308" s="2044"/>
      <c r="X308" s="2044"/>
      <c r="Y308" s="2044"/>
      <c r="Z308" s="2044"/>
      <c r="AA308" s="2044"/>
      <c r="AB308" s="2044"/>
      <c r="AC308" s="2044"/>
      <c r="AD308" s="2045"/>
      <c r="AE308" s="585"/>
      <c r="AF308" s="585"/>
      <c r="AG308" s="573"/>
      <c r="AH308" s="585"/>
      <c r="AI308" s="585"/>
      <c r="AJ308" s="584"/>
      <c r="AK308" s="584"/>
      <c r="AL308" s="584"/>
      <c r="AM308" s="584"/>
      <c r="AN308" s="73"/>
      <c r="AO308" s="14"/>
      <c r="AP308" s="30"/>
    </row>
    <row r="309" spans="1:42" hidden="1">
      <c r="A309" s="584"/>
      <c r="B309" s="585"/>
      <c r="C309" s="764"/>
      <c r="D309" s="764"/>
      <c r="E309" s="581"/>
      <c r="F309" s="2046"/>
      <c r="G309" s="2047"/>
      <c r="H309" s="2047"/>
      <c r="I309" s="2047"/>
      <c r="J309" s="2047"/>
      <c r="K309" s="2047"/>
      <c r="L309" s="2047"/>
      <c r="M309" s="2047"/>
      <c r="N309" s="2047"/>
      <c r="O309" s="2047"/>
      <c r="P309" s="2047"/>
      <c r="Q309" s="2047"/>
      <c r="R309" s="2047"/>
      <c r="S309" s="2047"/>
      <c r="T309" s="2047"/>
      <c r="U309" s="2047"/>
      <c r="V309" s="2047"/>
      <c r="W309" s="2047"/>
      <c r="X309" s="2047"/>
      <c r="Y309" s="2047"/>
      <c r="Z309" s="2047"/>
      <c r="AA309" s="2047"/>
      <c r="AB309" s="2047"/>
      <c r="AC309" s="2047"/>
      <c r="AD309" s="204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9" t="s">
        <v>1290</v>
      </c>
      <c r="J313" s="2049"/>
      <c r="K313" s="2049"/>
      <c r="L313" s="2049"/>
      <c r="M313" s="2049"/>
      <c r="N313" s="2049"/>
      <c r="O313" s="2049"/>
      <c r="P313" s="2049"/>
      <c r="Q313" s="2049"/>
      <c r="R313" s="2049"/>
      <c r="S313" s="2049"/>
      <c r="T313" s="2049"/>
      <c r="U313" s="2049"/>
      <c r="V313" s="2049"/>
      <c r="W313" s="2049"/>
      <c r="X313" s="2049"/>
      <c r="Y313" s="2049"/>
      <c r="Z313" s="2049"/>
      <c r="AA313" s="2049"/>
      <c r="AB313" s="2049"/>
      <c r="AC313" s="2049"/>
      <c r="AD313" s="2050"/>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49"/>
      <c r="J314" s="2049"/>
      <c r="K314" s="2049"/>
      <c r="L314" s="2049"/>
      <c r="M314" s="2049"/>
      <c r="N314" s="2049"/>
      <c r="O314" s="2049"/>
      <c r="P314" s="2049"/>
      <c r="Q314" s="2049"/>
      <c r="R314" s="2049"/>
      <c r="S314" s="2049"/>
      <c r="T314" s="2049"/>
      <c r="U314" s="2049"/>
      <c r="V314" s="2049"/>
      <c r="W314" s="2049"/>
      <c r="X314" s="2049"/>
      <c r="Y314" s="2049"/>
      <c r="Z314" s="2049"/>
      <c r="AA314" s="2049"/>
      <c r="AB314" s="2049"/>
      <c r="AC314" s="2049"/>
      <c r="AD314" s="2050"/>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49"/>
      <c r="J315" s="2049"/>
      <c r="K315" s="2049"/>
      <c r="L315" s="2049"/>
      <c r="M315" s="2049"/>
      <c r="N315" s="2049"/>
      <c r="O315" s="2049"/>
      <c r="P315" s="2049"/>
      <c r="Q315" s="2049"/>
      <c r="R315" s="2049"/>
      <c r="S315" s="2049"/>
      <c r="T315" s="2049"/>
      <c r="U315" s="2049"/>
      <c r="V315" s="2049"/>
      <c r="W315" s="2049"/>
      <c r="X315" s="2049"/>
      <c r="Y315" s="2049"/>
      <c r="Z315" s="2049"/>
      <c r="AA315" s="2049"/>
      <c r="AB315" s="2049"/>
      <c r="AC315" s="2049"/>
      <c r="AD315" s="2050"/>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51"/>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2"/>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9" t="s">
        <v>1290</v>
      </c>
      <c r="J318" s="2049"/>
      <c r="K318" s="2049"/>
      <c r="L318" s="2049"/>
      <c r="M318" s="2049"/>
      <c r="N318" s="2049"/>
      <c r="O318" s="2049"/>
      <c r="P318" s="2049"/>
      <c r="Q318" s="2049"/>
      <c r="R318" s="2049"/>
      <c r="S318" s="2049"/>
      <c r="T318" s="2049"/>
      <c r="U318" s="2049"/>
      <c r="V318" s="2049"/>
      <c r="W318" s="2049"/>
      <c r="X318" s="2049"/>
      <c r="Y318" s="2049"/>
      <c r="Z318" s="2049"/>
      <c r="AA318" s="2049"/>
      <c r="AB318" s="2049"/>
      <c r="AC318" s="2049"/>
      <c r="AD318" s="205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9"/>
      <c r="J319" s="2049"/>
      <c r="K319" s="2049"/>
      <c r="L319" s="2049"/>
      <c r="M319" s="2049"/>
      <c r="N319" s="2049"/>
      <c r="O319" s="2049"/>
      <c r="P319" s="2049"/>
      <c r="Q319" s="2049"/>
      <c r="R319" s="2049"/>
      <c r="S319" s="2049"/>
      <c r="T319" s="2049"/>
      <c r="U319" s="2049"/>
      <c r="V319" s="2049"/>
      <c r="W319" s="2049"/>
      <c r="X319" s="2049"/>
      <c r="Y319" s="2049"/>
      <c r="Z319" s="2049"/>
      <c r="AA319" s="2049"/>
      <c r="AB319" s="2049"/>
      <c r="AC319" s="2049"/>
      <c r="AD319" s="2050"/>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51"/>
      <c r="J320" s="2051"/>
      <c r="K320" s="2051"/>
      <c r="L320" s="2051"/>
      <c r="M320" s="2051"/>
      <c r="N320" s="2051"/>
      <c r="O320" s="2051"/>
      <c r="P320" s="2051"/>
      <c r="Q320" s="2051"/>
      <c r="R320" s="2051"/>
      <c r="S320" s="2051"/>
      <c r="T320" s="2051"/>
      <c r="U320" s="2051"/>
      <c r="V320" s="2051"/>
      <c r="W320" s="2051"/>
      <c r="X320" s="2051"/>
      <c r="Y320" s="2051"/>
      <c r="Z320" s="2051"/>
      <c r="AA320" s="2051"/>
      <c r="AB320" s="2051"/>
      <c r="AC320" s="2051"/>
      <c r="AD320" s="2052"/>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18" t="s">
        <v>1503</v>
      </c>
      <c r="B322" s="1618"/>
      <c r="C322" s="1936" t="s">
        <v>599</v>
      </c>
      <c r="D322" s="1936"/>
      <c r="E322" s="581"/>
      <c r="F322" s="2037" t="s">
        <v>2342</v>
      </c>
      <c r="G322" s="2038"/>
      <c r="H322" s="2038"/>
      <c r="I322" s="2038"/>
      <c r="J322" s="2038"/>
      <c r="K322" s="2038"/>
      <c r="L322" s="2038"/>
      <c r="M322" s="2038"/>
      <c r="N322" s="2038"/>
      <c r="O322" s="2038"/>
      <c r="P322" s="2038"/>
      <c r="Q322" s="2038"/>
      <c r="R322" s="2038"/>
      <c r="S322" s="2038"/>
      <c r="T322" s="2038"/>
      <c r="U322" s="2038"/>
      <c r="V322" s="2038"/>
      <c r="W322" s="2038"/>
      <c r="X322" s="2038"/>
      <c r="Y322" s="2038"/>
      <c r="Z322" s="2038"/>
      <c r="AA322" s="2038"/>
      <c r="AB322" s="2038"/>
      <c r="AC322" s="2038"/>
      <c r="AD322" s="2039"/>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0"/>
      <c r="G323" s="2041"/>
      <c r="H323" s="2041"/>
      <c r="I323" s="2041"/>
      <c r="J323" s="2041"/>
      <c r="K323" s="2041"/>
      <c r="L323" s="2041"/>
      <c r="M323" s="2041"/>
      <c r="N323" s="2041"/>
      <c r="O323" s="2041"/>
      <c r="P323" s="2041"/>
      <c r="Q323" s="2041"/>
      <c r="R323" s="2041"/>
      <c r="S323" s="2041"/>
      <c r="T323" s="2041"/>
      <c r="U323" s="2041"/>
      <c r="V323" s="2041"/>
      <c r="W323" s="2041"/>
      <c r="X323" s="2041"/>
      <c r="Y323" s="2041"/>
      <c r="Z323" s="2041"/>
      <c r="AA323" s="2041"/>
      <c r="AB323" s="2041"/>
      <c r="AC323" s="2041"/>
      <c r="AD323" s="2042"/>
      <c r="AE323" s="585"/>
      <c r="AF323" s="585"/>
      <c r="AG323" s="585"/>
      <c r="AH323" s="585"/>
      <c r="AI323" s="585"/>
      <c r="AJ323" s="584"/>
      <c r="AK323" s="584"/>
      <c r="AL323" s="584"/>
      <c r="AM323" s="584"/>
      <c r="AN323" s="73"/>
      <c r="AO323" s="14"/>
    </row>
    <row r="324" spans="1:44" ht="15" hidden="1" customHeight="1">
      <c r="A324" s="584"/>
      <c r="B324" s="585"/>
      <c r="C324" s="585"/>
      <c r="D324" s="585"/>
      <c r="E324" s="585"/>
      <c r="F324" s="2040"/>
      <c r="G324" s="2041"/>
      <c r="H324" s="2041"/>
      <c r="I324" s="2041"/>
      <c r="J324" s="2041"/>
      <c r="K324" s="2041"/>
      <c r="L324" s="2041"/>
      <c r="M324" s="2041"/>
      <c r="N324" s="2041"/>
      <c r="O324" s="2041"/>
      <c r="P324" s="2041"/>
      <c r="Q324" s="2041"/>
      <c r="R324" s="2041"/>
      <c r="S324" s="2041"/>
      <c r="T324" s="2041"/>
      <c r="U324" s="2041"/>
      <c r="V324" s="2041"/>
      <c r="W324" s="2041"/>
      <c r="X324" s="2041"/>
      <c r="Y324" s="2041"/>
      <c r="Z324" s="2041"/>
      <c r="AA324" s="2041"/>
      <c r="AB324" s="2041"/>
      <c r="AC324" s="2041"/>
      <c r="AD324" s="2042"/>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1">
        <f>IF(NOT(OR(Application!M355="Yes",Application!M356="Yes")),0,AP284)</f>
        <v>9</v>
      </c>
      <c r="AL327" s="1922"/>
      <c r="AM327" s="192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27" t="s">
        <v>1425</v>
      </c>
      <c r="AF330" s="1927"/>
      <c r="AG330" s="1927"/>
      <c r="AH330" s="1927"/>
      <c r="AI330" s="1927"/>
      <c r="AJ330" s="1927"/>
      <c r="AK330" s="192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1" t="s">
        <v>1565</v>
      </c>
      <c r="D332" s="1931"/>
      <c r="E332" s="1931"/>
      <c r="F332" s="1931"/>
      <c r="G332" s="1931"/>
      <c r="H332" s="1931"/>
      <c r="I332" s="1931"/>
      <c r="J332" s="1931"/>
      <c r="K332" s="1931"/>
      <c r="L332" s="1931"/>
      <c r="M332" s="1931"/>
      <c r="N332" s="1931"/>
      <c r="O332" s="1931"/>
      <c r="P332" s="1931"/>
      <c r="Q332" s="1931"/>
      <c r="R332" s="1931"/>
      <c r="S332" s="1931"/>
      <c r="T332" s="1931"/>
      <c r="U332" s="1931"/>
      <c r="V332" s="1931"/>
      <c r="W332" s="1931"/>
      <c r="X332" s="1931"/>
      <c r="Y332" s="1931"/>
      <c r="Z332" s="1931"/>
      <c r="AA332" s="1931"/>
      <c r="AB332" s="1931"/>
      <c r="AC332" s="1931"/>
      <c r="AD332" s="1931"/>
      <c r="AE332" s="1931"/>
      <c r="AF332" s="1931"/>
      <c r="AG332" s="1931"/>
      <c r="AH332" s="1931"/>
      <c r="AI332" s="1931"/>
      <c r="AJ332" s="1931"/>
      <c r="AK332" s="637"/>
      <c r="AL332" s="637"/>
      <c r="AM332" s="637"/>
      <c r="AN332" s="631"/>
    </row>
    <row r="333" spans="1:44" s="584" customFormat="1" ht="12.75" customHeight="1">
      <c r="A333" s="637"/>
      <c r="B333" s="645"/>
      <c r="C333" s="1931"/>
      <c r="D333" s="1931"/>
      <c r="E333" s="1931"/>
      <c r="F333" s="1931"/>
      <c r="G333" s="1931"/>
      <c r="H333" s="1931"/>
      <c r="I333" s="1931"/>
      <c r="J333" s="1931"/>
      <c r="K333" s="1931"/>
      <c r="L333" s="1931"/>
      <c r="M333" s="1931"/>
      <c r="N333" s="1931"/>
      <c r="O333" s="1931"/>
      <c r="P333" s="1931"/>
      <c r="Q333" s="1931"/>
      <c r="R333" s="1931"/>
      <c r="S333" s="1931"/>
      <c r="T333" s="1931"/>
      <c r="U333" s="1931"/>
      <c r="V333" s="1931"/>
      <c r="W333" s="1931"/>
      <c r="X333" s="1931"/>
      <c r="Y333" s="1931"/>
      <c r="Z333" s="1931"/>
      <c r="AA333" s="1931"/>
      <c r="AB333" s="1931"/>
      <c r="AC333" s="1931"/>
      <c r="AD333" s="1931"/>
      <c r="AE333" s="1931"/>
      <c r="AF333" s="1931"/>
      <c r="AG333" s="1931"/>
      <c r="AH333" s="1931"/>
      <c r="AI333" s="1931"/>
      <c r="AJ333" s="1931"/>
      <c r="AK333" s="637"/>
      <c r="AL333" s="637"/>
      <c r="AM333" s="637"/>
      <c r="AN333" s="631"/>
    </row>
    <row r="334" spans="1:44" s="584" customFormat="1" ht="12.75" customHeight="1">
      <c r="A334" s="637"/>
      <c r="B334" s="645"/>
      <c r="C334" s="1931"/>
      <c r="D334" s="1931"/>
      <c r="E334" s="1931"/>
      <c r="F334" s="1931"/>
      <c r="G334" s="1931"/>
      <c r="H334" s="1931"/>
      <c r="I334" s="1931"/>
      <c r="J334" s="1931"/>
      <c r="K334" s="1931"/>
      <c r="L334" s="1931"/>
      <c r="M334" s="1931"/>
      <c r="N334" s="1931"/>
      <c r="O334" s="1931"/>
      <c r="P334" s="1931"/>
      <c r="Q334" s="1931"/>
      <c r="R334" s="1931"/>
      <c r="S334" s="1931"/>
      <c r="T334" s="1931"/>
      <c r="U334" s="1931"/>
      <c r="V334" s="1931"/>
      <c r="W334" s="1931"/>
      <c r="X334" s="1931"/>
      <c r="Y334" s="1931"/>
      <c r="Z334" s="1931"/>
      <c r="AA334" s="1931"/>
      <c r="AB334" s="1931"/>
      <c r="AC334" s="1931"/>
      <c r="AD334" s="1931"/>
      <c r="AE334" s="1931"/>
      <c r="AF334" s="1931"/>
      <c r="AG334" s="1931"/>
      <c r="AH334" s="1931"/>
      <c r="AI334" s="1931"/>
      <c r="AJ334" s="1931"/>
      <c r="AK334" s="637"/>
      <c r="AL334" s="637"/>
      <c r="AM334" s="637"/>
      <c r="AN334" s="631"/>
      <c r="AQ334" s="604"/>
    </row>
    <row r="335" spans="1:44" s="584" customFormat="1" ht="12.75" customHeight="1">
      <c r="A335" s="637"/>
      <c r="B335" s="645"/>
      <c r="C335" s="1931"/>
      <c r="D335" s="1931"/>
      <c r="E335" s="1931"/>
      <c r="F335" s="1931"/>
      <c r="G335" s="1931"/>
      <c r="H335" s="1931"/>
      <c r="I335" s="1931"/>
      <c r="J335" s="1931"/>
      <c r="K335" s="1931"/>
      <c r="L335" s="1931"/>
      <c r="M335" s="1931"/>
      <c r="N335" s="1931"/>
      <c r="O335" s="1931"/>
      <c r="P335" s="1931"/>
      <c r="Q335" s="1931"/>
      <c r="R335" s="1931"/>
      <c r="S335" s="1931"/>
      <c r="T335" s="1931"/>
      <c r="U335" s="1931"/>
      <c r="V335" s="1931"/>
      <c r="W335" s="1931"/>
      <c r="X335" s="1931"/>
      <c r="Y335" s="1931"/>
      <c r="Z335" s="1931"/>
      <c r="AA335" s="1931"/>
      <c r="AB335" s="1931"/>
      <c r="AC335" s="1931"/>
      <c r="AD335" s="1931"/>
      <c r="AE335" s="1931"/>
      <c r="AF335" s="1931"/>
      <c r="AG335" s="1931"/>
      <c r="AH335" s="1931"/>
      <c r="AI335" s="1931"/>
      <c r="AJ335" s="1931"/>
      <c r="AK335" s="637"/>
      <c r="AL335" s="637"/>
      <c r="AM335" s="637"/>
      <c r="AN335" s="631"/>
      <c r="AQ335" s="604"/>
    </row>
    <row r="336" spans="1:44" s="584" customFormat="1" ht="12.6" customHeight="1">
      <c r="A336" s="637"/>
      <c r="B336" s="645"/>
      <c r="C336" s="1931"/>
      <c r="D336" s="1931"/>
      <c r="E336" s="1931"/>
      <c r="F336" s="1931"/>
      <c r="G336" s="1931"/>
      <c r="H336" s="1931"/>
      <c r="I336" s="1931"/>
      <c r="J336" s="1931"/>
      <c r="K336" s="1931"/>
      <c r="L336" s="1931"/>
      <c r="M336" s="1931"/>
      <c r="N336" s="1931"/>
      <c r="O336" s="1931"/>
      <c r="P336" s="1931"/>
      <c r="Q336" s="1931"/>
      <c r="R336" s="1931"/>
      <c r="S336" s="1931"/>
      <c r="T336" s="1931"/>
      <c r="U336" s="1931"/>
      <c r="V336" s="1931"/>
      <c r="W336" s="1931"/>
      <c r="X336" s="1931"/>
      <c r="Y336" s="1931"/>
      <c r="Z336" s="1931"/>
      <c r="AA336" s="1931"/>
      <c r="AB336" s="1931"/>
      <c r="AC336" s="1931"/>
      <c r="AD336" s="1931"/>
      <c r="AE336" s="1931"/>
      <c r="AF336" s="1931"/>
      <c r="AG336" s="1931"/>
      <c r="AH336" s="1931"/>
      <c r="AI336" s="1931"/>
      <c r="AJ336" s="1931"/>
      <c r="AK336" s="637"/>
      <c r="AL336" s="637"/>
      <c r="AM336" s="637"/>
      <c r="AN336" s="631"/>
      <c r="AQ336" s="604"/>
      <c r="AR336" s="604"/>
    </row>
    <row r="337" spans="1:46" s="584" customFormat="1" ht="45.75" customHeight="1">
      <c r="A337" s="637"/>
      <c r="B337" s="645"/>
      <c r="C337" s="1931" t="s">
        <v>2409</v>
      </c>
      <c r="D337" s="1931"/>
      <c r="E337" s="1931"/>
      <c r="F337" s="1931"/>
      <c r="G337" s="1931"/>
      <c r="H337" s="1931"/>
      <c r="I337" s="1931"/>
      <c r="J337" s="1931"/>
      <c r="K337" s="1931"/>
      <c r="L337" s="1931"/>
      <c r="M337" s="1931"/>
      <c r="N337" s="1931"/>
      <c r="O337" s="1931"/>
      <c r="P337" s="1931"/>
      <c r="Q337" s="1931"/>
      <c r="R337" s="1931"/>
      <c r="S337" s="1931"/>
      <c r="T337" s="1931"/>
      <c r="U337" s="1931"/>
      <c r="V337" s="1931"/>
      <c r="W337" s="1931"/>
      <c r="X337" s="1931"/>
      <c r="Y337" s="1931"/>
      <c r="Z337" s="1931"/>
      <c r="AA337" s="1931"/>
      <c r="AB337" s="1931"/>
      <c r="AC337" s="1931"/>
      <c r="AD337" s="1931"/>
      <c r="AE337" s="1931"/>
      <c r="AF337" s="1931"/>
      <c r="AG337" s="1931"/>
      <c r="AH337" s="1931"/>
      <c r="AI337" s="1931"/>
      <c r="AJ337" s="1931"/>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1" t="s">
        <v>2573</v>
      </c>
      <c r="D339" s="1931"/>
      <c r="E339" s="1931"/>
      <c r="F339" s="1931"/>
      <c r="G339" s="1931"/>
      <c r="H339" s="1931"/>
      <c r="I339" s="1931"/>
      <c r="J339" s="1931"/>
      <c r="K339" s="1931"/>
      <c r="L339" s="1931"/>
      <c r="M339" s="1931"/>
      <c r="N339" s="1931"/>
      <c r="O339" s="1931"/>
      <c r="P339" s="1931"/>
      <c r="Q339" s="1931"/>
      <c r="R339" s="1931"/>
      <c r="S339" s="1931"/>
      <c r="T339" s="1931"/>
      <c r="U339" s="1931"/>
      <c r="V339" s="1931"/>
      <c r="W339" s="1931"/>
      <c r="X339" s="1931"/>
      <c r="Y339" s="1931"/>
      <c r="Z339" s="1931"/>
      <c r="AA339" s="1931"/>
      <c r="AB339" s="1931"/>
      <c r="AC339" s="1931"/>
      <c r="AD339" s="1931"/>
      <c r="AE339" s="1931"/>
      <c r="AF339" s="1931"/>
      <c r="AG339" s="1931"/>
      <c r="AH339" s="1931"/>
      <c r="AI339" s="1931"/>
      <c r="AJ339" s="1931"/>
      <c r="AK339" s="637"/>
      <c r="AL339" s="637"/>
      <c r="AM339" s="637"/>
      <c r="AN339" s="631"/>
      <c r="AQ339" s="604"/>
      <c r="AR339" s="604"/>
    </row>
    <row r="340" spans="1:46" s="584" customFormat="1" ht="30" customHeight="1">
      <c r="A340" s="637"/>
      <c r="B340" s="645"/>
      <c r="C340" s="1931"/>
      <c r="D340" s="1931"/>
      <c r="E340" s="1931"/>
      <c r="F340" s="1931"/>
      <c r="G340" s="1931"/>
      <c r="H340" s="1931"/>
      <c r="I340" s="1931"/>
      <c r="J340" s="1931"/>
      <c r="K340" s="1931"/>
      <c r="L340" s="1931"/>
      <c r="M340" s="1931"/>
      <c r="N340" s="1931"/>
      <c r="O340" s="1931"/>
      <c r="P340" s="1931"/>
      <c r="Q340" s="1931"/>
      <c r="R340" s="1931"/>
      <c r="S340" s="1931"/>
      <c r="T340" s="1931"/>
      <c r="U340" s="1931"/>
      <c r="V340" s="1931"/>
      <c r="W340" s="1931"/>
      <c r="X340" s="1931"/>
      <c r="Y340" s="1931"/>
      <c r="Z340" s="1931"/>
      <c r="AA340" s="1931"/>
      <c r="AB340" s="1931"/>
      <c r="AC340" s="1931"/>
      <c r="AD340" s="1931"/>
      <c r="AE340" s="1931"/>
      <c r="AF340" s="1931"/>
      <c r="AG340" s="1931"/>
      <c r="AH340" s="1931"/>
      <c r="AI340" s="1931"/>
      <c r="AJ340" s="1931"/>
      <c r="AK340" s="637"/>
      <c r="AL340" s="637"/>
      <c r="AM340" s="637"/>
      <c r="AN340" s="631"/>
      <c r="AR340" s="604"/>
    </row>
    <row r="341" spans="1:46" s="584" customFormat="1" ht="12.75" customHeight="1">
      <c r="A341" s="637"/>
      <c r="B341" s="645"/>
      <c r="C341" s="1931"/>
      <c r="D341" s="1931"/>
      <c r="E341" s="1931"/>
      <c r="F341" s="1931"/>
      <c r="G341" s="1931"/>
      <c r="H341" s="1931"/>
      <c r="I341" s="1931"/>
      <c r="J341" s="1931"/>
      <c r="K341" s="1931"/>
      <c r="L341" s="1931"/>
      <c r="M341" s="1931"/>
      <c r="N341" s="1931"/>
      <c r="O341" s="1931"/>
      <c r="P341" s="1931"/>
      <c r="Q341" s="1931"/>
      <c r="R341" s="1931"/>
      <c r="S341" s="1931"/>
      <c r="T341" s="1931"/>
      <c r="U341" s="1931"/>
      <c r="V341" s="1931"/>
      <c r="W341" s="1931"/>
      <c r="X341" s="1931"/>
      <c r="Y341" s="1931"/>
      <c r="Z341" s="1931"/>
      <c r="AA341" s="1931"/>
      <c r="AB341" s="1931"/>
      <c r="AC341" s="1931"/>
      <c r="AD341" s="1931"/>
      <c r="AE341" s="1931"/>
      <c r="AF341" s="1931"/>
      <c r="AG341" s="1931"/>
      <c r="AH341" s="1931"/>
      <c r="AI341" s="1931"/>
      <c r="AJ341" s="1931"/>
      <c r="AK341" s="637"/>
      <c r="AL341" s="637"/>
      <c r="AM341" s="637"/>
      <c r="AN341" s="631"/>
      <c r="AR341" s="604"/>
    </row>
    <row r="342" spans="1:46" s="584" customFormat="1" ht="12.75" customHeight="1">
      <c r="A342" s="637"/>
      <c r="B342" s="645"/>
      <c r="C342" s="1931" t="s">
        <v>1566</v>
      </c>
      <c r="D342" s="1931"/>
      <c r="E342" s="1931"/>
      <c r="F342" s="1931"/>
      <c r="G342" s="1931"/>
      <c r="H342" s="1931"/>
      <c r="I342" s="1931"/>
      <c r="J342" s="1931"/>
      <c r="K342" s="1931"/>
      <c r="L342" s="1931"/>
      <c r="M342" s="1931"/>
      <c r="N342" s="1931"/>
      <c r="O342" s="1931"/>
      <c r="P342" s="1931"/>
      <c r="Q342" s="1931"/>
      <c r="R342" s="1931"/>
      <c r="S342" s="1931"/>
      <c r="T342" s="1931"/>
      <c r="U342" s="1931"/>
      <c r="V342" s="1931"/>
      <c r="W342" s="1931"/>
      <c r="X342" s="1931"/>
      <c r="Y342" s="1931"/>
      <c r="Z342" s="1931"/>
      <c r="AA342" s="1931"/>
      <c r="AB342" s="1931"/>
      <c r="AC342" s="1931"/>
      <c r="AD342" s="1931"/>
      <c r="AE342" s="1931"/>
      <c r="AF342" s="1931"/>
      <c r="AG342" s="1931"/>
      <c r="AH342" s="1931"/>
      <c r="AI342" s="1931"/>
      <c r="AJ342" s="1931"/>
      <c r="AK342" s="637"/>
      <c r="AL342" s="637"/>
      <c r="AM342" s="637"/>
      <c r="AN342" s="631"/>
      <c r="AQ342" s="604"/>
      <c r="AR342" s="604"/>
    </row>
    <row r="343" spans="1:46" s="584" customFormat="1" ht="12.75" customHeight="1">
      <c r="A343" s="637"/>
      <c r="B343" s="645"/>
      <c r="C343" s="1931"/>
      <c r="D343" s="1931"/>
      <c r="E343" s="1931"/>
      <c r="F343" s="1931"/>
      <c r="G343" s="1931"/>
      <c r="H343" s="1931"/>
      <c r="I343" s="1931"/>
      <c r="J343" s="1931"/>
      <c r="K343" s="1931"/>
      <c r="L343" s="1931"/>
      <c r="M343" s="1931"/>
      <c r="N343" s="1931"/>
      <c r="O343" s="1931"/>
      <c r="P343" s="1931"/>
      <c r="Q343" s="1931"/>
      <c r="R343" s="1931"/>
      <c r="S343" s="1931"/>
      <c r="T343" s="1931"/>
      <c r="U343" s="1931"/>
      <c r="V343" s="1931"/>
      <c r="W343" s="1931"/>
      <c r="X343" s="1931"/>
      <c r="Y343" s="1931"/>
      <c r="Z343" s="1931"/>
      <c r="AA343" s="1931"/>
      <c r="AB343" s="1931"/>
      <c r="AC343" s="1931"/>
      <c r="AD343" s="1931"/>
      <c r="AE343" s="1931"/>
      <c r="AF343" s="1931"/>
      <c r="AG343" s="1931"/>
      <c r="AH343" s="1931"/>
      <c r="AI343" s="1931"/>
      <c r="AJ343" s="1931"/>
      <c r="AK343" s="637"/>
      <c r="AL343" s="637"/>
      <c r="AM343" s="637"/>
      <c r="AN343" s="631"/>
      <c r="AQ343" s="604"/>
      <c r="AR343" s="604"/>
    </row>
    <row r="344" spans="1:46" s="584" customFormat="1" ht="13.35" customHeight="1">
      <c r="A344" s="637"/>
      <c r="B344" s="645"/>
      <c r="C344" s="1931"/>
      <c r="D344" s="1931"/>
      <c r="E344" s="1931"/>
      <c r="F344" s="1931"/>
      <c r="G344" s="1931"/>
      <c r="H344" s="1931"/>
      <c r="I344" s="1931"/>
      <c r="J344" s="1931"/>
      <c r="K344" s="1931"/>
      <c r="L344" s="1931"/>
      <c r="M344" s="1931"/>
      <c r="N344" s="1931"/>
      <c r="O344" s="1931"/>
      <c r="P344" s="1931"/>
      <c r="Q344" s="1931"/>
      <c r="R344" s="1931"/>
      <c r="S344" s="1931"/>
      <c r="T344" s="1931"/>
      <c r="U344" s="1931"/>
      <c r="V344" s="1931"/>
      <c r="W344" s="1931"/>
      <c r="X344" s="1931"/>
      <c r="Y344" s="1931"/>
      <c r="Z344" s="1931"/>
      <c r="AA344" s="1931"/>
      <c r="AB344" s="1931"/>
      <c r="AC344" s="1931"/>
      <c r="AD344" s="1931"/>
      <c r="AE344" s="1931"/>
      <c r="AF344" s="1931"/>
      <c r="AG344" s="1931"/>
      <c r="AH344" s="1931"/>
      <c r="AI344" s="1931"/>
      <c r="AJ344" s="1931"/>
      <c r="AK344" s="637"/>
      <c r="AL344" s="637"/>
      <c r="AM344" s="637"/>
      <c r="AN344" s="631"/>
      <c r="AQ344" s="604"/>
      <c r="AR344" s="604"/>
    </row>
    <row r="345" spans="1:46" s="584" customFormat="1" ht="12.75" customHeight="1">
      <c r="A345" s="637"/>
      <c r="B345" s="645"/>
      <c r="C345" s="1931"/>
      <c r="D345" s="1931"/>
      <c r="E345" s="1931"/>
      <c r="F345" s="1931"/>
      <c r="G345" s="1931"/>
      <c r="H345" s="1931"/>
      <c r="I345" s="1931"/>
      <c r="J345" s="1931"/>
      <c r="K345" s="1931"/>
      <c r="L345" s="1931"/>
      <c r="M345" s="1931"/>
      <c r="N345" s="1931"/>
      <c r="O345" s="1931"/>
      <c r="P345" s="1931"/>
      <c r="Q345" s="1931"/>
      <c r="R345" s="1931"/>
      <c r="S345" s="1931"/>
      <c r="T345" s="1931"/>
      <c r="U345" s="1931"/>
      <c r="V345" s="1931"/>
      <c r="W345" s="1931"/>
      <c r="X345" s="1931"/>
      <c r="Y345" s="1931"/>
      <c r="Z345" s="1931"/>
      <c r="AA345" s="1931"/>
      <c r="AB345" s="1931"/>
      <c r="AC345" s="1931"/>
      <c r="AD345" s="1931"/>
      <c r="AE345" s="1931"/>
      <c r="AF345" s="1931"/>
      <c r="AG345" s="1931"/>
      <c r="AH345" s="1931"/>
      <c r="AI345" s="1931"/>
      <c r="AJ345" s="1931"/>
      <c r="AK345" s="637"/>
      <c r="AL345" s="637"/>
      <c r="AM345" s="637"/>
      <c r="AN345" s="631"/>
      <c r="AO345" s="728"/>
      <c r="AP345" s="728"/>
      <c r="AQ345" s="604"/>
    </row>
    <row r="346" spans="1:46" s="584" customFormat="1" ht="11.85" customHeight="1">
      <c r="A346" s="637"/>
      <c r="B346" s="645"/>
      <c r="C346" s="1931"/>
      <c r="D346" s="1931"/>
      <c r="E346" s="1931"/>
      <c r="F346" s="1931"/>
      <c r="G346" s="1931"/>
      <c r="H346" s="1931"/>
      <c r="I346" s="1931"/>
      <c r="J346" s="1931"/>
      <c r="K346" s="1931"/>
      <c r="L346" s="1931"/>
      <c r="M346" s="1931"/>
      <c r="N346" s="1931"/>
      <c r="O346" s="1931"/>
      <c r="P346" s="1931"/>
      <c r="Q346" s="1931"/>
      <c r="R346" s="1931"/>
      <c r="S346" s="1931"/>
      <c r="T346" s="1931"/>
      <c r="U346" s="1931"/>
      <c r="V346" s="1931"/>
      <c r="W346" s="1931"/>
      <c r="X346" s="1931"/>
      <c r="Y346" s="1931"/>
      <c r="Z346" s="1931"/>
      <c r="AA346" s="1931"/>
      <c r="AB346" s="1931"/>
      <c r="AC346" s="1931"/>
      <c r="AD346" s="1931"/>
      <c r="AE346" s="1931"/>
      <c r="AF346" s="1931"/>
      <c r="AG346" s="1931"/>
      <c r="AH346" s="1931"/>
      <c r="AI346" s="1931"/>
      <c r="AJ346" s="1931"/>
      <c r="AK346" s="637"/>
      <c r="AL346" s="637"/>
      <c r="AM346" s="637"/>
      <c r="AN346" s="631"/>
      <c r="AO346" s="729" t="s">
        <v>112</v>
      </c>
      <c r="AP346" s="730">
        <f>IF(C370="Yes",5,0)</f>
        <v>5</v>
      </c>
      <c r="AS346" s="573" t="s">
        <v>1567</v>
      </c>
    </row>
    <row r="347" spans="1:46" s="584" customFormat="1" ht="12.75" customHeight="1">
      <c r="A347" s="637"/>
      <c r="B347" s="645"/>
      <c r="C347" s="1931"/>
      <c r="D347" s="1931"/>
      <c r="E347" s="1931"/>
      <c r="F347" s="1931"/>
      <c r="G347" s="1931"/>
      <c r="H347" s="1931"/>
      <c r="I347" s="1931"/>
      <c r="J347" s="1931"/>
      <c r="K347" s="1931"/>
      <c r="L347" s="1931"/>
      <c r="M347" s="1931"/>
      <c r="N347" s="1931"/>
      <c r="O347" s="1931"/>
      <c r="P347" s="1931"/>
      <c r="Q347" s="1931"/>
      <c r="R347" s="1931"/>
      <c r="S347" s="1931"/>
      <c r="T347" s="1931"/>
      <c r="U347" s="1931"/>
      <c r="V347" s="1931"/>
      <c r="W347" s="1931"/>
      <c r="X347" s="1931"/>
      <c r="Y347" s="1931"/>
      <c r="Z347" s="1931"/>
      <c r="AA347" s="1931"/>
      <c r="AB347" s="1931"/>
      <c r="AC347" s="1931"/>
      <c r="AD347" s="1931"/>
      <c r="AE347" s="1931"/>
      <c r="AF347" s="1931"/>
      <c r="AG347" s="1931"/>
      <c r="AH347" s="1931"/>
      <c r="AI347" s="1931"/>
      <c r="AJ347" s="1931"/>
      <c r="AK347" s="637"/>
      <c r="AL347" s="637"/>
      <c r="AM347" s="637"/>
      <c r="AN347" s="631"/>
      <c r="AO347" s="729" t="s">
        <v>113</v>
      </c>
      <c r="AP347" s="730">
        <f>IF(C378="Yes",5,0)</f>
        <v>5</v>
      </c>
      <c r="AS347" s="1896">
        <f>IF(Application!D211="Non-Targeted",(SUM(AQ355+AQ364)),AS351)</f>
        <v>10</v>
      </c>
      <c r="AT347" s="1896"/>
    </row>
    <row r="348" spans="1:46" s="584" customFormat="1" ht="12.75" customHeight="1">
      <c r="A348" s="637"/>
      <c r="B348" s="645"/>
      <c r="C348" s="1931"/>
      <c r="D348" s="1931"/>
      <c r="E348" s="1931"/>
      <c r="F348" s="1931"/>
      <c r="G348" s="1931"/>
      <c r="H348" s="1931"/>
      <c r="I348" s="1931"/>
      <c r="J348" s="1931"/>
      <c r="K348" s="1931"/>
      <c r="L348" s="1931"/>
      <c r="M348" s="1931"/>
      <c r="N348" s="1931"/>
      <c r="O348" s="1931"/>
      <c r="P348" s="1931"/>
      <c r="Q348" s="1931"/>
      <c r="R348" s="1931"/>
      <c r="S348" s="1931"/>
      <c r="T348" s="1931"/>
      <c r="U348" s="1931"/>
      <c r="V348" s="1931"/>
      <c r="W348" s="1931"/>
      <c r="X348" s="1931"/>
      <c r="Y348" s="1931"/>
      <c r="Z348" s="1931"/>
      <c r="AA348" s="1931"/>
      <c r="AB348" s="1931"/>
      <c r="AC348" s="1931"/>
      <c r="AD348" s="1931"/>
      <c r="AE348" s="1931"/>
      <c r="AF348" s="1931"/>
      <c r="AG348" s="1931"/>
      <c r="AH348" s="1931"/>
      <c r="AI348" s="1931"/>
      <c r="AJ348" s="1931"/>
      <c r="AK348" s="637"/>
      <c r="AL348" s="637"/>
      <c r="AM348" s="637"/>
      <c r="AN348" s="631"/>
      <c r="AO348" s="729" t="s">
        <v>119</v>
      </c>
      <c r="AP348" s="730">
        <f>IF(C386="Yes",7,0)</f>
        <v>0</v>
      </c>
      <c r="AS348" s="573" t="s">
        <v>1568</v>
      </c>
    </row>
    <row r="349" spans="1:46" s="584" customFormat="1" ht="12.75" customHeight="1">
      <c r="A349" s="637"/>
      <c r="B349" s="645"/>
      <c r="C349" s="1931"/>
      <c r="D349" s="1931"/>
      <c r="E349" s="1931"/>
      <c r="F349" s="1931"/>
      <c r="G349" s="1931"/>
      <c r="H349" s="1931"/>
      <c r="I349" s="1931"/>
      <c r="J349" s="1931"/>
      <c r="K349" s="1931"/>
      <c r="L349" s="1931"/>
      <c r="M349" s="1931"/>
      <c r="N349" s="1931"/>
      <c r="O349" s="1931"/>
      <c r="P349" s="1931"/>
      <c r="Q349" s="1931"/>
      <c r="R349" s="1931"/>
      <c r="S349" s="1931"/>
      <c r="T349" s="1931"/>
      <c r="U349" s="1931"/>
      <c r="V349" s="1931"/>
      <c r="W349" s="1931"/>
      <c r="X349" s="1931"/>
      <c r="Y349" s="1931"/>
      <c r="Z349" s="1931"/>
      <c r="AA349" s="1931"/>
      <c r="AB349" s="1931"/>
      <c r="AC349" s="1931"/>
      <c r="AD349" s="1931"/>
      <c r="AE349" s="1931"/>
      <c r="AF349" s="1931"/>
      <c r="AG349" s="1931"/>
      <c r="AH349" s="1931"/>
      <c r="AI349" s="1931"/>
      <c r="AJ349" s="1931"/>
      <c r="AK349" s="637"/>
      <c r="AL349" s="637"/>
      <c r="AM349" s="637"/>
      <c r="AN349" s="631"/>
      <c r="AO349" s="631"/>
      <c r="AP349" s="730">
        <f>IF(C388="Yes",5,0)</f>
        <v>0</v>
      </c>
      <c r="AS349" s="1896">
        <f>IF(AND(AQ355&gt;0,AQ364&gt;0),(AQ355+AQ364)/2,0)</f>
        <v>10</v>
      </c>
      <c r="AT349" s="1896"/>
    </row>
    <row r="350" spans="1:46" s="584" customFormat="1" ht="12.75" customHeight="1">
      <c r="A350" s="637"/>
      <c r="B350" s="645"/>
      <c r="C350" s="1931"/>
      <c r="D350" s="1931"/>
      <c r="E350" s="1931"/>
      <c r="F350" s="1931"/>
      <c r="G350" s="1931"/>
      <c r="H350" s="1931"/>
      <c r="I350" s="1931"/>
      <c r="J350" s="1931"/>
      <c r="K350" s="1931"/>
      <c r="L350" s="1931"/>
      <c r="M350" s="1931"/>
      <c r="N350" s="1931"/>
      <c r="O350" s="1931"/>
      <c r="P350" s="1931"/>
      <c r="Q350" s="1931"/>
      <c r="R350" s="1931"/>
      <c r="S350" s="1931"/>
      <c r="T350" s="1931"/>
      <c r="U350" s="1931"/>
      <c r="V350" s="1931"/>
      <c r="W350" s="1931"/>
      <c r="X350" s="1931"/>
      <c r="Y350" s="1931"/>
      <c r="Z350" s="1931"/>
      <c r="AA350" s="1931"/>
      <c r="AB350" s="1931"/>
      <c r="AC350" s="1931"/>
      <c r="AD350" s="1931"/>
      <c r="AE350" s="1931"/>
      <c r="AF350" s="1931"/>
      <c r="AG350" s="1931"/>
      <c r="AH350" s="1931"/>
      <c r="AI350" s="1931"/>
      <c r="AJ350" s="1931"/>
      <c r="AK350" s="637"/>
      <c r="AL350" s="637"/>
      <c r="AM350" s="637"/>
      <c r="AN350" s="631"/>
      <c r="AO350" s="729" t="s">
        <v>589</v>
      </c>
      <c r="AP350" s="730">
        <f>IF(C396="Yes",5,0)</f>
        <v>0</v>
      </c>
      <c r="AS350" s="573" t="s">
        <v>2070</v>
      </c>
    </row>
    <row r="351" spans="1:46" s="584" customFormat="1" ht="12.75" customHeight="1">
      <c r="A351" s="637"/>
      <c r="B351" s="645"/>
      <c r="C351" s="2025" t="s">
        <v>1569</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0</v>
      </c>
      <c r="AS351" s="1896">
        <f>IF(AQ355=0,AQ364,AQ355)</f>
        <v>10</v>
      </c>
      <c r="AT351" s="1896"/>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772</v>
      </c>
      <c r="AP352" s="730">
        <f>IF(C401="Yes",5,0)</f>
        <v>0</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592</v>
      </c>
      <c r="AP353" s="730">
        <f>IF(C410="Yes",5,0)</f>
        <v>0</v>
      </c>
    </row>
    <row r="354" spans="1:81" s="584" customFormat="1" ht="11.85"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6"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228</v>
      </c>
      <c r="AP355" s="734">
        <f>SUM(AP346:AP354)</f>
        <v>10</v>
      </c>
      <c r="AQ355" s="1934">
        <f>IF(AP355&gt;0,AP355,0)</f>
        <v>10</v>
      </c>
      <c r="AR355" s="1934"/>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5" customHeight="1">
      <c r="A358" s="637"/>
      <c r="B358" s="645"/>
      <c r="C358" s="1931" t="s">
        <v>1570</v>
      </c>
      <c r="D358" s="1931"/>
      <c r="E358" s="1931"/>
      <c r="F358" s="1931"/>
      <c r="G358" s="1931"/>
      <c r="H358" s="1931"/>
      <c r="I358" s="1931"/>
      <c r="J358" s="1931"/>
      <c r="K358" s="1931"/>
      <c r="L358" s="1931"/>
      <c r="M358" s="1931"/>
      <c r="N358" s="1931"/>
      <c r="O358" s="1931"/>
      <c r="P358" s="1931"/>
      <c r="Q358" s="1931"/>
      <c r="R358" s="1931"/>
      <c r="S358" s="1931"/>
      <c r="T358" s="1931"/>
      <c r="U358" s="1931"/>
      <c r="V358" s="1931"/>
      <c r="W358" s="1931"/>
      <c r="X358" s="1931"/>
      <c r="Y358" s="1931"/>
      <c r="Z358" s="1931"/>
      <c r="AA358" s="1931"/>
      <c r="AB358" s="1931"/>
      <c r="AC358" s="1931"/>
      <c r="AD358" s="1931"/>
      <c r="AE358" s="1931"/>
      <c r="AF358" s="1931"/>
      <c r="AG358" s="1931"/>
      <c r="AH358" s="1931"/>
      <c r="AI358" s="1931"/>
      <c r="AJ358" s="1931"/>
      <c r="AK358" s="637"/>
      <c r="AL358" s="637"/>
      <c r="AM358" s="637"/>
      <c r="AN358" s="631"/>
      <c r="AO358" s="729" t="s">
        <v>464</v>
      </c>
      <c r="AP358" s="730">
        <f>IF(C431="Yes",5,0)</f>
        <v>5</v>
      </c>
    </row>
    <row r="359" spans="1:81" s="584" customFormat="1" ht="12.75" customHeight="1">
      <c r="A359" s="637"/>
      <c r="B359" s="645"/>
      <c r="C359" s="1931"/>
      <c r="D359" s="1931"/>
      <c r="E359" s="1931"/>
      <c r="F359" s="1931"/>
      <c r="G359" s="1931"/>
      <c r="H359" s="1931"/>
      <c r="I359" s="1931"/>
      <c r="J359" s="1931"/>
      <c r="K359" s="1931"/>
      <c r="L359" s="1931"/>
      <c r="M359" s="1931"/>
      <c r="N359" s="1931"/>
      <c r="O359" s="1931"/>
      <c r="P359" s="1931"/>
      <c r="Q359" s="1931"/>
      <c r="R359" s="1931"/>
      <c r="S359" s="1931"/>
      <c r="T359" s="1931"/>
      <c r="U359" s="1931"/>
      <c r="V359" s="1931"/>
      <c r="W359" s="1931"/>
      <c r="X359" s="1931"/>
      <c r="Y359" s="1931"/>
      <c r="Z359" s="1931"/>
      <c r="AA359" s="1931"/>
      <c r="AB359" s="1931"/>
      <c r="AC359" s="1931"/>
      <c r="AD359" s="1931"/>
      <c r="AE359" s="1931"/>
      <c r="AF359" s="1931"/>
      <c r="AG359" s="1931"/>
      <c r="AH359" s="1931"/>
      <c r="AI359" s="1931"/>
      <c r="AJ359" s="1931"/>
      <c r="AK359" s="637"/>
      <c r="AL359" s="637"/>
      <c r="AM359" s="637"/>
      <c r="AN359" s="631"/>
      <c r="AO359" s="729" t="s">
        <v>469</v>
      </c>
      <c r="AP359" s="730">
        <f>IF(C438="Yes",5,0)</f>
        <v>0</v>
      </c>
    </row>
    <row r="360" spans="1:81" s="584" customFormat="1" ht="68.099999999999994" customHeight="1">
      <c r="A360" s="637"/>
      <c r="B360" s="645"/>
      <c r="C360" s="1931"/>
      <c r="D360" s="1931"/>
      <c r="E360" s="1931"/>
      <c r="F360" s="1931"/>
      <c r="G360" s="1931"/>
      <c r="H360" s="1931"/>
      <c r="I360" s="1931"/>
      <c r="J360" s="1931"/>
      <c r="K360" s="1931"/>
      <c r="L360" s="1931"/>
      <c r="M360" s="1931"/>
      <c r="N360" s="1931"/>
      <c r="O360" s="1931"/>
      <c r="P360" s="1931"/>
      <c r="Q360" s="1931"/>
      <c r="R360" s="1931"/>
      <c r="S360" s="1931"/>
      <c r="T360" s="1931"/>
      <c r="U360" s="1931"/>
      <c r="V360" s="1931"/>
      <c r="W360" s="1931"/>
      <c r="X360" s="1931"/>
      <c r="Y360" s="1931"/>
      <c r="Z360" s="1931"/>
      <c r="AA360" s="1931"/>
      <c r="AB360" s="1931"/>
      <c r="AC360" s="1931"/>
      <c r="AD360" s="1931"/>
      <c r="AE360" s="1931"/>
      <c r="AF360" s="1931"/>
      <c r="AG360" s="1931"/>
      <c r="AH360" s="1931"/>
      <c r="AI360" s="1931"/>
      <c r="AJ360" s="1931"/>
      <c r="AK360" s="637"/>
      <c r="AL360" s="637"/>
      <c r="AM360" s="637"/>
      <c r="AN360" s="631"/>
      <c r="AO360" s="729" t="s">
        <v>654</v>
      </c>
      <c r="AP360" s="735">
        <f>IF(C442="Yes",5,0)</f>
        <v>0</v>
      </c>
    </row>
    <row r="361" spans="1:81" s="584" customFormat="1" ht="12.6"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32">
        <f>Application!CS660-U363</f>
        <v>63</v>
      </c>
      <c r="V362" s="1932"/>
      <c r="W362" s="193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33">
        <f>Application!AG756</f>
        <v>71</v>
      </c>
      <c r="V363" s="1933"/>
      <c r="W363" s="193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1934">
        <f>IF(AP364&gt;0,AP364,0)</f>
        <v>10</v>
      </c>
      <c r="AR364" s="1934"/>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5" t="s">
        <v>1572</v>
      </c>
      <c r="G366" s="1925"/>
      <c r="H366" s="1925"/>
      <c r="I366" s="1925"/>
      <c r="J366" s="1925"/>
      <c r="K366" s="1925"/>
      <c r="L366" s="1925"/>
      <c r="M366" s="1925"/>
      <c r="N366" s="1925"/>
      <c r="O366" s="1925"/>
      <c r="P366" s="1925"/>
      <c r="Q366" s="1925"/>
      <c r="R366" s="1925"/>
      <c r="S366" s="1925"/>
      <c r="T366" s="1925"/>
      <c r="U366" s="1925"/>
      <c r="V366" s="1925"/>
      <c r="W366" s="1925"/>
      <c r="X366" s="1925"/>
      <c r="Y366" s="1925"/>
      <c r="Z366" s="1925"/>
      <c r="AA366" s="1925"/>
      <c r="AB366" s="1925"/>
      <c r="AC366" s="1925"/>
      <c r="AD366" s="1925"/>
      <c r="AE366" s="1925"/>
      <c r="AF366" s="192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6"/>
      <c r="G367" s="1926"/>
      <c r="H367" s="1926"/>
      <c r="I367" s="1926"/>
      <c r="J367" s="1926"/>
      <c r="K367" s="1926"/>
      <c r="L367" s="1926"/>
      <c r="M367" s="1926"/>
      <c r="N367" s="1926"/>
      <c r="O367" s="1926"/>
      <c r="P367" s="1926"/>
      <c r="Q367" s="1926"/>
      <c r="R367" s="1926"/>
      <c r="S367" s="1926"/>
      <c r="T367" s="1926"/>
      <c r="U367" s="1926"/>
      <c r="V367" s="1926"/>
      <c r="W367" s="1926"/>
      <c r="X367" s="1926"/>
      <c r="Y367" s="1926"/>
      <c r="Z367" s="1926"/>
      <c r="AA367" s="1926"/>
      <c r="AB367" s="1926"/>
      <c r="AC367" s="1926"/>
      <c r="AD367" s="1926"/>
      <c r="AE367" s="1926"/>
      <c r="AF367" s="192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6"/>
      <c r="G368" s="1926"/>
      <c r="H368" s="1926"/>
      <c r="I368" s="1926"/>
      <c r="J368" s="1926"/>
      <c r="K368" s="1926"/>
      <c r="L368" s="1926"/>
      <c r="M368" s="1926"/>
      <c r="N368" s="1926"/>
      <c r="O368" s="1926"/>
      <c r="P368" s="1926"/>
      <c r="Q368" s="1926"/>
      <c r="R368" s="1926"/>
      <c r="S368" s="1926"/>
      <c r="T368" s="1926"/>
      <c r="U368" s="1926"/>
      <c r="V368" s="1926"/>
      <c r="W368" s="1926"/>
      <c r="X368" s="1926"/>
      <c r="Y368" s="1926"/>
      <c r="Z368" s="1926"/>
      <c r="AA368" s="1926"/>
      <c r="AB368" s="1926"/>
      <c r="AC368" s="1926"/>
      <c r="AD368" s="1926"/>
      <c r="AE368" s="1926"/>
      <c r="AF368" s="192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6"/>
      <c r="G369" s="1926"/>
      <c r="H369" s="1926"/>
      <c r="I369" s="1926"/>
      <c r="J369" s="1926"/>
      <c r="K369" s="1926"/>
      <c r="L369" s="1926"/>
      <c r="M369" s="1926"/>
      <c r="N369" s="1926"/>
      <c r="O369" s="1926"/>
      <c r="P369" s="1926"/>
      <c r="Q369" s="1926"/>
      <c r="R369" s="1926"/>
      <c r="S369" s="1926"/>
      <c r="T369" s="1926"/>
      <c r="U369" s="1926"/>
      <c r="V369" s="1926"/>
      <c r="W369" s="1926"/>
      <c r="X369" s="1926"/>
      <c r="Y369" s="1926"/>
      <c r="Z369" s="1926"/>
      <c r="AA369" s="1926"/>
      <c r="AB369" s="1926"/>
      <c r="AC369" s="1926"/>
      <c r="AD369" s="1926"/>
      <c r="AE369" s="1926"/>
      <c r="AF369" s="192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5" t="s">
        <v>553</v>
      </c>
      <c r="D370" s="1936"/>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4" t="s">
        <v>1574</v>
      </c>
      <c r="AG370" s="1924"/>
      <c r="AH370" s="1924"/>
      <c r="AI370" s="1924"/>
      <c r="AJ370" s="1924"/>
      <c r="AK370" s="1924"/>
      <c r="AL370" s="193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5" t="s">
        <v>1575</v>
      </c>
      <c r="G373" s="1925"/>
      <c r="H373" s="1925"/>
      <c r="I373" s="1925"/>
      <c r="J373" s="1925"/>
      <c r="K373" s="1925"/>
      <c r="L373" s="1925"/>
      <c r="M373" s="1925"/>
      <c r="N373" s="1925"/>
      <c r="O373" s="1925"/>
      <c r="P373" s="1925"/>
      <c r="Q373" s="1925"/>
      <c r="R373" s="1925"/>
      <c r="S373" s="1925"/>
      <c r="T373" s="1925"/>
      <c r="U373" s="1925"/>
      <c r="V373" s="1925"/>
      <c r="W373" s="1925"/>
      <c r="X373" s="1925"/>
      <c r="Y373" s="1925"/>
      <c r="Z373" s="1925"/>
      <c r="AA373" s="1925"/>
      <c r="AB373" s="1925"/>
      <c r="AC373" s="1925"/>
      <c r="AD373" s="1925"/>
      <c r="AE373" s="1925"/>
      <c r="AF373" s="192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6"/>
      <c r="G374" s="1926"/>
      <c r="H374" s="1926"/>
      <c r="I374" s="1926"/>
      <c r="J374" s="1926"/>
      <c r="K374" s="1926"/>
      <c r="L374" s="1926"/>
      <c r="M374" s="1926"/>
      <c r="N374" s="1926"/>
      <c r="O374" s="1926"/>
      <c r="P374" s="1926"/>
      <c r="Q374" s="1926"/>
      <c r="R374" s="1926"/>
      <c r="S374" s="1926"/>
      <c r="T374" s="1926"/>
      <c r="U374" s="1926"/>
      <c r="V374" s="1926"/>
      <c r="W374" s="1926"/>
      <c r="X374" s="1926"/>
      <c r="Y374" s="1926"/>
      <c r="Z374" s="1926"/>
      <c r="AA374" s="1926"/>
      <c r="AB374" s="1926"/>
      <c r="AC374" s="1926"/>
      <c r="AD374" s="1926"/>
      <c r="AE374" s="1926"/>
      <c r="AF374" s="192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6"/>
      <c r="G375" s="1926"/>
      <c r="H375" s="1926"/>
      <c r="I375" s="1926"/>
      <c r="J375" s="1926"/>
      <c r="K375" s="1926"/>
      <c r="L375" s="1926"/>
      <c r="M375" s="1926"/>
      <c r="N375" s="1926"/>
      <c r="O375" s="1926"/>
      <c r="P375" s="1926"/>
      <c r="Q375" s="1926"/>
      <c r="R375" s="1926"/>
      <c r="S375" s="1926"/>
      <c r="T375" s="1926"/>
      <c r="U375" s="1926"/>
      <c r="V375" s="1926"/>
      <c r="W375" s="1926"/>
      <c r="X375" s="1926"/>
      <c r="Y375" s="1926"/>
      <c r="Z375" s="1926"/>
      <c r="AA375" s="1926"/>
      <c r="AB375" s="1926"/>
      <c r="AC375" s="1926"/>
      <c r="AD375" s="1926"/>
      <c r="AE375" s="1926"/>
      <c r="AF375" s="192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6"/>
      <c r="G376" s="1926"/>
      <c r="H376" s="1926"/>
      <c r="I376" s="1926"/>
      <c r="J376" s="1926"/>
      <c r="K376" s="1926"/>
      <c r="L376" s="1926"/>
      <c r="M376" s="1926"/>
      <c r="N376" s="1926"/>
      <c r="O376" s="1926"/>
      <c r="P376" s="1926"/>
      <c r="Q376" s="1926"/>
      <c r="R376" s="1926"/>
      <c r="S376" s="1926"/>
      <c r="T376" s="1926"/>
      <c r="U376" s="1926"/>
      <c r="V376" s="1926"/>
      <c r="W376" s="1926"/>
      <c r="X376" s="1926"/>
      <c r="Y376" s="1926"/>
      <c r="Z376" s="1926"/>
      <c r="AA376" s="1926"/>
      <c r="AB376" s="1926"/>
      <c r="AC376" s="1926"/>
      <c r="AD376" s="1926"/>
      <c r="AE376" s="1926"/>
      <c r="AF376" s="192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6"/>
      <c r="G377" s="1926"/>
      <c r="H377" s="1926"/>
      <c r="I377" s="1926"/>
      <c r="J377" s="1926"/>
      <c r="K377" s="1926"/>
      <c r="L377" s="1926"/>
      <c r="M377" s="1926"/>
      <c r="N377" s="1926"/>
      <c r="O377" s="1926"/>
      <c r="P377" s="1926"/>
      <c r="Q377" s="1926"/>
      <c r="R377" s="1926"/>
      <c r="S377" s="1926"/>
      <c r="T377" s="1926"/>
      <c r="U377" s="1926"/>
      <c r="V377" s="1926"/>
      <c r="W377" s="1926"/>
      <c r="X377" s="1926"/>
      <c r="Y377" s="1926"/>
      <c r="Z377" s="1926"/>
      <c r="AA377" s="1926"/>
      <c r="AB377" s="1926"/>
      <c r="AC377" s="1926"/>
      <c r="AD377" s="1926"/>
      <c r="AE377" s="1926"/>
      <c r="AF377" s="1926"/>
      <c r="AL377" s="766"/>
      <c r="AN377" s="631"/>
      <c r="BS377" s="30"/>
      <c r="BT377" s="30"/>
      <c r="BU377" s="14"/>
      <c r="BV377" s="14"/>
      <c r="BW377" s="14"/>
      <c r="BX377" s="14"/>
      <c r="BY377" s="14"/>
      <c r="BZ377" s="14"/>
      <c r="CA377" s="14"/>
      <c r="CB377" s="14"/>
      <c r="CC377" s="14"/>
    </row>
    <row r="378" spans="1:81" s="584" customFormat="1" ht="12.75" customHeight="1">
      <c r="A378" s="570"/>
      <c r="B378" s="14"/>
      <c r="C378" s="1935" t="s">
        <v>553</v>
      </c>
      <c r="D378" s="1936"/>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4" t="s">
        <v>1574</v>
      </c>
      <c r="AG378" s="1924"/>
      <c r="AH378" s="1924"/>
      <c r="AI378" s="1924"/>
      <c r="AJ378" s="1924"/>
      <c r="AK378" s="1924"/>
      <c r="AL378" s="193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5" t="s">
        <v>1577</v>
      </c>
      <c r="G381" s="1925"/>
      <c r="H381" s="1925"/>
      <c r="I381" s="1925"/>
      <c r="J381" s="1925"/>
      <c r="K381" s="1925"/>
      <c r="L381" s="1925"/>
      <c r="M381" s="1925"/>
      <c r="N381" s="1925"/>
      <c r="O381" s="1925"/>
      <c r="P381" s="1925"/>
      <c r="Q381" s="1925"/>
      <c r="R381" s="1925"/>
      <c r="S381" s="1925"/>
      <c r="T381" s="1925"/>
      <c r="U381" s="1925"/>
      <c r="V381" s="1925"/>
      <c r="W381" s="1925"/>
      <c r="X381" s="1925"/>
      <c r="Y381" s="1925"/>
      <c r="Z381" s="1925"/>
      <c r="AA381" s="1925"/>
      <c r="AB381" s="1925"/>
      <c r="AC381" s="1925"/>
      <c r="AD381" s="1925"/>
      <c r="AE381" s="1925"/>
      <c r="AF381" s="192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6"/>
      <c r="G382" s="1926"/>
      <c r="H382" s="1926"/>
      <c r="I382" s="1926"/>
      <c r="J382" s="1926"/>
      <c r="K382" s="1926"/>
      <c r="L382" s="1926"/>
      <c r="M382" s="1926"/>
      <c r="N382" s="1926"/>
      <c r="O382" s="1926"/>
      <c r="P382" s="1926"/>
      <c r="Q382" s="1926"/>
      <c r="R382" s="1926"/>
      <c r="S382" s="1926"/>
      <c r="T382" s="1926"/>
      <c r="U382" s="1926"/>
      <c r="V382" s="1926"/>
      <c r="W382" s="1926"/>
      <c r="X382" s="1926"/>
      <c r="Y382" s="1926"/>
      <c r="Z382" s="1926"/>
      <c r="AA382" s="1926"/>
      <c r="AB382" s="1926"/>
      <c r="AC382" s="1926"/>
      <c r="AD382" s="1926"/>
      <c r="AE382" s="1926"/>
      <c r="AF382" s="192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6"/>
      <c r="G383" s="1926"/>
      <c r="H383" s="1926"/>
      <c r="I383" s="1926"/>
      <c r="J383" s="1926"/>
      <c r="K383" s="1926"/>
      <c r="L383" s="1926"/>
      <c r="M383" s="1926"/>
      <c r="N383" s="1926"/>
      <c r="O383" s="1926"/>
      <c r="P383" s="1926"/>
      <c r="Q383" s="1926"/>
      <c r="R383" s="1926"/>
      <c r="S383" s="1926"/>
      <c r="T383" s="1926"/>
      <c r="U383" s="1926"/>
      <c r="V383" s="1926"/>
      <c r="W383" s="1926"/>
      <c r="X383" s="1926"/>
      <c r="Y383" s="1926"/>
      <c r="Z383" s="1926"/>
      <c r="AA383" s="1926"/>
      <c r="AB383" s="1926"/>
      <c r="AC383" s="1926"/>
      <c r="AD383" s="1926"/>
      <c r="AE383" s="1926"/>
      <c r="AF383" s="192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6"/>
      <c r="G384" s="1926"/>
      <c r="H384" s="1926"/>
      <c r="I384" s="1926"/>
      <c r="J384" s="1926"/>
      <c r="K384" s="1926"/>
      <c r="L384" s="1926"/>
      <c r="M384" s="1926"/>
      <c r="N384" s="1926"/>
      <c r="O384" s="1926"/>
      <c r="P384" s="1926"/>
      <c r="Q384" s="1926"/>
      <c r="R384" s="1926"/>
      <c r="S384" s="1926"/>
      <c r="T384" s="1926"/>
      <c r="U384" s="1926"/>
      <c r="V384" s="1926"/>
      <c r="W384" s="1926"/>
      <c r="X384" s="1926"/>
      <c r="Y384" s="1926"/>
      <c r="Z384" s="1926"/>
      <c r="AA384" s="1926"/>
      <c r="AB384" s="1926"/>
      <c r="AC384" s="1926"/>
      <c r="AD384" s="1926"/>
      <c r="AE384" s="1926"/>
      <c r="AF384" s="192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6"/>
      <c r="G385" s="1926"/>
      <c r="H385" s="1926"/>
      <c r="I385" s="1926"/>
      <c r="J385" s="1926"/>
      <c r="K385" s="1926"/>
      <c r="L385" s="1926"/>
      <c r="M385" s="1926"/>
      <c r="N385" s="1926"/>
      <c r="O385" s="1926"/>
      <c r="P385" s="1926"/>
      <c r="Q385" s="1926"/>
      <c r="R385" s="1926"/>
      <c r="S385" s="1926"/>
      <c r="T385" s="1926"/>
      <c r="U385" s="1926"/>
      <c r="V385" s="1926"/>
      <c r="W385" s="1926"/>
      <c r="X385" s="1926"/>
      <c r="Y385" s="1926"/>
      <c r="Z385" s="1926"/>
      <c r="AA385" s="1926"/>
      <c r="AB385" s="1926"/>
      <c r="AC385" s="1926"/>
      <c r="AD385" s="1926"/>
      <c r="AE385" s="1926"/>
      <c r="AF385" s="192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5" t="s">
        <v>599</v>
      </c>
      <c r="D386" s="1936"/>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4" t="s">
        <v>1579</v>
      </c>
      <c r="AG386" s="1924"/>
      <c r="AH386" s="1924"/>
      <c r="AI386" s="1924"/>
      <c r="AJ386" s="1924"/>
      <c r="AK386" s="1924"/>
      <c r="AL386" s="193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5" t="s">
        <v>599</v>
      </c>
      <c r="D388" s="1936"/>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4" t="s">
        <v>1574</v>
      </c>
      <c r="AG388" s="1924"/>
      <c r="AH388" s="1924"/>
      <c r="AI388" s="1924"/>
      <c r="AJ388" s="1924"/>
      <c r="AK388" s="1924"/>
      <c r="AL388" s="193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5" t="s">
        <v>1583</v>
      </c>
      <c r="G392" s="1925"/>
      <c r="H392" s="1925"/>
      <c r="I392" s="1925"/>
      <c r="J392" s="1925"/>
      <c r="K392" s="1925"/>
      <c r="L392" s="1925"/>
      <c r="M392" s="1925"/>
      <c r="N392" s="1925"/>
      <c r="O392" s="1925"/>
      <c r="P392" s="1925"/>
      <c r="Q392" s="1925"/>
      <c r="R392" s="1925"/>
      <c r="S392" s="1925"/>
      <c r="T392" s="1925"/>
      <c r="U392" s="1925"/>
      <c r="V392" s="1925"/>
      <c r="W392" s="1925"/>
      <c r="X392" s="1925"/>
      <c r="Y392" s="1925"/>
      <c r="Z392" s="1925"/>
      <c r="AA392" s="1925"/>
      <c r="AB392" s="1925"/>
      <c r="AC392" s="1925"/>
      <c r="AD392" s="1925"/>
      <c r="AE392" s="1925"/>
      <c r="AF392" s="192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6"/>
      <c r="G393" s="1926"/>
      <c r="H393" s="1926"/>
      <c r="I393" s="1926"/>
      <c r="J393" s="1926"/>
      <c r="K393" s="1926"/>
      <c r="L393" s="1926"/>
      <c r="M393" s="1926"/>
      <c r="N393" s="1926"/>
      <c r="O393" s="1926"/>
      <c r="P393" s="1926"/>
      <c r="Q393" s="1926"/>
      <c r="R393" s="1926"/>
      <c r="S393" s="1926"/>
      <c r="T393" s="1926"/>
      <c r="U393" s="1926"/>
      <c r="V393" s="1926"/>
      <c r="W393" s="1926"/>
      <c r="X393" s="1926"/>
      <c r="Y393" s="1926"/>
      <c r="Z393" s="1926"/>
      <c r="AA393" s="1926"/>
      <c r="AB393" s="1926"/>
      <c r="AC393" s="1926"/>
      <c r="AD393" s="1926"/>
      <c r="AE393" s="1926"/>
      <c r="AF393" s="192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6"/>
      <c r="G394" s="1926"/>
      <c r="H394" s="1926"/>
      <c r="I394" s="1926"/>
      <c r="J394" s="1926"/>
      <c r="K394" s="1926"/>
      <c r="L394" s="1926"/>
      <c r="M394" s="1926"/>
      <c r="N394" s="1926"/>
      <c r="O394" s="1926"/>
      <c r="P394" s="1926"/>
      <c r="Q394" s="1926"/>
      <c r="R394" s="1926"/>
      <c r="S394" s="1926"/>
      <c r="T394" s="1926"/>
      <c r="U394" s="1926"/>
      <c r="V394" s="1926"/>
      <c r="W394" s="1926"/>
      <c r="X394" s="1926"/>
      <c r="Y394" s="1926"/>
      <c r="Z394" s="1926"/>
      <c r="AA394" s="1926"/>
      <c r="AB394" s="1926"/>
      <c r="AC394" s="1926"/>
      <c r="AD394" s="1926"/>
      <c r="AE394" s="1926"/>
      <c r="AF394" s="192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6"/>
      <c r="G395" s="1926"/>
      <c r="H395" s="1926"/>
      <c r="I395" s="1926"/>
      <c r="J395" s="1926"/>
      <c r="K395" s="1926"/>
      <c r="L395" s="1926"/>
      <c r="M395" s="1926"/>
      <c r="N395" s="1926"/>
      <c r="O395" s="1926"/>
      <c r="P395" s="1926"/>
      <c r="Q395" s="1926"/>
      <c r="R395" s="1926"/>
      <c r="S395" s="1926"/>
      <c r="T395" s="1926"/>
      <c r="U395" s="1926"/>
      <c r="V395" s="1926"/>
      <c r="W395" s="1926"/>
      <c r="X395" s="1926"/>
      <c r="Y395" s="1926"/>
      <c r="Z395" s="1926"/>
      <c r="AA395" s="1926"/>
      <c r="AB395" s="1926"/>
      <c r="AC395" s="1926"/>
      <c r="AD395" s="1926"/>
      <c r="AE395" s="1926"/>
      <c r="AF395" s="192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5" t="s">
        <v>599</v>
      </c>
      <c r="D396" s="1936"/>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4" t="s">
        <v>1574</v>
      </c>
      <c r="AG396" s="1924"/>
      <c r="AH396" s="1924"/>
      <c r="AI396" s="1924"/>
      <c r="AJ396" s="1924"/>
      <c r="AK396" s="1924"/>
      <c r="AL396" s="193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5" t="s">
        <v>599</v>
      </c>
      <c r="D398" s="1936"/>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4" t="s">
        <v>1586</v>
      </c>
      <c r="AG398" s="1924"/>
      <c r="AH398" s="1924"/>
      <c r="AI398" s="1924"/>
      <c r="AJ398" s="1924"/>
      <c r="AK398" s="1924"/>
      <c r="AL398" s="193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5" t="s">
        <v>599</v>
      </c>
      <c r="D401" s="1936"/>
      <c r="E401" s="749" t="s">
        <v>1587</v>
      </c>
      <c r="F401" s="1925" t="s">
        <v>1588</v>
      </c>
      <c r="G401" s="1925"/>
      <c r="H401" s="1925"/>
      <c r="I401" s="1925"/>
      <c r="J401" s="1925"/>
      <c r="K401" s="1925"/>
      <c r="L401" s="1925"/>
      <c r="M401" s="1925"/>
      <c r="N401" s="1925"/>
      <c r="O401" s="1925"/>
      <c r="P401" s="1925"/>
      <c r="Q401" s="1925"/>
      <c r="R401" s="1925"/>
      <c r="S401" s="1925"/>
      <c r="T401" s="1925"/>
      <c r="U401" s="1925"/>
      <c r="V401" s="1925"/>
      <c r="W401" s="1925"/>
      <c r="X401" s="1925"/>
      <c r="Y401" s="1925"/>
      <c r="Z401" s="1925"/>
      <c r="AA401" s="1925"/>
      <c r="AB401" s="1925"/>
      <c r="AC401" s="1925"/>
      <c r="AD401" s="1925"/>
      <c r="AE401" s="192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6"/>
      <c r="G402" s="1926"/>
      <c r="H402" s="1926"/>
      <c r="I402" s="1926"/>
      <c r="J402" s="1926"/>
      <c r="K402" s="1926"/>
      <c r="L402" s="1926"/>
      <c r="M402" s="1926"/>
      <c r="N402" s="1926"/>
      <c r="O402" s="1926"/>
      <c r="P402" s="1926"/>
      <c r="Q402" s="1926"/>
      <c r="R402" s="1926"/>
      <c r="S402" s="1926"/>
      <c r="T402" s="1926"/>
      <c r="U402" s="1926"/>
      <c r="V402" s="1926"/>
      <c r="W402" s="1926"/>
      <c r="X402" s="1926"/>
      <c r="Y402" s="1926"/>
      <c r="Z402" s="1926"/>
      <c r="AA402" s="1926"/>
      <c r="AB402" s="1926"/>
      <c r="AC402" s="1926"/>
      <c r="AD402" s="1926"/>
      <c r="AE402" s="1926"/>
      <c r="AF402" s="1994" t="s">
        <v>1574</v>
      </c>
      <c r="AG402" s="1994"/>
      <c r="AH402" s="1994"/>
      <c r="AI402" s="1994"/>
      <c r="AJ402" s="1994"/>
      <c r="AK402" s="1994"/>
      <c r="AL402" s="2024"/>
      <c r="AM402" s="604"/>
      <c r="AN402" s="631"/>
      <c r="BS402" s="604"/>
      <c r="BT402" s="604"/>
      <c r="BY402" s="604"/>
      <c r="BZ402" s="604"/>
      <c r="CA402" s="604"/>
      <c r="CB402" s="604"/>
      <c r="CC402" s="604"/>
    </row>
    <row r="403" spans="1:81" s="584" customFormat="1" ht="12.75" customHeight="1">
      <c r="A403" s="570"/>
      <c r="B403" s="14"/>
      <c r="C403" s="765"/>
      <c r="D403" s="14"/>
      <c r="E403" s="725"/>
      <c r="F403" s="1926"/>
      <c r="G403" s="1926"/>
      <c r="H403" s="1926"/>
      <c r="I403" s="1926"/>
      <c r="J403" s="1926"/>
      <c r="K403" s="1926"/>
      <c r="L403" s="1926"/>
      <c r="M403" s="1926"/>
      <c r="N403" s="1926"/>
      <c r="O403" s="1926"/>
      <c r="P403" s="1926"/>
      <c r="Q403" s="1926"/>
      <c r="R403" s="1926"/>
      <c r="S403" s="1926"/>
      <c r="T403" s="1926"/>
      <c r="U403" s="1926"/>
      <c r="V403" s="1926"/>
      <c r="W403" s="1926"/>
      <c r="X403" s="1926"/>
      <c r="Y403" s="1926"/>
      <c r="Z403" s="1926"/>
      <c r="AA403" s="1926"/>
      <c r="AB403" s="1926"/>
      <c r="AC403" s="1926"/>
      <c r="AD403" s="1926"/>
      <c r="AE403" s="192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5" t="s">
        <v>1590</v>
      </c>
      <c r="G406" s="1925"/>
      <c r="H406" s="1925"/>
      <c r="I406" s="1925"/>
      <c r="J406" s="1925"/>
      <c r="K406" s="1925"/>
      <c r="L406" s="1925"/>
      <c r="M406" s="1925"/>
      <c r="N406" s="1925"/>
      <c r="O406" s="1925"/>
      <c r="P406" s="1925"/>
      <c r="Q406" s="1925"/>
      <c r="R406" s="1925"/>
      <c r="S406" s="1925"/>
      <c r="T406" s="1925"/>
      <c r="U406" s="1925"/>
      <c r="V406" s="1925"/>
      <c r="W406" s="1925"/>
      <c r="X406" s="1925"/>
      <c r="Y406" s="1925"/>
      <c r="Z406" s="1925"/>
      <c r="AA406" s="1925"/>
      <c r="AB406" s="1925"/>
      <c r="AC406" s="1925"/>
      <c r="AD406" s="1925"/>
      <c r="AE406" s="1925"/>
      <c r="AF406" s="781"/>
      <c r="AG406" s="781"/>
      <c r="AH406" s="781"/>
      <c r="AI406" s="781"/>
      <c r="AJ406" s="781"/>
      <c r="AK406" s="781"/>
      <c r="AL406" s="782"/>
      <c r="AM406" s="604"/>
    </row>
    <row r="407" spans="1:81">
      <c r="A407" s="570"/>
      <c r="C407" s="765"/>
      <c r="E407" s="725"/>
      <c r="F407" s="1926"/>
      <c r="G407" s="1926"/>
      <c r="H407" s="1926"/>
      <c r="I407" s="1926"/>
      <c r="J407" s="1926"/>
      <c r="K407" s="1926"/>
      <c r="L407" s="1926"/>
      <c r="M407" s="1926"/>
      <c r="N407" s="1926"/>
      <c r="O407" s="1926"/>
      <c r="P407" s="1926"/>
      <c r="Q407" s="1926"/>
      <c r="R407" s="1926"/>
      <c r="S407" s="1926"/>
      <c r="T407" s="1926"/>
      <c r="U407" s="1926"/>
      <c r="V407" s="1926"/>
      <c r="W407" s="1926"/>
      <c r="X407" s="1926"/>
      <c r="Y407" s="1926"/>
      <c r="Z407" s="1926"/>
      <c r="AA407" s="1926"/>
      <c r="AB407" s="1926"/>
      <c r="AC407" s="1926"/>
      <c r="AD407" s="1926"/>
      <c r="AE407" s="1926"/>
      <c r="AF407" s="573"/>
      <c r="AG407" s="570"/>
      <c r="AH407" s="584"/>
      <c r="AI407" s="584"/>
      <c r="AJ407" s="584"/>
      <c r="AK407" s="584"/>
      <c r="AL407" s="766"/>
      <c r="AM407" s="604"/>
    </row>
    <row r="408" spans="1:81" s="584" customFormat="1" ht="12.75" customHeight="1">
      <c r="A408" s="570"/>
      <c r="B408" s="14"/>
      <c r="C408" s="765"/>
      <c r="D408" s="14"/>
      <c r="E408" s="725"/>
      <c r="F408" s="1926"/>
      <c r="G408" s="1926"/>
      <c r="H408" s="1926"/>
      <c r="I408" s="1926"/>
      <c r="J408" s="1926"/>
      <c r="K408" s="1926"/>
      <c r="L408" s="1926"/>
      <c r="M408" s="1926"/>
      <c r="N408" s="1926"/>
      <c r="O408" s="1926"/>
      <c r="P408" s="1926"/>
      <c r="Q408" s="1926"/>
      <c r="R408" s="1926"/>
      <c r="S408" s="1926"/>
      <c r="T408" s="1926"/>
      <c r="U408" s="1926"/>
      <c r="V408" s="1926"/>
      <c r="W408" s="1926"/>
      <c r="X408" s="1926"/>
      <c r="Y408" s="1926"/>
      <c r="Z408" s="1926"/>
      <c r="AA408" s="1926"/>
      <c r="AB408" s="1926"/>
      <c r="AC408" s="1926"/>
      <c r="AD408" s="1926"/>
      <c r="AE408" s="1926"/>
      <c r="AL408" s="766"/>
      <c r="AM408" s="604"/>
      <c r="AN408" s="631"/>
    </row>
    <row r="409" spans="1:81" s="584" customFormat="1" ht="12.75" customHeight="1">
      <c r="A409" s="570"/>
      <c r="B409" s="14"/>
      <c r="C409" s="773"/>
      <c r="F409" s="1926"/>
      <c r="G409" s="1926"/>
      <c r="H409" s="1926"/>
      <c r="I409" s="1926"/>
      <c r="J409" s="1926"/>
      <c r="K409" s="1926"/>
      <c r="L409" s="1926"/>
      <c r="M409" s="1926"/>
      <c r="N409" s="1926"/>
      <c r="O409" s="1926"/>
      <c r="P409" s="1926"/>
      <c r="Q409" s="1926"/>
      <c r="R409" s="1926"/>
      <c r="S409" s="1926"/>
      <c r="T409" s="1926"/>
      <c r="U409" s="1926"/>
      <c r="V409" s="1926"/>
      <c r="W409" s="1926"/>
      <c r="X409" s="1926"/>
      <c r="Y409" s="1926"/>
      <c r="Z409" s="1926"/>
      <c r="AA409" s="1926"/>
      <c r="AB409" s="1926"/>
      <c r="AC409" s="1926"/>
      <c r="AD409" s="1926"/>
      <c r="AE409" s="1926"/>
      <c r="AL409" s="766"/>
      <c r="AM409" s="604"/>
      <c r="AN409" s="631"/>
    </row>
    <row r="410" spans="1:81" s="584" customFormat="1" ht="12.75" customHeight="1">
      <c r="A410" s="570"/>
      <c r="B410" s="14"/>
      <c r="C410" s="1935" t="s">
        <v>599</v>
      </c>
      <c r="D410" s="1936"/>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4" t="s">
        <v>1574</v>
      </c>
      <c r="AG410" s="1994"/>
      <c r="AH410" s="1994"/>
      <c r="AI410" s="1994"/>
      <c r="AJ410" s="1994"/>
      <c r="AK410" s="1994"/>
      <c r="AL410" s="2024"/>
      <c r="AM410" s="604"/>
      <c r="AN410" s="631"/>
    </row>
    <row r="411" spans="1:81" s="584" customFormat="1" ht="12.75" customHeight="1">
      <c r="A411" s="570"/>
      <c r="B411" s="14"/>
      <c r="C411" s="773"/>
      <c r="AL411" s="766"/>
      <c r="AM411" s="604"/>
      <c r="AN411" s="631"/>
    </row>
    <row r="412" spans="1:81" s="584" customFormat="1" ht="12.75" customHeight="1">
      <c r="A412" s="570"/>
      <c r="B412" s="14"/>
      <c r="C412" s="1935" t="s">
        <v>599</v>
      </c>
      <c r="D412" s="1936"/>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4" t="s">
        <v>1586</v>
      </c>
      <c r="AG412" s="1994"/>
      <c r="AH412" s="1994"/>
      <c r="AI412" s="1994"/>
      <c r="AJ412" s="1994"/>
      <c r="AK412" s="1994"/>
      <c r="AL412" s="202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5" t="s">
        <v>1594</v>
      </c>
      <c r="G416" s="1925"/>
      <c r="H416" s="1925"/>
      <c r="I416" s="1925"/>
      <c r="J416" s="1925"/>
      <c r="K416" s="1925"/>
      <c r="L416" s="1925"/>
      <c r="M416" s="1925"/>
      <c r="N416" s="1925"/>
      <c r="O416" s="1925"/>
      <c r="P416" s="1925"/>
      <c r="Q416" s="1925"/>
      <c r="R416" s="1925"/>
      <c r="S416" s="1925"/>
      <c r="T416" s="1925"/>
      <c r="U416" s="1925"/>
      <c r="V416" s="1925"/>
      <c r="W416" s="1925"/>
      <c r="X416" s="1925"/>
      <c r="Y416" s="1925"/>
      <c r="Z416" s="1925"/>
      <c r="AA416" s="1925"/>
      <c r="AB416" s="1925"/>
      <c r="AC416" s="1925"/>
      <c r="AD416" s="1925"/>
      <c r="AE416" s="1925"/>
      <c r="AF416" s="748"/>
      <c r="AG416" s="748"/>
      <c r="AH416" s="748"/>
      <c r="AI416" s="748"/>
      <c r="AJ416" s="748"/>
      <c r="AK416" s="748"/>
      <c r="AL416" s="779"/>
      <c r="AM416" s="604"/>
      <c r="AN416" s="631"/>
    </row>
    <row r="417" spans="1:60" s="584" customFormat="1" ht="12.75" customHeight="1">
      <c r="A417" s="570"/>
      <c r="B417" s="14"/>
      <c r="C417" s="765"/>
      <c r="D417" s="14"/>
      <c r="E417" s="725"/>
      <c r="F417" s="1926"/>
      <c r="G417" s="1926"/>
      <c r="H417" s="1926"/>
      <c r="I417" s="1926"/>
      <c r="J417" s="1926"/>
      <c r="K417" s="1926"/>
      <c r="L417" s="1926"/>
      <c r="M417" s="1926"/>
      <c r="N417" s="1926"/>
      <c r="O417" s="1926"/>
      <c r="P417" s="1926"/>
      <c r="Q417" s="1926"/>
      <c r="R417" s="1926"/>
      <c r="S417" s="1926"/>
      <c r="T417" s="1926"/>
      <c r="U417" s="1926"/>
      <c r="V417" s="1926"/>
      <c r="W417" s="1926"/>
      <c r="X417" s="1926"/>
      <c r="Y417" s="1926"/>
      <c r="Z417" s="1926"/>
      <c r="AA417" s="1926"/>
      <c r="AB417" s="1926"/>
      <c r="AC417" s="1926"/>
      <c r="AD417" s="1926"/>
      <c r="AE417" s="1926"/>
      <c r="AF417" s="573"/>
      <c r="AG417" s="570"/>
      <c r="AL417" s="766"/>
      <c r="AM417" s="604"/>
      <c r="AN417" s="631"/>
    </row>
    <row r="418" spans="1:60" s="584" customFormat="1" ht="12.6" customHeight="1">
      <c r="A418" s="570"/>
      <c r="B418" s="14"/>
      <c r="C418" s="765"/>
      <c r="D418" s="14"/>
      <c r="E418" s="725"/>
      <c r="F418" s="1926"/>
      <c r="G418" s="1926"/>
      <c r="H418" s="1926"/>
      <c r="I418" s="1926"/>
      <c r="J418" s="1926"/>
      <c r="K418" s="1926"/>
      <c r="L418" s="1926"/>
      <c r="M418" s="1926"/>
      <c r="N418" s="1926"/>
      <c r="O418" s="1926"/>
      <c r="P418" s="1926"/>
      <c r="Q418" s="1926"/>
      <c r="R418" s="1926"/>
      <c r="S418" s="1926"/>
      <c r="T418" s="1926"/>
      <c r="U418" s="1926"/>
      <c r="V418" s="1926"/>
      <c r="W418" s="1926"/>
      <c r="X418" s="1926"/>
      <c r="Y418" s="1926"/>
      <c r="Z418" s="1926"/>
      <c r="AA418" s="1926"/>
      <c r="AB418" s="1926"/>
      <c r="AC418" s="1926"/>
      <c r="AD418" s="1926"/>
      <c r="AE418" s="1926"/>
      <c r="AL418" s="766"/>
      <c r="AM418" s="604"/>
      <c r="AN418" s="631"/>
    </row>
    <row r="419" spans="1:60" s="584" customFormat="1" ht="12.75" customHeight="1">
      <c r="A419" s="570"/>
      <c r="B419" s="14"/>
      <c r="C419" s="1935" t="s">
        <v>553</v>
      </c>
      <c r="D419" s="1936"/>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4" t="s">
        <v>1574</v>
      </c>
      <c r="AG419" s="1994"/>
      <c r="AH419" s="1994"/>
      <c r="AI419" s="1994"/>
      <c r="AJ419" s="1994"/>
      <c r="AK419" s="1994"/>
      <c r="AL419" s="202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1596</v>
      </c>
      <c r="F422" s="1925" t="s">
        <v>1597</v>
      </c>
      <c r="G422" s="1925"/>
      <c r="H422" s="1925"/>
      <c r="I422" s="1925"/>
      <c r="J422" s="1925"/>
      <c r="K422" s="1925"/>
      <c r="L422" s="1925"/>
      <c r="M422" s="1925"/>
      <c r="N422" s="1925"/>
      <c r="O422" s="1925"/>
      <c r="P422" s="1925"/>
      <c r="Q422" s="1925"/>
      <c r="R422" s="1925"/>
      <c r="S422" s="1925"/>
      <c r="T422" s="1925"/>
      <c r="U422" s="1925"/>
      <c r="V422" s="1925"/>
      <c r="W422" s="1925"/>
      <c r="X422" s="1925"/>
      <c r="Y422" s="1925"/>
      <c r="Z422" s="1925"/>
      <c r="AA422" s="1925"/>
      <c r="AB422" s="1925"/>
      <c r="AC422" s="1925"/>
      <c r="AD422" s="1925"/>
      <c r="AE422" s="1925"/>
      <c r="AF422" s="781"/>
      <c r="AG422" s="781"/>
      <c r="AH422" s="781"/>
      <c r="AI422" s="781"/>
      <c r="AJ422" s="781"/>
      <c r="AK422" s="781"/>
      <c r="AL422" s="782"/>
      <c r="AM422" s="604"/>
      <c r="AO422" s="584"/>
      <c r="AP422" s="584"/>
      <c r="BD422" s="14"/>
      <c r="BE422" s="14"/>
      <c r="BF422" s="14"/>
      <c r="BG422" s="14"/>
      <c r="BH422" s="14"/>
    </row>
    <row r="423" spans="1:60">
      <c r="A423" s="570"/>
      <c r="C423" s="765"/>
      <c r="E423" s="725"/>
      <c r="F423" s="1926"/>
      <c r="G423" s="1926"/>
      <c r="H423" s="1926"/>
      <c r="I423" s="1926"/>
      <c r="J423" s="1926"/>
      <c r="K423" s="1926"/>
      <c r="L423" s="1926"/>
      <c r="M423" s="1926"/>
      <c r="N423" s="1926"/>
      <c r="O423" s="1926"/>
      <c r="P423" s="1926"/>
      <c r="Q423" s="1926"/>
      <c r="R423" s="1926"/>
      <c r="S423" s="1926"/>
      <c r="T423" s="1926"/>
      <c r="U423" s="1926"/>
      <c r="V423" s="1926"/>
      <c r="W423" s="1926"/>
      <c r="X423" s="1926"/>
      <c r="Y423" s="1926"/>
      <c r="Z423" s="1926"/>
      <c r="AA423" s="1926"/>
      <c r="AB423" s="1926"/>
      <c r="AC423" s="1926"/>
      <c r="AD423" s="1926"/>
      <c r="AE423" s="1926"/>
      <c r="AF423" s="628"/>
      <c r="AG423" s="628"/>
      <c r="AH423" s="628"/>
      <c r="AI423" s="628"/>
      <c r="AJ423" s="628"/>
      <c r="AK423" s="628"/>
      <c r="AL423" s="784"/>
      <c r="AM423" s="604"/>
      <c r="AO423" s="584"/>
      <c r="AP423" s="584"/>
    </row>
    <row r="424" spans="1:60" s="584" customFormat="1" ht="12.75" customHeight="1">
      <c r="A424" s="570"/>
      <c r="B424" s="14"/>
      <c r="C424" s="765"/>
      <c r="D424" s="14"/>
      <c r="E424" s="725"/>
      <c r="F424" s="1926"/>
      <c r="G424" s="1926"/>
      <c r="H424" s="1926"/>
      <c r="I424" s="1926"/>
      <c r="J424" s="1926"/>
      <c r="K424" s="1926"/>
      <c r="L424" s="1926"/>
      <c r="M424" s="1926"/>
      <c r="N424" s="1926"/>
      <c r="O424" s="1926"/>
      <c r="P424" s="1926"/>
      <c r="Q424" s="1926"/>
      <c r="R424" s="1926"/>
      <c r="S424" s="1926"/>
      <c r="T424" s="1926"/>
      <c r="U424" s="1926"/>
      <c r="V424" s="1926"/>
      <c r="W424" s="1926"/>
      <c r="X424" s="1926"/>
      <c r="Y424" s="1926"/>
      <c r="Z424" s="1926"/>
      <c r="AA424" s="1926"/>
      <c r="AB424" s="1926"/>
      <c r="AC424" s="1926"/>
      <c r="AD424" s="1926"/>
      <c r="AE424" s="1926"/>
      <c r="AF424" s="628"/>
      <c r="AG424" s="628"/>
      <c r="AH424" s="628"/>
      <c r="AI424" s="628"/>
      <c r="AJ424" s="628"/>
      <c r="AK424" s="628"/>
      <c r="AL424" s="784"/>
      <c r="AM424" s="604"/>
      <c r="AN424" s="631"/>
    </row>
    <row r="425" spans="1:60" s="584" customFormat="1" ht="12.75" customHeight="1">
      <c r="A425" s="570"/>
      <c r="B425" s="14"/>
      <c r="C425" s="785"/>
      <c r="D425" s="764"/>
      <c r="E425" s="753"/>
      <c r="F425" s="1926"/>
      <c r="G425" s="1926"/>
      <c r="H425" s="1926"/>
      <c r="I425" s="1926"/>
      <c r="J425" s="1926"/>
      <c r="K425" s="1926"/>
      <c r="L425" s="1926"/>
      <c r="M425" s="1926"/>
      <c r="N425" s="1926"/>
      <c r="O425" s="1926"/>
      <c r="P425" s="1926"/>
      <c r="Q425" s="1926"/>
      <c r="R425" s="1926"/>
      <c r="S425" s="1926"/>
      <c r="T425" s="1926"/>
      <c r="U425" s="1926"/>
      <c r="V425" s="1926"/>
      <c r="W425" s="1926"/>
      <c r="X425" s="1926"/>
      <c r="Y425" s="1926"/>
      <c r="Z425" s="1926"/>
      <c r="AA425" s="1926"/>
      <c r="AB425" s="1926"/>
      <c r="AC425" s="1926"/>
      <c r="AD425" s="1926"/>
      <c r="AE425" s="192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6"/>
      <c r="G426" s="1926"/>
      <c r="H426" s="1926"/>
      <c r="I426" s="1926"/>
      <c r="J426" s="1926"/>
      <c r="K426" s="1926"/>
      <c r="L426" s="1926"/>
      <c r="M426" s="1926"/>
      <c r="N426" s="1926"/>
      <c r="O426" s="1926"/>
      <c r="P426" s="1926"/>
      <c r="Q426" s="1926"/>
      <c r="R426" s="1926"/>
      <c r="S426" s="1926"/>
      <c r="T426" s="1926"/>
      <c r="U426" s="1926"/>
      <c r="V426" s="1926"/>
      <c r="W426" s="1926"/>
      <c r="X426" s="1926"/>
      <c r="Y426" s="1926"/>
      <c r="Z426" s="1926"/>
      <c r="AA426" s="1926"/>
      <c r="AB426" s="1926"/>
      <c r="AC426" s="1926"/>
      <c r="AD426" s="1926"/>
      <c r="AE426" s="1926"/>
      <c r="AF426" s="628"/>
      <c r="AG426" s="628"/>
      <c r="AH426" s="628"/>
      <c r="AI426" s="628"/>
      <c r="AJ426" s="628"/>
      <c r="AK426" s="628"/>
      <c r="AL426" s="784"/>
      <c r="AM426" s="604"/>
      <c r="AN426" s="631"/>
    </row>
    <row r="427" spans="1:60" s="584" customFormat="1" ht="12.75" customHeight="1">
      <c r="A427" s="570"/>
      <c r="B427" s="14"/>
      <c r="C427" s="785"/>
      <c r="D427" s="764"/>
      <c r="E427" s="753"/>
      <c r="F427" s="1926"/>
      <c r="G427" s="1926"/>
      <c r="H427" s="1926"/>
      <c r="I427" s="1926"/>
      <c r="J427" s="1926"/>
      <c r="K427" s="1926"/>
      <c r="L427" s="1926"/>
      <c r="M427" s="1926"/>
      <c r="N427" s="1926"/>
      <c r="O427" s="1926"/>
      <c r="P427" s="1926"/>
      <c r="Q427" s="1926"/>
      <c r="R427" s="1926"/>
      <c r="S427" s="1926"/>
      <c r="T427" s="1926"/>
      <c r="U427" s="1926"/>
      <c r="V427" s="1926"/>
      <c r="W427" s="1926"/>
      <c r="X427" s="1926"/>
      <c r="Y427" s="1926"/>
      <c r="Z427" s="1926"/>
      <c r="AA427" s="1926"/>
      <c r="AB427" s="1926"/>
      <c r="AC427" s="1926"/>
      <c r="AD427" s="1926"/>
      <c r="AE427" s="1926"/>
      <c r="AF427" s="628"/>
      <c r="AG427" s="628"/>
      <c r="AH427" s="628"/>
      <c r="AI427" s="628"/>
      <c r="AJ427" s="628"/>
      <c r="AK427" s="628"/>
      <c r="AL427" s="784"/>
      <c r="AM427" s="604"/>
      <c r="AN427" s="631"/>
    </row>
    <row r="428" spans="1:60" s="584" customFormat="1" ht="12.75" customHeight="1">
      <c r="A428" s="570"/>
      <c r="B428" s="14"/>
      <c r="C428" s="785"/>
      <c r="D428" s="764"/>
      <c r="E428" s="753"/>
      <c r="F428" s="1926"/>
      <c r="G428" s="1926"/>
      <c r="H428" s="1926"/>
      <c r="I428" s="1926"/>
      <c r="J428" s="1926"/>
      <c r="K428" s="1926"/>
      <c r="L428" s="1926"/>
      <c r="M428" s="1926"/>
      <c r="N428" s="1926"/>
      <c r="O428" s="1926"/>
      <c r="P428" s="1926"/>
      <c r="Q428" s="1926"/>
      <c r="R428" s="1926"/>
      <c r="S428" s="1926"/>
      <c r="T428" s="1926"/>
      <c r="U428" s="1926"/>
      <c r="V428" s="1926"/>
      <c r="W428" s="1926"/>
      <c r="X428" s="1926"/>
      <c r="Y428" s="1926"/>
      <c r="Z428" s="1926"/>
      <c r="AA428" s="1926"/>
      <c r="AB428" s="1926"/>
      <c r="AC428" s="1926"/>
      <c r="AD428" s="1926"/>
      <c r="AE428" s="1926"/>
      <c r="AF428" s="628"/>
      <c r="AG428" s="628"/>
      <c r="AH428" s="628"/>
      <c r="AI428" s="628"/>
      <c r="AJ428" s="628"/>
      <c r="AK428" s="628"/>
      <c r="AL428" s="784"/>
      <c r="AM428" s="604"/>
      <c r="AN428" s="631"/>
    </row>
    <row r="429" spans="1:60" s="584" customFormat="1" ht="12.75" customHeight="1">
      <c r="A429" s="570"/>
      <c r="B429" s="14"/>
      <c r="C429" s="785"/>
      <c r="D429" s="764"/>
      <c r="E429" s="753"/>
      <c r="F429" s="1926"/>
      <c r="G429" s="1926"/>
      <c r="H429" s="1926"/>
      <c r="I429" s="1926"/>
      <c r="J429" s="1926"/>
      <c r="K429" s="1926"/>
      <c r="L429" s="1926"/>
      <c r="M429" s="1926"/>
      <c r="N429" s="1926"/>
      <c r="O429" s="1926"/>
      <c r="P429" s="1926"/>
      <c r="Q429" s="1926"/>
      <c r="R429" s="1926"/>
      <c r="S429" s="1926"/>
      <c r="T429" s="1926"/>
      <c r="U429" s="1926"/>
      <c r="V429" s="1926"/>
      <c r="W429" s="1926"/>
      <c r="X429" s="1926"/>
      <c r="Y429" s="1926"/>
      <c r="Z429" s="1926"/>
      <c r="AA429" s="1926"/>
      <c r="AB429" s="1926"/>
      <c r="AC429" s="1926"/>
      <c r="AD429" s="1926"/>
      <c r="AE429" s="1926"/>
      <c r="AF429" s="628"/>
      <c r="AG429" s="628"/>
      <c r="AH429" s="628"/>
      <c r="AI429" s="628"/>
      <c r="AJ429" s="628"/>
      <c r="AK429" s="628"/>
      <c r="AL429" s="784"/>
      <c r="AM429" s="604"/>
      <c r="AN429" s="631"/>
    </row>
    <row r="430" spans="1:60" s="584" customFormat="1" ht="17.25" customHeight="1">
      <c r="A430" s="570"/>
      <c r="B430" s="14"/>
      <c r="C430" s="785"/>
      <c r="D430" s="764"/>
      <c r="E430" s="753"/>
      <c r="F430" s="1926"/>
      <c r="G430" s="1926"/>
      <c r="H430" s="1926"/>
      <c r="I430" s="1926"/>
      <c r="J430" s="1926"/>
      <c r="K430" s="1926"/>
      <c r="L430" s="1926"/>
      <c r="M430" s="1926"/>
      <c r="N430" s="1926"/>
      <c r="O430" s="1926"/>
      <c r="P430" s="1926"/>
      <c r="Q430" s="1926"/>
      <c r="R430" s="1926"/>
      <c r="S430" s="1926"/>
      <c r="T430" s="1926"/>
      <c r="U430" s="1926"/>
      <c r="V430" s="1926"/>
      <c r="W430" s="1926"/>
      <c r="X430" s="1926"/>
      <c r="Y430" s="1926"/>
      <c r="Z430" s="1926"/>
      <c r="AA430" s="1926"/>
      <c r="AB430" s="1926"/>
      <c r="AC430" s="1926"/>
      <c r="AD430" s="1926"/>
      <c r="AE430" s="1926"/>
      <c r="AL430" s="766"/>
      <c r="AM430" s="604"/>
      <c r="AN430" s="631"/>
    </row>
    <row r="431" spans="1:60" s="584" customFormat="1" ht="12.75" customHeight="1">
      <c r="A431" s="570"/>
      <c r="B431" s="14"/>
      <c r="C431" s="1935" t="s">
        <v>553</v>
      </c>
      <c r="D431" s="1936"/>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4" t="s">
        <v>1574</v>
      </c>
      <c r="AG431" s="1994"/>
      <c r="AH431" s="1994"/>
      <c r="AI431" s="1994"/>
      <c r="AJ431" s="1994"/>
      <c r="AK431" s="1994"/>
      <c r="AL431" s="202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5" t="s">
        <v>1600</v>
      </c>
      <c r="G434" s="1925"/>
      <c r="H434" s="1925"/>
      <c r="I434" s="1925"/>
      <c r="J434" s="1925"/>
      <c r="K434" s="1925"/>
      <c r="L434" s="1925"/>
      <c r="M434" s="1925"/>
      <c r="N434" s="1925"/>
      <c r="O434" s="1925"/>
      <c r="P434" s="1925"/>
      <c r="Q434" s="1925"/>
      <c r="R434" s="1925"/>
      <c r="S434" s="1925"/>
      <c r="T434" s="1925"/>
      <c r="U434" s="1925"/>
      <c r="V434" s="1925"/>
      <c r="W434" s="1925"/>
      <c r="X434" s="1925"/>
      <c r="Y434" s="1925"/>
      <c r="Z434" s="1925"/>
      <c r="AA434" s="1925"/>
      <c r="AB434" s="1925"/>
      <c r="AC434" s="1925"/>
      <c r="AD434" s="1925"/>
      <c r="AE434" s="1925"/>
      <c r="AF434" s="748"/>
      <c r="AG434" s="748"/>
      <c r="AH434" s="748"/>
      <c r="AI434" s="748"/>
      <c r="AJ434" s="748"/>
      <c r="AK434" s="748"/>
      <c r="AL434" s="779"/>
      <c r="AM434" s="604"/>
      <c r="AN434" s="631"/>
    </row>
    <row r="435" spans="1:40" s="584" customFormat="1" ht="12.75" customHeight="1">
      <c r="A435" s="570"/>
      <c r="B435" s="14"/>
      <c r="C435" s="785"/>
      <c r="D435" s="764"/>
      <c r="E435" s="753"/>
      <c r="F435" s="1926"/>
      <c r="G435" s="1926"/>
      <c r="H435" s="1926"/>
      <c r="I435" s="1926"/>
      <c r="J435" s="1926"/>
      <c r="K435" s="1926"/>
      <c r="L435" s="1926"/>
      <c r="M435" s="1926"/>
      <c r="N435" s="1926"/>
      <c r="O435" s="1926"/>
      <c r="P435" s="1926"/>
      <c r="Q435" s="1926"/>
      <c r="R435" s="1926"/>
      <c r="S435" s="1926"/>
      <c r="T435" s="1926"/>
      <c r="U435" s="1926"/>
      <c r="V435" s="1926"/>
      <c r="W435" s="1926"/>
      <c r="X435" s="1926"/>
      <c r="Y435" s="1926"/>
      <c r="Z435" s="1926"/>
      <c r="AA435" s="1926"/>
      <c r="AB435" s="1926"/>
      <c r="AC435" s="1926"/>
      <c r="AD435" s="1926"/>
      <c r="AE435" s="1926"/>
      <c r="AF435" s="625"/>
      <c r="AG435" s="625"/>
      <c r="AH435" s="625"/>
      <c r="AI435" s="625"/>
      <c r="AJ435" s="625"/>
      <c r="AK435" s="625"/>
      <c r="AL435" s="754"/>
      <c r="AM435" s="604"/>
      <c r="AN435" s="631"/>
    </row>
    <row r="436" spans="1:40" s="584" customFormat="1" ht="12.75" customHeight="1">
      <c r="A436" s="570"/>
      <c r="B436" s="14"/>
      <c r="C436" s="785"/>
      <c r="D436" s="764"/>
      <c r="E436" s="753"/>
      <c r="F436" s="1926"/>
      <c r="G436" s="1926"/>
      <c r="H436" s="1926"/>
      <c r="I436" s="1926"/>
      <c r="J436" s="1926"/>
      <c r="K436" s="1926"/>
      <c r="L436" s="1926"/>
      <c r="M436" s="1926"/>
      <c r="N436" s="1926"/>
      <c r="O436" s="1926"/>
      <c r="P436" s="1926"/>
      <c r="Q436" s="1926"/>
      <c r="R436" s="1926"/>
      <c r="S436" s="1926"/>
      <c r="T436" s="1926"/>
      <c r="U436" s="1926"/>
      <c r="V436" s="1926"/>
      <c r="W436" s="1926"/>
      <c r="X436" s="1926"/>
      <c r="Y436" s="1926"/>
      <c r="Z436" s="1926"/>
      <c r="AA436" s="1926"/>
      <c r="AB436" s="1926"/>
      <c r="AC436" s="1926"/>
      <c r="AD436" s="1926"/>
      <c r="AE436" s="1926"/>
      <c r="AF436" s="625"/>
      <c r="AG436" s="625"/>
      <c r="AH436" s="625"/>
      <c r="AI436" s="625"/>
      <c r="AJ436" s="625"/>
      <c r="AK436" s="625"/>
      <c r="AL436" s="754"/>
      <c r="AM436" s="604"/>
      <c r="AN436" s="631"/>
    </row>
    <row r="437" spans="1:40" s="584" customFormat="1" ht="12.75" customHeight="1">
      <c r="A437" s="570"/>
      <c r="B437" s="14"/>
      <c r="C437" s="785"/>
      <c r="D437" s="764"/>
      <c r="E437" s="753"/>
      <c r="F437" s="1926"/>
      <c r="G437" s="1926"/>
      <c r="H437" s="1926"/>
      <c r="I437" s="1926"/>
      <c r="J437" s="1926"/>
      <c r="K437" s="1926"/>
      <c r="L437" s="1926"/>
      <c r="M437" s="1926"/>
      <c r="N437" s="1926"/>
      <c r="O437" s="1926"/>
      <c r="P437" s="1926"/>
      <c r="Q437" s="1926"/>
      <c r="R437" s="1926"/>
      <c r="S437" s="1926"/>
      <c r="T437" s="1926"/>
      <c r="U437" s="1926"/>
      <c r="V437" s="1926"/>
      <c r="W437" s="1926"/>
      <c r="X437" s="1926"/>
      <c r="Y437" s="1926"/>
      <c r="Z437" s="1926"/>
      <c r="AA437" s="1926"/>
      <c r="AB437" s="1926"/>
      <c r="AC437" s="1926"/>
      <c r="AD437" s="1926"/>
      <c r="AE437" s="1926"/>
      <c r="AL437" s="766"/>
      <c r="AM437" s="604"/>
      <c r="AN437" s="631"/>
    </row>
    <row r="438" spans="1:40" s="584" customFormat="1" ht="12.75" customHeight="1">
      <c r="A438" s="570"/>
      <c r="B438" s="14"/>
      <c r="C438" s="1935" t="s">
        <v>599</v>
      </c>
      <c r="D438" s="1936"/>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4" t="s">
        <v>1574</v>
      </c>
      <c r="AG438" s="1994"/>
      <c r="AH438" s="1994"/>
      <c r="AI438" s="1994"/>
      <c r="AJ438" s="1994"/>
      <c r="AK438" s="1994"/>
      <c r="AL438" s="202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3" t="s">
        <v>599</v>
      </c>
      <c r="D442" s="2054"/>
      <c r="E442" s="749" t="s">
        <v>1609</v>
      </c>
      <c r="F442" s="1925" t="s">
        <v>1610</v>
      </c>
      <c r="G442" s="1925"/>
      <c r="H442" s="1925"/>
      <c r="I442" s="1925"/>
      <c r="J442" s="1925"/>
      <c r="K442" s="1925"/>
      <c r="L442" s="1925"/>
      <c r="M442" s="1925"/>
      <c r="N442" s="1925"/>
      <c r="O442" s="1925"/>
      <c r="P442" s="1925"/>
      <c r="Q442" s="1925"/>
      <c r="R442" s="1925"/>
      <c r="S442" s="1925"/>
      <c r="T442" s="1925"/>
      <c r="U442" s="1925"/>
      <c r="V442" s="1925"/>
      <c r="W442" s="1925"/>
      <c r="X442" s="1925"/>
      <c r="Y442" s="1925"/>
      <c r="Z442" s="1925"/>
      <c r="AA442" s="1925"/>
      <c r="AB442" s="1925"/>
      <c r="AC442" s="1925"/>
      <c r="AD442" s="1925"/>
      <c r="AE442" s="1925"/>
      <c r="AF442" s="2020" t="s">
        <v>1574</v>
      </c>
      <c r="AG442" s="2020"/>
      <c r="AH442" s="2020"/>
      <c r="AI442" s="2020"/>
      <c r="AJ442" s="2020"/>
      <c r="AK442" s="2020"/>
      <c r="AL442" s="2021"/>
      <c r="AM442" s="604"/>
      <c r="AN442" s="787"/>
    </row>
    <row r="443" spans="1:40" s="584" customFormat="1" ht="12.75" customHeight="1">
      <c r="A443" s="570"/>
      <c r="B443" s="14"/>
      <c r="C443" s="785"/>
      <c r="D443" s="764"/>
      <c r="E443" s="753"/>
      <c r="F443" s="1926"/>
      <c r="G443" s="1926"/>
      <c r="H443" s="1926"/>
      <c r="I443" s="1926"/>
      <c r="J443" s="1926"/>
      <c r="K443" s="1926"/>
      <c r="L443" s="1926"/>
      <c r="M443" s="1926"/>
      <c r="N443" s="1926"/>
      <c r="O443" s="1926"/>
      <c r="P443" s="1926"/>
      <c r="Q443" s="1926"/>
      <c r="R443" s="1926"/>
      <c r="S443" s="1926"/>
      <c r="T443" s="1926"/>
      <c r="U443" s="1926"/>
      <c r="V443" s="1926"/>
      <c r="W443" s="1926"/>
      <c r="X443" s="1926"/>
      <c r="Y443" s="1926"/>
      <c r="Z443" s="1926"/>
      <c r="AA443" s="1926"/>
      <c r="AB443" s="1926"/>
      <c r="AC443" s="1926"/>
      <c r="AD443" s="1926"/>
      <c r="AE443" s="1926"/>
      <c r="AF443" s="625"/>
      <c r="AG443" s="625"/>
      <c r="AH443" s="625"/>
      <c r="AI443" s="625"/>
      <c r="AJ443" s="625"/>
      <c r="AK443" s="625"/>
      <c r="AL443" s="754"/>
      <c r="AM443" s="604"/>
      <c r="AN443" s="788"/>
    </row>
    <row r="444" spans="1:40" s="584" customFormat="1" ht="17.850000000000001" customHeight="1">
      <c r="A444" s="570"/>
      <c r="B444" s="14"/>
      <c r="C444" s="790"/>
      <c r="D444" s="757"/>
      <c r="E444" s="758"/>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5" t="s">
        <v>599</v>
      </c>
      <c r="D446" s="1936"/>
      <c r="E446" s="749" t="s">
        <v>1615</v>
      </c>
      <c r="F446" s="1925" t="s">
        <v>1616</v>
      </c>
      <c r="G446" s="1925"/>
      <c r="H446" s="1925"/>
      <c r="I446" s="1925"/>
      <c r="J446" s="1925"/>
      <c r="K446" s="1925"/>
      <c r="L446" s="1925"/>
      <c r="M446" s="1925"/>
      <c r="N446" s="1925"/>
      <c r="O446" s="1925"/>
      <c r="P446" s="1925"/>
      <c r="Q446" s="1925"/>
      <c r="R446" s="1925"/>
      <c r="S446" s="1925"/>
      <c r="T446" s="1925"/>
      <c r="U446" s="1925"/>
      <c r="V446" s="1925"/>
      <c r="W446" s="1925"/>
      <c r="X446" s="1925"/>
      <c r="Y446" s="1925"/>
      <c r="Z446" s="1925"/>
      <c r="AA446" s="1925"/>
      <c r="AB446" s="1925"/>
      <c r="AC446" s="1925"/>
      <c r="AD446" s="1925"/>
      <c r="AE446" s="1925"/>
      <c r="AF446" s="2020" t="s">
        <v>1574</v>
      </c>
      <c r="AG446" s="2020"/>
      <c r="AH446" s="2020"/>
      <c r="AI446" s="2020"/>
      <c r="AJ446" s="2020"/>
      <c r="AK446" s="2020"/>
      <c r="AL446" s="2021"/>
      <c r="AM446" s="604"/>
      <c r="AN446" s="569"/>
    </row>
    <row r="447" spans="1:40" s="584" customFormat="1" ht="12.75" customHeight="1">
      <c r="A447" s="570"/>
      <c r="B447" s="14"/>
      <c r="C447" s="765"/>
      <c r="D447" s="14"/>
      <c r="E447" s="725"/>
      <c r="F447" s="1926"/>
      <c r="G447" s="1926"/>
      <c r="H447" s="1926"/>
      <c r="I447" s="1926"/>
      <c r="J447" s="1926"/>
      <c r="K447" s="1926"/>
      <c r="L447" s="1926"/>
      <c r="M447" s="1926"/>
      <c r="N447" s="1926"/>
      <c r="O447" s="1926"/>
      <c r="P447" s="1926"/>
      <c r="Q447" s="1926"/>
      <c r="R447" s="1926"/>
      <c r="S447" s="1926"/>
      <c r="T447" s="1926"/>
      <c r="U447" s="1926"/>
      <c r="V447" s="1926"/>
      <c r="W447" s="1926"/>
      <c r="X447" s="1926"/>
      <c r="Y447" s="1926"/>
      <c r="Z447" s="1926"/>
      <c r="AA447" s="1926"/>
      <c r="AB447" s="1926"/>
      <c r="AC447" s="1926"/>
      <c r="AD447" s="1926"/>
      <c r="AE447" s="1926"/>
      <c r="AF447" s="573"/>
      <c r="AG447" s="570"/>
      <c r="AL447" s="766"/>
      <c r="AM447" s="604"/>
      <c r="AN447" s="569"/>
    </row>
    <row r="448" spans="1:40" s="584" customFormat="1" ht="12.75" customHeight="1">
      <c r="A448" s="570"/>
      <c r="B448" s="14"/>
      <c r="C448" s="765"/>
      <c r="D448" s="14"/>
      <c r="E448" s="725"/>
      <c r="F448" s="1926"/>
      <c r="G448" s="1926"/>
      <c r="H448" s="1926"/>
      <c r="I448" s="1926"/>
      <c r="J448" s="1926"/>
      <c r="K448" s="1926"/>
      <c r="L448" s="1926"/>
      <c r="M448" s="1926"/>
      <c r="N448" s="1926"/>
      <c r="O448" s="1926"/>
      <c r="P448" s="1926"/>
      <c r="Q448" s="1926"/>
      <c r="R448" s="1926"/>
      <c r="S448" s="1926"/>
      <c r="T448" s="1926"/>
      <c r="U448" s="1926"/>
      <c r="V448" s="1926"/>
      <c r="W448" s="1926"/>
      <c r="X448" s="1926"/>
      <c r="Y448" s="1926"/>
      <c r="Z448" s="1926"/>
      <c r="AA448" s="1926"/>
      <c r="AB448" s="1926"/>
      <c r="AC448" s="1926"/>
      <c r="AD448" s="1926"/>
      <c r="AE448" s="1926"/>
      <c r="AF448" s="573"/>
      <c r="AG448" s="570"/>
      <c r="AL448" s="766"/>
      <c r="AM448" s="604"/>
      <c r="AN448" s="569"/>
    </row>
    <row r="449" spans="1:48" s="584" customFormat="1" ht="12.75" customHeight="1">
      <c r="A449" s="570"/>
      <c r="B449" s="14"/>
      <c r="C449" s="790"/>
      <c r="D449" s="757"/>
      <c r="E449" s="758"/>
      <c r="F449" s="2008"/>
      <c r="G449" s="2008"/>
      <c r="H449" s="2008"/>
      <c r="I449" s="2008"/>
      <c r="J449" s="2008"/>
      <c r="K449" s="2008"/>
      <c r="L449" s="2008"/>
      <c r="M449" s="2008"/>
      <c r="N449" s="2008"/>
      <c r="O449" s="2008"/>
      <c r="P449" s="2008"/>
      <c r="Q449" s="2008"/>
      <c r="R449" s="2008"/>
      <c r="S449" s="2008"/>
      <c r="T449" s="2008"/>
      <c r="U449" s="2008"/>
      <c r="V449" s="2008"/>
      <c r="W449" s="2008"/>
      <c r="X449" s="2008"/>
      <c r="Y449" s="2008"/>
      <c r="Z449" s="2008"/>
      <c r="AA449" s="2008"/>
      <c r="AB449" s="2008"/>
      <c r="AC449" s="2008"/>
      <c r="AD449" s="2008"/>
      <c r="AE449" s="200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5" t="s">
        <v>1619</v>
      </c>
      <c r="G451" s="1925"/>
      <c r="H451" s="1925"/>
      <c r="I451" s="1925"/>
      <c r="J451" s="1925"/>
      <c r="K451" s="1925"/>
      <c r="L451" s="1925"/>
      <c r="M451" s="1925"/>
      <c r="N451" s="1925"/>
      <c r="O451" s="1925"/>
      <c r="P451" s="1925"/>
      <c r="Q451" s="1925"/>
      <c r="R451" s="1925"/>
      <c r="S451" s="1925"/>
      <c r="T451" s="1925"/>
      <c r="U451" s="1925"/>
      <c r="V451" s="1925"/>
      <c r="W451" s="1925"/>
      <c r="X451" s="1925"/>
      <c r="Y451" s="1925"/>
      <c r="Z451" s="1925"/>
      <c r="AA451" s="1925"/>
      <c r="AB451" s="1925"/>
      <c r="AC451" s="1925"/>
      <c r="AD451" s="1925"/>
      <c r="AE451" s="1925"/>
      <c r="AF451" s="1925"/>
      <c r="AG451" s="778"/>
      <c r="AH451" s="748"/>
      <c r="AI451" s="748"/>
      <c r="AJ451" s="748"/>
      <c r="AK451" s="748"/>
      <c r="AL451" s="779"/>
      <c r="AM451" s="604"/>
      <c r="AN451" s="631"/>
    </row>
    <row r="452" spans="1:48" s="584" customFormat="1" ht="12.75" customHeight="1">
      <c r="A452" s="570"/>
      <c r="B452" s="14"/>
      <c r="C452" s="765"/>
      <c r="D452" s="14"/>
      <c r="E452" s="725"/>
      <c r="F452" s="1926"/>
      <c r="G452" s="1926"/>
      <c r="H452" s="1926"/>
      <c r="I452" s="1926"/>
      <c r="J452" s="1926"/>
      <c r="K452" s="1926"/>
      <c r="L452" s="1926"/>
      <c r="M452" s="1926"/>
      <c r="N452" s="1926"/>
      <c r="O452" s="1926"/>
      <c r="P452" s="1926"/>
      <c r="Q452" s="1926"/>
      <c r="R452" s="1926"/>
      <c r="S452" s="1926"/>
      <c r="T452" s="1926"/>
      <c r="U452" s="1926"/>
      <c r="V452" s="1926"/>
      <c r="W452" s="1926"/>
      <c r="X452" s="1926"/>
      <c r="Y452" s="1926"/>
      <c r="Z452" s="1926"/>
      <c r="AA452" s="1926"/>
      <c r="AB452" s="1926"/>
      <c r="AC452" s="1926"/>
      <c r="AD452" s="1926"/>
      <c r="AE452" s="1926"/>
      <c r="AF452" s="1926"/>
      <c r="AL452" s="766"/>
      <c r="AM452" s="604"/>
      <c r="AN452" s="631"/>
    </row>
    <row r="453" spans="1:48" s="584" customFormat="1" ht="12.75" customHeight="1">
      <c r="A453" s="570"/>
      <c r="B453" s="14"/>
      <c r="C453" s="773"/>
      <c r="F453" s="1926"/>
      <c r="G453" s="1926"/>
      <c r="H453" s="1926"/>
      <c r="I453" s="1926"/>
      <c r="J453" s="1926"/>
      <c r="K453" s="1926"/>
      <c r="L453" s="1926"/>
      <c r="M453" s="1926"/>
      <c r="N453" s="1926"/>
      <c r="O453" s="1926"/>
      <c r="P453" s="1926"/>
      <c r="Q453" s="1926"/>
      <c r="R453" s="1926"/>
      <c r="S453" s="1926"/>
      <c r="T453" s="1926"/>
      <c r="U453" s="1926"/>
      <c r="V453" s="1926"/>
      <c r="W453" s="1926"/>
      <c r="X453" s="1926"/>
      <c r="Y453" s="1926"/>
      <c r="Z453" s="1926"/>
      <c r="AA453" s="1926"/>
      <c r="AB453" s="1926"/>
      <c r="AC453" s="1926"/>
      <c r="AD453" s="1926"/>
      <c r="AE453" s="1926"/>
      <c r="AF453" s="1926"/>
      <c r="AL453" s="766"/>
      <c r="AM453" s="604"/>
      <c r="AN453" s="631"/>
    </row>
    <row r="454" spans="1:48" s="584" customFormat="1" ht="12.75" customHeight="1">
      <c r="A454" s="570"/>
      <c r="B454" s="14"/>
      <c r="C454" s="773"/>
      <c r="F454" s="1926"/>
      <c r="G454" s="1926"/>
      <c r="H454" s="1926"/>
      <c r="I454" s="1926"/>
      <c r="J454" s="1926"/>
      <c r="K454" s="1926"/>
      <c r="L454" s="1926"/>
      <c r="M454" s="1926"/>
      <c r="N454" s="1926"/>
      <c r="O454" s="1926"/>
      <c r="P454" s="1926"/>
      <c r="Q454" s="1926"/>
      <c r="R454" s="1926"/>
      <c r="S454" s="1926"/>
      <c r="T454" s="1926"/>
      <c r="U454" s="1926"/>
      <c r="V454" s="1926"/>
      <c r="W454" s="1926"/>
      <c r="X454" s="1926"/>
      <c r="Y454" s="1926"/>
      <c r="Z454" s="1926"/>
      <c r="AA454" s="1926"/>
      <c r="AB454" s="1926"/>
      <c r="AC454" s="1926"/>
      <c r="AD454" s="1926"/>
      <c r="AE454" s="1926"/>
      <c r="AF454" s="1926"/>
      <c r="AL454" s="766"/>
      <c r="AM454" s="604"/>
      <c r="AN454" s="631"/>
    </row>
    <row r="455" spans="1:48" s="584" customFormat="1" ht="12.75" customHeight="1">
      <c r="A455" s="570"/>
      <c r="B455" s="14"/>
      <c r="C455" s="1935" t="s">
        <v>599</v>
      </c>
      <c r="D455" s="1936"/>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4" t="s">
        <v>1574</v>
      </c>
      <c r="AG455" s="1924"/>
      <c r="AH455" s="1924"/>
      <c r="AI455" s="1924"/>
      <c r="AJ455" s="1924"/>
      <c r="AK455" s="1924"/>
      <c r="AL455" s="193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1">
        <f>IF(Application!D214="N/A",AS347,AS349)</f>
        <v>10</v>
      </c>
      <c r="AL458" s="1922"/>
      <c r="AM458" s="192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24" t="s">
        <v>1623</v>
      </c>
      <c r="AF461" s="1924"/>
      <c r="AG461" s="1924"/>
      <c r="AH461" s="1924"/>
      <c r="AI461" s="1924"/>
      <c r="AJ461" s="1924"/>
      <c r="AK461" s="1924"/>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1" t="s">
        <v>599</v>
      </c>
      <c r="D467" s="2002"/>
      <c r="E467" s="795" t="s">
        <v>515</v>
      </c>
      <c r="F467" s="2022" t="s">
        <v>1629</v>
      </c>
      <c r="G467" s="2022"/>
      <c r="H467" s="2022"/>
      <c r="I467" s="2022"/>
      <c r="J467" s="2022"/>
      <c r="K467" s="2022"/>
      <c r="L467" s="2022"/>
      <c r="M467" s="2022"/>
      <c r="N467" s="2022"/>
      <c r="O467" s="2022"/>
      <c r="P467" s="2022"/>
      <c r="Q467" s="2022"/>
      <c r="R467" s="2022"/>
      <c r="S467" s="2022"/>
      <c r="T467" s="2022"/>
      <c r="U467" s="2022"/>
      <c r="V467" s="2022"/>
      <c r="W467" s="2022"/>
      <c r="X467" s="2022"/>
      <c r="Y467" s="2022"/>
      <c r="Z467" s="2022"/>
      <c r="AA467" s="2022"/>
      <c r="AB467" s="2022"/>
      <c r="AC467" s="2022"/>
      <c r="AD467" s="2022"/>
      <c r="AE467" s="2022"/>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3"/>
      <c r="G468" s="2023"/>
      <c r="H468" s="2023"/>
      <c r="I468" s="2023"/>
      <c r="J468" s="2023"/>
      <c r="K468" s="2023"/>
      <c r="L468" s="2023"/>
      <c r="M468" s="2023"/>
      <c r="N468" s="2023"/>
      <c r="O468" s="2023"/>
      <c r="P468" s="2023"/>
      <c r="Q468" s="2023"/>
      <c r="R468" s="2023"/>
      <c r="S468" s="2023"/>
      <c r="T468" s="2023"/>
      <c r="U468" s="2023"/>
      <c r="V468" s="2023"/>
      <c r="W468" s="2023"/>
      <c r="X468" s="2023"/>
      <c r="Y468" s="2023"/>
      <c r="Z468" s="2023"/>
      <c r="AA468" s="2023"/>
      <c r="AB468" s="2023"/>
      <c r="AC468" s="2023"/>
      <c r="AD468" s="2023"/>
      <c r="AE468" s="2023"/>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17" t="s">
        <v>599</v>
      </c>
      <c r="G469" s="2017"/>
      <c r="H469" s="2017"/>
      <c r="I469" s="2017"/>
      <c r="J469" s="2017"/>
      <c r="K469" s="2017"/>
      <c r="L469" s="2017"/>
      <c r="M469" s="2017"/>
      <c r="N469" s="2017"/>
      <c r="O469" s="2017"/>
      <c r="P469" s="2017"/>
      <c r="Q469" s="2017"/>
      <c r="R469" s="2017"/>
      <c r="S469" s="2017"/>
      <c r="T469" s="2017"/>
      <c r="U469" s="2017"/>
      <c r="V469" s="2017"/>
      <c r="W469" s="2017"/>
      <c r="X469" s="2017"/>
      <c r="Y469" s="2017"/>
      <c r="Z469" s="2017"/>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8" t="s">
        <v>553</v>
      </c>
      <c r="D471" s="2019"/>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0" t="s">
        <v>599</v>
      </c>
      <c r="W474" s="1930"/>
      <c r="X474" s="1930"/>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0" t="s">
        <v>599</v>
      </c>
      <c r="W476" s="1930"/>
      <c r="X476" s="1930"/>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0" t="s">
        <v>599</v>
      </c>
      <c r="W481" s="1930"/>
      <c r="X481" s="1930"/>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4"/>
      <c r="E484" s="2004"/>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0" t="s">
        <v>599</v>
      </c>
      <c r="W485" s="1930"/>
      <c r="X485" s="1930"/>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0" t="s">
        <v>599</v>
      </c>
      <c r="W487" s="1930"/>
      <c r="X487" s="1930"/>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1" t="s">
        <v>599</v>
      </c>
      <c r="D490" s="2002"/>
      <c r="E490" s="795" t="s">
        <v>515</v>
      </c>
      <c r="F490" s="2022" t="s">
        <v>1629</v>
      </c>
      <c r="G490" s="2022"/>
      <c r="H490" s="2022"/>
      <c r="I490" s="2022"/>
      <c r="J490" s="2022"/>
      <c r="K490" s="2022"/>
      <c r="L490" s="2022"/>
      <c r="M490" s="2022"/>
      <c r="N490" s="2022"/>
      <c r="O490" s="2022"/>
      <c r="P490" s="2022"/>
      <c r="Q490" s="2022"/>
      <c r="R490" s="2022"/>
      <c r="S490" s="2022"/>
      <c r="T490" s="2022"/>
      <c r="U490" s="2022"/>
      <c r="V490" s="2022"/>
      <c r="W490" s="2022"/>
      <c r="X490" s="2022"/>
      <c r="Y490" s="2022"/>
      <c r="Z490" s="2022"/>
      <c r="AA490" s="2022"/>
      <c r="AB490" s="2022"/>
      <c r="AC490" s="2022"/>
      <c r="AD490" s="2022"/>
      <c r="AE490" s="202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3"/>
      <c r="G491" s="2023"/>
      <c r="H491" s="2023"/>
      <c r="I491" s="2023"/>
      <c r="J491" s="2023"/>
      <c r="K491" s="2023"/>
      <c r="L491" s="2023"/>
      <c r="M491" s="2023"/>
      <c r="N491" s="2023"/>
      <c r="O491" s="2023"/>
      <c r="P491" s="2023"/>
      <c r="Q491" s="2023"/>
      <c r="R491" s="2023"/>
      <c r="S491" s="2023"/>
      <c r="T491" s="2023"/>
      <c r="U491" s="2023"/>
      <c r="V491" s="2023"/>
      <c r="W491" s="2023"/>
      <c r="X491" s="2023"/>
      <c r="Y491" s="2023"/>
      <c r="Z491" s="2023"/>
      <c r="AA491" s="2023"/>
      <c r="AB491" s="2023"/>
      <c r="AC491" s="2023"/>
      <c r="AD491" s="2023"/>
      <c r="AE491" s="202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9" t="s">
        <v>599</v>
      </c>
      <c r="G492" s="2009"/>
      <c r="H492" s="2009"/>
      <c r="I492" s="2009"/>
      <c r="J492" s="2009"/>
      <c r="K492" s="2009"/>
      <c r="L492" s="2009"/>
      <c r="M492" s="2009"/>
      <c r="N492" s="2009"/>
      <c r="O492" s="2009"/>
      <c r="P492" s="2009"/>
      <c r="Q492" s="2009"/>
      <c r="R492" s="2009"/>
      <c r="S492" s="2009"/>
      <c r="T492" s="2009"/>
      <c r="U492" s="2009"/>
      <c r="V492" s="2009"/>
      <c r="W492" s="2009"/>
      <c r="X492" s="2009"/>
      <c r="Y492" s="2009"/>
      <c r="Z492" s="2009"/>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1" t="s">
        <v>599</v>
      </c>
      <c r="D494" s="2002"/>
      <c r="E494" s="795" t="s">
        <v>766</v>
      </c>
      <c r="F494" s="2010" t="s">
        <v>1651</v>
      </c>
      <c r="G494" s="2010"/>
      <c r="H494" s="2010"/>
      <c r="I494" s="2010"/>
      <c r="J494" s="2010"/>
      <c r="K494" s="2010"/>
      <c r="L494" s="2010"/>
      <c r="M494" s="2010"/>
      <c r="N494" s="2010"/>
      <c r="O494" s="2010"/>
      <c r="P494" s="2010"/>
      <c r="Q494" s="2010"/>
      <c r="R494" s="2010"/>
      <c r="S494" s="2010"/>
      <c r="T494" s="2010"/>
      <c r="U494" s="2010"/>
      <c r="V494" s="2010"/>
      <c r="W494" s="2010"/>
      <c r="X494" s="2010"/>
      <c r="Y494" s="2010"/>
      <c r="Z494" s="2010"/>
      <c r="AA494" s="2010"/>
      <c r="AB494" s="2010"/>
      <c r="AC494" s="2010"/>
      <c r="AD494" s="2010"/>
      <c r="AE494" s="201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1"/>
      <c r="G495" s="2011"/>
      <c r="H495" s="2011"/>
      <c r="I495" s="2011"/>
      <c r="J495" s="2011"/>
      <c r="K495" s="2011"/>
      <c r="L495" s="2011"/>
      <c r="M495" s="2011"/>
      <c r="N495" s="2011"/>
      <c r="O495" s="2011"/>
      <c r="P495" s="2011"/>
      <c r="Q495" s="2011"/>
      <c r="R495" s="2011"/>
      <c r="S495" s="2011"/>
      <c r="T495" s="2011"/>
      <c r="U495" s="2011"/>
      <c r="V495" s="2011"/>
      <c r="W495" s="2011"/>
      <c r="X495" s="2011"/>
      <c r="Y495" s="2011"/>
      <c r="Z495" s="2011"/>
      <c r="AA495" s="2011"/>
      <c r="AB495" s="2011"/>
      <c r="AC495" s="2011"/>
      <c r="AD495" s="2011"/>
      <c r="AE495" s="201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2" t="s">
        <v>599</v>
      </c>
      <c r="G497" s="2012"/>
      <c r="H497" s="201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1" t="s">
        <v>599</v>
      </c>
      <c r="D499" s="2002"/>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3"/>
      <c r="D501" s="2004"/>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5" t="s">
        <v>599</v>
      </c>
      <c r="H502" s="2005"/>
      <c r="I502" s="2005"/>
      <c r="J502" s="2005"/>
      <c r="K502" s="2005"/>
      <c r="L502" s="2005"/>
      <c r="M502" s="2005"/>
      <c r="N502" s="2005"/>
      <c r="O502" s="2005"/>
      <c r="P502" s="2005"/>
      <c r="Q502" s="2005"/>
      <c r="R502" s="2005"/>
      <c r="S502" s="2005"/>
      <c r="T502" s="2005"/>
      <c r="U502" s="2005"/>
      <c r="V502" s="2005"/>
      <c r="W502" s="2005"/>
      <c r="X502" s="2005"/>
      <c r="Y502" s="2005"/>
      <c r="Z502" s="2005"/>
      <c r="AA502" s="2005"/>
      <c r="AB502" s="2005"/>
      <c r="AC502" s="2005"/>
      <c r="AD502" s="2005"/>
      <c r="AE502" s="2005"/>
      <c r="AF502" s="200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6" t="s">
        <v>599</v>
      </c>
      <c r="D504" s="2007"/>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6" t="s">
        <v>599</v>
      </c>
      <c r="D508" s="2007"/>
      <c r="F508" s="829" t="s">
        <v>1659</v>
      </c>
      <c r="G508" s="1926" t="s">
        <v>1660</v>
      </c>
      <c r="H508" s="1926"/>
      <c r="I508" s="1926"/>
      <c r="J508" s="1926"/>
      <c r="K508" s="1926"/>
      <c r="L508" s="1926"/>
      <c r="M508" s="1926"/>
      <c r="N508" s="1926"/>
      <c r="O508" s="1926"/>
      <c r="P508" s="1926"/>
      <c r="Q508" s="1926"/>
      <c r="R508" s="1926"/>
      <c r="S508" s="1926"/>
      <c r="T508" s="1926"/>
      <c r="U508" s="1926"/>
      <c r="V508" s="1926"/>
      <c r="W508" s="1926"/>
      <c r="X508" s="1926"/>
      <c r="Y508" s="1926"/>
      <c r="Z508" s="1926"/>
      <c r="AA508" s="1926"/>
      <c r="AB508" s="1926"/>
      <c r="AC508" s="1926"/>
      <c r="AD508" s="1926"/>
      <c r="AE508" s="1926"/>
      <c r="AF508" s="1926"/>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8"/>
      <c r="H509" s="2008"/>
      <c r="I509" s="2008"/>
      <c r="J509" s="2008"/>
      <c r="K509" s="2008"/>
      <c r="L509" s="2008"/>
      <c r="M509" s="2008"/>
      <c r="N509" s="2008"/>
      <c r="O509" s="2008"/>
      <c r="P509" s="2008"/>
      <c r="Q509" s="2008"/>
      <c r="R509" s="2008"/>
      <c r="S509" s="2008"/>
      <c r="T509" s="2008"/>
      <c r="U509" s="2008"/>
      <c r="V509" s="2008"/>
      <c r="W509" s="2008"/>
      <c r="X509" s="2008"/>
      <c r="Y509" s="2008"/>
      <c r="Z509" s="2008"/>
      <c r="AA509" s="2008"/>
      <c r="AB509" s="2008"/>
      <c r="AC509" s="2008"/>
      <c r="AD509" s="2008"/>
      <c r="AE509" s="2008"/>
      <c r="AF509" s="200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3" t="s">
        <v>599</v>
      </c>
      <c r="D512" s="2014"/>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5" t="s">
        <v>599</v>
      </c>
      <c r="G513" s="2015"/>
      <c r="H513" s="2015"/>
      <c r="I513" s="2015"/>
      <c r="J513" s="2015"/>
      <c r="K513" s="2015"/>
      <c r="L513" s="2015"/>
      <c r="M513" s="2015"/>
      <c r="N513" s="2015"/>
      <c r="O513" s="2015"/>
      <c r="P513" s="2015"/>
      <c r="Q513" s="2015"/>
      <c r="R513" s="2015"/>
      <c r="S513" s="2015"/>
      <c r="T513" s="2015"/>
      <c r="U513" s="2015"/>
      <c r="V513" s="2015"/>
      <c r="W513" s="2015"/>
      <c r="X513" s="2015"/>
      <c r="Y513" s="2015"/>
      <c r="Z513" s="2015"/>
      <c r="AA513" s="2015"/>
      <c r="AB513" s="2015"/>
      <c r="AC513" s="2015"/>
      <c r="AD513" s="2015"/>
      <c r="AE513" s="2015"/>
      <c r="AF513" s="201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6"/>
      <c r="G514" s="2016"/>
      <c r="H514" s="2016"/>
      <c r="I514" s="2016"/>
      <c r="J514" s="2016"/>
      <c r="K514" s="2016"/>
      <c r="L514" s="2016"/>
      <c r="M514" s="2016"/>
      <c r="N514" s="2016"/>
      <c r="O514" s="2016"/>
      <c r="P514" s="2016"/>
      <c r="Q514" s="2016"/>
      <c r="R514" s="2016"/>
      <c r="S514" s="2016"/>
      <c r="T514" s="2016"/>
      <c r="U514" s="2016"/>
      <c r="V514" s="2016"/>
      <c r="W514" s="2016"/>
      <c r="X514" s="2016"/>
      <c r="Y514" s="2016"/>
      <c r="Z514" s="2016"/>
      <c r="AA514" s="2016"/>
      <c r="AB514" s="2016"/>
      <c r="AC514" s="2016"/>
      <c r="AD514" s="2016"/>
      <c r="AE514" s="2016"/>
      <c r="AF514" s="201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1">
        <f>SUM(AG468:AG513)</f>
        <v>0</v>
      </c>
      <c r="AL524" s="1922"/>
      <c r="AM524" s="192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7" t="s">
        <v>1672</v>
      </c>
      <c r="AF527" s="1927"/>
      <c r="AG527" s="1927"/>
      <c r="AH527" s="1927"/>
      <c r="AI527" s="1927"/>
      <c r="AJ527" s="1927"/>
      <c r="AK527" s="1927"/>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6" t="s">
        <v>553</v>
      </c>
      <c r="D530" s="1936"/>
      <c r="E530" s="585"/>
      <c r="F530" s="1995" t="s">
        <v>1673</v>
      </c>
      <c r="G530" s="1996"/>
      <c r="H530" s="1996"/>
      <c r="I530" s="1996"/>
      <c r="J530" s="1996"/>
      <c r="K530" s="1996"/>
      <c r="L530" s="1996"/>
      <c r="M530" s="1996"/>
      <c r="N530" s="1996"/>
      <c r="O530" s="1996"/>
      <c r="P530" s="1996"/>
      <c r="Q530" s="1996"/>
      <c r="R530" s="1996"/>
      <c r="S530" s="1996"/>
      <c r="T530" s="1996"/>
      <c r="U530" s="1996"/>
      <c r="V530" s="1996"/>
      <c r="W530" s="1996"/>
      <c r="X530" s="1996"/>
      <c r="Y530" s="1996"/>
      <c r="Z530" s="1996"/>
      <c r="AA530" s="1996"/>
      <c r="AB530" s="1996"/>
      <c r="AC530" s="1996"/>
      <c r="AD530" s="1996"/>
      <c r="AE530" s="1996"/>
      <c r="AF530" s="1996"/>
      <c r="AG530" s="1996"/>
      <c r="AH530" s="1996"/>
      <c r="AI530" s="1996"/>
      <c r="AJ530" s="1996"/>
      <c r="AK530" s="1996"/>
      <c r="AL530" s="1997"/>
      <c r="AM530" s="629"/>
      <c r="AN530" s="631"/>
    </row>
    <row r="531" spans="1:49" s="584" customFormat="1" ht="12.75" customHeight="1">
      <c r="A531" s="573"/>
      <c r="B531" s="573"/>
      <c r="C531" s="585"/>
      <c r="D531" s="585"/>
      <c r="E531" s="585"/>
      <c r="F531" s="1998"/>
      <c r="G531" s="1999"/>
      <c r="H531" s="1999"/>
      <c r="I531" s="1999"/>
      <c r="J531" s="1999"/>
      <c r="K531" s="1999"/>
      <c r="L531" s="1999"/>
      <c r="M531" s="1999"/>
      <c r="N531" s="1999"/>
      <c r="O531" s="1999"/>
      <c r="P531" s="1999"/>
      <c r="Q531" s="1999"/>
      <c r="R531" s="1999"/>
      <c r="S531" s="1999"/>
      <c r="T531" s="1999"/>
      <c r="U531" s="1999"/>
      <c r="V531" s="1999"/>
      <c r="W531" s="1999"/>
      <c r="X531" s="1999"/>
      <c r="Y531" s="1999"/>
      <c r="Z531" s="1999"/>
      <c r="AA531" s="1999"/>
      <c r="AB531" s="1999"/>
      <c r="AC531" s="1999"/>
      <c r="AD531" s="1999"/>
      <c r="AE531" s="1999"/>
      <c r="AF531" s="1999"/>
      <c r="AG531" s="1999"/>
      <c r="AH531" s="1999"/>
      <c r="AI531" s="1999"/>
      <c r="AJ531" s="1999"/>
      <c r="AK531" s="1999"/>
      <c r="AL531" s="200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6" t="s">
        <v>599</v>
      </c>
      <c r="D533" s="1936"/>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3" t="s">
        <v>1675</v>
      </c>
      <c r="G534" s="1914"/>
      <c r="H534" s="1914"/>
      <c r="I534" s="1914"/>
      <c r="J534" s="1914"/>
      <c r="K534" s="1914"/>
      <c r="L534" s="1914"/>
      <c r="M534" s="1914"/>
      <c r="N534" s="1914"/>
      <c r="O534" s="1914"/>
      <c r="P534" s="1914"/>
      <c r="Q534" s="1914"/>
      <c r="R534" s="1914"/>
      <c r="S534" s="1914"/>
      <c r="T534" s="1914"/>
      <c r="U534" s="1914"/>
      <c r="V534" s="1914"/>
      <c r="W534" s="1914"/>
      <c r="X534" s="1914"/>
      <c r="Y534" s="1914"/>
      <c r="Z534" s="1914"/>
      <c r="AA534" s="1914"/>
      <c r="AB534" s="1914"/>
      <c r="AC534" s="1914"/>
      <c r="AD534" s="1914"/>
      <c r="AE534" s="1914"/>
      <c r="AF534" s="1914"/>
      <c r="AG534" s="1914"/>
      <c r="AH534" s="1914"/>
      <c r="AI534" s="1914"/>
      <c r="AJ534" s="1914"/>
      <c r="AK534" s="1914"/>
      <c r="AL534" s="1915"/>
      <c r="AM534" s="629"/>
      <c r="AN534" s="631"/>
      <c r="AS534" s="904"/>
      <c r="AT534" s="904"/>
      <c r="AU534" s="904"/>
      <c r="AV534" s="904"/>
      <c r="AW534" s="904"/>
    </row>
    <row r="535" spans="1:49" s="584" customFormat="1" ht="12.75" customHeight="1">
      <c r="B535" s="840"/>
      <c r="C535" s="840"/>
      <c r="D535" s="840"/>
      <c r="E535" s="840"/>
      <c r="F535" s="1913"/>
      <c r="G535" s="1914"/>
      <c r="H535" s="1914"/>
      <c r="I535" s="1914"/>
      <c r="J535" s="1914"/>
      <c r="K535" s="1914"/>
      <c r="L535" s="1914"/>
      <c r="M535" s="1914"/>
      <c r="N535" s="1914"/>
      <c r="O535" s="1914"/>
      <c r="P535" s="1914"/>
      <c r="Q535" s="1914"/>
      <c r="R535" s="1914"/>
      <c r="S535" s="1914"/>
      <c r="T535" s="1914"/>
      <c r="U535" s="1914"/>
      <c r="V535" s="1914"/>
      <c r="W535" s="1914"/>
      <c r="X535" s="1914"/>
      <c r="Y535" s="1914"/>
      <c r="Z535" s="1914"/>
      <c r="AA535" s="1914"/>
      <c r="AB535" s="1914"/>
      <c r="AC535" s="1914"/>
      <c r="AD535" s="1914"/>
      <c r="AE535" s="1914"/>
      <c r="AF535" s="1914"/>
      <c r="AG535" s="1914"/>
      <c r="AH535" s="1914"/>
      <c r="AI535" s="1914"/>
      <c r="AJ535" s="1914"/>
      <c r="AK535" s="1914"/>
      <c r="AL535" s="1915"/>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3" t="s">
        <v>1676</v>
      </c>
      <c r="G537" s="1914"/>
      <c r="H537" s="1914"/>
      <c r="I537" s="1914"/>
      <c r="J537" s="1914"/>
      <c r="K537" s="1914"/>
      <c r="L537" s="1914"/>
      <c r="M537" s="1914"/>
      <c r="N537" s="1914"/>
      <c r="O537" s="1914"/>
      <c r="P537" s="1914"/>
      <c r="Q537" s="1914"/>
      <c r="R537" s="1914"/>
      <c r="S537" s="1914"/>
      <c r="T537" s="1914"/>
      <c r="U537" s="1914"/>
      <c r="V537" s="1914"/>
      <c r="W537" s="1914"/>
      <c r="X537" s="1914"/>
      <c r="Y537" s="1914"/>
      <c r="Z537" s="1914"/>
      <c r="AA537" s="1914"/>
      <c r="AB537" s="1914"/>
      <c r="AC537" s="1914"/>
      <c r="AD537" s="1914"/>
      <c r="AE537" s="1914"/>
      <c r="AF537" s="1914"/>
      <c r="AG537" s="1914"/>
      <c r="AH537" s="1914"/>
      <c r="AI537" s="1914"/>
      <c r="AJ537" s="1914"/>
      <c r="AK537" s="1914"/>
      <c r="AL537" s="847"/>
      <c r="AM537" s="629"/>
      <c r="AN537" s="631"/>
    </row>
    <row r="538" spans="1:49" s="584" customFormat="1" ht="12.75" customHeight="1">
      <c r="B538" s="840"/>
      <c r="C538" s="840"/>
      <c r="D538" s="840"/>
      <c r="E538" s="840"/>
      <c r="F538" s="1916"/>
      <c r="G538" s="1917"/>
      <c r="H538" s="1917"/>
      <c r="I538" s="1917"/>
      <c r="J538" s="1917"/>
      <c r="K538" s="1917"/>
      <c r="L538" s="1917"/>
      <c r="M538" s="1917"/>
      <c r="N538" s="1917"/>
      <c r="O538" s="1917"/>
      <c r="P538" s="1917"/>
      <c r="Q538" s="1917"/>
      <c r="R538" s="1917"/>
      <c r="S538" s="1917"/>
      <c r="T538" s="1917"/>
      <c r="U538" s="1917"/>
      <c r="V538" s="1917"/>
      <c r="W538" s="1917"/>
      <c r="X538" s="1917"/>
      <c r="Y538" s="1917"/>
      <c r="Z538" s="1917"/>
      <c r="AA538" s="1917"/>
      <c r="AB538" s="1917"/>
      <c r="AC538" s="1917"/>
      <c r="AD538" s="1917"/>
      <c r="AE538" s="1917"/>
      <c r="AF538" s="1917"/>
      <c r="AG538" s="1917"/>
      <c r="AH538" s="1917"/>
      <c r="AI538" s="1917"/>
      <c r="AJ538" s="1917"/>
      <c r="AK538" s="191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8">
        <f>Application!AJ991</f>
        <v>52824632</v>
      </c>
      <c r="AQ539" s="1908"/>
      <c r="AR539" s="1908"/>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8">
        <f>'Sources and Uses Budget'!S107+'Sources and Uses Budget'!T107</f>
        <v>74124274</v>
      </c>
      <c r="AG540" s="1918"/>
      <c r="AH540" s="1918"/>
      <c r="AI540" s="1918"/>
      <c r="AJ540" s="1918"/>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9">
        <f>IFERROR(AP548,0)</f>
        <v>117746433.59999999</v>
      </c>
      <c r="AG541" s="1919"/>
      <c r="AH541" s="1919"/>
      <c r="AI541" s="1919"/>
      <c r="AJ541" s="1919"/>
      <c r="AK541" s="629"/>
      <c r="AL541" s="629"/>
      <c r="AM541" s="629"/>
      <c r="AN541" s="631"/>
      <c r="AP541" s="1908">
        <f>Application!AJ1044</f>
        <v>14262650.640000001</v>
      </c>
      <c r="AQ541" s="1908"/>
      <c r="AR541" s="1908"/>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0">
        <f>IFERROR(ROUNDDOWN(IF(C533="YES",((1-(AF540/AF541))*2),(1-(AF540/AF541))),2),0)</f>
        <v>0.37</v>
      </c>
      <c r="AG542" s="1920"/>
      <c r="AH542" s="1920"/>
      <c r="AI542" s="1920"/>
      <c r="AJ542" s="1920"/>
      <c r="AK542" s="629"/>
      <c r="AL542" s="629"/>
      <c r="AM542" s="629"/>
      <c r="AN542" s="631"/>
      <c r="AP542" s="1909">
        <f>Application!AJ1048</f>
        <v>76067470.079999998</v>
      </c>
      <c r="AQ542" s="1909"/>
      <c r="AR542" s="1909"/>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8">
        <f>IF(((AP541+AP542)/AP539)&gt;0.8,0.8,((AP541+AP542)/AP539))</f>
        <v>0.8</v>
      </c>
      <c r="AQ543" s="1928"/>
      <c r="AR543" s="1928"/>
      <c r="AS543" s="584" t="s">
        <v>2536</v>
      </c>
    </row>
    <row r="544" spans="1:49" s="584" customFormat="1" ht="12.75" customHeight="1">
      <c r="A544" s="658"/>
      <c r="B544" s="1974" t="s">
        <v>2346</v>
      </c>
      <c r="C544" s="1975"/>
      <c r="D544" s="1975"/>
      <c r="E544" s="1975"/>
      <c r="F544" s="1975"/>
      <c r="G544" s="1975"/>
      <c r="H544" s="1975"/>
      <c r="I544" s="1975"/>
      <c r="J544" s="1975"/>
      <c r="K544" s="1975"/>
      <c r="L544" s="1975"/>
      <c r="M544" s="1975"/>
      <c r="N544" s="1975"/>
      <c r="O544" s="1975"/>
      <c r="P544" s="1975"/>
      <c r="Q544" s="1975"/>
      <c r="R544" s="1975"/>
      <c r="S544" s="1975"/>
      <c r="T544" s="1975"/>
      <c r="U544" s="1975"/>
      <c r="V544" s="1975"/>
      <c r="W544" s="1975"/>
      <c r="X544" s="1975"/>
      <c r="Y544" s="1975"/>
      <c r="Z544" s="1975"/>
      <c r="AA544" s="1975"/>
      <c r="AB544" s="1975"/>
      <c r="AC544" s="1975"/>
      <c r="AD544" s="1975"/>
      <c r="AE544" s="1975"/>
      <c r="AF544" s="1975"/>
      <c r="AG544" s="1975"/>
      <c r="AH544" s="1975"/>
      <c r="AI544" s="1975"/>
      <c r="AJ544" s="1976"/>
      <c r="AK544" s="629"/>
      <c r="AL544" s="629"/>
      <c r="AM544" s="629"/>
      <c r="AN544" s="631"/>
    </row>
    <row r="545" spans="1:45" s="584" customFormat="1" ht="12.75" customHeight="1">
      <c r="A545" s="658"/>
      <c r="B545" s="1977"/>
      <c r="C545" s="1978"/>
      <c r="D545" s="1978"/>
      <c r="E545" s="1978"/>
      <c r="F545" s="1978"/>
      <c r="G545" s="1978"/>
      <c r="H545" s="1978"/>
      <c r="I545" s="1978"/>
      <c r="J545" s="1978"/>
      <c r="K545" s="1978"/>
      <c r="L545" s="1978"/>
      <c r="M545" s="1978"/>
      <c r="N545" s="1978"/>
      <c r="O545" s="1978"/>
      <c r="P545" s="1978"/>
      <c r="Q545" s="1978"/>
      <c r="R545" s="1978"/>
      <c r="S545" s="1978"/>
      <c r="T545" s="1978"/>
      <c r="U545" s="1978"/>
      <c r="V545" s="1978"/>
      <c r="W545" s="1978"/>
      <c r="X545" s="1978"/>
      <c r="Y545" s="1978"/>
      <c r="Z545" s="1978"/>
      <c r="AA545" s="1978"/>
      <c r="AB545" s="1978"/>
      <c r="AC545" s="1978"/>
      <c r="AD545" s="1978"/>
      <c r="AE545" s="1978"/>
      <c r="AF545" s="1978"/>
      <c r="AG545" s="1978"/>
      <c r="AH545" s="1978"/>
      <c r="AI545" s="1978"/>
      <c r="AJ545" s="1979"/>
      <c r="AK545" s="629"/>
      <c r="AL545" s="629"/>
      <c r="AM545" s="629"/>
      <c r="AN545" s="631"/>
      <c r="AP545" s="1908">
        <f>AP546-AP541-AP542</f>
        <v>75486727.999999985</v>
      </c>
      <c r="AQ545" s="1929"/>
      <c r="AR545" s="1929"/>
      <c r="AS545" s="584" t="s">
        <v>2538</v>
      </c>
    </row>
    <row r="546" spans="1:45" s="584" customFormat="1" ht="12.75" customHeight="1">
      <c r="A546" s="658"/>
      <c r="B546" s="1980"/>
      <c r="C546" s="1981"/>
      <c r="D546" s="1981"/>
      <c r="E546" s="1981"/>
      <c r="F546" s="1981"/>
      <c r="G546" s="1981"/>
      <c r="H546" s="1981"/>
      <c r="I546" s="1981"/>
      <c r="J546" s="1981"/>
      <c r="K546" s="1981"/>
      <c r="L546" s="1981"/>
      <c r="M546" s="1981"/>
      <c r="N546" s="1981"/>
      <c r="O546" s="1981"/>
      <c r="P546" s="1981"/>
      <c r="Q546" s="1981"/>
      <c r="R546" s="1981"/>
      <c r="S546" s="1981"/>
      <c r="T546" s="1981"/>
      <c r="U546" s="1981"/>
      <c r="V546" s="1981"/>
      <c r="W546" s="1981"/>
      <c r="X546" s="1981"/>
      <c r="Y546" s="1981"/>
      <c r="Z546" s="1981"/>
      <c r="AA546" s="1981"/>
      <c r="AB546" s="1981"/>
      <c r="AC546" s="1981"/>
      <c r="AD546" s="1981"/>
      <c r="AE546" s="1981"/>
      <c r="AF546" s="1981"/>
      <c r="AG546" s="1981"/>
      <c r="AH546" s="1981"/>
      <c r="AI546" s="1981"/>
      <c r="AJ546" s="1982"/>
      <c r="AK546" s="629"/>
      <c r="AL546" s="629"/>
      <c r="AM546" s="629"/>
      <c r="AN546" s="631"/>
      <c r="AP546" s="1908">
        <f>Application!AJ1052</f>
        <v>165816848.72</v>
      </c>
      <c r="AQ546" s="1908"/>
      <c r="AR546" s="1908"/>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3">
        <f>IFERROR(IF(AND(C530="N/A",C533="N/A"),0,IF(AF542=0,0,IF((AF542*100)&gt;12,12,(AF542*100)))),0)</f>
        <v>12</v>
      </c>
      <c r="AL548" s="1983"/>
      <c r="AM548" s="1984"/>
      <c r="AN548" s="631"/>
      <c r="AP548" s="1897">
        <f>AP545+(AP539*AP543)</f>
        <v>117746433.59999999</v>
      </c>
      <c r="AQ548" s="1898"/>
      <c r="AR548" s="189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7" t="s">
        <v>1425</v>
      </c>
      <c r="AF551" s="1927"/>
      <c r="AG551" s="1927"/>
      <c r="AH551" s="1927"/>
      <c r="AI551" s="1927"/>
      <c r="AJ551" s="1927"/>
      <c r="AK551" s="192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4" t="s">
        <v>2337</v>
      </c>
      <c r="C553" s="1914"/>
      <c r="D553" s="1914"/>
      <c r="E553" s="1914"/>
      <c r="F553" s="1914"/>
      <c r="G553" s="1914"/>
      <c r="H553" s="1914"/>
      <c r="I553" s="1914"/>
      <c r="J553" s="1914"/>
      <c r="K553" s="1914"/>
      <c r="L553" s="1914"/>
      <c r="M553" s="1914"/>
      <c r="N553" s="1914"/>
      <c r="O553" s="1914"/>
      <c r="P553" s="1914"/>
      <c r="Q553" s="1914"/>
      <c r="R553" s="1914"/>
      <c r="S553" s="1914"/>
      <c r="T553" s="1914"/>
      <c r="U553" s="1914"/>
      <c r="V553" s="1914"/>
      <c r="W553" s="1914"/>
      <c r="X553" s="1914"/>
      <c r="Y553" s="1914"/>
      <c r="Z553" s="1914"/>
      <c r="AA553" s="1914"/>
      <c r="AB553" s="1914"/>
      <c r="AC553" s="1914"/>
      <c r="AD553" s="1914"/>
      <c r="AE553" s="1914"/>
      <c r="AF553" s="1914"/>
      <c r="AG553" s="1914"/>
      <c r="AH553" s="1914"/>
      <c r="AI553" s="1914"/>
      <c r="AJ553" s="1914"/>
      <c r="AK553" s="676"/>
      <c r="AL553" s="607"/>
      <c r="AM553" s="637"/>
      <c r="AN553" s="631"/>
    </row>
    <row r="554" spans="1:45" s="584" customFormat="1" ht="12.75" customHeight="1">
      <c r="A554" s="637"/>
      <c r="B554" s="1914"/>
      <c r="C554" s="1914"/>
      <c r="D554" s="1914"/>
      <c r="E554" s="1914"/>
      <c r="F554" s="1914"/>
      <c r="G554" s="1914"/>
      <c r="H554" s="1914"/>
      <c r="I554" s="1914"/>
      <c r="J554" s="1914"/>
      <c r="K554" s="1914"/>
      <c r="L554" s="1914"/>
      <c r="M554" s="1914"/>
      <c r="N554" s="1914"/>
      <c r="O554" s="1914"/>
      <c r="P554" s="1914"/>
      <c r="Q554" s="1914"/>
      <c r="R554" s="1914"/>
      <c r="S554" s="1914"/>
      <c r="T554" s="1914"/>
      <c r="U554" s="1914"/>
      <c r="V554" s="1914"/>
      <c r="W554" s="1914"/>
      <c r="X554" s="1914"/>
      <c r="Y554" s="1914"/>
      <c r="Z554" s="1914"/>
      <c r="AA554" s="1914"/>
      <c r="AB554" s="1914"/>
      <c r="AC554" s="1914"/>
      <c r="AD554" s="1914"/>
      <c r="AE554" s="1914"/>
      <c r="AF554" s="1914"/>
      <c r="AG554" s="1914"/>
      <c r="AH554" s="1914"/>
      <c r="AI554" s="1914"/>
      <c r="AJ554" s="1914"/>
      <c r="AK554" s="676"/>
      <c r="AL554" s="607"/>
      <c r="AM554" s="637"/>
      <c r="AN554" s="631"/>
    </row>
    <row r="555" spans="1:45" s="584" customFormat="1" ht="12.75" customHeight="1">
      <c r="A555" s="637"/>
      <c r="B555" s="1914"/>
      <c r="C555" s="1914"/>
      <c r="D555" s="1914"/>
      <c r="E555" s="1914"/>
      <c r="F555" s="1914"/>
      <c r="G555" s="1914"/>
      <c r="H555" s="1914"/>
      <c r="I555" s="1914"/>
      <c r="J555" s="1914"/>
      <c r="K555" s="1914"/>
      <c r="L555" s="1914"/>
      <c r="M555" s="1914"/>
      <c r="N555" s="1914"/>
      <c r="O555" s="1914"/>
      <c r="P555" s="1914"/>
      <c r="Q555" s="1914"/>
      <c r="R555" s="1914"/>
      <c r="S555" s="1914"/>
      <c r="T555" s="1914"/>
      <c r="U555" s="1914"/>
      <c r="V555" s="1914"/>
      <c r="W555" s="1914"/>
      <c r="X555" s="1914"/>
      <c r="Y555" s="1914"/>
      <c r="Z555" s="1914"/>
      <c r="AA555" s="1914"/>
      <c r="AB555" s="1914"/>
      <c r="AC555" s="1914"/>
      <c r="AD555" s="1914"/>
      <c r="AE555" s="1914"/>
      <c r="AF555" s="1914"/>
      <c r="AG555" s="1914"/>
      <c r="AH555" s="1914"/>
      <c r="AI555" s="1914"/>
      <c r="AJ555" s="1914"/>
      <c r="AK555" s="676"/>
      <c r="AL555" s="607"/>
      <c r="AM555" s="637"/>
      <c r="AN555" s="631"/>
    </row>
    <row r="556" spans="1:45" s="584" customFormat="1" ht="12.75" customHeight="1">
      <c r="A556" s="637"/>
      <c r="B556" s="1914"/>
      <c r="C556" s="1914"/>
      <c r="D556" s="1914"/>
      <c r="E556" s="1914"/>
      <c r="F556" s="1914"/>
      <c r="G556" s="1914"/>
      <c r="H556" s="1914"/>
      <c r="I556" s="1914"/>
      <c r="J556" s="1914"/>
      <c r="K556" s="1914"/>
      <c r="L556" s="1914"/>
      <c r="M556" s="1914"/>
      <c r="N556" s="1914"/>
      <c r="O556" s="1914"/>
      <c r="P556" s="1914"/>
      <c r="Q556" s="1914"/>
      <c r="R556" s="1914"/>
      <c r="S556" s="1914"/>
      <c r="T556" s="1914"/>
      <c r="U556" s="1914"/>
      <c r="V556" s="1914"/>
      <c r="W556" s="1914"/>
      <c r="X556" s="1914"/>
      <c r="Y556" s="1914"/>
      <c r="Z556" s="1914"/>
      <c r="AA556" s="1914"/>
      <c r="AB556" s="1914"/>
      <c r="AC556" s="1914"/>
      <c r="AD556" s="1914"/>
      <c r="AE556" s="1914"/>
      <c r="AF556" s="1914"/>
      <c r="AG556" s="1914"/>
      <c r="AH556" s="1914"/>
      <c r="AI556" s="1914"/>
      <c r="AJ556" s="1914"/>
      <c r="AK556" s="676"/>
      <c r="AL556" s="607"/>
      <c r="AM556" s="637"/>
      <c r="AN556" s="631"/>
    </row>
    <row r="557" spans="1:45" s="584" customFormat="1" ht="12.75" customHeight="1">
      <c r="A557" s="637"/>
      <c r="B557" s="1914"/>
      <c r="C557" s="1914"/>
      <c r="D557" s="1914"/>
      <c r="E557" s="1914"/>
      <c r="F557" s="1914"/>
      <c r="G557" s="1914"/>
      <c r="H557" s="1914"/>
      <c r="I557" s="1914"/>
      <c r="J557" s="1914"/>
      <c r="K557" s="1914"/>
      <c r="L557" s="1914"/>
      <c r="M557" s="1914"/>
      <c r="N557" s="1914"/>
      <c r="O557" s="1914"/>
      <c r="P557" s="1914"/>
      <c r="Q557" s="1914"/>
      <c r="R557" s="1914"/>
      <c r="S557" s="1914"/>
      <c r="T557" s="1914"/>
      <c r="U557" s="1914"/>
      <c r="V557" s="1914"/>
      <c r="W557" s="1914"/>
      <c r="X557" s="1914"/>
      <c r="Y557" s="1914"/>
      <c r="Z557" s="1914"/>
      <c r="AA557" s="1914"/>
      <c r="AB557" s="1914"/>
      <c r="AC557" s="1914"/>
      <c r="AD557" s="1914"/>
      <c r="AE557" s="1914"/>
      <c r="AF557" s="1914"/>
      <c r="AG557" s="1914"/>
      <c r="AH557" s="1914"/>
      <c r="AI557" s="1914"/>
      <c r="AJ557" s="1914"/>
      <c r="AK557" s="676"/>
      <c r="AL557" s="607"/>
      <c r="AM557" s="637"/>
      <c r="AN557" s="631"/>
    </row>
    <row r="558" spans="1:45" s="584" customFormat="1" ht="12.75" customHeight="1">
      <c r="A558" s="637"/>
      <c r="B558" s="1914"/>
      <c r="C558" s="1914"/>
      <c r="D558" s="1914"/>
      <c r="E558" s="1914"/>
      <c r="F558" s="1914"/>
      <c r="G558" s="1914"/>
      <c r="H558" s="1914"/>
      <c r="I558" s="1914"/>
      <c r="J558" s="1914"/>
      <c r="K558" s="1914"/>
      <c r="L558" s="1914"/>
      <c r="M558" s="1914"/>
      <c r="N558" s="1914"/>
      <c r="O558" s="1914"/>
      <c r="P558" s="1914"/>
      <c r="Q558" s="1914"/>
      <c r="R558" s="1914"/>
      <c r="S558" s="1914"/>
      <c r="T558" s="1914"/>
      <c r="U558" s="1914"/>
      <c r="V558" s="1914"/>
      <c r="W558" s="1914"/>
      <c r="X558" s="1914"/>
      <c r="Y558" s="1914"/>
      <c r="Z558" s="1914"/>
      <c r="AA558" s="1914"/>
      <c r="AB558" s="1914"/>
      <c r="AC558" s="1914"/>
      <c r="AD558" s="1914"/>
      <c r="AE558" s="1914"/>
      <c r="AF558" s="1914"/>
      <c r="AG558" s="1914"/>
      <c r="AH558" s="1914"/>
      <c r="AI558" s="1914"/>
      <c r="AJ558" s="1914"/>
      <c r="AK558" s="676"/>
      <c r="AL558" s="607"/>
      <c r="AM558" s="637"/>
      <c r="AN558" s="631"/>
    </row>
    <row r="559" spans="1:45" s="584" customFormat="1" ht="12.75" customHeight="1">
      <c r="A559" s="637"/>
      <c r="B559" s="1914"/>
      <c r="C559" s="1914"/>
      <c r="D559" s="1914"/>
      <c r="E559" s="1914"/>
      <c r="F559" s="1914"/>
      <c r="G559" s="1914"/>
      <c r="H559" s="1914"/>
      <c r="I559" s="1914"/>
      <c r="J559" s="1914"/>
      <c r="K559" s="1914"/>
      <c r="L559" s="1914"/>
      <c r="M559" s="1914"/>
      <c r="N559" s="1914"/>
      <c r="O559" s="1914"/>
      <c r="P559" s="1914"/>
      <c r="Q559" s="1914"/>
      <c r="R559" s="1914"/>
      <c r="S559" s="1914"/>
      <c r="T559" s="1914"/>
      <c r="U559" s="1914"/>
      <c r="V559" s="1914"/>
      <c r="W559" s="1914"/>
      <c r="X559" s="1914"/>
      <c r="Y559" s="1914"/>
      <c r="Z559" s="1914"/>
      <c r="AA559" s="1914"/>
      <c r="AB559" s="1914"/>
      <c r="AC559" s="1914"/>
      <c r="AD559" s="1914"/>
      <c r="AE559" s="1914"/>
      <c r="AF559" s="1914"/>
      <c r="AG559" s="1914"/>
      <c r="AH559" s="1914"/>
      <c r="AI559" s="1914"/>
      <c r="AJ559" s="1914"/>
      <c r="AK559" s="676"/>
      <c r="AL559" s="607"/>
      <c r="AM559" s="637"/>
      <c r="AN559" s="631"/>
    </row>
    <row r="560" spans="1:45" ht="12.75" customHeight="1">
      <c r="A560" s="637"/>
      <c r="B560" s="1914"/>
      <c r="C560" s="1914"/>
      <c r="D560" s="1914"/>
      <c r="E560" s="1914"/>
      <c r="F560" s="1914"/>
      <c r="G560" s="1914"/>
      <c r="H560" s="1914"/>
      <c r="I560" s="1914"/>
      <c r="J560" s="1914"/>
      <c r="K560" s="1914"/>
      <c r="L560" s="1914"/>
      <c r="M560" s="1914"/>
      <c r="N560" s="1914"/>
      <c r="O560" s="1914"/>
      <c r="P560" s="1914"/>
      <c r="Q560" s="1914"/>
      <c r="R560" s="1914"/>
      <c r="S560" s="1914"/>
      <c r="T560" s="1914"/>
      <c r="U560" s="1914"/>
      <c r="V560" s="1914"/>
      <c r="W560" s="1914"/>
      <c r="X560" s="1914"/>
      <c r="Y560" s="1914"/>
      <c r="Z560" s="1914"/>
      <c r="AA560" s="1914"/>
      <c r="AB560" s="1914"/>
      <c r="AC560" s="1914"/>
      <c r="AD560" s="1914"/>
      <c r="AE560" s="1914"/>
      <c r="AF560" s="1914"/>
      <c r="AG560" s="1914"/>
      <c r="AH560" s="1914"/>
      <c r="AI560" s="1914"/>
      <c r="AJ560" s="1914"/>
      <c r="AK560" s="676"/>
      <c r="AL560" s="607"/>
      <c r="AM560" s="637"/>
    </row>
    <row r="561" spans="1:42" s="584" customFormat="1" ht="12.75" customHeight="1">
      <c r="B561" s="1914"/>
      <c r="C561" s="1914"/>
      <c r="D561" s="1914"/>
      <c r="E561" s="1914"/>
      <c r="F561" s="1914"/>
      <c r="G561" s="1914"/>
      <c r="H561" s="1914"/>
      <c r="I561" s="1914"/>
      <c r="J561" s="1914"/>
      <c r="K561" s="1914"/>
      <c r="L561" s="1914"/>
      <c r="M561" s="1914"/>
      <c r="N561" s="1914"/>
      <c r="O561" s="1914"/>
      <c r="P561" s="1914"/>
      <c r="Q561" s="1914"/>
      <c r="R561" s="1914"/>
      <c r="S561" s="1914"/>
      <c r="T561" s="1914"/>
      <c r="U561" s="1914"/>
      <c r="V561" s="1914"/>
      <c r="W561" s="1914"/>
      <c r="X561" s="1914"/>
      <c r="Y561" s="1914"/>
      <c r="Z561" s="1914"/>
      <c r="AA561" s="1914"/>
      <c r="AB561" s="1914"/>
      <c r="AC561" s="1914"/>
      <c r="AD561" s="1914"/>
      <c r="AE561" s="1914"/>
      <c r="AF561" s="1914"/>
      <c r="AG561" s="1914"/>
      <c r="AH561" s="1914"/>
      <c r="AI561" s="1914"/>
      <c r="AJ561" s="191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4" t="s">
        <v>1449</v>
      </c>
      <c r="AG567" s="1994"/>
      <c r="AH567" s="1994"/>
      <c r="AI567" s="1994"/>
      <c r="AJ567" s="1994"/>
      <c r="AK567" s="1994"/>
      <c r="AL567" s="1994"/>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4" t="s">
        <v>1507</v>
      </c>
      <c r="AG574" s="1994"/>
      <c r="AH574" s="1994"/>
      <c r="AI574" s="1994"/>
      <c r="AJ574" s="1994"/>
      <c r="AK574" s="1994"/>
      <c r="AL574" s="1994"/>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4" t="s">
        <v>1489</v>
      </c>
      <c r="AG580" s="1994"/>
      <c r="AH580" s="1994"/>
      <c r="AI580" s="1994"/>
      <c r="AJ580" s="1994"/>
      <c r="AK580" s="1994"/>
      <c r="AL580" s="1994"/>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4" t="s">
        <v>1510</v>
      </c>
      <c r="AG586" s="1994"/>
      <c r="AH586" s="1994"/>
      <c r="AI586" s="1994"/>
      <c r="AJ586" s="1994"/>
      <c r="AK586" s="1994"/>
      <c r="AL586" s="1994"/>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33" t="s">
        <v>1290</v>
      </c>
      <c r="P590" s="2033"/>
      <c r="Q590" s="2033"/>
      <c r="R590" s="2033"/>
      <c r="S590" s="2033"/>
      <c r="T590" s="2033"/>
      <c r="U590" s="2033"/>
      <c r="V590" s="2033"/>
      <c r="W590" s="2033"/>
      <c r="X590" s="2033"/>
      <c r="Y590" s="2033"/>
      <c r="Z590" s="2033"/>
      <c r="AA590" s="2033"/>
      <c r="AB590" s="203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4" t="s">
        <v>1463</v>
      </c>
      <c r="AG592" s="1994"/>
      <c r="AH592" s="1994"/>
      <c r="AI592" s="1994"/>
      <c r="AJ592" s="1994"/>
      <c r="AK592" s="1994"/>
      <c r="AL592" s="1994"/>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38" t="s">
        <v>696</v>
      </c>
      <c r="I595" s="1938"/>
      <c r="J595" s="971"/>
      <c r="K595" s="971"/>
      <c r="L595" s="971"/>
      <c r="N595" s="22"/>
      <c r="O595" s="22"/>
      <c r="P595" s="22"/>
      <c r="Q595" s="1195" t="s">
        <v>2541</v>
      </c>
      <c r="R595" s="2034"/>
      <c r="S595" s="2034"/>
      <c r="T595" s="2034"/>
      <c r="U595" s="2034"/>
      <c r="V595" s="2034"/>
      <c r="W595" s="2034"/>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5" t="str">
        <f>IF(AND(H595="(i)",NOT(AP571)),AO588,IF(AND(H595="(iv)",OR(R595=AO584,R595=AO583),NOT(AP572)),AO589,""))</f>
        <v/>
      </c>
      <c r="Z596" s="2035"/>
      <c r="AA596" s="2035"/>
      <c r="AB596" s="2035"/>
      <c r="AC596" s="2035"/>
      <c r="AD596" s="2035"/>
      <c r="AE596" s="2035"/>
      <c r="AF596" s="2035"/>
      <c r="AG596" s="2035"/>
      <c r="AH596" s="2035"/>
      <c r="AI596" s="2035"/>
      <c r="AJ596" s="2035"/>
      <c r="AK596" s="2035"/>
      <c r="AL596" s="2035"/>
      <c r="AM596" s="2036"/>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5"/>
      <c r="Z597" s="2035"/>
      <c r="AA597" s="2035"/>
      <c r="AB597" s="2035"/>
      <c r="AC597" s="2035"/>
      <c r="AD597" s="2035"/>
      <c r="AE597" s="2035"/>
      <c r="AF597" s="2035"/>
      <c r="AG597" s="2035"/>
      <c r="AH597" s="2035"/>
      <c r="AI597" s="2035"/>
      <c r="AJ597" s="2035"/>
      <c r="AK597" s="2035"/>
      <c r="AL597" s="2035"/>
      <c r="AM597" s="2036"/>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32" t="s">
        <v>599</v>
      </c>
      <c r="J603" s="2032"/>
      <c r="K603" s="2032"/>
      <c r="L603" s="2032"/>
      <c r="M603" s="2032"/>
      <c r="N603" s="2032"/>
      <c r="O603" s="2032"/>
      <c r="P603" s="2032"/>
      <c r="Q603" s="2032"/>
      <c r="R603" s="2032"/>
      <c r="S603" s="2032"/>
      <c r="T603" s="2032"/>
      <c r="U603" s="2032"/>
      <c r="V603" s="2032"/>
      <c r="W603" s="2032"/>
      <c r="X603" s="2032"/>
      <c r="Y603" s="2032"/>
      <c r="Z603" s="2032"/>
      <c r="AA603" s="2032"/>
      <c r="AB603" s="2032"/>
      <c r="AC603" s="2032"/>
      <c r="AD603" s="2032"/>
      <c r="AE603" s="2032"/>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0" t="s">
        <v>599</v>
      </c>
      <c r="C605" s="2030"/>
      <c r="D605" s="676"/>
      <c r="E605" s="1914" t="s">
        <v>1514</v>
      </c>
      <c r="F605" s="1914"/>
      <c r="G605" s="1914"/>
      <c r="H605" s="1914"/>
      <c r="I605" s="1914"/>
      <c r="J605" s="1914"/>
      <c r="K605" s="1914"/>
      <c r="L605" s="1914"/>
      <c r="M605" s="1914"/>
      <c r="N605" s="1914"/>
      <c r="O605" s="1914"/>
      <c r="P605" s="1914"/>
      <c r="Q605" s="1914"/>
      <c r="R605" s="1914"/>
      <c r="S605" s="1914"/>
      <c r="T605" s="1914"/>
      <c r="U605" s="1914"/>
      <c r="V605" s="1914"/>
      <c r="W605" s="1914"/>
      <c r="X605" s="1914"/>
      <c r="Y605" s="1914"/>
      <c r="Z605" s="1914"/>
      <c r="AA605" s="1914"/>
      <c r="AB605" s="1914"/>
      <c r="AC605" s="1914"/>
      <c r="AD605" s="1914"/>
      <c r="AE605" s="1914"/>
      <c r="AF605" s="1914"/>
      <c r="AG605" s="1914"/>
      <c r="AH605" s="676"/>
      <c r="AI605" s="676"/>
      <c r="AJ605" s="676"/>
      <c r="AK605" s="676"/>
      <c r="AL605" s="676"/>
      <c r="AN605" s="631"/>
    </row>
    <row r="606" spans="2:47" s="584" customFormat="1" ht="12.75" customHeight="1">
      <c r="B606" s="570"/>
      <c r="C606" s="968"/>
      <c r="D606" s="676"/>
      <c r="E606" s="1914"/>
      <c r="F606" s="1914"/>
      <c r="G606" s="1914"/>
      <c r="H606" s="1914"/>
      <c r="I606" s="1914"/>
      <c r="J606" s="1914"/>
      <c r="K606" s="1914"/>
      <c r="L606" s="1914"/>
      <c r="M606" s="1914"/>
      <c r="N606" s="1914"/>
      <c r="O606" s="1914"/>
      <c r="P606" s="1914"/>
      <c r="Q606" s="1914"/>
      <c r="R606" s="1914"/>
      <c r="S606" s="1914"/>
      <c r="T606" s="1914"/>
      <c r="U606" s="1914"/>
      <c r="V606" s="1914"/>
      <c r="W606" s="1914"/>
      <c r="X606" s="1914"/>
      <c r="Y606" s="1914"/>
      <c r="Z606" s="1914"/>
      <c r="AA606" s="1914"/>
      <c r="AB606" s="1914"/>
      <c r="AC606" s="1914"/>
      <c r="AD606" s="1914"/>
      <c r="AE606" s="1914"/>
      <c r="AF606" s="1914"/>
      <c r="AG606" s="1914"/>
      <c r="AH606" s="676"/>
      <c r="AI606" s="676"/>
      <c r="AJ606" s="676"/>
      <c r="AK606" s="676"/>
      <c r="AL606" s="676"/>
      <c r="AN606" s="631"/>
    </row>
    <row r="607" spans="2:47" s="584" customFormat="1" ht="12.75" customHeight="1">
      <c r="B607" s="570"/>
      <c r="C607" s="968"/>
      <c r="D607" s="676"/>
      <c r="E607" s="1914"/>
      <c r="F607" s="1914"/>
      <c r="G607" s="1914"/>
      <c r="H607" s="1914"/>
      <c r="I607" s="1914"/>
      <c r="J607" s="1914"/>
      <c r="K607" s="1914"/>
      <c r="L607" s="1914"/>
      <c r="M607" s="1914"/>
      <c r="N607" s="1914"/>
      <c r="O607" s="1914"/>
      <c r="P607" s="1914"/>
      <c r="Q607" s="1914"/>
      <c r="R607" s="1914"/>
      <c r="S607" s="1914"/>
      <c r="T607" s="1914"/>
      <c r="U607" s="1914"/>
      <c r="V607" s="1914"/>
      <c r="W607" s="1914"/>
      <c r="X607" s="1914"/>
      <c r="Y607" s="1914"/>
      <c r="Z607" s="1914"/>
      <c r="AA607" s="1914"/>
      <c r="AB607" s="1914"/>
      <c r="AC607" s="1914"/>
      <c r="AD607" s="1914"/>
      <c r="AE607" s="1914"/>
      <c r="AF607" s="1914"/>
      <c r="AG607" s="1914"/>
      <c r="AH607" s="676"/>
      <c r="AI607" s="676"/>
      <c r="AJ607" s="676"/>
      <c r="AK607" s="676"/>
      <c r="AL607" s="676"/>
      <c r="AN607" s="631"/>
    </row>
    <row r="608" spans="2:47" s="584" customFormat="1" ht="12.75" customHeight="1">
      <c r="B608" s="570"/>
      <c r="C608" s="968"/>
      <c r="D608" s="676"/>
      <c r="E608" s="1914"/>
      <c r="F608" s="1914"/>
      <c r="G608" s="1914"/>
      <c r="H608" s="1914"/>
      <c r="I608" s="1914"/>
      <c r="J608" s="1914"/>
      <c r="K608" s="1914"/>
      <c r="L608" s="1914"/>
      <c r="M608" s="1914"/>
      <c r="N608" s="1914"/>
      <c r="O608" s="1914"/>
      <c r="P608" s="1914"/>
      <c r="Q608" s="1914"/>
      <c r="R608" s="1914"/>
      <c r="S608" s="1914"/>
      <c r="T608" s="1914"/>
      <c r="U608" s="1914"/>
      <c r="V608" s="1914"/>
      <c r="W608" s="1914"/>
      <c r="X608" s="1914"/>
      <c r="Y608" s="1914"/>
      <c r="Z608" s="1914"/>
      <c r="AA608" s="1914"/>
      <c r="AB608" s="1914"/>
      <c r="AC608" s="1914"/>
      <c r="AD608" s="1914"/>
      <c r="AE608" s="1914"/>
      <c r="AF608" s="1914"/>
      <c r="AG608" s="191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1">
        <f>VLOOKUP($H$595,$AO$575:$AP$580,2,FALSE)+IF(R595=AO583,0,VLOOKUP($I$603,$AO$602:$AP$604,2,FALSE))</f>
        <v>7</v>
      </c>
      <c r="AK610" s="192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1" t="s">
        <v>1884</v>
      </c>
      <c r="F614" s="2031"/>
      <c r="G614" s="2031"/>
      <c r="H614" s="2031"/>
      <c r="I614" s="2031"/>
      <c r="J614" s="2031"/>
      <c r="K614" s="2031"/>
      <c r="L614" s="2031"/>
      <c r="M614" s="2031"/>
      <c r="N614" s="2031"/>
      <c r="O614" s="2031"/>
      <c r="P614" s="2031"/>
      <c r="Q614" s="2031"/>
      <c r="R614" s="2031"/>
      <c r="S614" s="2031"/>
      <c r="T614" s="2031"/>
      <c r="U614" s="2031"/>
      <c r="V614" s="2031"/>
      <c r="W614" s="2031"/>
      <c r="X614" s="2031"/>
      <c r="Y614" s="2031"/>
      <c r="Z614" s="2031"/>
      <c r="AA614" s="2031"/>
      <c r="AB614" s="2031"/>
      <c r="AC614" s="2031"/>
      <c r="AD614" s="2031"/>
      <c r="AE614" s="573"/>
      <c r="AF614" s="1994" t="s">
        <v>1463</v>
      </c>
      <c r="AG614" s="1994"/>
      <c r="AH614" s="1994"/>
      <c r="AI614" s="1994"/>
      <c r="AJ614" s="1994"/>
      <c r="AK614" s="1994"/>
      <c r="AL614" s="1994"/>
      <c r="AM614" s="584"/>
      <c r="AN614" s="712"/>
    </row>
    <row r="615" spans="1:42" s="584" customFormat="1" ht="12.75" customHeight="1">
      <c r="A615" s="713"/>
      <c r="B615" s="570"/>
      <c r="C615" s="968"/>
      <c r="D615" s="697"/>
      <c r="E615" s="2031"/>
      <c r="F615" s="2031"/>
      <c r="G615" s="2031"/>
      <c r="H615" s="2031"/>
      <c r="I615" s="2031"/>
      <c r="J615" s="2031"/>
      <c r="K615" s="2031"/>
      <c r="L615" s="2031"/>
      <c r="M615" s="2031"/>
      <c r="N615" s="2031"/>
      <c r="O615" s="2031"/>
      <c r="P615" s="2031"/>
      <c r="Q615" s="2031"/>
      <c r="R615" s="2031"/>
      <c r="S615" s="2031"/>
      <c r="T615" s="2031"/>
      <c r="U615" s="2031"/>
      <c r="V615" s="2031"/>
      <c r="W615" s="2031"/>
      <c r="X615" s="2031"/>
      <c r="Y615" s="2031"/>
      <c r="Z615" s="2031"/>
      <c r="AA615" s="2031"/>
      <c r="AB615" s="2031"/>
      <c r="AC615" s="2031"/>
      <c r="AD615" s="2031"/>
      <c r="AE615" s="570"/>
      <c r="AF615" s="570"/>
      <c r="AG615" s="570"/>
      <c r="AH615" s="570"/>
      <c r="AI615" s="570"/>
      <c r="AJ615" s="570"/>
      <c r="AK615" s="570"/>
      <c r="AL615" s="570"/>
      <c r="AN615" s="631"/>
    </row>
    <row r="616" spans="1:42" s="584" customFormat="1" ht="12.75" customHeight="1">
      <c r="B616" s="570"/>
      <c r="C616" s="966"/>
      <c r="D616" s="697"/>
      <c r="E616" s="2031"/>
      <c r="F616" s="2031"/>
      <c r="G616" s="2031"/>
      <c r="H616" s="2031"/>
      <c r="I616" s="2031"/>
      <c r="J616" s="2031"/>
      <c r="K616" s="2031"/>
      <c r="L616" s="2031"/>
      <c r="M616" s="2031"/>
      <c r="N616" s="2031"/>
      <c r="O616" s="2031"/>
      <c r="P616" s="2031"/>
      <c r="Q616" s="2031"/>
      <c r="R616" s="2031"/>
      <c r="S616" s="2031"/>
      <c r="T616" s="2031"/>
      <c r="U616" s="2031"/>
      <c r="V616" s="2031"/>
      <c r="W616" s="2031"/>
      <c r="X616" s="2031"/>
      <c r="Y616" s="2031"/>
      <c r="Z616" s="2031"/>
      <c r="AA616" s="2031"/>
      <c r="AB616" s="2031"/>
      <c r="AC616" s="2031"/>
      <c r="AD616" s="2031"/>
      <c r="AE616" s="570"/>
      <c r="AF616" s="570"/>
      <c r="AG616" s="570"/>
      <c r="AH616" s="570"/>
      <c r="AI616" s="570"/>
      <c r="AJ616" s="570"/>
      <c r="AK616" s="570"/>
      <c r="AL616" s="570"/>
      <c r="AN616" s="631"/>
    </row>
    <row r="617" spans="1:42" s="584" customFormat="1" ht="12.75" customHeight="1">
      <c r="B617" s="570"/>
      <c r="C617" s="966"/>
      <c r="D617" s="697"/>
      <c r="E617" s="2031"/>
      <c r="F617" s="2031"/>
      <c r="G617" s="2031"/>
      <c r="H617" s="2031"/>
      <c r="I617" s="2031"/>
      <c r="J617" s="2031"/>
      <c r="K617" s="2031"/>
      <c r="L617" s="2031"/>
      <c r="M617" s="2031"/>
      <c r="N617" s="2031"/>
      <c r="O617" s="2031"/>
      <c r="P617" s="2031"/>
      <c r="Q617" s="2031"/>
      <c r="R617" s="2031"/>
      <c r="S617" s="2031"/>
      <c r="T617" s="2031"/>
      <c r="U617" s="2031"/>
      <c r="V617" s="2031"/>
      <c r="W617" s="2031"/>
      <c r="X617" s="2031"/>
      <c r="Y617" s="2031"/>
      <c r="Z617" s="2031"/>
      <c r="AA617" s="2031"/>
      <c r="AB617" s="2031"/>
      <c r="AC617" s="2031"/>
      <c r="AD617" s="2031"/>
      <c r="AE617" s="570"/>
      <c r="AF617" s="570"/>
      <c r="AG617" s="570"/>
      <c r="AH617" s="570"/>
      <c r="AI617" s="570"/>
      <c r="AJ617" s="570"/>
      <c r="AK617" s="570"/>
      <c r="AL617" s="570"/>
      <c r="AN617" s="631"/>
    </row>
    <row r="618" spans="1:42" s="584" customFormat="1" ht="12.75" customHeight="1">
      <c r="B618" s="570"/>
      <c r="C618" s="966"/>
      <c r="D618" s="697"/>
      <c r="E618" s="2031"/>
      <c r="F618" s="2031"/>
      <c r="G618" s="2031"/>
      <c r="H618" s="2031"/>
      <c r="I618" s="2031"/>
      <c r="J618" s="2031"/>
      <c r="K618" s="2031"/>
      <c r="L618" s="2031"/>
      <c r="M618" s="2031"/>
      <c r="N618" s="2031"/>
      <c r="O618" s="2031"/>
      <c r="P618" s="2031"/>
      <c r="Q618" s="2031"/>
      <c r="R618" s="2031"/>
      <c r="S618" s="2031"/>
      <c r="T618" s="2031"/>
      <c r="U618" s="2031"/>
      <c r="V618" s="2031"/>
      <c r="W618" s="2031"/>
      <c r="X618" s="2031"/>
      <c r="Y618" s="2031"/>
      <c r="Z618" s="2031"/>
      <c r="AA618" s="2031"/>
      <c r="AB618" s="2031"/>
      <c r="AC618" s="2031"/>
      <c r="AD618" s="2031"/>
      <c r="AE618" s="570"/>
      <c r="AF618" s="570"/>
      <c r="AG618" s="570"/>
      <c r="AH618" s="570"/>
      <c r="AI618" s="570"/>
      <c r="AJ618" s="570"/>
      <c r="AK618" s="570"/>
      <c r="AL618" s="570"/>
      <c r="AN618" s="631"/>
    </row>
    <row r="619" spans="1:42" s="584" customFormat="1" ht="12.75" customHeight="1">
      <c r="B619" s="570"/>
      <c r="C619" s="966"/>
      <c r="D619" s="697"/>
      <c r="E619" s="2031"/>
      <c r="F619" s="2031"/>
      <c r="G619" s="2031"/>
      <c r="H619" s="2031"/>
      <c r="I619" s="2031"/>
      <c r="J619" s="2031"/>
      <c r="K619" s="2031"/>
      <c r="L619" s="2031"/>
      <c r="M619" s="2031"/>
      <c r="N619" s="2031"/>
      <c r="O619" s="2031"/>
      <c r="P619" s="2031"/>
      <c r="Q619" s="2031"/>
      <c r="R619" s="2031"/>
      <c r="S619" s="2031"/>
      <c r="T619" s="2031"/>
      <c r="U619" s="2031"/>
      <c r="V619" s="2031"/>
      <c r="W619" s="2031"/>
      <c r="X619" s="2031"/>
      <c r="Y619" s="2031"/>
      <c r="Z619" s="2031"/>
      <c r="AA619" s="2031"/>
      <c r="AB619" s="2031"/>
      <c r="AC619" s="2031"/>
      <c r="AD619" s="2031"/>
      <c r="AE619" s="570"/>
      <c r="AF619" s="570"/>
      <c r="AG619" s="570"/>
      <c r="AH619" s="570"/>
      <c r="AI619" s="570"/>
      <c r="AJ619" s="570"/>
      <c r="AK619" s="570"/>
      <c r="AL619" s="570"/>
      <c r="AN619" s="631"/>
    </row>
    <row r="620" spans="1:42" s="584" customFormat="1" ht="12.75" customHeight="1">
      <c r="A620" s="671"/>
      <c r="B620" s="650"/>
      <c r="C620" s="975"/>
      <c r="D620" s="697"/>
      <c r="E620" s="2031"/>
      <c r="F620" s="2031"/>
      <c r="G620" s="2031"/>
      <c r="H620" s="2031"/>
      <c r="I620" s="2031"/>
      <c r="J620" s="2031"/>
      <c r="K620" s="2031"/>
      <c r="L620" s="2031"/>
      <c r="M620" s="2031"/>
      <c r="N620" s="2031"/>
      <c r="O620" s="2031"/>
      <c r="P620" s="2031"/>
      <c r="Q620" s="2031"/>
      <c r="R620" s="2031"/>
      <c r="S620" s="2031"/>
      <c r="T620" s="2031"/>
      <c r="U620" s="2031"/>
      <c r="V620" s="2031"/>
      <c r="W620" s="2031"/>
      <c r="X620" s="2031"/>
      <c r="Y620" s="2031"/>
      <c r="Z620" s="2031"/>
      <c r="AA620" s="2031"/>
      <c r="AB620" s="2031"/>
      <c r="AC620" s="2031"/>
      <c r="AD620" s="2031"/>
      <c r="AE620" s="650"/>
      <c r="AF620" s="650"/>
      <c r="AG620" s="650"/>
      <c r="AH620" s="650"/>
      <c r="AI620" s="650"/>
      <c r="AJ620" s="650"/>
      <c r="AK620" s="570"/>
      <c r="AL620" s="570"/>
      <c r="AN620" s="631"/>
    </row>
    <row r="621" spans="1:42" s="584" customFormat="1" ht="12.75" customHeight="1">
      <c r="B621" s="650"/>
      <c r="C621" s="975"/>
      <c r="D621" s="697"/>
      <c r="E621" s="2031"/>
      <c r="F621" s="2031"/>
      <c r="G621" s="2031"/>
      <c r="H621" s="2031"/>
      <c r="I621" s="2031"/>
      <c r="J621" s="2031"/>
      <c r="K621" s="2031"/>
      <c r="L621" s="2031"/>
      <c r="M621" s="2031"/>
      <c r="N621" s="2031"/>
      <c r="O621" s="2031"/>
      <c r="P621" s="2031"/>
      <c r="Q621" s="2031"/>
      <c r="R621" s="2031"/>
      <c r="S621" s="2031"/>
      <c r="T621" s="2031"/>
      <c r="U621" s="2031"/>
      <c r="V621" s="2031"/>
      <c r="W621" s="2031"/>
      <c r="X621" s="2031"/>
      <c r="Y621" s="2031"/>
      <c r="Z621" s="2031"/>
      <c r="AA621" s="2031"/>
      <c r="AB621" s="2031"/>
      <c r="AC621" s="2031"/>
      <c r="AD621" s="203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0" t="s">
        <v>599</v>
      </c>
      <c r="Y623" s="2030"/>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4" t="s">
        <v>1519</v>
      </c>
      <c r="AG625" s="1994"/>
      <c r="AH625" s="1994"/>
      <c r="AI625" s="1994"/>
      <c r="AJ625" s="1994"/>
      <c r="AK625" s="1994"/>
      <c r="AL625" s="199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38" t="s">
        <v>517</v>
      </c>
      <c r="I627" s="193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1">
        <f>VLOOKUP($H$627,$AO$594:$AP$596,2,FALSE)</f>
        <v>2</v>
      </c>
      <c r="AK629" s="1923"/>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4" t="s">
        <v>2416</v>
      </c>
      <c r="F633" s="1914"/>
      <c r="G633" s="1914"/>
      <c r="H633" s="1914"/>
      <c r="I633" s="1914"/>
      <c r="J633" s="1914"/>
      <c r="K633" s="1914"/>
      <c r="L633" s="1914"/>
      <c r="M633" s="1914"/>
      <c r="N633" s="1914"/>
      <c r="O633" s="1914"/>
      <c r="P633" s="1914"/>
      <c r="Q633" s="1914"/>
      <c r="R633" s="1914"/>
      <c r="S633" s="1914"/>
      <c r="T633" s="1914"/>
      <c r="U633" s="1914"/>
      <c r="V633" s="1914"/>
      <c r="W633" s="1914"/>
      <c r="X633" s="1914"/>
      <c r="Y633" s="1914"/>
      <c r="Z633" s="1914"/>
      <c r="AA633" s="1914"/>
      <c r="AB633" s="1914"/>
      <c r="AC633" s="1914"/>
      <c r="AD633" s="1914"/>
      <c r="AE633" s="570"/>
      <c r="AF633" s="1994" t="s">
        <v>1463</v>
      </c>
      <c r="AG633" s="1994"/>
      <c r="AH633" s="1994"/>
      <c r="AI633" s="1994"/>
      <c r="AJ633" s="1994"/>
      <c r="AK633" s="1994"/>
      <c r="AL633" s="1994"/>
      <c r="AN633" s="631"/>
    </row>
    <row r="634" spans="1:42" s="584" customFormat="1" ht="12.75" customHeight="1">
      <c r="B634" s="570"/>
      <c r="C634" s="570"/>
      <c r="D634" s="697"/>
      <c r="E634" s="1914"/>
      <c r="F634" s="1914"/>
      <c r="G634" s="1914"/>
      <c r="H634" s="1914"/>
      <c r="I634" s="1914"/>
      <c r="J634" s="1914"/>
      <c r="K634" s="1914"/>
      <c r="L634" s="1914"/>
      <c r="M634" s="1914"/>
      <c r="N634" s="1914"/>
      <c r="O634" s="1914"/>
      <c r="P634" s="1914"/>
      <c r="Q634" s="1914"/>
      <c r="R634" s="1914"/>
      <c r="S634" s="1914"/>
      <c r="T634" s="1914"/>
      <c r="U634" s="1914"/>
      <c r="V634" s="1914"/>
      <c r="W634" s="1914"/>
      <c r="X634" s="1914"/>
      <c r="Y634" s="1914"/>
      <c r="Z634" s="1914"/>
      <c r="AA634" s="1914"/>
      <c r="AB634" s="1914"/>
      <c r="AC634" s="1914"/>
      <c r="AD634" s="191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4" t="s">
        <v>1519</v>
      </c>
      <c r="AG636" s="1994"/>
      <c r="AH636" s="1994"/>
      <c r="AI636" s="1994"/>
      <c r="AJ636" s="1994"/>
      <c r="AK636" s="1994"/>
      <c r="AL636" s="1994"/>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38" t="s">
        <v>599</v>
      </c>
      <c r="I639" s="193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1">
        <f>VLOOKUP(H639,AT594:AU596,2,FALSE)</f>
        <v>0</v>
      </c>
      <c r="AK641" s="192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4" t="s">
        <v>1529</v>
      </c>
      <c r="F646" s="1914"/>
      <c r="G646" s="1914"/>
      <c r="H646" s="1914"/>
      <c r="I646" s="1914"/>
      <c r="J646" s="1914"/>
      <c r="K646" s="1914"/>
      <c r="L646" s="1914"/>
      <c r="M646" s="1914"/>
      <c r="N646" s="1914"/>
      <c r="O646" s="1914"/>
      <c r="P646" s="1914"/>
      <c r="Q646" s="1914"/>
      <c r="R646" s="1914"/>
      <c r="S646" s="1914"/>
      <c r="T646" s="1914"/>
      <c r="U646" s="1914"/>
      <c r="V646" s="1914"/>
      <c r="W646" s="1914"/>
      <c r="X646" s="1914"/>
      <c r="Y646" s="1914"/>
      <c r="Z646" s="1914"/>
      <c r="AA646" s="1914"/>
      <c r="AB646" s="1914"/>
      <c r="AC646" s="1914"/>
      <c r="AD646" s="570"/>
      <c r="AE646" s="570"/>
      <c r="AF646" s="1994" t="s">
        <v>1489</v>
      </c>
      <c r="AG646" s="1994"/>
      <c r="AH646" s="1994"/>
      <c r="AI646" s="1994"/>
      <c r="AJ646" s="1994"/>
      <c r="AK646" s="1994"/>
      <c r="AL646" s="1994"/>
      <c r="AN646" s="631"/>
    </row>
    <row r="647" spans="1:42" s="584" customFormat="1" ht="12.75" customHeight="1">
      <c r="B647" s="570"/>
      <c r="C647" s="573"/>
      <c r="D647" s="570"/>
      <c r="E647" s="1914"/>
      <c r="F647" s="1914"/>
      <c r="G647" s="1914"/>
      <c r="H647" s="1914"/>
      <c r="I647" s="1914"/>
      <c r="J647" s="1914"/>
      <c r="K647" s="1914"/>
      <c r="L647" s="1914"/>
      <c r="M647" s="1914"/>
      <c r="N647" s="1914"/>
      <c r="O647" s="1914"/>
      <c r="P647" s="1914"/>
      <c r="Q647" s="1914"/>
      <c r="R647" s="1914"/>
      <c r="S647" s="1914"/>
      <c r="T647" s="1914"/>
      <c r="U647" s="1914"/>
      <c r="V647" s="1914"/>
      <c r="W647" s="1914"/>
      <c r="X647" s="1914"/>
      <c r="Y647" s="1914"/>
      <c r="Z647" s="1914"/>
      <c r="AA647" s="1914"/>
      <c r="AB647" s="1914"/>
      <c r="AC647" s="1914"/>
      <c r="AD647" s="570"/>
      <c r="AE647" s="570"/>
      <c r="AF647" s="570"/>
      <c r="AG647" s="570"/>
      <c r="AH647" s="570"/>
      <c r="AI647" s="570"/>
      <c r="AJ647" s="570"/>
      <c r="AK647" s="570"/>
      <c r="AL647" s="570"/>
      <c r="AN647" s="631"/>
    </row>
    <row r="648" spans="1:42" s="584" customFormat="1" ht="12.75" customHeight="1">
      <c r="B648" s="570"/>
      <c r="C648" s="573"/>
      <c r="D648" s="697"/>
      <c r="E648" s="1914"/>
      <c r="F648" s="1914"/>
      <c r="G648" s="1914"/>
      <c r="H648" s="1914"/>
      <c r="I648" s="1914"/>
      <c r="J648" s="1914"/>
      <c r="K648" s="1914"/>
      <c r="L648" s="1914"/>
      <c r="M648" s="1914"/>
      <c r="N648" s="1914"/>
      <c r="O648" s="1914"/>
      <c r="P648" s="1914"/>
      <c r="Q648" s="1914"/>
      <c r="R648" s="1914"/>
      <c r="S648" s="1914"/>
      <c r="T648" s="1914"/>
      <c r="U648" s="1914"/>
      <c r="V648" s="1914"/>
      <c r="W648" s="1914"/>
      <c r="X648" s="1914"/>
      <c r="Y648" s="1914"/>
      <c r="Z648" s="1914"/>
      <c r="AA648" s="1914"/>
      <c r="AB648" s="1914"/>
      <c r="AC648" s="191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4" t="s">
        <v>1530</v>
      </c>
      <c r="F650" s="1914"/>
      <c r="G650" s="1914"/>
      <c r="H650" s="1914"/>
      <c r="I650" s="1914"/>
      <c r="J650" s="1914"/>
      <c r="K650" s="1914"/>
      <c r="L650" s="1914"/>
      <c r="M650" s="1914"/>
      <c r="N650" s="1914"/>
      <c r="O650" s="1914"/>
      <c r="P650" s="1914"/>
      <c r="Q650" s="1914"/>
      <c r="R650" s="1914"/>
      <c r="S650" s="1914"/>
      <c r="T650" s="1914"/>
      <c r="U650" s="1914"/>
      <c r="V650" s="1914"/>
      <c r="W650" s="1914"/>
      <c r="X650" s="1914"/>
      <c r="Y650" s="1914"/>
      <c r="Z650" s="1914"/>
      <c r="AA650" s="1914"/>
      <c r="AB650" s="1914"/>
      <c r="AC650" s="1914"/>
      <c r="AD650" s="570"/>
      <c r="AE650" s="570"/>
      <c r="AF650" s="1994" t="s">
        <v>1510</v>
      </c>
      <c r="AG650" s="1994"/>
      <c r="AH650" s="1994"/>
      <c r="AI650" s="1994"/>
      <c r="AJ650" s="1994"/>
      <c r="AK650" s="1994"/>
      <c r="AL650" s="1994"/>
      <c r="AN650" s="631"/>
    </row>
    <row r="651" spans="1:42" s="584" customFormat="1" ht="12.75" customHeight="1">
      <c r="B651" s="570"/>
      <c r="C651" s="573"/>
      <c r="D651" s="570"/>
      <c r="E651" s="1914"/>
      <c r="F651" s="1914"/>
      <c r="G651" s="1914"/>
      <c r="H651" s="1914"/>
      <c r="I651" s="1914"/>
      <c r="J651" s="1914"/>
      <c r="K651" s="1914"/>
      <c r="L651" s="1914"/>
      <c r="M651" s="1914"/>
      <c r="N651" s="1914"/>
      <c r="O651" s="1914"/>
      <c r="P651" s="1914"/>
      <c r="Q651" s="1914"/>
      <c r="R651" s="1914"/>
      <c r="S651" s="1914"/>
      <c r="T651" s="1914"/>
      <c r="U651" s="1914"/>
      <c r="V651" s="1914"/>
      <c r="W651" s="1914"/>
      <c r="X651" s="1914"/>
      <c r="Y651" s="1914"/>
      <c r="Z651" s="1914"/>
      <c r="AA651" s="1914"/>
      <c r="AB651" s="1914"/>
      <c r="AC651" s="1914"/>
      <c r="AD651" s="570"/>
      <c r="AE651" s="570"/>
      <c r="AF651" s="570"/>
      <c r="AG651" s="570"/>
      <c r="AH651" s="570"/>
      <c r="AI651" s="570"/>
      <c r="AJ651" s="570"/>
      <c r="AK651" s="570"/>
      <c r="AL651" s="570"/>
      <c r="AN651" s="631"/>
    </row>
    <row r="652" spans="1:42" s="584" customFormat="1" ht="15" customHeight="1">
      <c r="B652" s="570"/>
      <c r="C652" s="573"/>
      <c r="D652" s="697"/>
      <c r="E652" s="1914"/>
      <c r="F652" s="1914"/>
      <c r="G652" s="1914"/>
      <c r="H652" s="1914"/>
      <c r="I652" s="1914"/>
      <c r="J652" s="1914"/>
      <c r="K652" s="1914"/>
      <c r="L652" s="1914"/>
      <c r="M652" s="1914"/>
      <c r="N652" s="1914"/>
      <c r="O652" s="1914"/>
      <c r="P652" s="1914"/>
      <c r="Q652" s="1914"/>
      <c r="R652" s="1914"/>
      <c r="S652" s="1914"/>
      <c r="T652" s="1914"/>
      <c r="U652" s="1914"/>
      <c r="V652" s="1914"/>
      <c r="W652" s="1914"/>
      <c r="X652" s="1914"/>
      <c r="Y652" s="1914"/>
      <c r="Z652" s="1914"/>
      <c r="AA652" s="1914"/>
      <c r="AB652" s="1914"/>
      <c r="AC652" s="191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4" t="s">
        <v>1531</v>
      </c>
      <c r="F654" s="1914"/>
      <c r="G654" s="1914"/>
      <c r="H654" s="1914"/>
      <c r="I654" s="1914"/>
      <c r="J654" s="1914"/>
      <c r="K654" s="1914"/>
      <c r="L654" s="1914"/>
      <c r="M654" s="1914"/>
      <c r="N654" s="1914"/>
      <c r="O654" s="1914"/>
      <c r="P654" s="1914"/>
      <c r="Q654" s="1914"/>
      <c r="R654" s="1914"/>
      <c r="S654" s="1914"/>
      <c r="T654" s="1914"/>
      <c r="U654" s="1914"/>
      <c r="V654" s="1914"/>
      <c r="W654" s="1914"/>
      <c r="X654" s="1914"/>
      <c r="Y654" s="1914"/>
      <c r="Z654" s="1914"/>
      <c r="AA654" s="1914"/>
      <c r="AB654" s="1914"/>
      <c r="AC654" s="1914"/>
      <c r="AD654" s="570"/>
      <c r="AE654" s="570"/>
      <c r="AF654" s="1994" t="s">
        <v>1463</v>
      </c>
      <c r="AG654" s="1994"/>
      <c r="AH654" s="1994"/>
      <c r="AI654" s="1994"/>
      <c r="AJ654" s="1994"/>
      <c r="AK654" s="1994"/>
      <c r="AL654" s="1994"/>
      <c r="AN654" s="631"/>
    </row>
    <row r="655" spans="1:42" s="584" customFormat="1" ht="12.75" customHeight="1">
      <c r="B655" s="570"/>
      <c r="C655" s="966"/>
      <c r="D655" s="570"/>
      <c r="E655" s="1914"/>
      <c r="F655" s="1914"/>
      <c r="G655" s="1914"/>
      <c r="H655" s="1914"/>
      <c r="I655" s="1914"/>
      <c r="J655" s="1914"/>
      <c r="K655" s="1914"/>
      <c r="L655" s="1914"/>
      <c r="M655" s="1914"/>
      <c r="N655" s="1914"/>
      <c r="O655" s="1914"/>
      <c r="P655" s="1914"/>
      <c r="Q655" s="1914"/>
      <c r="R655" s="1914"/>
      <c r="S655" s="1914"/>
      <c r="T655" s="1914"/>
      <c r="U655" s="1914"/>
      <c r="V655" s="1914"/>
      <c r="W655" s="1914"/>
      <c r="X655" s="1914"/>
      <c r="Y655" s="1914"/>
      <c r="Z655" s="1914"/>
      <c r="AA655" s="1914"/>
      <c r="AB655" s="1914"/>
      <c r="AC655" s="1914"/>
      <c r="AD655" s="570"/>
      <c r="AE655" s="1994"/>
      <c r="AF655" s="1994"/>
      <c r="AG655" s="1994"/>
      <c r="AH655" s="1994"/>
      <c r="AI655" s="1994"/>
      <c r="AJ655" s="1994"/>
      <c r="AK655" s="1994"/>
      <c r="AL655" s="628"/>
      <c r="AN655" s="631"/>
      <c r="AO655" s="584" t="s">
        <v>599</v>
      </c>
      <c r="AP655" s="707">
        <v>0</v>
      </c>
    </row>
    <row r="656" spans="1:42" s="584" customFormat="1" ht="12.75" customHeight="1">
      <c r="A656" s="713"/>
      <c r="B656" s="570"/>
      <c r="C656" s="570"/>
      <c r="D656" s="697"/>
      <c r="E656" s="1914"/>
      <c r="F656" s="1914"/>
      <c r="G656" s="1914"/>
      <c r="H656" s="1914"/>
      <c r="I656" s="1914"/>
      <c r="J656" s="1914"/>
      <c r="K656" s="1914"/>
      <c r="L656" s="1914"/>
      <c r="M656" s="1914"/>
      <c r="N656" s="1914"/>
      <c r="O656" s="1914"/>
      <c r="P656" s="1914"/>
      <c r="Q656" s="1914"/>
      <c r="R656" s="1914"/>
      <c r="S656" s="1914"/>
      <c r="T656" s="1914"/>
      <c r="U656" s="1914"/>
      <c r="V656" s="1914"/>
      <c r="W656" s="1914"/>
      <c r="X656" s="1914"/>
      <c r="Y656" s="1914"/>
      <c r="Z656" s="1914"/>
      <c r="AA656" s="1914"/>
      <c r="AB656" s="1914"/>
      <c r="AC656" s="1914"/>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14" t="s">
        <v>1532</v>
      </c>
      <c r="F658" s="1914"/>
      <c r="G658" s="1914"/>
      <c r="H658" s="1914"/>
      <c r="I658" s="1914"/>
      <c r="J658" s="1914"/>
      <c r="K658" s="1914"/>
      <c r="L658" s="1914"/>
      <c r="M658" s="1914"/>
      <c r="N658" s="1914"/>
      <c r="O658" s="1914"/>
      <c r="P658" s="1914"/>
      <c r="Q658" s="1914"/>
      <c r="R658" s="1914"/>
      <c r="S658" s="1914"/>
      <c r="T658" s="1914"/>
      <c r="U658" s="1914"/>
      <c r="V658" s="1914"/>
      <c r="W658" s="1914"/>
      <c r="X658" s="1914"/>
      <c r="Y658" s="1914"/>
      <c r="Z658" s="1914"/>
      <c r="AA658" s="1914"/>
      <c r="AB658" s="1914"/>
      <c r="AC658" s="1914"/>
      <c r="AD658" s="570"/>
      <c r="AE658" s="570"/>
      <c r="AF658" s="1994" t="s">
        <v>1510</v>
      </c>
      <c r="AG658" s="1994"/>
      <c r="AH658" s="1994"/>
      <c r="AI658" s="1994"/>
      <c r="AJ658" s="1994"/>
      <c r="AK658" s="1994"/>
      <c r="AL658" s="1994"/>
      <c r="AN658" s="631"/>
    </row>
    <row r="659" spans="1:42" s="584" customFormat="1" ht="12.75" customHeight="1">
      <c r="A659" s="704"/>
      <c r="B659" s="570"/>
      <c r="C659" s="982"/>
      <c r="D659" s="697"/>
      <c r="E659" s="1914"/>
      <c r="F659" s="1914"/>
      <c r="G659" s="1914"/>
      <c r="H659" s="1914"/>
      <c r="I659" s="1914"/>
      <c r="J659" s="1914"/>
      <c r="K659" s="1914"/>
      <c r="L659" s="1914"/>
      <c r="M659" s="1914"/>
      <c r="N659" s="1914"/>
      <c r="O659" s="1914"/>
      <c r="P659" s="1914"/>
      <c r="Q659" s="1914"/>
      <c r="R659" s="1914"/>
      <c r="S659" s="1914"/>
      <c r="T659" s="1914"/>
      <c r="U659" s="1914"/>
      <c r="V659" s="1914"/>
      <c r="W659" s="1914"/>
      <c r="X659" s="1914"/>
      <c r="Y659" s="1914"/>
      <c r="Z659" s="1914"/>
      <c r="AA659" s="1914"/>
      <c r="AB659" s="1914"/>
      <c r="AC659" s="191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4"/>
      <c r="F660" s="1914"/>
      <c r="G660" s="1914"/>
      <c r="H660" s="1914"/>
      <c r="I660" s="1914"/>
      <c r="J660" s="1914"/>
      <c r="K660" s="1914"/>
      <c r="L660" s="1914"/>
      <c r="M660" s="1914"/>
      <c r="N660" s="1914"/>
      <c r="O660" s="1914"/>
      <c r="P660" s="1914"/>
      <c r="Q660" s="1914"/>
      <c r="R660" s="1914"/>
      <c r="S660" s="1914"/>
      <c r="T660" s="1914"/>
      <c r="U660" s="1914"/>
      <c r="V660" s="1914"/>
      <c r="W660" s="1914"/>
      <c r="X660" s="1914"/>
      <c r="Y660" s="1914"/>
      <c r="Z660" s="1914"/>
      <c r="AA660" s="1914"/>
      <c r="AB660" s="1914"/>
      <c r="AC660" s="191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4" t="s">
        <v>1533</v>
      </c>
      <c r="F662" s="1914"/>
      <c r="G662" s="1914"/>
      <c r="H662" s="1914"/>
      <c r="I662" s="1914"/>
      <c r="J662" s="1914"/>
      <c r="K662" s="1914"/>
      <c r="L662" s="1914"/>
      <c r="M662" s="1914"/>
      <c r="N662" s="1914"/>
      <c r="O662" s="1914"/>
      <c r="P662" s="1914"/>
      <c r="Q662" s="1914"/>
      <c r="R662" s="1914"/>
      <c r="S662" s="1914"/>
      <c r="T662" s="1914"/>
      <c r="U662" s="1914"/>
      <c r="V662" s="1914"/>
      <c r="W662" s="1914"/>
      <c r="X662" s="1914"/>
      <c r="Y662" s="1914"/>
      <c r="Z662" s="1914"/>
      <c r="AA662" s="1914"/>
      <c r="AB662" s="1914"/>
      <c r="AC662" s="1914"/>
      <c r="AD662" s="570"/>
      <c r="AE662" s="570"/>
      <c r="AF662" s="1994" t="s">
        <v>1463</v>
      </c>
      <c r="AG662" s="1994"/>
      <c r="AH662" s="1994"/>
      <c r="AI662" s="1994"/>
      <c r="AJ662" s="1994"/>
      <c r="AK662" s="1994"/>
      <c r="AL662" s="1994"/>
      <c r="AM662" s="630"/>
      <c r="AN662" s="631"/>
    </row>
    <row r="663" spans="1:42" s="584" customFormat="1" ht="12.75" customHeight="1">
      <c r="B663" s="570"/>
      <c r="C663" s="966"/>
      <c r="D663" s="697"/>
      <c r="E663" s="1914"/>
      <c r="F663" s="1914"/>
      <c r="G663" s="1914"/>
      <c r="H663" s="1914"/>
      <c r="I663" s="1914"/>
      <c r="J663" s="1914"/>
      <c r="K663" s="1914"/>
      <c r="L663" s="1914"/>
      <c r="M663" s="1914"/>
      <c r="N663" s="1914"/>
      <c r="O663" s="1914"/>
      <c r="P663" s="1914"/>
      <c r="Q663" s="1914"/>
      <c r="R663" s="1914"/>
      <c r="S663" s="1914"/>
      <c r="T663" s="1914"/>
      <c r="U663" s="1914"/>
      <c r="V663" s="1914"/>
      <c r="W663" s="1914"/>
      <c r="X663" s="1914"/>
      <c r="Y663" s="1914"/>
      <c r="Z663" s="1914"/>
      <c r="AA663" s="1914"/>
      <c r="AB663" s="1914"/>
      <c r="AC663" s="1914"/>
      <c r="AD663" s="570"/>
      <c r="AE663" s="570"/>
      <c r="AF663" s="570"/>
      <c r="AG663" s="570"/>
      <c r="AH663" s="570"/>
      <c r="AI663" s="570"/>
      <c r="AJ663" s="570"/>
      <c r="AK663" s="570"/>
      <c r="AL663" s="570"/>
      <c r="AM663" s="630"/>
      <c r="AN663" s="631"/>
    </row>
    <row r="664" spans="1:42" s="584" customFormat="1" ht="12.75" customHeight="1">
      <c r="B664" s="570"/>
      <c r="C664" s="966"/>
      <c r="D664" s="697"/>
      <c r="E664" s="1914"/>
      <c r="F664" s="1914"/>
      <c r="G664" s="1914"/>
      <c r="H664" s="1914"/>
      <c r="I664" s="1914"/>
      <c r="J664" s="1914"/>
      <c r="K664" s="1914"/>
      <c r="L664" s="1914"/>
      <c r="M664" s="1914"/>
      <c r="N664" s="1914"/>
      <c r="O664" s="1914"/>
      <c r="P664" s="1914"/>
      <c r="Q664" s="1914"/>
      <c r="R664" s="1914"/>
      <c r="S664" s="1914"/>
      <c r="T664" s="1914"/>
      <c r="U664" s="1914"/>
      <c r="V664" s="1914"/>
      <c r="W664" s="1914"/>
      <c r="X664" s="1914"/>
      <c r="Y664" s="1914"/>
      <c r="Z664" s="1914"/>
      <c r="AA664" s="1914"/>
      <c r="AB664" s="1914"/>
      <c r="AC664" s="191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4" t="s">
        <v>1534</v>
      </c>
      <c r="F666" s="1914"/>
      <c r="G666" s="1914"/>
      <c r="H666" s="1914"/>
      <c r="I666" s="1914"/>
      <c r="J666" s="1914"/>
      <c r="K666" s="1914"/>
      <c r="L666" s="1914"/>
      <c r="M666" s="1914"/>
      <c r="N666" s="1914"/>
      <c r="O666" s="1914"/>
      <c r="P666" s="1914"/>
      <c r="Q666" s="1914"/>
      <c r="R666" s="1914"/>
      <c r="S666" s="1914"/>
      <c r="T666" s="1914"/>
      <c r="U666" s="1914"/>
      <c r="V666" s="1914"/>
      <c r="W666" s="1914"/>
      <c r="X666" s="1914"/>
      <c r="Y666" s="1914"/>
      <c r="Z666" s="1914"/>
      <c r="AA666" s="1914"/>
      <c r="AB666" s="1914"/>
      <c r="AC666" s="1914"/>
      <c r="AD666" s="570"/>
      <c r="AE666" s="570"/>
      <c r="AF666" s="1994" t="s">
        <v>1519</v>
      </c>
      <c r="AG666" s="1994"/>
      <c r="AH666" s="1994"/>
      <c r="AI666" s="1994"/>
      <c r="AJ666" s="1994"/>
      <c r="AK666" s="1994"/>
      <c r="AL666" s="1994"/>
      <c r="AM666" s="630"/>
      <c r="AN666" s="631"/>
    </row>
    <row r="667" spans="1:42" s="584" customFormat="1" ht="12.75" customHeight="1">
      <c r="A667" s="713"/>
      <c r="B667" s="570"/>
      <c r="C667" s="966"/>
      <c r="D667" s="697"/>
      <c r="E667" s="1914"/>
      <c r="F667" s="1914"/>
      <c r="G667" s="1914"/>
      <c r="H667" s="1914"/>
      <c r="I667" s="1914"/>
      <c r="J667" s="1914"/>
      <c r="K667" s="1914"/>
      <c r="L667" s="1914"/>
      <c r="M667" s="1914"/>
      <c r="N667" s="1914"/>
      <c r="O667" s="1914"/>
      <c r="P667" s="1914"/>
      <c r="Q667" s="1914"/>
      <c r="R667" s="1914"/>
      <c r="S667" s="1914"/>
      <c r="T667" s="1914"/>
      <c r="U667" s="1914"/>
      <c r="V667" s="1914"/>
      <c r="W667" s="1914"/>
      <c r="X667" s="1914"/>
      <c r="Y667" s="1914"/>
      <c r="Z667" s="1914"/>
      <c r="AA667" s="1914"/>
      <c r="AB667" s="1914"/>
      <c r="AC667" s="191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4"/>
      <c r="F668" s="1914"/>
      <c r="G668" s="1914"/>
      <c r="H668" s="1914"/>
      <c r="I668" s="1914"/>
      <c r="J668" s="1914"/>
      <c r="K668" s="1914"/>
      <c r="L668" s="1914"/>
      <c r="M668" s="1914"/>
      <c r="N668" s="1914"/>
      <c r="O668" s="1914"/>
      <c r="P668" s="1914"/>
      <c r="Q668" s="1914"/>
      <c r="R668" s="1914"/>
      <c r="S668" s="1914"/>
      <c r="T668" s="1914"/>
      <c r="U668" s="1914"/>
      <c r="V668" s="1914"/>
      <c r="W668" s="1914"/>
      <c r="X668" s="1914"/>
      <c r="Y668" s="1914"/>
      <c r="Z668" s="1914"/>
      <c r="AA668" s="1914"/>
      <c r="AB668" s="1914"/>
      <c r="AC668" s="191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14" t="s">
        <v>1535</v>
      </c>
      <c r="F670" s="1914"/>
      <c r="G670" s="1914"/>
      <c r="H670" s="1914"/>
      <c r="I670" s="1914"/>
      <c r="J670" s="1914"/>
      <c r="K670" s="1914"/>
      <c r="L670" s="1914"/>
      <c r="M670" s="1914"/>
      <c r="N670" s="1914"/>
      <c r="O670" s="1914"/>
      <c r="P670" s="1914"/>
      <c r="Q670" s="1914"/>
      <c r="R670" s="1914"/>
      <c r="S670" s="1914"/>
      <c r="T670" s="1914"/>
      <c r="U670" s="1914"/>
      <c r="V670" s="1914"/>
      <c r="W670" s="1914"/>
      <c r="X670" s="1914"/>
      <c r="Y670" s="1914"/>
      <c r="Z670" s="1914"/>
      <c r="AA670" s="1914"/>
      <c r="AB670" s="1914"/>
      <c r="AC670" s="1914"/>
      <c r="AD670" s="570"/>
      <c r="AE670" s="570"/>
      <c r="AF670" s="1994" t="s">
        <v>1536</v>
      </c>
      <c r="AG670" s="1994"/>
      <c r="AH670" s="1994"/>
      <c r="AI670" s="1994"/>
      <c r="AJ670" s="1994"/>
      <c r="AK670" s="1994"/>
      <c r="AL670" s="1994"/>
      <c r="AM670" s="630"/>
      <c r="AN670" s="631"/>
      <c r="AO670" s="645" t="s">
        <v>696</v>
      </c>
      <c r="AP670" s="584">
        <v>3</v>
      </c>
    </row>
    <row r="671" spans="1:42" s="584" customFormat="1" ht="12.75" customHeight="1">
      <c r="A671" s="713"/>
      <c r="B671" s="570"/>
      <c r="C671" s="966"/>
      <c r="D671" s="697"/>
      <c r="E671" s="1914"/>
      <c r="F671" s="1914"/>
      <c r="G671" s="1914"/>
      <c r="H671" s="1914"/>
      <c r="I671" s="1914"/>
      <c r="J671" s="1914"/>
      <c r="K671" s="1914"/>
      <c r="L671" s="1914"/>
      <c r="M671" s="1914"/>
      <c r="N671" s="1914"/>
      <c r="O671" s="1914"/>
      <c r="P671" s="1914"/>
      <c r="Q671" s="1914"/>
      <c r="R671" s="1914"/>
      <c r="S671" s="1914"/>
      <c r="T671" s="1914"/>
      <c r="U671" s="1914"/>
      <c r="V671" s="1914"/>
      <c r="W671" s="1914"/>
      <c r="X671" s="1914"/>
      <c r="Y671" s="1914"/>
      <c r="Z671" s="1914"/>
      <c r="AA671" s="1914"/>
      <c r="AB671" s="1914"/>
      <c r="AC671" s="1914"/>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4"/>
      <c r="F672" s="1914"/>
      <c r="G672" s="1914"/>
      <c r="H672" s="1914"/>
      <c r="I672" s="1914"/>
      <c r="J672" s="1914"/>
      <c r="K672" s="1914"/>
      <c r="L672" s="1914"/>
      <c r="M672" s="1914"/>
      <c r="N672" s="1914"/>
      <c r="O672" s="1914"/>
      <c r="P672" s="1914"/>
      <c r="Q672" s="1914"/>
      <c r="R672" s="1914"/>
      <c r="S672" s="1914"/>
      <c r="T672" s="1914"/>
      <c r="U672" s="1914"/>
      <c r="V672" s="1914"/>
      <c r="W672" s="1914"/>
      <c r="X672" s="1914"/>
      <c r="Y672" s="1914"/>
      <c r="Z672" s="1914"/>
      <c r="AA672" s="1914"/>
      <c r="AB672" s="1914"/>
      <c r="AC672" s="191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38" t="s">
        <v>517</v>
      </c>
      <c r="I674" s="193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1">
        <f>VLOOKUP($H$674,$AO$622:$AP$629,2,FALSE)</f>
        <v>4</v>
      </c>
      <c r="AK676" s="192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71</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134</v>
      </c>
    </row>
    <row r="680" spans="1:51" s="584" customFormat="1" ht="12.75" customHeight="1">
      <c r="A680" s="713"/>
      <c r="B680" s="570"/>
      <c r="C680" s="983"/>
      <c r="D680" s="697" t="s">
        <v>696</v>
      </c>
      <c r="E680" s="2029" t="s">
        <v>2554</v>
      </c>
      <c r="F680" s="2029"/>
      <c r="G680" s="2029"/>
      <c r="H680" s="2029"/>
      <c r="I680" s="2029"/>
      <c r="J680" s="2029"/>
      <c r="K680" s="2029"/>
      <c r="L680" s="2029"/>
      <c r="M680" s="2029"/>
      <c r="N680" s="2029"/>
      <c r="O680" s="2029"/>
      <c r="P680" s="2029"/>
      <c r="Q680" s="2029"/>
      <c r="R680" s="2029"/>
      <c r="S680" s="2029"/>
      <c r="T680" s="2029"/>
      <c r="U680" s="2029"/>
      <c r="V680" s="2029"/>
      <c r="W680" s="2029"/>
      <c r="X680" s="2029"/>
      <c r="Y680" s="2029"/>
      <c r="Z680" s="2029"/>
      <c r="AA680" s="2029"/>
      <c r="AB680" s="2029"/>
      <c r="AC680" s="570"/>
      <c r="AD680" s="570"/>
      <c r="AE680" s="570"/>
      <c r="AF680" s="1994" t="s">
        <v>1463</v>
      </c>
      <c r="AG680" s="1994"/>
      <c r="AH680" s="1994"/>
      <c r="AI680" s="1994"/>
      <c r="AJ680" s="1994"/>
      <c r="AK680" s="1994"/>
      <c r="AL680" s="1994"/>
      <c r="AN680" s="631"/>
      <c r="AW680" s="22" t="s">
        <v>2549</v>
      </c>
      <c r="AX680" s="584">
        <f>Application!CC632</f>
        <v>0</v>
      </c>
    </row>
    <row r="681" spans="1:51" s="584" customFormat="1" ht="12.75" customHeight="1">
      <c r="A681" s="713"/>
      <c r="B681" s="570"/>
      <c r="C681" s="983"/>
      <c r="D681" s="697"/>
      <c r="E681" s="2029"/>
      <c r="F681" s="2029"/>
      <c r="G681" s="2029"/>
      <c r="H681" s="2029"/>
      <c r="I681" s="2029"/>
      <c r="J681" s="2029"/>
      <c r="K681" s="2029"/>
      <c r="L681" s="2029"/>
      <c r="M681" s="2029"/>
      <c r="N681" s="2029"/>
      <c r="O681" s="2029"/>
      <c r="P681" s="2029"/>
      <c r="Q681" s="2029"/>
      <c r="R681" s="2029"/>
      <c r="S681" s="2029"/>
      <c r="T681" s="2029"/>
      <c r="U681" s="2029"/>
      <c r="V681" s="2029"/>
      <c r="W681" s="2029"/>
      <c r="X681" s="2029"/>
      <c r="Y681" s="2029"/>
      <c r="Z681" s="2029"/>
      <c r="AA681" s="2029"/>
      <c r="AB681" s="2029"/>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14" t="s">
        <v>2453</v>
      </c>
      <c r="F683" s="1914"/>
      <c r="G683" s="1914"/>
      <c r="H683" s="1914"/>
      <c r="I683" s="1914"/>
      <c r="J683" s="1914"/>
      <c r="K683" s="1914"/>
      <c r="L683" s="1914"/>
      <c r="M683" s="1914"/>
      <c r="N683" s="1914"/>
      <c r="O683" s="1914"/>
      <c r="P683" s="1914"/>
      <c r="Q683" s="1914"/>
      <c r="R683" s="1914"/>
      <c r="S683" s="1914"/>
      <c r="T683" s="1914"/>
      <c r="U683" s="1914"/>
      <c r="V683" s="1914"/>
      <c r="W683" s="1914"/>
      <c r="X683" s="1914"/>
      <c r="Y683" s="1914"/>
      <c r="Z683" s="1914"/>
      <c r="AA683" s="1914"/>
      <c r="AB683" s="1914"/>
      <c r="AC683" s="570"/>
      <c r="AD683" s="570"/>
      <c r="AE683" s="570"/>
      <c r="AF683" s="1994" t="s">
        <v>1463</v>
      </c>
      <c r="AG683" s="1994"/>
      <c r="AH683" s="1994"/>
      <c r="AI683" s="1994"/>
      <c r="AJ683" s="1994"/>
      <c r="AK683" s="1994"/>
      <c r="AL683" s="1994"/>
      <c r="AN683" s="631"/>
      <c r="AW683" s="22" t="s">
        <v>2552</v>
      </c>
      <c r="AX683" s="584">
        <f>AX680+AX681+AX682</f>
        <v>0</v>
      </c>
    </row>
    <row r="684" spans="1:51" s="584" customFormat="1" ht="12.75" customHeight="1">
      <c r="B684" s="570"/>
      <c r="C684" s="975"/>
      <c r="D684" s="697"/>
      <c r="E684" s="1914"/>
      <c r="F684" s="1914"/>
      <c r="G684" s="1914"/>
      <c r="H684" s="1914"/>
      <c r="I684" s="1914"/>
      <c r="J684" s="1914"/>
      <c r="K684" s="1914"/>
      <c r="L684" s="1914"/>
      <c r="M684" s="1914"/>
      <c r="N684" s="1914"/>
      <c r="O684" s="1914"/>
      <c r="P684" s="1914"/>
      <c r="Q684" s="1914"/>
      <c r="R684" s="1914"/>
      <c r="S684" s="1914"/>
      <c r="T684" s="1914"/>
      <c r="U684" s="1914"/>
      <c r="V684" s="1914"/>
      <c r="W684" s="1914"/>
      <c r="X684" s="1914"/>
      <c r="Y684" s="1914"/>
      <c r="Z684" s="1914"/>
      <c r="AA684" s="1914"/>
      <c r="AB684" s="1914"/>
      <c r="AC684" s="570"/>
      <c r="AD684" s="570"/>
      <c r="AE684" s="650"/>
      <c r="AF684" s="570"/>
      <c r="AG684" s="570"/>
      <c r="AH684" s="570"/>
      <c r="AI684" s="570"/>
      <c r="AJ684" s="570"/>
      <c r="AK684" s="570"/>
      <c r="AL684" s="570"/>
      <c r="AN684" s="631"/>
      <c r="AO684" s="1929" t="b">
        <f>IF(Application!D211="Special Needs",IF(AY684&gt;=0.25,TRUE,FALSE),IF(AX684&gt;=0.25,TRUE,FALSE))</f>
        <v>0</v>
      </c>
      <c r="AP684" s="1929"/>
      <c r="AW684" s="22" t="s">
        <v>2553</v>
      </c>
      <c r="AX684" s="584">
        <f>IFERROR(AX683/AX679,0)</f>
        <v>0</v>
      </c>
      <c r="AY684" s="584">
        <f>IFERROR(AX683/(AX679-AX678),0)</f>
        <v>0</v>
      </c>
    </row>
    <row r="685" spans="1:51" s="584" customFormat="1" ht="12.75" customHeight="1">
      <c r="B685" s="570"/>
      <c r="C685" s="975"/>
      <c r="E685" s="1914"/>
      <c r="F685" s="1914"/>
      <c r="G685" s="1914"/>
      <c r="H685" s="1914"/>
      <c r="I685" s="1914"/>
      <c r="J685" s="1914"/>
      <c r="K685" s="1914"/>
      <c r="L685" s="1914"/>
      <c r="M685" s="1914"/>
      <c r="N685" s="1914"/>
      <c r="O685" s="1914"/>
      <c r="P685" s="1914"/>
      <c r="Q685" s="1914"/>
      <c r="R685" s="1914"/>
      <c r="S685" s="1914"/>
      <c r="T685" s="1914"/>
      <c r="U685" s="1914"/>
      <c r="V685" s="1914"/>
      <c r="W685" s="1914"/>
      <c r="X685" s="1914"/>
      <c r="Y685" s="1914"/>
      <c r="Z685" s="1914"/>
      <c r="AA685" s="1914"/>
      <c r="AB685" s="191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4"/>
      <c r="F686" s="1914"/>
      <c r="G686" s="1914"/>
      <c r="H686" s="1914"/>
      <c r="I686" s="1914"/>
      <c r="J686" s="1914"/>
      <c r="K686" s="1914"/>
      <c r="L686" s="1914"/>
      <c r="M686" s="1914"/>
      <c r="N686" s="1914"/>
      <c r="O686" s="1914"/>
      <c r="P686" s="1914"/>
      <c r="Q686" s="1914"/>
      <c r="R686" s="1914"/>
      <c r="S686" s="1914"/>
      <c r="T686" s="1914"/>
      <c r="U686" s="1914"/>
      <c r="V686" s="1914"/>
      <c r="W686" s="1914"/>
      <c r="X686" s="1914"/>
      <c r="Y686" s="1914"/>
      <c r="Z686" s="1914"/>
      <c r="AA686" s="1914"/>
      <c r="AB686" s="1914"/>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14" t="s">
        <v>2454</v>
      </c>
      <c r="F688" s="1914"/>
      <c r="G688" s="1914"/>
      <c r="H688" s="1914"/>
      <c r="I688" s="1914"/>
      <c r="J688" s="1914"/>
      <c r="K688" s="1914"/>
      <c r="L688" s="1914"/>
      <c r="M688" s="1914"/>
      <c r="N688" s="1914"/>
      <c r="O688" s="1914"/>
      <c r="P688" s="1914"/>
      <c r="Q688" s="1914"/>
      <c r="R688" s="1914"/>
      <c r="S688" s="1914"/>
      <c r="T688" s="1914"/>
      <c r="U688" s="1914"/>
      <c r="V688" s="1914"/>
      <c r="W688" s="1914"/>
      <c r="X688" s="1914"/>
      <c r="Y688" s="1914"/>
      <c r="Z688" s="1914"/>
      <c r="AA688" s="1914"/>
      <c r="AB688" s="1914"/>
      <c r="AC688" s="570"/>
      <c r="AD688" s="570"/>
      <c r="AE688" s="570"/>
      <c r="AF688" s="1994" t="s">
        <v>1519</v>
      </c>
      <c r="AG688" s="1994"/>
      <c r="AH688" s="1994"/>
      <c r="AI688" s="1994"/>
      <c r="AJ688" s="1994"/>
      <c r="AK688" s="1994"/>
      <c r="AL688" s="1994"/>
      <c r="AN688" s="631"/>
      <c r="AO688" s="645" t="s">
        <v>517</v>
      </c>
      <c r="AP688" s="584">
        <v>1</v>
      </c>
    </row>
    <row r="689" spans="1:42" s="584" customFormat="1" ht="12" customHeight="1">
      <c r="B689" s="570"/>
      <c r="C689" s="966"/>
      <c r="E689" s="1914"/>
      <c r="F689" s="1914"/>
      <c r="G689" s="1914"/>
      <c r="H689" s="1914"/>
      <c r="I689" s="1914"/>
      <c r="J689" s="1914"/>
      <c r="K689" s="1914"/>
      <c r="L689" s="1914"/>
      <c r="M689" s="1914"/>
      <c r="N689" s="1914"/>
      <c r="O689" s="1914"/>
      <c r="P689" s="1914"/>
      <c r="Q689" s="1914"/>
      <c r="R689" s="1914"/>
      <c r="S689" s="1914"/>
      <c r="T689" s="1914"/>
      <c r="U689" s="1914"/>
      <c r="V689" s="1914"/>
      <c r="W689" s="1914"/>
      <c r="X689" s="1914"/>
      <c r="Y689" s="1914"/>
      <c r="Z689" s="1914"/>
      <c r="AA689" s="1914"/>
      <c r="AB689" s="1914"/>
      <c r="AC689" s="570"/>
      <c r="AD689" s="570"/>
      <c r="AE689" s="650"/>
      <c r="AF689" s="570"/>
      <c r="AG689" s="570"/>
      <c r="AH689" s="570"/>
      <c r="AI689" s="570"/>
      <c r="AJ689" s="570"/>
      <c r="AK689" s="570"/>
      <c r="AL689" s="570"/>
      <c r="AN689" s="631"/>
    </row>
    <row r="690" spans="1:42" s="584" customFormat="1" ht="12" customHeight="1">
      <c r="B690" s="570"/>
      <c r="C690" s="966"/>
      <c r="D690" s="570"/>
      <c r="E690" s="1914"/>
      <c r="F690" s="1914"/>
      <c r="G690" s="1914"/>
      <c r="H690" s="1914"/>
      <c r="I690" s="1914"/>
      <c r="J690" s="1914"/>
      <c r="K690" s="1914"/>
      <c r="L690" s="1914"/>
      <c r="M690" s="1914"/>
      <c r="N690" s="1914"/>
      <c r="O690" s="1914"/>
      <c r="P690" s="1914"/>
      <c r="Q690" s="1914"/>
      <c r="R690" s="1914"/>
      <c r="S690" s="1914"/>
      <c r="T690" s="1914"/>
      <c r="U690" s="1914"/>
      <c r="V690" s="1914"/>
      <c r="W690" s="1914"/>
      <c r="X690" s="1914"/>
      <c r="Y690" s="1914"/>
      <c r="Z690" s="1914"/>
      <c r="AA690" s="1914"/>
      <c r="AB690" s="1914"/>
      <c r="AC690" s="570"/>
      <c r="AD690" s="570"/>
      <c r="AE690" s="650"/>
      <c r="AF690" s="570"/>
      <c r="AG690" s="570"/>
      <c r="AH690" s="570"/>
      <c r="AI690" s="570"/>
      <c r="AJ690" s="570"/>
      <c r="AK690" s="570"/>
      <c r="AL690" s="570"/>
      <c r="AN690" s="631"/>
    </row>
    <row r="691" spans="1:42" s="584" customFormat="1" ht="12" customHeight="1">
      <c r="B691" s="570"/>
      <c r="C691" s="966"/>
      <c r="D691" s="570"/>
      <c r="E691" s="1914"/>
      <c r="F691" s="1914"/>
      <c r="G691" s="1914"/>
      <c r="H691" s="1914"/>
      <c r="I691" s="1914"/>
      <c r="J691" s="1914"/>
      <c r="K691" s="1914"/>
      <c r="L691" s="1914"/>
      <c r="M691" s="1914"/>
      <c r="N691" s="1914"/>
      <c r="O691" s="1914"/>
      <c r="P691" s="1914"/>
      <c r="Q691" s="1914"/>
      <c r="R691" s="1914"/>
      <c r="S691" s="1914"/>
      <c r="T691" s="1914"/>
      <c r="U691" s="1914"/>
      <c r="V691" s="1914"/>
      <c r="W691" s="1914"/>
      <c r="X691" s="1914"/>
      <c r="Y691" s="1914"/>
      <c r="Z691" s="1914"/>
      <c r="AA691" s="1914"/>
      <c r="AB691" s="1914"/>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4"/>
      <c r="F692" s="1914"/>
      <c r="G692" s="1914"/>
      <c r="H692" s="1914"/>
      <c r="I692" s="1914"/>
      <c r="J692" s="1914"/>
      <c r="K692" s="1914"/>
      <c r="L692" s="1914"/>
      <c r="M692" s="1914"/>
      <c r="N692" s="1914"/>
      <c r="O692" s="1914"/>
      <c r="P692" s="1914"/>
      <c r="Q692" s="1914"/>
      <c r="R692" s="1914"/>
      <c r="S692" s="1914"/>
      <c r="T692" s="1914"/>
      <c r="U692" s="1914"/>
      <c r="V692" s="1914"/>
      <c r="W692" s="1914"/>
      <c r="X692" s="1914"/>
      <c r="Y692" s="1914"/>
      <c r="Z692" s="1914"/>
      <c r="AA692" s="1914"/>
      <c r="AB692" s="1914"/>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4" t="s">
        <v>1883</v>
      </c>
      <c r="F694" s="1914"/>
      <c r="G694" s="1914"/>
      <c r="H694" s="1914"/>
      <c r="I694" s="1914"/>
      <c r="J694" s="1914"/>
      <c r="K694" s="1914"/>
      <c r="L694" s="1914"/>
      <c r="M694" s="1914"/>
      <c r="N694" s="1914"/>
      <c r="O694" s="1914"/>
      <c r="P694" s="1914"/>
      <c r="Q694" s="1914"/>
      <c r="R694" s="1914"/>
      <c r="S694" s="1914"/>
      <c r="T694" s="1914"/>
      <c r="U694" s="1914"/>
      <c r="V694" s="1914"/>
      <c r="W694" s="1914"/>
      <c r="X694" s="1914"/>
      <c r="Y694" s="1914"/>
      <c r="Z694" s="1914"/>
      <c r="AA694" s="1914"/>
      <c r="AB694" s="1914"/>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4"/>
      <c r="F695" s="1914"/>
      <c r="G695" s="1914"/>
      <c r="H695" s="1914"/>
      <c r="I695" s="1914"/>
      <c r="J695" s="1914"/>
      <c r="K695" s="1914"/>
      <c r="L695" s="1914"/>
      <c r="M695" s="1914"/>
      <c r="N695" s="1914"/>
      <c r="O695" s="1914"/>
      <c r="P695" s="1914"/>
      <c r="Q695" s="1914"/>
      <c r="R695" s="1914"/>
      <c r="S695" s="1914"/>
      <c r="T695" s="1914"/>
      <c r="U695" s="1914"/>
      <c r="V695" s="1914"/>
      <c r="W695" s="1914"/>
      <c r="X695" s="1914"/>
      <c r="Y695" s="1914"/>
      <c r="Z695" s="1914"/>
      <c r="AA695" s="1914"/>
      <c r="AB695" s="1914"/>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4"/>
      <c r="F696" s="1914"/>
      <c r="G696" s="1914"/>
      <c r="H696" s="1914"/>
      <c r="I696" s="1914"/>
      <c r="J696" s="1914"/>
      <c r="K696" s="1914"/>
      <c r="L696" s="1914"/>
      <c r="M696" s="1914"/>
      <c r="N696" s="1914"/>
      <c r="O696" s="1914"/>
      <c r="P696" s="1914"/>
      <c r="Q696" s="1914"/>
      <c r="R696" s="1914"/>
      <c r="S696" s="1914"/>
      <c r="T696" s="1914"/>
      <c r="U696" s="1914"/>
      <c r="V696" s="1914"/>
      <c r="W696" s="1914"/>
      <c r="X696" s="1914"/>
      <c r="Y696" s="1914"/>
      <c r="Z696" s="1914"/>
      <c r="AA696" s="1914"/>
      <c r="AB696" s="191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38" t="s">
        <v>696</v>
      </c>
      <c r="I698" s="193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1">
        <f>VLOOKUP($H$698,$AO$692:$AP$694,2,FALSE)</f>
        <v>3</v>
      </c>
      <c r="AK700" s="1923"/>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7" t="s">
        <v>1885</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70"/>
      <c r="AD704" s="570"/>
      <c r="AE704" s="570"/>
      <c r="AF704" s="1994" t="s">
        <v>1463</v>
      </c>
      <c r="AG704" s="1994"/>
      <c r="AH704" s="1994"/>
      <c r="AI704" s="1994"/>
      <c r="AJ704" s="1994"/>
      <c r="AK704" s="1994"/>
      <c r="AL704" s="1994"/>
      <c r="AM704" s="584"/>
      <c r="AN704" s="718"/>
      <c r="AP704" s="604" t="s">
        <v>1543</v>
      </c>
    </row>
    <row r="705" spans="1:52" s="604" customFormat="1" ht="11.85" customHeight="1">
      <c r="A705" s="584"/>
      <c r="B705" s="570"/>
      <c r="C705" s="968"/>
      <c r="D705" s="697"/>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70"/>
      <c r="AD705" s="570"/>
      <c r="AE705" s="570"/>
      <c r="AF705" s="570"/>
      <c r="AG705" s="570"/>
      <c r="AH705" s="570"/>
      <c r="AI705" s="570"/>
      <c r="AJ705" s="570"/>
      <c r="AK705" s="570"/>
      <c r="AL705" s="570"/>
      <c r="AM705" s="584"/>
      <c r="AN705" s="718"/>
      <c r="AP705" s="604" t="s">
        <v>1544</v>
      </c>
    </row>
    <row r="706" spans="1:52" s="604" customFormat="1" ht="14.1" customHeight="1">
      <c r="A706" s="584"/>
      <c r="B706" s="644"/>
      <c r="C706" s="966"/>
      <c r="D706" s="697"/>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70"/>
      <c r="AD706" s="570"/>
      <c r="AE706" s="650"/>
      <c r="AF706" s="570"/>
      <c r="AG706" s="570"/>
      <c r="AH706" s="570"/>
      <c r="AI706" s="570"/>
      <c r="AJ706" s="570"/>
      <c r="AK706" s="570"/>
      <c r="AL706" s="570"/>
      <c r="AM706" s="584"/>
      <c r="AN706" s="718"/>
      <c r="AP706" s="604" t="s">
        <v>1545</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1" customHeight="1">
      <c r="A708" s="584"/>
      <c r="B708" s="570"/>
      <c r="C708" s="966"/>
      <c r="D708" s="697" t="s">
        <v>517</v>
      </c>
      <c r="E708" s="2028" t="s">
        <v>1546</v>
      </c>
      <c r="F708" s="2028"/>
      <c r="G708" s="2028"/>
      <c r="H708" s="2028"/>
      <c r="I708" s="2028"/>
      <c r="J708" s="2028"/>
      <c r="K708" s="2028"/>
      <c r="L708" s="2028"/>
      <c r="M708" s="2028"/>
      <c r="N708" s="2028"/>
      <c r="O708" s="2028"/>
      <c r="P708" s="2028"/>
      <c r="Q708" s="2028"/>
      <c r="R708" s="2028"/>
      <c r="S708" s="2028"/>
      <c r="T708" s="2028"/>
      <c r="U708" s="2028"/>
      <c r="V708" s="2028"/>
      <c r="W708" s="2028"/>
      <c r="X708" s="2028"/>
      <c r="Y708" s="2028"/>
      <c r="Z708" s="2028"/>
      <c r="AA708" s="2028"/>
      <c r="AB708" s="2028"/>
      <c r="AC708" s="570"/>
      <c r="AD708" s="570"/>
      <c r="AE708" s="570"/>
      <c r="AF708" s="1994" t="s">
        <v>1519</v>
      </c>
      <c r="AG708" s="1994"/>
      <c r="AH708" s="1994"/>
      <c r="AI708" s="1994"/>
      <c r="AJ708" s="1994"/>
      <c r="AK708" s="1994"/>
      <c r="AL708" s="1994"/>
      <c r="AM708" s="584"/>
      <c r="AN708" s="719"/>
    </row>
    <row r="709" spans="1:52" s="604" customFormat="1" ht="12.75" customHeight="1">
      <c r="A709" s="584"/>
      <c r="B709" s="570"/>
      <c r="C709" s="968"/>
      <c r="D709" s="570"/>
      <c r="E709" s="2028"/>
      <c r="F709" s="2028"/>
      <c r="G709" s="2028"/>
      <c r="H709" s="2028"/>
      <c r="I709" s="2028"/>
      <c r="J709" s="2028"/>
      <c r="K709" s="2028"/>
      <c r="L709" s="2028"/>
      <c r="M709" s="2028"/>
      <c r="N709" s="2028"/>
      <c r="O709" s="2028"/>
      <c r="P709" s="2028"/>
      <c r="Q709" s="2028"/>
      <c r="R709" s="2028"/>
      <c r="S709" s="2028"/>
      <c r="T709" s="2028"/>
      <c r="U709" s="2028"/>
      <c r="V709" s="2028"/>
      <c r="W709" s="2028"/>
      <c r="X709" s="2028"/>
      <c r="Y709" s="2028"/>
      <c r="Z709" s="2028"/>
      <c r="AA709" s="2028"/>
      <c r="AB709" s="2028"/>
      <c r="AC709" s="570"/>
      <c r="AD709" s="570"/>
      <c r="AE709" s="570"/>
      <c r="AF709" s="570"/>
      <c r="AG709" s="570"/>
      <c r="AH709" s="570"/>
      <c r="AI709" s="570"/>
      <c r="AJ709" s="570"/>
      <c r="AK709" s="570"/>
      <c r="AL709" s="570"/>
      <c r="AM709" s="584"/>
      <c r="AN709" s="718"/>
      <c r="AP709" s="584" t="s">
        <v>599</v>
      </c>
      <c r="AQ709" s="707">
        <v>0</v>
      </c>
    </row>
    <row r="710" spans="1:52" s="604" customFormat="1" ht="14.1" customHeight="1">
      <c r="A710" s="584"/>
      <c r="B710" s="570"/>
      <c r="C710" s="968"/>
      <c r="D710" s="570"/>
      <c r="E710" s="2028"/>
      <c r="F710" s="2028"/>
      <c r="G710" s="2028"/>
      <c r="H710" s="2028"/>
      <c r="I710" s="2028"/>
      <c r="J710" s="2028"/>
      <c r="K710" s="2028"/>
      <c r="L710" s="2028"/>
      <c r="M710" s="2028"/>
      <c r="N710" s="2028"/>
      <c r="O710" s="2028"/>
      <c r="P710" s="2028"/>
      <c r="Q710" s="2028"/>
      <c r="R710" s="2028"/>
      <c r="S710" s="2028"/>
      <c r="T710" s="2028"/>
      <c r="U710" s="2028"/>
      <c r="V710" s="2028"/>
      <c r="W710" s="2028"/>
      <c r="X710" s="2028"/>
      <c r="Y710" s="2028"/>
      <c r="Z710" s="2028"/>
      <c r="AA710" s="2028"/>
      <c r="AB710" s="2028"/>
      <c r="AC710" s="570"/>
      <c r="AD710" s="570"/>
      <c r="AE710" s="570"/>
      <c r="AF710" s="570"/>
      <c r="AG710" s="570"/>
      <c r="AH710" s="570"/>
      <c r="AI710" s="570"/>
      <c r="AJ710" s="570"/>
      <c r="AK710" s="570"/>
      <c r="AL710" s="570"/>
      <c r="AM710" s="584"/>
      <c r="AN710" s="718"/>
      <c r="AP710" s="645" t="s">
        <v>696</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1" customHeight="1">
      <c r="A712" s="584"/>
      <c r="B712" s="570"/>
      <c r="C712" s="968"/>
      <c r="D712" s="570" t="s">
        <v>1511</v>
      </c>
      <c r="E712" s="971"/>
      <c r="F712" s="971"/>
      <c r="G712" s="971"/>
      <c r="H712" s="1938" t="s">
        <v>599</v>
      </c>
      <c r="I712" s="193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1">
        <f>VLOOKUP($H$712,$AP$709:$AQ$711,2,FALSE)</f>
        <v>0</v>
      </c>
      <c r="AK714" s="1923"/>
      <c r="AL714" s="629"/>
      <c r="AM714" s="584"/>
      <c r="AN714" s="718"/>
      <c r="AP714" s="1921"/>
      <c r="AQ714" s="192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4" t="s">
        <v>1886</v>
      </c>
      <c r="F718" s="1914"/>
      <c r="G718" s="1914"/>
      <c r="H718" s="1914"/>
      <c r="I718" s="1914"/>
      <c r="J718" s="1914"/>
      <c r="K718" s="1914"/>
      <c r="L718" s="1914"/>
      <c r="M718" s="1914"/>
      <c r="N718" s="1914"/>
      <c r="O718" s="1914"/>
      <c r="P718" s="1914"/>
      <c r="Q718" s="1914"/>
      <c r="R718" s="1914"/>
      <c r="S718" s="1914"/>
      <c r="T718" s="1914"/>
      <c r="U718" s="1914"/>
      <c r="V718" s="1914"/>
      <c r="W718" s="1914"/>
      <c r="X718" s="1914"/>
      <c r="Y718" s="1914"/>
      <c r="Z718" s="1914"/>
      <c r="AA718" s="1914"/>
      <c r="AB718" s="1914"/>
      <c r="AC718" s="570"/>
      <c r="AD718" s="570"/>
      <c r="AE718" s="570"/>
      <c r="AF718" s="1994" t="s">
        <v>1463</v>
      </c>
      <c r="AG718" s="1994"/>
      <c r="AH718" s="1994"/>
      <c r="AI718" s="1994"/>
      <c r="AJ718" s="1994"/>
      <c r="AK718" s="1994"/>
      <c r="AL718" s="1994"/>
      <c r="AM718" s="584"/>
      <c r="AN718" s="718"/>
      <c r="AT718" s="14"/>
      <c r="AU718" s="14"/>
      <c r="AV718" s="14"/>
      <c r="AW718" s="14"/>
      <c r="AX718" s="14"/>
      <c r="AY718" s="14"/>
      <c r="AZ718" s="14"/>
    </row>
    <row r="719" spans="1:52" s="604" customFormat="1">
      <c r="A719" s="584"/>
      <c r="B719" s="570"/>
      <c r="C719" s="968"/>
      <c r="D719" s="697"/>
      <c r="E719" s="1914"/>
      <c r="F719" s="1914"/>
      <c r="G719" s="1914"/>
      <c r="H719" s="1914"/>
      <c r="I719" s="1914"/>
      <c r="J719" s="1914"/>
      <c r="K719" s="1914"/>
      <c r="L719" s="1914"/>
      <c r="M719" s="1914"/>
      <c r="N719" s="1914"/>
      <c r="O719" s="1914"/>
      <c r="P719" s="1914"/>
      <c r="Q719" s="1914"/>
      <c r="R719" s="1914"/>
      <c r="S719" s="1914"/>
      <c r="T719" s="1914"/>
      <c r="U719" s="1914"/>
      <c r="V719" s="1914"/>
      <c r="W719" s="1914"/>
      <c r="X719" s="1914"/>
      <c r="Y719" s="1914"/>
      <c r="Z719" s="1914"/>
      <c r="AA719" s="1914"/>
      <c r="AB719" s="191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4" t="s">
        <v>1550</v>
      </c>
      <c r="F721" s="1914"/>
      <c r="G721" s="1914"/>
      <c r="H721" s="1914"/>
      <c r="I721" s="1914"/>
      <c r="J721" s="1914"/>
      <c r="K721" s="1914"/>
      <c r="L721" s="1914"/>
      <c r="M721" s="1914"/>
      <c r="N721" s="1914"/>
      <c r="O721" s="1914"/>
      <c r="P721" s="1914"/>
      <c r="Q721" s="1914"/>
      <c r="R721" s="1914"/>
      <c r="S721" s="1914"/>
      <c r="T721" s="1914"/>
      <c r="U721" s="1914"/>
      <c r="V721" s="1914"/>
      <c r="W721" s="1914"/>
      <c r="X721" s="1914"/>
      <c r="Y721" s="1914"/>
      <c r="Z721" s="1914"/>
      <c r="AA721" s="1914"/>
      <c r="AB721" s="1914"/>
      <c r="AC721" s="570"/>
      <c r="AD721" s="570"/>
      <c r="AE721" s="570"/>
      <c r="AF721" s="1994" t="s">
        <v>1519</v>
      </c>
      <c r="AG721" s="1994"/>
      <c r="AH721" s="1994"/>
      <c r="AI721" s="1994"/>
      <c r="AJ721" s="1994"/>
      <c r="AK721" s="1994"/>
      <c r="AL721" s="1994"/>
      <c r="AM721" s="584"/>
      <c r="AN721" s="718"/>
      <c r="AT721" s="14"/>
      <c r="AU721" s="14"/>
      <c r="AV721" s="14"/>
      <c r="AW721" s="14"/>
      <c r="AX721" s="14"/>
      <c r="AY721" s="14"/>
      <c r="AZ721" s="14"/>
    </row>
    <row r="722" spans="1:81" s="604" customFormat="1">
      <c r="A722" s="584"/>
      <c r="B722" s="570"/>
      <c r="C722" s="968"/>
      <c r="D722" s="570"/>
      <c r="E722" s="1914"/>
      <c r="F722" s="1914"/>
      <c r="G722" s="1914"/>
      <c r="H722" s="1914"/>
      <c r="I722" s="1914"/>
      <c r="J722" s="1914"/>
      <c r="K722" s="1914"/>
      <c r="L722" s="1914"/>
      <c r="M722" s="1914"/>
      <c r="N722" s="1914"/>
      <c r="O722" s="1914"/>
      <c r="P722" s="1914"/>
      <c r="Q722" s="1914"/>
      <c r="R722" s="1914"/>
      <c r="S722" s="1914"/>
      <c r="T722" s="1914"/>
      <c r="U722" s="1914"/>
      <c r="V722" s="1914"/>
      <c r="W722" s="1914"/>
      <c r="X722" s="1914"/>
      <c r="Y722" s="1914"/>
      <c r="Z722" s="1914"/>
      <c r="AA722" s="1914"/>
      <c r="AB722" s="191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38" t="s">
        <v>517</v>
      </c>
      <c r="I724" s="193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1">
        <f>VLOOKUP($H$724,$AO$655:$AP$657,2,FALSE)</f>
        <v>2</v>
      </c>
      <c r="AK726" s="192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4" t="s">
        <v>1553</v>
      </c>
      <c r="F730" s="1914"/>
      <c r="G730" s="1914"/>
      <c r="H730" s="1914"/>
      <c r="I730" s="1914"/>
      <c r="J730" s="1914"/>
      <c r="K730" s="1914"/>
      <c r="L730" s="1914"/>
      <c r="M730" s="1914"/>
      <c r="N730" s="1914"/>
      <c r="O730" s="1914"/>
      <c r="P730" s="1914"/>
      <c r="Q730" s="1914"/>
      <c r="R730" s="1914"/>
      <c r="S730" s="1914"/>
      <c r="T730" s="1914"/>
      <c r="U730" s="1914"/>
      <c r="V730" s="1914"/>
      <c r="W730" s="1914"/>
      <c r="X730" s="1914"/>
      <c r="Y730" s="1914"/>
      <c r="Z730" s="1914"/>
      <c r="AA730" s="1914"/>
      <c r="AB730" s="1914"/>
      <c r="AC730" s="570"/>
      <c r="AD730" s="570"/>
      <c r="AE730" s="570"/>
      <c r="AF730" s="1994" t="s">
        <v>1463</v>
      </c>
      <c r="AG730" s="1994"/>
      <c r="AH730" s="1994"/>
      <c r="AI730" s="1994"/>
      <c r="AJ730" s="1994"/>
      <c r="AK730" s="1994"/>
      <c r="AL730" s="1994"/>
      <c r="AM730" s="584"/>
      <c r="AN730" s="718"/>
      <c r="AT730" s="14"/>
      <c r="AU730" s="14"/>
      <c r="AV730" s="14"/>
      <c r="AW730" s="14"/>
      <c r="AX730" s="14"/>
      <c r="AY730" s="14"/>
      <c r="AZ730" s="14"/>
    </row>
    <row r="731" spans="1:81" s="604" customFormat="1">
      <c r="A731" s="584"/>
      <c r="B731" s="570"/>
      <c r="C731" s="966"/>
      <c r="D731" s="697"/>
      <c r="E731" s="1914"/>
      <c r="F731" s="1914"/>
      <c r="G731" s="1914"/>
      <c r="H731" s="1914"/>
      <c r="I731" s="1914"/>
      <c r="J731" s="1914"/>
      <c r="K731" s="1914"/>
      <c r="L731" s="1914"/>
      <c r="M731" s="1914"/>
      <c r="N731" s="1914"/>
      <c r="O731" s="1914"/>
      <c r="P731" s="1914"/>
      <c r="Q731" s="1914"/>
      <c r="R731" s="1914"/>
      <c r="S731" s="1914"/>
      <c r="T731" s="1914"/>
      <c r="U731" s="1914"/>
      <c r="V731" s="1914"/>
      <c r="W731" s="1914"/>
      <c r="X731" s="1914"/>
      <c r="Y731" s="1914"/>
      <c r="Z731" s="1914"/>
      <c r="AA731" s="1914"/>
      <c r="AB731" s="191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4"/>
      <c r="F732" s="1914"/>
      <c r="G732" s="1914"/>
      <c r="H732" s="1914"/>
      <c r="I732" s="1914"/>
      <c r="J732" s="1914"/>
      <c r="K732" s="1914"/>
      <c r="L732" s="1914"/>
      <c r="M732" s="1914"/>
      <c r="N732" s="1914"/>
      <c r="O732" s="1914"/>
      <c r="P732" s="1914"/>
      <c r="Q732" s="1914"/>
      <c r="R732" s="1914"/>
      <c r="S732" s="1914"/>
      <c r="T732" s="1914"/>
      <c r="U732" s="1914"/>
      <c r="V732" s="1914"/>
      <c r="W732" s="1914"/>
      <c r="X732" s="1914"/>
      <c r="Y732" s="1914"/>
      <c r="Z732" s="1914"/>
      <c r="AA732" s="1914"/>
      <c r="AB732" s="191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4"/>
      <c r="F733" s="1914"/>
      <c r="G733" s="1914"/>
      <c r="H733" s="1914"/>
      <c r="I733" s="1914"/>
      <c r="J733" s="1914"/>
      <c r="K733" s="1914"/>
      <c r="L733" s="1914"/>
      <c r="M733" s="1914"/>
      <c r="N733" s="1914"/>
      <c r="O733" s="1914"/>
      <c r="P733" s="1914"/>
      <c r="Q733" s="1914"/>
      <c r="R733" s="1914"/>
      <c r="S733" s="1914"/>
      <c r="T733" s="1914"/>
      <c r="U733" s="1914"/>
      <c r="V733" s="1914"/>
      <c r="W733" s="1914"/>
      <c r="X733" s="1914"/>
      <c r="Y733" s="1914"/>
      <c r="Z733" s="1914"/>
      <c r="AA733" s="1914"/>
      <c r="AB733" s="191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4" t="s">
        <v>1554</v>
      </c>
      <c r="F735" s="1914"/>
      <c r="G735" s="1914"/>
      <c r="H735" s="1914"/>
      <c r="I735" s="1914"/>
      <c r="J735" s="1914"/>
      <c r="K735" s="1914"/>
      <c r="L735" s="1914"/>
      <c r="M735" s="1914"/>
      <c r="N735" s="1914"/>
      <c r="O735" s="1914"/>
      <c r="P735" s="1914"/>
      <c r="Q735" s="1914"/>
      <c r="R735" s="1914"/>
      <c r="S735" s="1914"/>
      <c r="T735" s="1914"/>
      <c r="U735" s="1914"/>
      <c r="V735" s="1914"/>
      <c r="W735" s="1914"/>
      <c r="X735" s="1914"/>
      <c r="Y735" s="1914"/>
      <c r="Z735" s="1914"/>
      <c r="AA735" s="1914"/>
      <c r="AB735" s="609"/>
      <c r="AC735" s="570"/>
      <c r="AD735" s="570"/>
      <c r="AE735" s="570"/>
      <c r="AF735" s="1994" t="s">
        <v>1519</v>
      </c>
      <c r="AG735" s="1994"/>
      <c r="AH735" s="1994"/>
      <c r="AI735" s="1994"/>
      <c r="AJ735" s="1994"/>
      <c r="AK735" s="1994"/>
      <c r="AL735" s="1994"/>
      <c r="AM735" s="584"/>
      <c r="AN735" s="718"/>
      <c r="AO735" s="30"/>
      <c r="AP735" s="14"/>
    </row>
    <row r="736" spans="1:81" s="604" customFormat="1">
      <c r="A736" s="584"/>
      <c r="B736" s="570"/>
      <c r="C736" s="966"/>
      <c r="D736" s="697"/>
      <c r="E736" s="1914"/>
      <c r="F736" s="1914"/>
      <c r="G736" s="1914"/>
      <c r="H736" s="1914"/>
      <c r="I736" s="1914"/>
      <c r="J736" s="1914"/>
      <c r="K736" s="1914"/>
      <c r="L736" s="1914"/>
      <c r="M736" s="1914"/>
      <c r="N736" s="1914"/>
      <c r="O736" s="1914"/>
      <c r="P736" s="1914"/>
      <c r="Q736" s="1914"/>
      <c r="R736" s="1914"/>
      <c r="S736" s="1914"/>
      <c r="T736" s="1914"/>
      <c r="U736" s="1914"/>
      <c r="V736" s="1914"/>
      <c r="W736" s="1914"/>
      <c r="X736" s="1914"/>
      <c r="Y736" s="1914"/>
      <c r="Z736" s="1914"/>
      <c r="AA736" s="191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4"/>
      <c r="F737" s="1914"/>
      <c r="G737" s="1914"/>
      <c r="H737" s="1914"/>
      <c r="I737" s="1914"/>
      <c r="J737" s="1914"/>
      <c r="K737" s="1914"/>
      <c r="L737" s="1914"/>
      <c r="M737" s="1914"/>
      <c r="N737" s="1914"/>
      <c r="O737" s="1914"/>
      <c r="P737" s="1914"/>
      <c r="Q737" s="1914"/>
      <c r="R737" s="1914"/>
      <c r="S737" s="1914"/>
      <c r="T737" s="1914"/>
      <c r="U737" s="1914"/>
      <c r="V737" s="1914"/>
      <c r="W737" s="1914"/>
      <c r="X737" s="1914"/>
      <c r="Y737" s="1914"/>
      <c r="Z737" s="1914"/>
      <c r="AA737" s="191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4"/>
      <c r="F738" s="1914"/>
      <c r="G738" s="1914"/>
      <c r="H738" s="1914"/>
      <c r="I738" s="1914"/>
      <c r="J738" s="1914"/>
      <c r="K738" s="1914"/>
      <c r="L738" s="1914"/>
      <c r="M738" s="1914"/>
      <c r="N738" s="1914"/>
      <c r="O738" s="1914"/>
      <c r="P738" s="1914"/>
      <c r="Q738" s="1914"/>
      <c r="R738" s="1914"/>
      <c r="S738" s="1914"/>
      <c r="T738" s="1914"/>
      <c r="U738" s="1914"/>
      <c r="V738" s="1914"/>
      <c r="W738" s="1914"/>
      <c r="X738" s="1914"/>
      <c r="Y738" s="1914"/>
      <c r="Z738" s="1914"/>
      <c r="AA738" s="191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38" t="s">
        <v>517</v>
      </c>
      <c r="I740" s="193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1">
        <f>VLOOKUP($H$740,$AO$669:$AP$671,2,FALSE)</f>
        <v>2</v>
      </c>
      <c r="AK742" s="192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4" t="s">
        <v>1556</v>
      </c>
      <c r="F746" s="1914"/>
      <c r="G746" s="1914"/>
      <c r="H746" s="1914"/>
      <c r="I746" s="1914"/>
      <c r="J746" s="1914"/>
      <c r="K746" s="1914"/>
      <c r="L746" s="1914"/>
      <c r="M746" s="1914"/>
      <c r="N746" s="1914"/>
      <c r="O746" s="1914"/>
      <c r="P746" s="1914"/>
      <c r="Q746" s="1914"/>
      <c r="R746" s="1914"/>
      <c r="S746" s="1914"/>
      <c r="T746" s="1914"/>
      <c r="U746" s="1914"/>
      <c r="V746" s="1914"/>
      <c r="W746" s="1914"/>
      <c r="X746" s="1914"/>
      <c r="Y746" s="1914"/>
      <c r="Z746" s="1914"/>
      <c r="AA746" s="1914"/>
      <c r="AB746" s="1914"/>
      <c r="AC746" s="570"/>
      <c r="AD746" s="570"/>
      <c r="AE746" s="570"/>
      <c r="AF746" s="1994" t="s">
        <v>1519</v>
      </c>
      <c r="AG746" s="1994"/>
      <c r="AH746" s="1994"/>
      <c r="AI746" s="1994"/>
      <c r="AJ746" s="1994"/>
      <c r="AK746" s="1994"/>
      <c r="AL746" s="199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4"/>
      <c r="F747" s="1914"/>
      <c r="G747" s="1914"/>
      <c r="H747" s="1914"/>
      <c r="I747" s="1914"/>
      <c r="J747" s="1914"/>
      <c r="K747" s="1914"/>
      <c r="L747" s="1914"/>
      <c r="M747" s="1914"/>
      <c r="N747" s="1914"/>
      <c r="O747" s="1914"/>
      <c r="P747" s="1914"/>
      <c r="Q747" s="1914"/>
      <c r="R747" s="1914"/>
      <c r="S747" s="1914"/>
      <c r="T747" s="1914"/>
      <c r="U747" s="1914"/>
      <c r="V747" s="1914"/>
      <c r="W747" s="1914"/>
      <c r="X747" s="1914"/>
      <c r="Y747" s="1914"/>
      <c r="Z747" s="1914"/>
      <c r="AA747" s="1914"/>
      <c r="AB747" s="191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4" t="s">
        <v>1557</v>
      </c>
      <c r="F749" s="1914"/>
      <c r="G749" s="1914"/>
      <c r="H749" s="1914"/>
      <c r="I749" s="1914"/>
      <c r="J749" s="1914"/>
      <c r="K749" s="1914"/>
      <c r="L749" s="1914"/>
      <c r="M749" s="1914"/>
      <c r="N749" s="1914"/>
      <c r="O749" s="1914"/>
      <c r="P749" s="1914"/>
      <c r="Q749" s="1914"/>
      <c r="R749" s="1914"/>
      <c r="S749" s="1914"/>
      <c r="T749" s="1914"/>
      <c r="U749" s="1914"/>
      <c r="V749" s="1914"/>
      <c r="W749" s="1914"/>
      <c r="X749" s="1914"/>
      <c r="Y749" s="1914"/>
      <c r="Z749" s="1914"/>
      <c r="AA749" s="1914"/>
      <c r="AB749" s="1914"/>
      <c r="AC749" s="570"/>
      <c r="AD749" s="570"/>
      <c r="AE749" s="570"/>
      <c r="AF749" s="1994" t="s">
        <v>1536</v>
      </c>
      <c r="AG749" s="1994"/>
      <c r="AH749" s="1994"/>
      <c r="AI749" s="1994"/>
      <c r="AJ749" s="1994"/>
      <c r="AK749" s="1994"/>
      <c r="AL749" s="199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4"/>
      <c r="F750" s="1914"/>
      <c r="G750" s="1914"/>
      <c r="H750" s="1914"/>
      <c r="I750" s="1914"/>
      <c r="J750" s="1914"/>
      <c r="K750" s="1914"/>
      <c r="L750" s="1914"/>
      <c r="M750" s="1914"/>
      <c r="N750" s="1914"/>
      <c r="O750" s="1914"/>
      <c r="P750" s="1914"/>
      <c r="Q750" s="1914"/>
      <c r="R750" s="1914"/>
      <c r="S750" s="1914"/>
      <c r="T750" s="1914"/>
      <c r="U750" s="1914"/>
      <c r="V750" s="1914"/>
      <c r="W750" s="1914"/>
      <c r="X750" s="1914"/>
      <c r="Y750" s="1914"/>
      <c r="Z750" s="1914"/>
      <c r="AA750" s="1914"/>
      <c r="AB750" s="191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38" t="s">
        <v>517</v>
      </c>
      <c r="I752" s="193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1">
        <f>VLOOKUP($H$752,$AO$686:$AP$688,2,FALSE)</f>
        <v>1</v>
      </c>
      <c r="AK754" s="192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4" t="s">
        <v>1882</v>
      </c>
      <c r="F758" s="1914"/>
      <c r="G758" s="1914"/>
      <c r="H758" s="1914"/>
      <c r="I758" s="1914"/>
      <c r="J758" s="1914"/>
      <c r="K758" s="1914"/>
      <c r="L758" s="1914"/>
      <c r="M758" s="1914"/>
      <c r="N758" s="1914"/>
      <c r="O758" s="1914"/>
      <c r="P758" s="1914"/>
      <c r="Q758" s="1914"/>
      <c r="R758" s="1914"/>
      <c r="S758" s="1914"/>
      <c r="T758" s="1914"/>
      <c r="U758" s="1914"/>
      <c r="V758" s="1914"/>
      <c r="W758" s="1914"/>
      <c r="X758" s="1914"/>
      <c r="Y758" s="1914"/>
      <c r="Z758" s="1914"/>
      <c r="AA758" s="1914"/>
      <c r="AB758" s="1914"/>
      <c r="AC758" s="1914"/>
      <c r="AD758" s="1914"/>
      <c r="AE758" s="570"/>
      <c r="AF758" s="1994" t="s">
        <v>1519</v>
      </c>
      <c r="AG758" s="1994"/>
      <c r="AH758" s="1994"/>
      <c r="AI758" s="1994"/>
      <c r="AJ758" s="1994"/>
      <c r="AK758" s="1994"/>
      <c r="AL758" s="1994"/>
      <c r="AM758" s="647"/>
      <c r="AN758" s="718"/>
      <c r="AO758" s="584" t="s">
        <v>599</v>
      </c>
      <c r="AP758" s="707">
        <v>0</v>
      </c>
    </row>
    <row r="759" spans="1:74" s="604" customFormat="1" ht="13.7" customHeight="1">
      <c r="A759" s="584"/>
      <c r="B759" s="650"/>
      <c r="C759" s="975"/>
      <c r="D759" s="697"/>
      <c r="E759" s="1914"/>
      <c r="F759" s="1914"/>
      <c r="G759" s="1914"/>
      <c r="H759" s="1914"/>
      <c r="I759" s="1914"/>
      <c r="J759" s="1914"/>
      <c r="K759" s="1914"/>
      <c r="L759" s="1914"/>
      <c r="M759" s="1914"/>
      <c r="N759" s="1914"/>
      <c r="O759" s="1914"/>
      <c r="P759" s="1914"/>
      <c r="Q759" s="1914"/>
      <c r="R759" s="1914"/>
      <c r="S759" s="1914"/>
      <c r="T759" s="1914"/>
      <c r="U759" s="1914"/>
      <c r="V759" s="1914"/>
      <c r="W759" s="1914"/>
      <c r="X759" s="1914"/>
      <c r="Y759" s="1914"/>
      <c r="Z759" s="1914"/>
      <c r="AA759" s="1914"/>
      <c r="AB759" s="1914"/>
      <c r="AC759" s="1914"/>
      <c r="AD759" s="1914"/>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4"/>
      <c r="F760" s="1914"/>
      <c r="G760" s="1914"/>
      <c r="H760" s="1914"/>
      <c r="I760" s="1914"/>
      <c r="J760" s="1914"/>
      <c r="K760" s="1914"/>
      <c r="L760" s="1914"/>
      <c r="M760" s="1914"/>
      <c r="N760" s="1914"/>
      <c r="O760" s="1914"/>
      <c r="P760" s="1914"/>
      <c r="Q760" s="1914"/>
      <c r="R760" s="1914"/>
      <c r="S760" s="1914"/>
      <c r="T760" s="1914"/>
      <c r="U760" s="1914"/>
      <c r="V760" s="1914"/>
      <c r="W760" s="1914"/>
      <c r="X760" s="1914"/>
      <c r="Y760" s="1914"/>
      <c r="Z760" s="1914"/>
      <c r="AA760" s="1914"/>
      <c r="AB760" s="1914"/>
      <c r="AC760" s="1914"/>
      <c r="AD760" s="1914"/>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4"/>
      <c r="F761" s="1914"/>
      <c r="G761" s="1914"/>
      <c r="H761" s="1914"/>
      <c r="I761" s="1914"/>
      <c r="J761" s="1914"/>
      <c r="K761" s="1914"/>
      <c r="L761" s="1914"/>
      <c r="M761" s="1914"/>
      <c r="N761" s="1914"/>
      <c r="O761" s="1914"/>
      <c r="P761" s="1914"/>
      <c r="Q761" s="1914"/>
      <c r="R761" s="1914"/>
      <c r="S761" s="1914"/>
      <c r="T761" s="1914"/>
      <c r="U761" s="1914"/>
      <c r="V761" s="1914"/>
      <c r="W761" s="1914"/>
      <c r="X761" s="1914"/>
      <c r="Y761" s="1914"/>
      <c r="Z761" s="1914"/>
      <c r="AA761" s="1914"/>
      <c r="AB761" s="1914"/>
      <c r="AC761" s="1914"/>
      <c r="AD761" s="191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6" t="s">
        <v>1887</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70"/>
      <c r="AF763" s="1994" t="s">
        <v>1463</v>
      </c>
      <c r="AG763" s="1994"/>
      <c r="AH763" s="1994"/>
      <c r="AI763" s="1994"/>
      <c r="AJ763" s="1994"/>
      <c r="AK763" s="1994"/>
      <c r="AL763" s="1994"/>
      <c r="AM763" s="647"/>
      <c r="AN763" s="631"/>
    </row>
    <row r="764" spans="1:74" s="584" customFormat="1" ht="12.75" customHeight="1">
      <c r="B764" s="650"/>
      <c r="C764" s="975"/>
      <c r="D764" s="697"/>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8"/>
      <c r="AF764" s="628"/>
      <c r="AG764" s="628"/>
      <c r="AH764" s="628"/>
      <c r="AI764" s="628"/>
      <c r="AJ764" s="628"/>
      <c r="AK764" s="628"/>
      <c r="AL764" s="628"/>
      <c r="AM764" s="647"/>
      <c r="AN764" s="631"/>
    </row>
    <row r="765" spans="1:74" s="584" customFormat="1" ht="12.75" customHeight="1">
      <c r="B765" s="650"/>
      <c r="C765" s="975"/>
      <c r="D765" s="697"/>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8"/>
      <c r="AF765" s="628"/>
      <c r="AG765" s="628"/>
      <c r="AH765" s="628"/>
      <c r="AI765" s="628"/>
      <c r="AJ765" s="628"/>
      <c r="AK765" s="628"/>
      <c r="AL765" s="628"/>
      <c r="AM765" s="647"/>
      <c r="AN765" s="631"/>
    </row>
    <row r="766" spans="1:74" s="584" customFormat="1" ht="12.75" customHeight="1">
      <c r="B766" s="650"/>
      <c r="C766" s="975"/>
      <c r="D766" s="697"/>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38" t="s">
        <v>599</v>
      </c>
      <c r="I768" s="193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1">
        <f>VLOOKUP($H$768,$AO$758:$AP$760,2,FALSE)</f>
        <v>0</v>
      </c>
      <c r="AK770" s="192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4" t="s">
        <v>2347</v>
      </c>
      <c r="F774" s="1914"/>
      <c r="G774" s="1914"/>
      <c r="H774" s="1914"/>
      <c r="I774" s="1914"/>
      <c r="J774" s="1914"/>
      <c r="K774" s="1914"/>
      <c r="L774" s="1914"/>
      <c r="M774" s="1914"/>
      <c r="N774" s="1914"/>
      <c r="O774" s="1914"/>
      <c r="P774" s="1914"/>
      <c r="Q774" s="1914"/>
      <c r="R774" s="1914"/>
      <c r="S774" s="1914"/>
      <c r="T774" s="1914"/>
      <c r="U774" s="1914"/>
      <c r="V774" s="1914"/>
      <c r="W774" s="1914"/>
      <c r="X774" s="1914"/>
      <c r="Y774" s="1914"/>
      <c r="Z774" s="1914"/>
      <c r="AA774" s="1914"/>
      <c r="AB774" s="1914"/>
      <c r="AC774" s="1914"/>
      <c r="AD774" s="1914"/>
      <c r="AE774" s="570"/>
      <c r="AF774" s="1994" t="s">
        <v>1463</v>
      </c>
      <c r="AG774" s="1994"/>
      <c r="AH774" s="1994"/>
      <c r="AI774" s="1994"/>
      <c r="AJ774" s="1994"/>
      <c r="AK774" s="1994"/>
      <c r="AL774" s="1994"/>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4"/>
      <c r="F775" s="1914"/>
      <c r="G775" s="1914"/>
      <c r="H775" s="1914"/>
      <c r="I775" s="1914"/>
      <c r="J775" s="1914"/>
      <c r="K775" s="1914"/>
      <c r="L775" s="1914"/>
      <c r="M775" s="1914"/>
      <c r="N775" s="1914"/>
      <c r="O775" s="1914"/>
      <c r="P775" s="1914"/>
      <c r="Q775" s="1914"/>
      <c r="R775" s="1914"/>
      <c r="S775" s="1914"/>
      <c r="T775" s="1914"/>
      <c r="U775" s="1914"/>
      <c r="V775" s="1914"/>
      <c r="W775" s="1914"/>
      <c r="X775" s="1914"/>
      <c r="Y775" s="1914"/>
      <c r="Z775" s="1914"/>
      <c r="AA775" s="1914"/>
      <c r="AB775" s="1914"/>
      <c r="AC775" s="1914"/>
      <c r="AD775" s="191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4"/>
      <c r="F776" s="1914"/>
      <c r="G776" s="1914"/>
      <c r="H776" s="1914"/>
      <c r="I776" s="1914"/>
      <c r="J776" s="1914"/>
      <c r="K776" s="1914"/>
      <c r="L776" s="1914"/>
      <c r="M776" s="1914"/>
      <c r="N776" s="1914"/>
      <c r="O776" s="1914"/>
      <c r="P776" s="1914"/>
      <c r="Q776" s="1914"/>
      <c r="R776" s="1914"/>
      <c r="S776" s="1914"/>
      <c r="T776" s="1914"/>
      <c r="U776" s="1914"/>
      <c r="V776" s="1914"/>
      <c r="W776" s="1914"/>
      <c r="X776" s="1914"/>
      <c r="Y776" s="1914"/>
      <c r="Z776" s="1914"/>
      <c r="AA776" s="1914"/>
      <c r="AB776" s="1914"/>
      <c r="AC776" s="1914"/>
      <c r="AD776" s="191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4"/>
      <c r="F777" s="1914"/>
      <c r="G777" s="1914"/>
      <c r="H777" s="1914"/>
      <c r="I777" s="1914"/>
      <c r="J777" s="1914"/>
      <c r="K777" s="1914"/>
      <c r="L777" s="1914"/>
      <c r="M777" s="1914"/>
      <c r="N777" s="1914"/>
      <c r="O777" s="1914"/>
      <c r="P777" s="1914"/>
      <c r="Q777" s="1914"/>
      <c r="R777" s="1914"/>
      <c r="S777" s="1914"/>
      <c r="T777" s="1914"/>
      <c r="U777" s="1914"/>
      <c r="V777" s="1914"/>
      <c r="W777" s="1914"/>
      <c r="X777" s="1914"/>
      <c r="Y777" s="1914"/>
      <c r="Z777" s="1914"/>
      <c r="AA777" s="1914"/>
      <c r="AB777" s="1914"/>
      <c r="AC777" s="1914"/>
      <c r="AD777" s="191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38" t="s">
        <v>599</v>
      </c>
      <c r="I779" s="193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1">
        <f>VLOOKUP($H$779,$AO$773:$AP$774,2,FALSE)</f>
        <v>0</v>
      </c>
      <c r="AK781" s="192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1">
        <f>IF(($AJ$610+$AJ$629+$AJ$641+$AJ$676+$AJ$700+$AJ$714+$AJ$726+$AJ$742+$AJ$754+$AJ$770+AJ781)&gt;10,10,($AJ$610+$AJ$629+$AJ$641+$AJ$676+$AJ$700+$AJ$714+$AJ$726+$AJ$742+$AJ$754+$AJ$770+AJ781))</f>
        <v>10</v>
      </c>
      <c r="AL783" s="1922"/>
      <c r="AM783" s="192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5" t="s">
        <v>1680</v>
      </c>
      <c r="B786" s="1986"/>
      <c r="C786" s="1986"/>
      <c r="D786" s="1986"/>
      <c r="E786" s="1986"/>
      <c r="F786" s="1986"/>
      <c r="G786" s="1986"/>
      <c r="H786" s="1986"/>
      <c r="I786" s="1986"/>
      <c r="J786" s="1986"/>
      <c r="K786" s="1986"/>
      <c r="L786" s="1986"/>
      <c r="M786" s="1986"/>
      <c r="N786" s="1986"/>
      <c r="O786" s="1986"/>
      <c r="P786" s="1986"/>
      <c r="Q786" s="1986"/>
      <c r="R786" s="1986"/>
      <c r="S786" s="1986"/>
      <c r="T786" s="1986"/>
      <c r="U786" s="1986"/>
      <c r="V786" s="1986"/>
      <c r="W786" s="1986"/>
      <c r="X786" s="1986"/>
      <c r="Y786" s="1986"/>
      <c r="Z786" s="1986"/>
      <c r="AA786" s="1986"/>
      <c r="AB786" s="1986"/>
      <c r="AC786" s="1986"/>
      <c r="AD786" s="1986"/>
      <c r="AE786" s="1986"/>
      <c r="AF786" s="1986"/>
      <c r="AG786" s="1986"/>
      <c r="AH786" s="1986"/>
      <c r="AI786" s="1986"/>
      <c r="AJ786" s="1986"/>
      <c r="AK786" s="1986"/>
      <c r="AL786" s="1986"/>
      <c r="AM786" s="1986"/>
    </row>
    <row r="787" spans="1:43">
      <c r="A787" s="1987"/>
      <c r="B787" s="1987"/>
      <c r="C787" s="1987"/>
      <c r="D787" s="1987"/>
      <c r="E787" s="1987"/>
      <c r="F787" s="1987"/>
      <c r="G787" s="1987"/>
      <c r="H787" s="1987"/>
      <c r="I787" s="1987"/>
      <c r="J787" s="1987"/>
      <c r="K787" s="1987"/>
      <c r="L787" s="1987"/>
      <c r="M787" s="1987"/>
      <c r="N787" s="1987"/>
      <c r="O787" s="1987"/>
      <c r="P787" s="1987"/>
      <c r="Q787" s="1987"/>
      <c r="R787" s="1987"/>
      <c r="S787" s="1987"/>
      <c r="T787" s="1987"/>
      <c r="U787" s="1987"/>
      <c r="V787" s="1987"/>
      <c r="W787" s="1987"/>
      <c r="X787" s="1987"/>
      <c r="Y787" s="1987"/>
      <c r="Z787" s="1987"/>
      <c r="AA787" s="1987"/>
      <c r="AB787" s="1987"/>
      <c r="AC787" s="1987"/>
      <c r="AD787" s="1987"/>
      <c r="AE787" s="1987"/>
      <c r="AF787" s="1987"/>
      <c r="AG787" s="1987"/>
      <c r="AH787" s="1987"/>
      <c r="AI787" s="1987"/>
      <c r="AJ787" s="1987"/>
      <c r="AK787" s="1987"/>
      <c r="AL787" s="1987"/>
      <c r="AM787" s="198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4"/>
      <c r="B789" s="1924"/>
      <c r="C789" s="1924"/>
      <c r="D789" s="1924"/>
      <c r="E789" s="1924"/>
      <c r="F789" s="1924"/>
      <c r="G789" s="1924"/>
      <c r="H789" s="1924"/>
      <c r="I789" s="1924"/>
      <c r="J789" s="1924"/>
      <c r="K789" s="1924"/>
      <c r="L789" s="1924"/>
      <c r="M789" s="1924"/>
      <c r="N789" s="1924"/>
      <c r="O789" s="1924"/>
      <c r="P789" s="1924"/>
      <c r="Q789" s="1924"/>
      <c r="R789" s="1924"/>
      <c r="S789" s="1924"/>
      <c r="T789" s="1924"/>
      <c r="U789" s="1924"/>
      <c r="V789" s="1924"/>
      <c r="W789" s="1924"/>
      <c r="X789" s="1924"/>
      <c r="Y789" s="1924"/>
      <c r="Z789" s="1924"/>
      <c r="AA789" s="1924"/>
      <c r="AB789" s="1924"/>
      <c r="AC789" s="1924"/>
      <c r="AD789" s="1924"/>
      <c r="AE789" s="1924"/>
      <c r="AF789" s="1924"/>
      <c r="AG789" s="1924"/>
      <c r="AH789" s="1924"/>
      <c r="AI789" s="1924"/>
      <c r="AJ789" s="1924"/>
      <c r="AK789" s="1924"/>
      <c r="AL789" s="1924"/>
      <c r="AM789" s="1924"/>
      <c r="AP789" s="850"/>
      <c r="AQ789" s="850"/>
    </row>
    <row r="790" spans="1:43">
      <c r="A790" s="1924"/>
      <c r="B790" s="1924"/>
      <c r="C790" s="1924"/>
      <c r="D790" s="1924"/>
      <c r="E790" s="1924"/>
      <c r="F790" s="1924"/>
      <c r="G790" s="1924"/>
      <c r="H790" s="1924"/>
      <c r="I790" s="1924"/>
      <c r="J790" s="1924"/>
      <c r="K790" s="1924"/>
      <c r="L790" s="1924"/>
      <c r="M790" s="1924"/>
      <c r="N790" s="1924"/>
      <c r="O790" s="1924"/>
      <c r="P790" s="1924"/>
      <c r="Q790" s="1924"/>
      <c r="R790" s="1924"/>
      <c r="S790" s="1924"/>
      <c r="T790" s="1924"/>
      <c r="U790" s="1924"/>
      <c r="V790" s="1924"/>
      <c r="W790" s="1924"/>
      <c r="X790" s="1924"/>
      <c r="Y790" s="1924"/>
      <c r="Z790" s="1924"/>
      <c r="AA790" s="1924"/>
      <c r="AB790" s="1924"/>
      <c r="AC790" s="1924"/>
      <c r="AD790" s="1924"/>
      <c r="AE790" s="1924"/>
      <c r="AF790" s="1924"/>
      <c r="AG790" s="1924"/>
      <c r="AH790" s="1924"/>
      <c r="AI790" s="1924"/>
      <c r="AJ790" s="1924"/>
      <c r="AK790" s="1924"/>
      <c r="AL790" s="1924"/>
      <c r="AM790" s="192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8" t="s">
        <v>1681</v>
      </c>
      <c r="U791" s="1989"/>
      <c r="V791" s="1989"/>
      <c r="W791" s="1989"/>
      <c r="X791" s="1989"/>
      <c r="Y791" s="1990"/>
      <c r="Z791" s="1988" t="s">
        <v>1682</v>
      </c>
      <c r="AA791" s="1989"/>
      <c r="AB791" s="1989"/>
      <c r="AC791" s="1989"/>
      <c r="AD791" s="1989"/>
      <c r="AE791" s="1990"/>
      <c r="AF791" s="1988" t="s">
        <v>1683</v>
      </c>
      <c r="AG791" s="1989"/>
      <c r="AH791" s="1989"/>
      <c r="AI791" s="1989"/>
      <c r="AJ791" s="1989"/>
      <c r="AK791" s="199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1"/>
      <c r="U792" s="1992"/>
      <c r="V792" s="1992"/>
      <c r="W792" s="1992"/>
      <c r="X792" s="1992"/>
      <c r="Y792" s="1993"/>
      <c r="Z792" s="1991"/>
      <c r="AA792" s="1992"/>
      <c r="AB792" s="1992"/>
      <c r="AC792" s="1992"/>
      <c r="AD792" s="1992"/>
      <c r="AE792" s="1993"/>
      <c r="AF792" s="1991"/>
      <c r="AG792" s="1992"/>
      <c r="AH792" s="1992"/>
      <c r="AI792" s="1992"/>
      <c r="AJ792" s="1992"/>
      <c r="AK792" s="1993"/>
      <c r="AL792" s="852"/>
      <c r="AM792" s="630"/>
      <c r="AO792" s="850"/>
      <c r="AP792" s="850"/>
      <c r="AQ792" s="850"/>
    </row>
    <row r="793" spans="1:43">
      <c r="A793" s="853" t="s">
        <v>766</v>
      </c>
      <c r="B793" s="1945" t="s">
        <v>1415</v>
      </c>
      <c r="C793" s="1945"/>
      <c r="D793" s="1945"/>
      <c r="E793" s="1945"/>
      <c r="F793" s="1945"/>
      <c r="G793" s="1945"/>
      <c r="H793" s="1945"/>
      <c r="I793" s="1945"/>
      <c r="J793" s="1945"/>
      <c r="K793" s="1945"/>
      <c r="L793" s="1945"/>
      <c r="M793" s="1945"/>
      <c r="N793" s="1945"/>
      <c r="O793" s="1945"/>
      <c r="P793" s="1945"/>
      <c r="Q793" s="1945"/>
      <c r="R793" s="1945"/>
      <c r="S793" s="1946"/>
      <c r="T793" s="1973">
        <f>AK56</f>
        <v>0</v>
      </c>
      <c r="U793" s="1949"/>
      <c r="V793" s="1949"/>
      <c r="W793" s="1949"/>
      <c r="X793" s="1949"/>
      <c r="Y793" s="1950"/>
      <c r="Z793" s="1948">
        <v>20</v>
      </c>
      <c r="AA793" s="1949"/>
      <c r="AB793" s="1949"/>
      <c r="AC793" s="1949"/>
      <c r="AD793" s="1949"/>
      <c r="AE793" s="1950"/>
      <c r="AF793" s="1934">
        <f>IF(T793&gt;Z793,Z793,T793)</f>
        <v>0</v>
      </c>
      <c r="AG793" s="1934"/>
      <c r="AH793" s="1934"/>
      <c r="AI793" s="1934"/>
      <c r="AJ793" s="1934"/>
      <c r="AK793" s="1934"/>
      <c r="AL793" s="852"/>
      <c r="AM793" s="630"/>
      <c r="AO793" s="850"/>
      <c r="AP793" s="850"/>
      <c r="AQ793" s="850"/>
    </row>
    <row r="794" spans="1:43">
      <c r="A794" s="853" t="s">
        <v>1653</v>
      </c>
      <c r="B794" s="1945" t="s">
        <v>1424</v>
      </c>
      <c r="C794" s="1945"/>
      <c r="D794" s="1945"/>
      <c r="E794" s="1945"/>
      <c r="F794" s="1945"/>
      <c r="G794" s="1945"/>
      <c r="H794" s="1945"/>
      <c r="I794" s="1945"/>
      <c r="J794" s="1945"/>
      <c r="K794" s="1945"/>
      <c r="L794" s="1945"/>
      <c r="M794" s="1945"/>
      <c r="N794" s="1945"/>
      <c r="O794" s="1945"/>
      <c r="P794" s="1945"/>
      <c r="Q794" s="1945"/>
      <c r="R794" s="1945"/>
      <c r="S794" s="1946"/>
      <c r="T794" s="1973">
        <f>AK78</f>
        <v>10</v>
      </c>
      <c r="U794" s="1949"/>
      <c r="V794" s="1949"/>
      <c r="W794" s="1949"/>
      <c r="X794" s="1949"/>
      <c r="Y794" s="1950"/>
      <c r="Z794" s="1948">
        <v>10</v>
      </c>
      <c r="AA794" s="1949"/>
      <c r="AB794" s="1949"/>
      <c r="AC794" s="1949"/>
      <c r="AD794" s="1949"/>
      <c r="AE794" s="1950"/>
      <c r="AF794" s="1934">
        <f>IF(T794&gt;Z794,Z794,T794)</f>
        <v>10</v>
      </c>
      <c r="AG794" s="1934"/>
      <c r="AH794" s="1934"/>
      <c r="AI794" s="1934"/>
      <c r="AJ794" s="1934"/>
      <c r="AK794" s="1934"/>
      <c r="AL794" s="852"/>
      <c r="AM794" s="630"/>
      <c r="AO794" s="850"/>
      <c r="AP794" s="850"/>
      <c r="AQ794" s="850"/>
    </row>
    <row r="795" spans="1:43">
      <c r="A795" s="853" t="s">
        <v>1662</v>
      </c>
      <c r="B795" s="1945" t="s">
        <v>1434</v>
      </c>
      <c r="C795" s="1945"/>
      <c r="D795" s="1945"/>
      <c r="E795" s="1945"/>
      <c r="F795" s="1945"/>
      <c r="G795" s="1945"/>
      <c r="H795" s="1945"/>
      <c r="I795" s="1945"/>
      <c r="J795" s="1945"/>
      <c r="K795" s="1945"/>
      <c r="L795" s="1945"/>
      <c r="M795" s="1945"/>
      <c r="N795" s="1945"/>
      <c r="O795" s="1945"/>
      <c r="P795" s="1945"/>
      <c r="Q795" s="1945"/>
      <c r="R795" s="1945"/>
      <c r="S795" s="1946"/>
      <c r="T795" s="1973">
        <f ca="1">AK103</f>
        <v>20</v>
      </c>
      <c r="U795" s="1949"/>
      <c r="V795" s="1949"/>
      <c r="W795" s="1949"/>
      <c r="X795" s="1949"/>
      <c r="Y795" s="1950"/>
      <c r="Z795" s="1948">
        <v>20</v>
      </c>
      <c r="AA795" s="1949"/>
      <c r="AB795" s="1949"/>
      <c r="AC795" s="1949"/>
      <c r="AD795" s="1949"/>
      <c r="AE795" s="1950"/>
      <c r="AF795" s="1934">
        <f ca="1">IF(T795&gt;Z795,Z795,T795)</f>
        <v>20</v>
      </c>
      <c r="AG795" s="1934"/>
      <c r="AH795" s="1934"/>
      <c r="AI795" s="1934"/>
      <c r="AJ795" s="1934"/>
      <c r="AK795" s="1934"/>
      <c r="AL795" s="852"/>
      <c r="AM795" s="630"/>
      <c r="AO795" s="850"/>
      <c r="AP795" s="850"/>
      <c r="AQ795" s="850"/>
    </row>
    <row r="796" spans="1:43">
      <c r="A796" s="853" t="s">
        <v>1684</v>
      </c>
      <c r="B796" s="1945" t="s">
        <v>1444</v>
      </c>
      <c r="C796" s="1945"/>
      <c r="D796" s="1945"/>
      <c r="E796" s="1945"/>
      <c r="F796" s="1945"/>
      <c r="G796" s="1945"/>
      <c r="H796" s="1945"/>
      <c r="I796" s="1945"/>
      <c r="J796" s="1945"/>
      <c r="K796" s="1945"/>
      <c r="L796" s="1945"/>
      <c r="M796" s="1945"/>
      <c r="N796" s="1945"/>
      <c r="O796" s="1945"/>
      <c r="P796" s="1945"/>
      <c r="Q796" s="1945"/>
      <c r="R796" s="1945"/>
      <c r="S796" s="1946"/>
      <c r="T796" s="1973">
        <f>AK137</f>
        <v>10</v>
      </c>
      <c r="U796" s="1949"/>
      <c r="V796" s="1949"/>
      <c r="W796" s="1949"/>
      <c r="X796" s="1949"/>
      <c r="Y796" s="1950"/>
      <c r="Z796" s="1948">
        <v>10</v>
      </c>
      <c r="AA796" s="1949"/>
      <c r="AB796" s="1949"/>
      <c r="AC796" s="1949"/>
      <c r="AD796" s="1949"/>
      <c r="AE796" s="1950"/>
      <c r="AF796" s="1934">
        <f>IF(T796&gt;Z796,Z796,T796)</f>
        <v>10</v>
      </c>
      <c r="AG796" s="1934"/>
      <c r="AH796" s="1934"/>
      <c r="AI796" s="1934"/>
      <c r="AJ796" s="1934"/>
      <c r="AK796" s="1934"/>
      <c r="AL796" s="852"/>
      <c r="AM796" s="630"/>
      <c r="AO796" s="850"/>
      <c r="AP796" s="850"/>
      <c r="AQ796" s="850"/>
    </row>
    <row r="797" spans="1:43">
      <c r="A797" s="854" t="s">
        <v>1685</v>
      </c>
      <c r="B797" s="1945" t="s">
        <v>1686</v>
      </c>
      <c r="C797" s="1945"/>
      <c r="D797" s="1945"/>
      <c r="E797" s="1945"/>
      <c r="F797" s="1945"/>
      <c r="G797" s="1945"/>
      <c r="H797" s="1945"/>
      <c r="I797" s="1945"/>
      <c r="J797" s="1945"/>
      <c r="K797" s="1945"/>
      <c r="L797" s="1945"/>
      <c r="M797" s="1945"/>
      <c r="N797" s="1945"/>
      <c r="O797" s="1945"/>
      <c r="P797" s="1945"/>
      <c r="Q797" s="1945"/>
      <c r="R797" s="1945"/>
      <c r="S797" s="1946"/>
      <c r="T797" s="1947">
        <f>SUM(T798:Y799)</f>
        <v>10</v>
      </c>
      <c r="U797" s="1947"/>
      <c r="V797" s="1947"/>
      <c r="W797" s="1947"/>
      <c r="X797" s="1947"/>
      <c r="Y797" s="1947"/>
      <c r="Z797" s="1934">
        <v>10</v>
      </c>
      <c r="AA797" s="1934"/>
      <c r="AB797" s="1934"/>
      <c r="AC797" s="1934"/>
      <c r="AD797" s="1934"/>
      <c r="AE797" s="1934"/>
      <c r="AF797" s="1934">
        <f>IF(T797&gt;Z797,Z797,T797)</f>
        <v>10</v>
      </c>
      <c r="AG797" s="1934"/>
      <c r="AH797" s="1934"/>
      <c r="AI797" s="1934"/>
      <c r="AJ797" s="1934"/>
      <c r="AK797" s="1934"/>
      <c r="AL797" s="852"/>
      <c r="AM797" s="630"/>
    </row>
    <row r="798" spans="1:43">
      <c r="A798" s="569"/>
      <c r="B798" s="635"/>
      <c r="C798" s="1951" t="s">
        <v>1687</v>
      </c>
      <c r="D798" s="1951"/>
      <c r="E798" s="1951"/>
      <c r="F798" s="1951"/>
      <c r="G798" s="1951"/>
      <c r="H798" s="1951"/>
      <c r="I798" s="1951"/>
      <c r="J798" s="1951"/>
      <c r="K798" s="1951"/>
      <c r="L798" s="1951"/>
      <c r="M798" s="1951"/>
      <c r="N798" s="1951"/>
      <c r="O798" s="1951"/>
      <c r="P798" s="1951"/>
      <c r="Q798" s="1951"/>
      <c r="R798" s="1951"/>
      <c r="S798" s="1952"/>
      <c r="T798" s="1953">
        <f>AJ155</f>
        <v>7</v>
      </c>
      <c r="U798" s="1953"/>
      <c r="V798" s="1953"/>
      <c r="W798" s="1953"/>
      <c r="X798" s="1953"/>
      <c r="Y798" s="1953"/>
      <c r="Z798" s="1954">
        <v>7</v>
      </c>
      <c r="AA798" s="1954"/>
      <c r="AB798" s="1954"/>
      <c r="AC798" s="1954"/>
      <c r="AD798" s="1954"/>
      <c r="AE798" s="1954"/>
      <c r="AF798" s="1955"/>
      <c r="AG798" s="1955"/>
      <c r="AH798" s="1955"/>
      <c r="AI798" s="1955"/>
      <c r="AJ798" s="1955"/>
      <c r="AK798" s="1955"/>
      <c r="AL798" s="852"/>
      <c r="AM798" s="630"/>
    </row>
    <row r="799" spans="1:43">
      <c r="A799" s="634"/>
      <c r="B799" s="635"/>
      <c r="C799" s="1951" t="s">
        <v>1688</v>
      </c>
      <c r="D799" s="1951"/>
      <c r="E799" s="1951"/>
      <c r="F799" s="1951"/>
      <c r="G799" s="1951"/>
      <c r="H799" s="1951"/>
      <c r="I799" s="1951"/>
      <c r="J799" s="1951"/>
      <c r="K799" s="1951"/>
      <c r="L799" s="1951"/>
      <c r="M799" s="1951"/>
      <c r="N799" s="1951"/>
      <c r="O799" s="1951"/>
      <c r="P799" s="1951"/>
      <c r="Q799" s="1951"/>
      <c r="R799" s="1951"/>
      <c r="S799" s="1952"/>
      <c r="T799" s="1953">
        <f>AJ169</f>
        <v>3</v>
      </c>
      <c r="U799" s="1953"/>
      <c r="V799" s="1953"/>
      <c r="W799" s="1953"/>
      <c r="X799" s="1953"/>
      <c r="Y799" s="1953"/>
      <c r="Z799" s="1954">
        <v>3</v>
      </c>
      <c r="AA799" s="1954"/>
      <c r="AB799" s="1954"/>
      <c r="AC799" s="1954"/>
      <c r="AD799" s="1954"/>
      <c r="AE799" s="1954"/>
      <c r="AF799" s="1955"/>
      <c r="AG799" s="1955"/>
      <c r="AH799" s="1955"/>
      <c r="AI799" s="1955"/>
      <c r="AJ799" s="1955"/>
      <c r="AK799" s="1955"/>
      <c r="AL799" s="852"/>
      <c r="AM799" s="630"/>
      <c r="AO799" s="584"/>
    </row>
    <row r="800" spans="1:43">
      <c r="A800" s="854" t="s">
        <v>1472</v>
      </c>
      <c r="B800" s="1945" t="s">
        <v>1689</v>
      </c>
      <c r="C800" s="1945"/>
      <c r="D800" s="1945"/>
      <c r="E800" s="1945"/>
      <c r="F800" s="1945"/>
      <c r="G800" s="1945"/>
      <c r="H800" s="1945"/>
      <c r="I800" s="1945"/>
      <c r="J800" s="1945"/>
      <c r="K800" s="1945"/>
      <c r="L800" s="1945"/>
      <c r="M800" s="1945"/>
      <c r="N800" s="1945"/>
      <c r="O800" s="1945"/>
      <c r="P800" s="1945"/>
      <c r="Q800" s="1945"/>
      <c r="R800" s="1945"/>
      <c r="S800" s="1946"/>
      <c r="T800" s="1947">
        <f>AK180</f>
        <v>10</v>
      </c>
      <c r="U800" s="1947"/>
      <c r="V800" s="1947"/>
      <c r="W800" s="1947"/>
      <c r="X800" s="1947"/>
      <c r="Y800" s="1947"/>
      <c r="Z800" s="1934">
        <v>10</v>
      </c>
      <c r="AA800" s="1934"/>
      <c r="AB800" s="1934"/>
      <c r="AC800" s="1934"/>
      <c r="AD800" s="1934"/>
      <c r="AE800" s="1934"/>
      <c r="AF800" s="1934">
        <f>IF(T800&gt;Z800,Z800,T800)</f>
        <v>10</v>
      </c>
      <c r="AG800" s="1934"/>
      <c r="AH800" s="1934"/>
      <c r="AI800" s="1934"/>
      <c r="AJ800" s="1934"/>
      <c r="AK800" s="1934"/>
      <c r="AL800" s="852"/>
      <c r="AM800" s="630"/>
    </row>
    <row r="801" spans="1:81">
      <c r="A801" s="853" t="s">
        <v>1481</v>
      </c>
      <c r="B801" s="1945" t="s">
        <v>1482</v>
      </c>
      <c r="C801" s="1945"/>
      <c r="D801" s="1945"/>
      <c r="E801" s="1945"/>
      <c r="F801" s="1945"/>
      <c r="G801" s="1945"/>
      <c r="H801" s="1945"/>
      <c r="I801" s="1945"/>
      <c r="J801" s="1945"/>
      <c r="K801" s="1945"/>
      <c r="L801" s="1945"/>
      <c r="M801" s="1945"/>
      <c r="N801" s="1945"/>
      <c r="O801" s="1945"/>
      <c r="P801" s="1945"/>
      <c r="Q801" s="1945"/>
      <c r="R801" s="1945"/>
      <c r="S801" s="1946"/>
      <c r="T801" s="1947">
        <f>AK262</f>
        <v>8</v>
      </c>
      <c r="U801" s="1947"/>
      <c r="V801" s="1947"/>
      <c r="W801" s="1947"/>
      <c r="X801" s="1947"/>
      <c r="Y801" s="1947"/>
      <c r="Z801" s="1948">
        <v>8</v>
      </c>
      <c r="AA801" s="1949"/>
      <c r="AB801" s="1949"/>
      <c r="AC801" s="1949"/>
      <c r="AD801" s="1949"/>
      <c r="AE801" s="1950"/>
      <c r="AF801" s="1934">
        <f>IF(T801&gt;Z801,Z801,T801)</f>
        <v>8</v>
      </c>
      <c r="AG801" s="1934"/>
      <c r="AH801" s="1934"/>
      <c r="AI801" s="1934"/>
      <c r="AJ801" s="1934"/>
      <c r="AK801" s="1934"/>
      <c r="AL801" s="852"/>
      <c r="AM801" s="630"/>
    </row>
    <row r="802" spans="1:81" s="568" customFormat="1" hidden="1">
      <c r="A802" s="854" t="s">
        <v>597</v>
      </c>
      <c r="B802" s="1945" t="s">
        <v>1690</v>
      </c>
      <c r="C802" s="1945"/>
      <c r="D802" s="1945"/>
      <c r="E802" s="1945"/>
      <c r="F802" s="1945"/>
      <c r="G802" s="1945"/>
      <c r="H802" s="1945"/>
      <c r="I802" s="1945"/>
      <c r="J802" s="1945"/>
      <c r="K802" s="1945"/>
      <c r="L802" s="1945"/>
      <c r="M802" s="1945"/>
      <c r="N802" s="1945"/>
      <c r="O802" s="1945"/>
      <c r="P802" s="1945"/>
      <c r="Q802" s="1945"/>
      <c r="R802" s="1945"/>
      <c r="S802" s="1946"/>
      <c r="T802" s="1947">
        <f>IF(AK524&gt;5,5,AK524)</f>
        <v>0</v>
      </c>
      <c r="U802" s="1947"/>
      <c r="V802" s="1947"/>
      <c r="W802" s="1947"/>
      <c r="X802" s="1947"/>
      <c r="Y802" s="1947"/>
      <c r="Z802" s="1934">
        <v>5</v>
      </c>
      <c r="AA802" s="1934"/>
      <c r="AB802" s="1934"/>
      <c r="AC802" s="1934"/>
      <c r="AD802" s="1934"/>
      <c r="AE802" s="1934"/>
      <c r="AF802" s="1934">
        <f>IF(T802&gt;Z802,5,T802)</f>
        <v>0</v>
      </c>
      <c r="AG802" s="1934"/>
      <c r="AH802" s="1934"/>
      <c r="AI802" s="1934"/>
      <c r="AJ802" s="1934"/>
      <c r="AK802" s="193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45" t="s">
        <v>1691</v>
      </c>
      <c r="C803" s="1945"/>
      <c r="D803" s="1945"/>
      <c r="E803" s="1945"/>
      <c r="F803" s="1945"/>
      <c r="G803" s="1945"/>
      <c r="H803" s="1945"/>
      <c r="I803" s="1945"/>
      <c r="J803" s="1945"/>
      <c r="K803" s="1945"/>
      <c r="L803" s="1945"/>
      <c r="M803" s="1945"/>
      <c r="N803" s="1945"/>
      <c r="O803" s="1945"/>
      <c r="P803" s="1945"/>
      <c r="Q803" s="1945"/>
      <c r="R803" s="1945"/>
      <c r="S803" s="1946"/>
      <c r="T803" s="1947">
        <f>AK274</f>
        <v>10</v>
      </c>
      <c r="U803" s="1947"/>
      <c r="V803" s="1947"/>
      <c r="W803" s="1947"/>
      <c r="X803" s="1947"/>
      <c r="Y803" s="1947"/>
      <c r="Z803" s="1934">
        <v>10</v>
      </c>
      <c r="AA803" s="1934"/>
      <c r="AB803" s="1934"/>
      <c r="AC803" s="1934"/>
      <c r="AD803" s="1934"/>
      <c r="AE803" s="1934"/>
      <c r="AF803" s="1956">
        <f>IF(T803&gt;Z803,Z803,T803)</f>
        <v>10</v>
      </c>
      <c r="AG803" s="1957"/>
      <c r="AH803" s="1957"/>
      <c r="AI803" s="1957"/>
      <c r="AJ803" s="1957"/>
      <c r="AK803" s="195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45" t="s">
        <v>1492</v>
      </c>
      <c r="C804" s="1945"/>
      <c r="D804" s="1945"/>
      <c r="E804" s="1945"/>
      <c r="F804" s="1945"/>
      <c r="G804" s="1945"/>
      <c r="H804" s="1945"/>
      <c r="I804" s="1945"/>
      <c r="J804" s="1945"/>
      <c r="K804" s="1945"/>
      <c r="L804" s="1945"/>
      <c r="M804" s="1945"/>
      <c r="N804" s="1945"/>
      <c r="O804" s="1945"/>
      <c r="P804" s="1945"/>
      <c r="Q804" s="1945"/>
      <c r="R804" s="1945"/>
      <c r="S804" s="1946"/>
      <c r="T804" s="1947">
        <f>AK327</f>
        <v>9</v>
      </c>
      <c r="U804" s="1947"/>
      <c r="V804" s="1947"/>
      <c r="W804" s="1947"/>
      <c r="X804" s="1947"/>
      <c r="Y804" s="1947"/>
      <c r="Z804" s="1956">
        <v>10</v>
      </c>
      <c r="AA804" s="1957"/>
      <c r="AB804" s="1957"/>
      <c r="AC804" s="1957"/>
      <c r="AD804" s="1957"/>
      <c r="AE804" s="1958"/>
      <c r="AF804" s="1956">
        <f>IF(T804&gt;Z804,Z804,T804)</f>
        <v>9</v>
      </c>
      <c r="AG804" s="1957"/>
      <c r="AH804" s="1957"/>
      <c r="AI804" s="1957"/>
      <c r="AJ804" s="1957"/>
      <c r="AK804" s="195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3">
        <f>AK327</f>
        <v>9</v>
      </c>
      <c r="U805" s="1953"/>
      <c r="V805" s="1953"/>
      <c r="W805" s="1953"/>
      <c r="X805" s="1953"/>
      <c r="Y805" s="1953"/>
      <c r="Z805" s="1921">
        <v>20</v>
      </c>
      <c r="AA805" s="1922"/>
      <c r="AB805" s="1922"/>
      <c r="AC805" s="1922"/>
      <c r="AD805" s="1922"/>
      <c r="AE805" s="1923"/>
      <c r="AF805" s="1955"/>
      <c r="AG805" s="1955"/>
      <c r="AH805" s="1955"/>
      <c r="AI805" s="1955"/>
      <c r="AJ805" s="1955"/>
      <c r="AK805" s="195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45" t="s">
        <v>856</v>
      </c>
      <c r="C806" s="1945"/>
      <c r="D806" s="1945"/>
      <c r="E806" s="1945"/>
      <c r="F806" s="1945"/>
      <c r="G806" s="1945"/>
      <c r="H806" s="1945"/>
      <c r="I806" s="1945"/>
      <c r="J806" s="1945"/>
      <c r="K806" s="1945"/>
      <c r="L806" s="1945"/>
      <c r="M806" s="1945"/>
      <c r="N806" s="1945"/>
      <c r="O806" s="1945"/>
      <c r="P806" s="1945"/>
      <c r="Q806" s="1945"/>
      <c r="R806" s="1945"/>
      <c r="S806" s="1946"/>
      <c r="T806" s="1947">
        <f>AK458</f>
        <v>10</v>
      </c>
      <c r="U806" s="1947"/>
      <c r="V806" s="1947"/>
      <c r="W806" s="1947"/>
      <c r="X806" s="1947"/>
      <c r="Y806" s="1947"/>
      <c r="Z806" s="1956">
        <v>10</v>
      </c>
      <c r="AA806" s="1957"/>
      <c r="AB806" s="1957"/>
      <c r="AC806" s="1957"/>
      <c r="AD806" s="1957"/>
      <c r="AE806" s="1958"/>
      <c r="AF806" s="1934">
        <f>IF(T806&gt;Z806,Z806,T806)</f>
        <v>10</v>
      </c>
      <c r="AG806" s="1934"/>
      <c r="AH806" s="1934"/>
      <c r="AI806" s="1934"/>
      <c r="AJ806" s="1934"/>
      <c r="AK806" s="193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45" t="s">
        <v>1671</v>
      </c>
      <c r="C807" s="1945"/>
      <c r="D807" s="1945"/>
      <c r="E807" s="1945"/>
      <c r="F807" s="1945"/>
      <c r="G807" s="1945"/>
      <c r="H807" s="1945"/>
      <c r="I807" s="1945"/>
      <c r="J807" s="1945"/>
      <c r="K807" s="1945"/>
      <c r="L807" s="1945"/>
      <c r="M807" s="1945"/>
      <c r="N807" s="1945"/>
      <c r="O807" s="1945"/>
      <c r="P807" s="1945"/>
      <c r="Q807" s="1945"/>
      <c r="R807" s="1945"/>
      <c r="S807" s="1946"/>
      <c r="T807" s="1947">
        <f>AK548</f>
        <v>12</v>
      </c>
      <c r="U807" s="1947"/>
      <c r="V807" s="1947"/>
      <c r="W807" s="1947"/>
      <c r="X807" s="1947"/>
      <c r="Y807" s="1947"/>
      <c r="Z807" s="1956">
        <v>12</v>
      </c>
      <c r="AA807" s="1957"/>
      <c r="AB807" s="1957"/>
      <c r="AC807" s="1957"/>
      <c r="AD807" s="1957"/>
      <c r="AE807" s="1958"/>
      <c r="AF807" s="1934">
        <f>IF(T807&gt;Z807,Z807,T807)</f>
        <v>12</v>
      </c>
      <c r="AG807" s="1934"/>
      <c r="AH807" s="1934"/>
      <c r="AI807" s="1934"/>
      <c r="AJ807" s="1934"/>
      <c r="AK807" s="193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45" t="s">
        <v>1693</v>
      </c>
      <c r="C808" s="1945"/>
      <c r="D808" s="1945"/>
      <c r="E808" s="1945"/>
      <c r="F808" s="1945"/>
      <c r="G808" s="1945"/>
      <c r="H808" s="1945"/>
      <c r="I808" s="1945"/>
      <c r="J808" s="1945"/>
      <c r="K808" s="1945"/>
      <c r="L808" s="1945"/>
      <c r="M808" s="1945"/>
      <c r="N808" s="1945"/>
      <c r="O808" s="1945"/>
      <c r="P808" s="1945"/>
      <c r="Q808" s="1945"/>
      <c r="R808" s="1945"/>
      <c r="S808" s="1946"/>
      <c r="T808" s="1947">
        <f>AK783</f>
        <v>10</v>
      </c>
      <c r="U808" s="1947"/>
      <c r="V808" s="1947"/>
      <c r="W808" s="1947"/>
      <c r="X808" s="1947"/>
      <c r="Y808" s="1947"/>
      <c r="Z808" s="1956">
        <v>10</v>
      </c>
      <c r="AA808" s="1957"/>
      <c r="AB808" s="1957"/>
      <c r="AC808" s="1957"/>
      <c r="AD808" s="1957"/>
      <c r="AE808" s="1958"/>
      <c r="AF808" s="1934">
        <f>IF(T808&gt;Z808,Z808,T808)</f>
        <v>10</v>
      </c>
      <c r="AG808" s="1934"/>
      <c r="AH808" s="1934"/>
      <c r="AI808" s="1934"/>
      <c r="AJ808" s="1934"/>
      <c r="AK808" s="193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9" t="s">
        <v>1694</v>
      </c>
      <c r="B809" s="1945"/>
      <c r="C809" s="1945"/>
      <c r="D809" s="1945"/>
      <c r="E809" s="1945"/>
      <c r="F809" s="1945"/>
      <c r="G809" s="1945"/>
      <c r="H809" s="1945"/>
      <c r="I809" s="1945"/>
      <c r="J809" s="1945"/>
      <c r="K809" s="1945"/>
      <c r="L809" s="1945"/>
      <c r="M809" s="1945"/>
      <c r="N809" s="1945"/>
      <c r="O809" s="1945"/>
      <c r="P809" s="1945"/>
      <c r="Q809" s="1945"/>
      <c r="R809" s="1945"/>
      <c r="S809" s="1946"/>
      <c r="T809" s="1960"/>
      <c r="U809" s="1960"/>
      <c r="V809" s="1960"/>
      <c r="W809" s="1960"/>
      <c r="X809" s="1960"/>
      <c r="Y809" s="1960"/>
      <c r="Z809" s="1954" t="s">
        <v>1695</v>
      </c>
      <c r="AA809" s="1954"/>
      <c r="AB809" s="1954"/>
      <c r="AC809" s="1954"/>
      <c r="AD809" s="1954"/>
      <c r="AE809" s="1954"/>
      <c r="AF809" s="1956">
        <f>IF(T809&gt;0,T809,0)</f>
        <v>0</v>
      </c>
      <c r="AG809" s="1957"/>
      <c r="AH809" s="1957"/>
      <c r="AI809" s="1957"/>
      <c r="AJ809" s="1957"/>
      <c r="AK809" s="195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1" t="s">
        <v>1696</v>
      </c>
      <c r="B810" s="1962"/>
      <c r="C810" s="1962"/>
      <c r="D810" s="1962"/>
      <c r="E810" s="1962"/>
      <c r="F810" s="1962"/>
      <c r="G810" s="1962"/>
      <c r="H810" s="1962"/>
      <c r="I810" s="1962"/>
      <c r="J810" s="1962"/>
      <c r="K810" s="1962"/>
      <c r="L810" s="1962"/>
      <c r="M810" s="1962"/>
      <c r="N810" s="1962"/>
      <c r="O810" s="1962"/>
      <c r="P810" s="1962"/>
      <c r="Q810" s="1962"/>
      <c r="R810" s="1962"/>
      <c r="S810" s="1962"/>
      <c r="T810" s="1962"/>
      <c r="U810" s="1962"/>
      <c r="V810" s="1962"/>
      <c r="W810" s="1962"/>
      <c r="X810" s="1962"/>
      <c r="Y810" s="1962"/>
      <c r="Z810" s="1962"/>
      <c r="AA810" s="1962"/>
      <c r="AB810" s="1962"/>
      <c r="AC810" s="1962"/>
      <c r="AD810" s="1962"/>
      <c r="AE810" s="1963"/>
      <c r="AF810" s="1967">
        <f ca="1">SUM(AF793:AK808)-AF809</f>
        <v>119</v>
      </c>
      <c r="AG810" s="1968"/>
      <c r="AH810" s="1968"/>
      <c r="AI810" s="1968"/>
      <c r="AJ810" s="1968"/>
      <c r="AK810" s="196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4"/>
      <c r="B811" s="1965"/>
      <c r="C811" s="1965"/>
      <c r="D811" s="1965"/>
      <c r="E811" s="1965"/>
      <c r="F811" s="1965"/>
      <c r="G811" s="1965"/>
      <c r="H811" s="1965"/>
      <c r="I811" s="1965"/>
      <c r="J811" s="1965"/>
      <c r="K811" s="1965"/>
      <c r="L811" s="1965"/>
      <c r="M811" s="1965"/>
      <c r="N811" s="1965"/>
      <c r="O811" s="1965"/>
      <c r="P811" s="1965"/>
      <c r="Q811" s="1965"/>
      <c r="R811" s="1965"/>
      <c r="S811" s="1965"/>
      <c r="T811" s="1965"/>
      <c r="U811" s="1965"/>
      <c r="V811" s="1965"/>
      <c r="W811" s="1965"/>
      <c r="X811" s="1965"/>
      <c r="Y811" s="1965"/>
      <c r="Z811" s="1965"/>
      <c r="AA811" s="1965"/>
      <c r="AB811" s="1965"/>
      <c r="AC811" s="1965"/>
      <c r="AD811" s="1965"/>
      <c r="AE811" s="1966"/>
      <c r="AF811" s="1970"/>
      <c r="AG811" s="1971"/>
      <c r="AH811" s="1971"/>
      <c r="AI811" s="1971"/>
      <c r="AJ811" s="1971"/>
      <c r="AK811" s="197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N214:R214"/>
    <mergeCell ref="N215:R215"/>
    <mergeCell ref="N216:R216"/>
    <mergeCell ref="N213:R213"/>
    <mergeCell ref="T214:Y214"/>
    <mergeCell ref="T215:Y215"/>
    <mergeCell ref="T216:Y216"/>
    <mergeCell ref="T213:Y213"/>
    <mergeCell ref="AB233:AG233"/>
    <mergeCell ref="AB232:AG232"/>
    <mergeCell ref="B215:G215"/>
    <mergeCell ref="B216:G216"/>
    <mergeCell ref="B213:G213"/>
    <mergeCell ref="B214:G214"/>
    <mergeCell ref="I214:K214"/>
    <mergeCell ref="I215:K215"/>
    <mergeCell ref="I216:K216"/>
    <mergeCell ref="I213:K21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B192:AB192"/>
    <mergeCell ref="B193:AB193"/>
    <mergeCell ref="B218:G218"/>
    <mergeCell ref="AB214:AG214"/>
    <mergeCell ref="I220:K220"/>
    <mergeCell ref="I221:K221"/>
    <mergeCell ref="I222:K222"/>
    <mergeCell ref="N212:R212"/>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2:Y212"/>
    <mergeCell ref="B198:AB198"/>
    <mergeCell ref="B219:G219"/>
    <mergeCell ref="B220:G220"/>
    <mergeCell ref="B221:G221"/>
    <mergeCell ref="B222:G222"/>
    <mergeCell ref="B217:G217"/>
    <mergeCell ref="AB212:AG212"/>
    <mergeCell ref="N219:R219"/>
    <mergeCell ref="AB229:AG229"/>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15:AG215"/>
    <mergeCell ref="AB216:AG216"/>
    <mergeCell ref="AB217:AG217"/>
    <mergeCell ref="AB218:AG218"/>
    <mergeCell ref="T211:Y211"/>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G11" sqref="G11:H11"/>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7" t="s">
        <v>1697</v>
      </c>
      <c r="B1" s="2147"/>
      <c r="C1" s="2147"/>
      <c r="D1" s="2147"/>
      <c r="E1" s="2147"/>
      <c r="F1" s="2147"/>
      <c r="G1" s="2147"/>
      <c r="H1" s="2147"/>
      <c r="I1" s="2147"/>
      <c r="J1" s="2147"/>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37382736</v>
      </c>
      <c r="I3" s="1145"/>
    </row>
    <row r="4" spans="1:13" s="1086" customFormat="1" ht="20.100000000000001" customHeight="1">
      <c r="B4" s="1134"/>
      <c r="D4" s="1148"/>
      <c r="F4" s="1132" t="s">
        <v>2302</v>
      </c>
      <c r="G4" s="1131" t="s">
        <v>2301</v>
      </c>
      <c r="H4" s="1133">
        <f>I16</f>
        <v>41868484.148039214</v>
      </c>
      <c r="I4" s="1135"/>
      <c r="K4" s="1090"/>
    </row>
    <row r="5" spans="1:13" s="1086" customFormat="1" ht="20.100000000000001" customHeight="1" thickBot="1">
      <c r="B5" s="1136"/>
      <c r="C5" s="1137"/>
      <c r="D5" s="1149"/>
      <c r="E5" s="1138"/>
      <c r="F5" s="1149" t="s">
        <v>2242</v>
      </c>
      <c r="G5" s="1150"/>
      <c r="H5" s="1146">
        <f>H3/H4</f>
        <v>0.89286098507463418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8" t="s">
        <v>2240</v>
      </c>
      <c r="C8" s="2149"/>
      <c r="D8" s="2149"/>
      <c r="E8" s="2150"/>
      <c r="G8" s="2151" t="s">
        <v>2241</v>
      </c>
      <c r="H8" s="2152"/>
      <c r="I8" s="2153"/>
      <c r="K8" s="1092"/>
    </row>
    <row r="9" spans="1:13" ht="15" customHeight="1">
      <c r="A9" s="1081"/>
      <c r="B9" s="2142" t="s">
        <v>2279</v>
      </c>
      <c r="C9" s="2142"/>
      <c r="D9" s="2142"/>
      <c r="E9" s="1094">
        <f>G31</f>
        <v>6035000</v>
      </c>
      <c r="G9" s="2145" t="s">
        <v>2277</v>
      </c>
      <c r="H9" s="2145"/>
      <c r="I9" s="1095">
        <f>Application!AM554</f>
        <v>43909270</v>
      </c>
      <c r="K9" s="1096"/>
      <c r="M9" s="1097"/>
    </row>
    <row r="10" spans="1:13" ht="15" customHeight="1" thickBot="1">
      <c r="A10" s="1081"/>
      <c r="B10" s="2142" t="s">
        <v>2280</v>
      </c>
      <c r="C10" s="2142"/>
      <c r="D10" s="2142"/>
      <c r="E10" s="1095">
        <f>G40</f>
        <v>21250836.000000004</v>
      </c>
      <c r="G10" s="2145" t="s">
        <v>2243</v>
      </c>
      <c r="H10" s="2145"/>
      <c r="I10" s="1182">
        <f>'Basis &amp; Credits'!AB77</f>
        <v>10108886</v>
      </c>
      <c r="M10" s="1097"/>
    </row>
    <row r="11" spans="1:13" ht="15" customHeight="1">
      <c r="A11" s="1098"/>
      <c r="B11" s="2142" t="s">
        <v>2281</v>
      </c>
      <c r="C11" s="2142"/>
      <c r="D11" s="2142"/>
      <c r="E11" s="1095">
        <f>G49</f>
        <v>670000</v>
      </c>
      <c r="G11" s="2145" t="s">
        <v>2292</v>
      </c>
      <c r="H11" s="2145"/>
      <c r="I11" s="1181">
        <f>I9+I10</f>
        <v>54018156</v>
      </c>
      <c r="M11" s="1097"/>
    </row>
    <row r="12" spans="1:13" ht="15" customHeight="1">
      <c r="A12" s="1084"/>
      <c r="B12" s="2142" t="s">
        <v>2282</v>
      </c>
      <c r="C12" s="2142"/>
      <c r="D12" s="2142"/>
      <c r="E12" s="1095">
        <f>G58</f>
        <v>1340000</v>
      </c>
      <c r="G12" s="1183" t="s">
        <v>2317</v>
      </c>
      <c r="H12" s="1184"/>
      <c r="M12" s="1097"/>
    </row>
    <row r="13" spans="1:13" ht="15" customHeight="1">
      <c r="A13" s="1081"/>
      <c r="B13" s="2142" t="s">
        <v>2283</v>
      </c>
      <c r="C13" s="2142"/>
      <c r="D13" s="2142"/>
      <c r="E13" s="1100">
        <f>G83</f>
        <v>6879900</v>
      </c>
      <c r="G13" s="2146" t="s">
        <v>139</v>
      </c>
      <c r="H13" s="2146"/>
      <c r="I13" s="1099">
        <f>15%*(Application!AJ993&gt;0)</f>
        <v>0.15</v>
      </c>
      <c r="M13" s="1097"/>
    </row>
    <row r="14" spans="1:13" ht="15" customHeight="1">
      <c r="A14" s="1081"/>
      <c r="B14" s="2142" t="s">
        <v>2284</v>
      </c>
      <c r="C14" s="2142"/>
      <c r="D14" s="2142"/>
      <c r="E14" s="1095">
        <f>IF(G96&gt;G106,G96,0)</f>
        <v>1207000</v>
      </c>
      <c r="G14" s="1179" t="s">
        <v>2293</v>
      </c>
      <c r="H14" s="1179"/>
      <c r="I14" s="1099">
        <f>IF(Application!AJ1031&gt;0,10%,IF(Application!AJ1035&gt;0,5%,0))</f>
        <v>0.05</v>
      </c>
      <c r="M14" s="1097"/>
    </row>
    <row r="15" spans="1:13" ht="15" customHeight="1" thickBot="1">
      <c r="A15" s="1081"/>
      <c r="B15" s="2143" t="s">
        <v>2303</v>
      </c>
      <c r="C15" s="2143"/>
      <c r="D15" s="2143"/>
      <c r="E15" s="1151">
        <f>IF(E14&gt;0,0,G106)</f>
        <v>0</v>
      </c>
      <c r="G15" s="2140" t="s">
        <v>2294</v>
      </c>
      <c r="H15" s="2141"/>
      <c r="I15" s="1153">
        <f>G114</f>
        <v>2.4918300653594773E-2</v>
      </c>
      <c r="M15" s="1097"/>
    </row>
    <row r="16" spans="1:13" ht="15" customHeight="1">
      <c r="A16" s="1081"/>
      <c r="B16" s="2144" t="s">
        <v>2239</v>
      </c>
      <c r="C16" s="2144"/>
      <c r="D16" s="2144"/>
      <c r="E16" s="1152">
        <f>SUM(E9:E15)</f>
        <v>37382736</v>
      </c>
      <c r="G16" s="1180" t="s">
        <v>2278</v>
      </c>
      <c r="H16" s="1180"/>
      <c r="I16" s="1154">
        <f>I11-((I11*I13)+(I11*I14)+(I11*I15))</f>
        <v>41868484.148039214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134</v>
      </c>
      <c r="O18" s="1124" t="s">
        <v>590</v>
      </c>
      <c r="P18" s="1079">
        <f>MATCH(Application!T189,Application!BV490:BV547,0)</f>
        <v>56</v>
      </c>
      <c r="S18" s="1101">
        <f>SUM(Cdlac[Population])</f>
        <v>71</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38" t="s">
        <v>2296</v>
      </c>
      <c r="D20" s="2138" t="s">
        <v>2297</v>
      </c>
      <c r="E20" s="2138" t="s">
        <v>2298</v>
      </c>
      <c r="F20" s="2138" t="s">
        <v>2299</v>
      </c>
      <c r="G20" s="2138" t="s">
        <v>2295</v>
      </c>
      <c r="H20" s="1108"/>
      <c r="I20" s="1107"/>
      <c r="L20" s="1079">
        <f>IFERROR(MIN(4,MATCH(Application!B718,UnitSizes,0)-1),"")</f>
        <v>0</v>
      </c>
      <c r="M20" s="1101">
        <f>Application!G718</f>
        <v>34</v>
      </c>
      <c r="N20" s="1109">
        <f>Application!AC718</f>
        <v>0.5</v>
      </c>
      <c r="O20" s="1109">
        <f>IF(Cdlac[[#This Row],[Quantity]]&gt;0,IF(Cdlac[[#This Row],[Federal]],30%,IF($G$36,40%,Cdlac[[#This Row],[iAMI]])),"")</f>
        <v>0.3</v>
      </c>
      <c r="P20" s="1101" cm="1">
        <f t="array" ref="P20">IF(Cdlac[[#This Row],[Quantity]]&gt;0,INDEX(TcacRents,$P$18,Cdlac[[#This Row],[Bedrooms]]+1)*Cdlac[[#This Row],[AMI]],"")</f>
        <v>697.19999999999993</v>
      </c>
      <c r="Q20" s="1101" cm="1">
        <f t="array" ref="Q20">IF(Cdlac[[#This Row],[Quantity]]&gt;0,INDEX(HudFmrs,$P$18,Cdlac[[#This Row],[Bedrooms]]+1),"")</f>
        <v>1703</v>
      </c>
      <c r="R20" s="1101">
        <f>IF(Cdlac[[#This Row],[Quantity]]&gt;0,MAX(0,Cdlac[[#This Row],[Fair Market Rent]]-Cdlac[[#This Row],[Restricted Rent]]),"")</f>
        <v>1005.8000000000001</v>
      </c>
      <c r="S20" s="1079">
        <f>IF(Cdlac[[#This Row],[Quantity]]&gt;0,AND(Application!AK718&lt;&gt;"N/A",Application!AK718&lt;&gt;"")*Cdlac[[#This Row],[Quantity]],"")</f>
        <v>34</v>
      </c>
      <c r="T20" s="1079" t="b">
        <f>AND('Subsidy Contract Calculation'!F4&gt;0,'Subsidy Contract Calculation'!C4="Federal",Cdlac[[#This Row],[Quantity]]&gt;0)</f>
        <v>1</v>
      </c>
    </row>
    <row r="21" spans="1:20" ht="15" customHeight="1">
      <c r="A21" s="1084"/>
      <c r="C21" s="2139"/>
      <c r="D21" s="2139"/>
      <c r="E21" s="2139"/>
      <c r="F21" s="2139"/>
      <c r="G21" s="2139"/>
      <c r="H21" s="1108"/>
      <c r="I21" s="1107"/>
      <c r="L21" s="1079">
        <f>IFERROR(MIN(4,MATCH(Application!B719,UnitSizes,0)-1),"")</f>
        <v>0</v>
      </c>
      <c r="M21" s="1101">
        <f>Application!G719</f>
        <v>3</v>
      </c>
      <c r="N21" s="1109">
        <f>Application!AC719</f>
        <v>0.4</v>
      </c>
      <c r="O21" s="1109">
        <f>IF(Cdlac[[#This Row],[Quantity]]&gt;0,IF(Cdlac[[#This Row],[Federal]],30%,IF($G$36,40%,Cdlac[[#This Row],[iAMI]])),"")</f>
        <v>0.3</v>
      </c>
      <c r="P21" s="1101" cm="1">
        <f t="array" ref="P21">IF(Cdlac[[#This Row],[Quantity]]&gt;0,INDEX(TcacRents,$P$18,Cdlac[[#This Row],[Bedrooms]]+1)*Cdlac[[#This Row],[AMI]],"")</f>
        <v>697.19999999999993</v>
      </c>
      <c r="Q21" s="1101" cm="1">
        <f t="array" ref="Q21">IF(Cdlac[[#This Row],[Quantity]]&gt;0,INDEX(HudFmrs,$P$18,Cdlac[[#This Row],[Bedrooms]]+1),"")</f>
        <v>1703</v>
      </c>
      <c r="R21" s="1101">
        <f>IF(Cdlac[[#This Row],[Quantity]]&gt;0,MAX(0,Cdlac[[#This Row],[Fair Market Rent]]-Cdlac[[#This Row],[Restricted Rent]]),"")</f>
        <v>1005.8000000000001</v>
      </c>
      <c r="S21" s="1079">
        <f>IF(Cdlac[[#This Row],[Quantity]]&gt;0,AND(Application!AK719&lt;&gt;"N/A",Application!AK719&lt;&gt;"")*Cdlac[[#This Row],[Quantity]],"")</f>
        <v>3</v>
      </c>
      <c r="T21" s="1079" t="b">
        <f>AND('Subsidy Contract Calculation'!F5&gt;0,'Subsidy Contract Calculation'!C5="Federal",Cdlac[[#This Row],[Quantity]]&gt;0)</f>
        <v>1</v>
      </c>
    </row>
    <row r="22" spans="1:20" ht="15" customHeight="1">
      <c r="C22" s="1110">
        <v>0</v>
      </c>
      <c r="D22" s="1111">
        <v>0.9</v>
      </c>
      <c r="E22" s="1110">
        <f>SUMIFS(Cdlac[Quantity],Cdlac[Bedrooms],C22)</f>
        <v>133</v>
      </c>
      <c r="F22" s="1110">
        <f>E22</f>
        <v>133</v>
      </c>
      <c r="G22" s="1110">
        <f>D22*F22</f>
        <v>119.7</v>
      </c>
      <c r="L22" s="1079">
        <f>IFERROR(MIN(4,MATCH(Application!B720,UnitSizes,0)-1),"")</f>
        <v>0</v>
      </c>
      <c r="M22" s="1101">
        <f>Application!G720</f>
        <v>17</v>
      </c>
      <c r="N22" s="1109">
        <f>Application!AC720</f>
        <v>0.3</v>
      </c>
      <c r="O22" s="1109">
        <f>IF(Cdlac[[#This Row],[Quantity]]&gt;0,IF(Cdlac[[#This Row],[Federal]],30%,IF($G$36,40%,Cdlac[[#This Row],[iAMI]])),"")</f>
        <v>0.3</v>
      </c>
      <c r="P22" s="1101" cm="1">
        <f t="array" ref="P22">IF(Cdlac[[#This Row],[Quantity]]&gt;0,INDEX(TcacRents,$P$18,Cdlac[[#This Row],[Bedrooms]]+1)*Cdlac[[#This Row],[AMI]],"")</f>
        <v>697.19999999999993</v>
      </c>
      <c r="Q22" s="1101" cm="1">
        <f t="array" ref="Q22">IF(Cdlac[[#This Row],[Quantity]]&gt;0,INDEX(HudFmrs,$P$18,Cdlac[[#This Row],[Bedrooms]]+1),"")</f>
        <v>1703</v>
      </c>
      <c r="R22" s="1101">
        <f>IF(Cdlac[[#This Row],[Quantity]]&gt;0,MAX(0,Cdlac[[#This Row],[Fair Market Rent]]-Cdlac[[#This Row],[Restricted Rent]]),"")</f>
        <v>1005.8000000000001</v>
      </c>
      <c r="S22" s="1079">
        <f>IF(Cdlac[[#This Row],[Quantity]]&gt;0,AND(Application!AK720&lt;&gt;"N/A",Application!AK720&lt;&gt;"")*Cdlac[[#This Row],[Quantity]],"")</f>
        <v>17</v>
      </c>
      <c r="T22" s="1079" t="b">
        <f>AND('Subsidy Contract Calculation'!F6&gt;0,'Subsidy Contract Calculation'!C6="Federal",Cdlac[[#This Row],[Quantity]]&gt;0)</f>
        <v>1</v>
      </c>
    </row>
    <row r="23" spans="1:20" ht="15" customHeight="1">
      <c r="C23" s="1110">
        <v>1</v>
      </c>
      <c r="D23" s="1111">
        <v>1</v>
      </c>
      <c r="E23" s="1110">
        <f>SUMIFS(Cdlac[Quantity],Cdlac[Bedrooms],C23)</f>
        <v>1</v>
      </c>
      <c r="F23" s="1110">
        <f>E23</f>
        <v>1</v>
      </c>
      <c r="G23" s="1110">
        <f>D23*F23</f>
        <v>1</v>
      </c>
      <c r="L23" s="1079">
        <f>IFERROR(MIN(4,MATCH(Application!B721,UnitSizes,0)-1),"")</f>
        <v>0</v>
      </c>
      <c r="M23" s="1101">
        <f>Application!G721</f>
        <v>6</v>
      </c>
      <c r="N23" s="1109">
        <f>Application!AC721</f>
        <v>0.3</v>
      </c>
      <c r="O23" s="1109">
        <f>IF(Cdlac[[#This Row],[Quantity]]&gt;0,IF(Cdlac[[#This Row],[Federal]],30%,IF($G$36,40%,Cdlac[[#This Row],[iAMI]])),"")</f>
        <v>0.3</v>
      </c>
      <c r="P23" s="1101" cm="1">
        <f t="array" ref="P23">IF(Cdlac[[#This Row],[Quantity]]&gt;0,INDEX(TcacRents,$P$18,Cdlac[[#This Row],[Bedrooms]]+1)*Cdlac[[#This Row],[AMI]],"")</f>
        <v>697.19999999999993</v>
      </c>
      <c r="Q23" s="1101" cm="1">
        <f t="array" ref="Q23">IF(Cdlac[[#This Row],[Quantity]]&gt;0,INDEX(HudFmrs,$P$18,Cdlac[[#This Row],[Bedrooms]]+1),"")</f>
        <v>1703</v>
      </c>
      <c r="R23" s="1101">
        <f>IF(Cdlac[[#This Row],[Quantity]]&gt;0,MAX(0,Cdlac[[#This Row],[Fair Market Rent]]-Cdlac[[#This Row],[Restricted Rent]]),"")</f>
        <v>1005.8000000000001</v>
      </c>
      <c r="S23" s="1079">
        <f>IF(Cdlac[[#This Row],[Quantity]]&gt;0,AND(Application!AK721&lt;&gt;"N/A",Application!AK721&lt;&gt;"")*Cdlac[[#This Row],[Quantity]],"")</f>
        <v>6</v>
      </c>
      <c r="T23" s="1079" t="b">
        <f>AND('Subsidy Contract Calculation'!F7&gt;0,'Subsidy Contract Calculation'!C7="Federal",Cdlac[[#This Row],[Quantity]]&gt;0)</f>
        <v>1</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0</v>
      </c>
      <c r="M24" s="1101">
        <f>Application!G722</f>
        <v>10</v>
      </c>
      <c r="N24" s="1109">
        <f>Application!AC722</f>
        <v>0.3</v>
      </c>
      <c r="O24" s="1109">
        <f>IF(Cdlac[[#This Row],[Quantity]]&gt;0,IF(Cdlac[[#This Row],[Federal]],30%,IF($G$36,40%,Cdlac[[#This Row],[iAMI]])),"")</f>
        <v>0.4</v>
      </c>
      <c r="P24" s="1101" cm="1">
        <f t="array" ref="P24">IF(Cdlac[[#This Row],[Quantity]]&gt;0,INDEX(TcacRents,$P$18,Cdlac[[#This Row],[Bedrooms]]+1)*Cdlac[[#This Row],[AMI]],"")</f>
        <v>929.6</v>
      </c>
      <c r="Q24" s="1101" cm="1">
        <f t="array" ref="Q24">IF(Cdlac[[#This Row],[Quantity]]&gt;0,INDEX(HudFmrs,$P$18,Cdlac[[#This Row],[Bedrooms]]+1),"")</f>
        <v>1703</v>
      </c>
      <c r="R24" s="1101">
        <f>IF(Cdlac[[#This Row],[Quantity]]&gt;0,MAX(0,Cdlac[[#This Row],[Fair Market Rent]]-Cdlac[[#This Row],[Restricted Rent]]),"")</f>
        <v>773.4</v>
      </c>
      <c r="S24" s="1079">
        <f>IF(Cdlac[[#This Row],[Quantity]]&gt;0,AND(Application!AK722&lt;&gt;"N/A",Application!AK722&lt;&gt;"")*Cdlac[[#This Row],[Quantity]],"")</f>
        <v>10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1</v>
      </c>
      <c r="N25" s="1109">
        <f>Application!AC723</f>
        <v>0.3</v>
      </c>
      <c r="O25" s="1109">
        <f>IF(Cdlac[[#This Row],[Quantity]]&gt;0,IF(Cdlac[[#This Row],[Federal]],30%,IF($G$36,40%,Cdlac[[#This Row],[iAMI]])),"")</f>
        <v>0.3</v>
      </c>
      <c r="P25" s="1101" cm="1">
        <f t="array" ref="P25">IF(Cdlac[[#This Row],[Quantity]]&gt;0,INDEX(TcacRents,$P$18,Cdlac[[#This Row],[Bedrooms]]+1)*Cdlac[[#This Row],[AMI]],"")</f>
        <v>747</v>
      </c>
      <c r="Q25" s="1101" cm="1">
        <f t="array" ref="Q25">IF(Cdlac[[#This Row],[Quantity]]&gt;0,INDEX(HudFmrs,$P$18,Cdlac[[#This Row],[Bedrooms]]+1),"")</f>
        <v>2001</v>
      </c>
      <c r="R25" s="1101">
        <f>IF(Cdlac[[#This Row],[Quantity]]&gt;0,MAX(0,Cdlac[[#This Row],[Fair Market Rent]]-Cdlac[[#This Row],[Restricted Rent]]),"")</f>
        <v>1254</v>
      </c>
      <c r="S25" s="1079">
        <f>IF(Cdlac[[#This Row],[Quantity]]&gt;0,AND(Application!AK723&lt;&gt;"N/A",Application!AK723&lt;&gt;"")*Cdlac[[#This Row],[Quantity]],"")</f>
        <v>1</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0</v>
      </c>
      <c r="M26" s="1101">
        <f>Application!G724</f>
        <v>30</v>
      </c>
      <c r="N26" s="1109">
        <f>Application!AC724</f>
        <v>0.3</v>
      </c>
      <c r="O26" s="1109">
        <f>IF(Cdlac[[#This Row],[Quantity]]&gt;0,IF(Cdlac[[#This Row],[Federal]],30%,IF($G$36,40%,Cdlac[[#This Row],[iAMI]])),"")</f>
        <v>0.4</v>
      </c>
      <c r="P26" s="1101" cm="1">
        <f t="array" ref="P26">IF(Cdlac[[#This Row],[Quantity]]&gt;0,INDEX(TcacRents,$P$18,Cdlac[[#This Row],[Bedrooms]]+1)*Cdlac[[#This Row],[AMI]],"")</f>
        <v>929.6</v>
      </c>
      <c r="Q26" s="1101" cm="1">
        <f t="array" ref="Q26">IF(Cdlac[[#This Row],[Quantity]]&gt;0,INDEX(HudFmrs,$P$18,Cdlac[[#This Row],[Bedrooms]]+1),"")</f>
        <v>1703</v>
      </c>
      <c r="R26" s="1101">
        <f>IF(Cdlac[[#This Row],[Quantity]]&gt;0,MAX(0,Cdlac[[#This Row],[Fair Market Rent]]-Cdlac[[#This Row],[Restricted Rent]]),"")</f>
        <v>773.4</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4" t="s">
        <v>1698</v>
      </c>
      <c r="D27" s="2155"/>
      <c r="E27" s="1129">
        <f>SUM(E22:E26)</f>
        <v>134</v>
      </c>
      <c r="F27" s="1129">
        <f>SUM(F22:F26)</f>
        <v>134</v>
      </c>
      <c r="G27" s="1130">
        <f>SUMPRODUCT(D22:D26,F22:F26)</f>
        <v>120.7</v>
      </c>
      <c r="H27" s="1112"/>
      <c r="I27" s="1112"/>
      <c r="L27" s="1079">
        <f>IFERROR(MIN(4,MATCH(Application!B725,UnitSizes,0)-1),"")</f>
        <v>0</v>
      </c>
      <c r="M27" s="1101">
        <f>Application!G725</f>
        <v>33</v>
      </c>
      <c r="N27" s="1109">
        <f>Application!AC725</f>
        <v>0.3</v>
      </c>
      <c r="O27" s="1109">
        <f>IF(Cdlac[[#This Row],[Quantity]]&gt;0,IF(Cdlac[[#This Row],[Federal]],30%,IF($G$36,40%,Cdlac[[#This Row],[iAMI]])),"")</f>
        <v>0.4</v>
      </c>
      <c r="P27" s="1101" cm="1">
        <f t="array" ref="P27">IF(Cdlac[[#This Row],[Quantity]]&gt;0,INDEX(TcacRents,$P$18,Cdlac[[#This Row],[Bedrooms]]+1)*Cdlac[[#This Row],[AMI]],"")</f>
        <v>929.6</v>
      </c>
      <c r="Q27" s="1101" cm="1">
        <f t="array" ref="Q27">IF(Cdlac[[#This Row],[Quantity]]&gt;0,INDEX(HudFmrs,$P$18,Cdlac[[#This Row],[Bedrooms]]+1),"")</f>
        <v>1703</v>
      </c>
      <c r="R27" s="1101">
        <f>IF(Cdlac[[#This Row],[Quantity]]&gt;0,MAX(0,Cdlac[[#This Row],[Fair Market Rent]]-Cdlac[[#This Row],[Restricted Rent]]),"")</f>
        <v>773.4</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120.7</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6035000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1</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118060.20000000001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21250836.000000004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71</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67</v>
      </c>
    </row>
    <row r="46" spans="2:20" ht="15" customHeight="1">
      <c r="E46" s="1159"/>
      <c r="G46" s="1167"/>
    </row>
    <row r="47" spans="2:20" ht="15" customHeight="1">
      <c r="E47" s="1159" t="s">
        <v>2257</v>
      </c>
      <c r="G47" s="1156">
        <f>MIN(G44:G45)</f>
        <v>67</v>
      </c>
    </row>
    <row r="48" spans="2:20" ht="15" customHeight="1">
      <c r="E48" s="1159" t="s">
        <v>2247</v>
      </c>
      <c r="F48" s="1155" t="s">
        <v>2304</v>
      </c>
      <c r="G48" s="1166">
        <v>10000</v>
      </c>
    </row>
    <row r="49" spans="2:14" ht="15" customHeight="1">
      <c r="E49" s="1160" t="s">
        <v>2287</v>
      </c>
      <c r="F49" s="1081"/>
      <c r="G49" s="1165">
        <f>G47*G48</f>
        <v>670000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97</v>
      </c>
    </row>
    <row r="54" spans="2:14" ht="15" customHeight="1">
      <c r="E54" s="1159" t="s">
        <v>2306</v>
      </c>
      <c r="G54" s="1117">
        <f>ROUNDDOWN(E27*50%,0)</f>
        <v>67</v>
      </c>
    </row>
    <row r="55" spans="2:14" ht="15" customHeight="1">
      <c r="E55" s="1159"/>
      <c r="G55" s="1117"/>
    </row>
    <row r="56" spans="2:14" ht="15" customHeight="1">
      <c r="E56" s="1159" t="s">
        <v>2257</v>
      </c>
      <c r="G56" s="1156">
        <f>MIN(G53:G54)</f>
        <v>67</v>
      </c>
    </row>
    <row r="57" spans="2:14" ht="15" customHeight="1">
      <c r="E57" s="1159" t="s">
        <v>2247</v>
      </c>
      <c r="F57" s="1155" t="s">
        <v>2304</v>
      </c>
      <c r="G57" s="1166">
        <v>20000</v>
      </c>
    </row>
    <row r="58" spans="2:14" ht="15" customHeight="1">
      <c r="E58" s="1160" t="s">
        <v>2286</v>
      </c>
      <c r="F58" s="1081"/>
      <c r="G58" s="1165">
        <f>G56*G57</f>
        <v>1340000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(ii)</v>
      </c>
      <c r="M62" s="2156" t="s">
        <v>1516</v>
      </c>
      <c r="N62" s="2157"/>
    </row>
    <row r="63" spans="2:14" ht="15" customHeight="1">
      <c r="E63" s="1124" t="s">
        <v>2247</v>
      </c>
      <c r="F63" s="1155" t="s">
        <v>2304</v>
      </c>
      <c r="G63" s="1114">
        <v>4000</v>
      </c>
      <c r="L63" s="1170" t="str">
        <f>'Points System'!H639</f>
        <v>N/A</v>
      </c>
      <c r="M63" s="2158" t="s">
        <v>2261</v>
      </c>
      <c r="N63" s="2159"/>
    </row>
    <row r="64" spans="2:14" ht="15" customHeight="1">
      <c r="E64" s="1124" t="s">
        <v>2308</v>
      </c>
      <c r="F64" s="1155" t="s">
        <v>2304</v>
      </c>
      <c r="G64" s="1168">
        <f>G27</f>
        <v>120.7</v>
      </c>
      <c r="L64" s="1170" t="str">
        <f>'Points System'!H674</f>
        <v>(ii)</v>
      </c>
      <c r="M64" s="2158" t="s">
        <v>2262</v>
      </c>
      <c r="N64" s="2159"/>
    </row>
    <row r="65" spans="2:14" ht="15" customHeight="1">
      <c r="E65" s="1160" t="s">
        <v>2266</v>
      </c>
      <c r="F65" s="1081"/>
      <c r="G65" s="1165">
        <f>G62*G63*G64</f>
        <v>3379600</v>
      </c>
      <c r="L65" s="1170" t="str">
        <f>IF(OR('Points System'!H698="(ii)",'Points System'!H698="(i)"),"(i)","N/A")</f>
        <v>(i)</v>
      </c>
      <c r="M65" s="2158" t="s">
        <v>2263</v>
      </c>
      <c r="N65" s="2159"/>
    </row>
    <row r="66" spans="2:14" ht="15" customHeight="1">
      <c r="C66" s="1115"/>
      <c r="G66" s="1156"/>
      <c r="L66" s="1171" t="str">
        <f>'Points System'!H712</f>
        <v>N/A</v>
      </c>
      <c r="M66" s="2158" t="s">
        <v>1542</v>
      </c>
      <c r="N66" s="2159"/>
    </row>
    <row r="67" spans="2:14" ht="15" customHeight="1">
      <c r="E67" s="1124" t="s">
        <v>2309</v>
      </c>
      <c r="G67" s="1168">
        <f>COUNTIFS(L62:L69,"(i)")</f>
        <v>1</v>
      </c>
      <c r="L67" s="1170" t="str">
        <f>'Points System'!H724</f>
        <v>(ii)</v>
      </c>
      <c r="M67" s="2158" t="s">
        <v>2264</v>
      </c>
      <c r="N67" s="2159"/>
    </row>
    <row r="68" spans="2:14" ht="15" customHeight="1">
      <c r="E68" s="1124" t="s">
        <v>2247</v>
      </c>
      <c r="F68" s="1155" t="s">
        <v>2304</v>
      </c>
      <c r="G68" s="1166">
        <v>4000</v>
      </c>
      <c r="L68" s="1170" t="str">
        <f>'Points System'!H740</f>
        <v>(ii)</v>
      </c>
      <c r="M68" s="2158" t="s">
        <v>2265</v>
      </c>
      <c r="N68" s="2159"/>
    </row>
    <row r="69" spans="2:14" ht="15" customHeight="1" thickBot="1">
      <c r="E69" s="1160" t="s">
        <v>2267</v>
      </c>
      <c r="F69" s="1081"/>
      <c r="G69" s="1165">
        <f>G64*G67*G68</f>
        <v>482800</v>
      </c>
      <c r="L69" s="1172" t="str">
        <f>'Points System'!H752</f>
        <v>(ii)</v>
      </c>
      <c r="M69" s="2164" t="s">
        <v>1545</v>
      </c>
      <c r="N69" s="2165"/>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120.7</v>
      </c>
    </row>
    <row r="80" spans="2:14" ht="15" customHeight="1">
      <c r="E80" s="1124" t="s">
        <v>2247</v>
      </c>
      <c r="F80" s="1155" t="s">
        <v>2304</v>
      </c>
      <c r="G80" s="1166">
        <v>25000</v>
      </c>
    </row>
    <row r="81" spans="2:14" ht="15" customHeight="1">
      <c r="E81" s="1160" t="s">
        <v>2268</v>
      </c>
      <c r="F81" s="1081"/>
      <c r="G81" s="1165">
        <f>G77*G80*G64</f>
        <v>3017500</v>
      </c>
    </row>
    <row r="82" spans="2:14" ht="15" customHeight="1">
      <c r="C82" s="1115"/>
      <c r="E82" s="1115"/>
    </row>
    <row r="83" spans="2:14" ht="15" customHeight="1">
      <c r="E83" s="1160" t="s">
        <v>2245</v>
      </c>
      <c r="G83" s="1165">
        <f>G81+G69+G65</f>
        <v>6879900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66" t="s">
        <v>2274</v>
      </c>
      <c r="M87" s="2167"/>
      <c r="N87" s="1173">
        <v>30000</v>
      </c>
    </row>
    <row r="88" spans="2:14" ht="15" customHeight="1">
      <c r="C88" s="1115" t="s">
        <v>2291</v>
      </c>
      <c r="G88" s="1119" t="str">
        <f>IF(Application!D211="Large Family","Yes","No")</f>
        <v>No</v>
      </c>
      <c r="L88" s="2160" t="s">
        <v>2238</v>
      </c>
      <c r="M88" s="2161"/>
      <c r="N88" s="1174">
        <v>20000</v>
      </c>
    </row>
    <row r="89" spans="2:14" ht="15" customHeight="1" thickBot="1">
      <c r="C89" s="1115" t="s">
        <v>2272</v>
      </c>
      <c r="G89" s="1078" t="s">
        <v>553</v>
      </c>
      <c r="L89" s="2162" t="s">
        <v>2275</v>
      </c>
      <c r="M89" s="2163"/>
      <c r="N89" s="1175">
        <v>10000</v>
      </c>
    </row>
    <row r="90" spans="2:14" ht="15" customHeight="1">
      <c r="C90" s="1115" t="s">
        <v>2273</v>
      </c>
      <c r="G90" s="1079" t="str">
        <f>Application!T193</f>
        <v>Moderate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10000</v>
      </c>
    </row>
    <row r="95" spans="2:14" ht="15" customHeight="1">
      <c r="E95" s="1124" t="str">
        <f>E64</f>
        <v>Bedroom-Adjusted Low-Income Units</v>
      </c>
      <c r="F95" s="1155" t="s">
        <v>2304</v>
      </c>
      <c r="G95" s="1156">
        <f>G27</f>
        <v>120.7</v>
      </c>
    </row>
    <row r="96" spans="2:14" ht="15" customHeight="1">
      <c r="D96" s="1081"/>
      <c r="E96" s="1160" t="s">
        <v>2246</v>
      </c>
      <c r="F96" s="1081"/>
      <c r="G96" s="1165">
        <f>G95*G94*G92</f>
        <v>1207000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120.7</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Ventura</v>
      </c>
    </row>
    <row r="111" spans="2:9" ht="15" customHeight="1">
      <c r="E111" s="1124"/>
      <c r="G111" s="1116"/>
    </row>
    <row r="112" spans="2:9" ht="15" customHeight="1">
      <c r="E112" s="1124" t="str">
        <f>"2-Bedroom "&amp;G110&amp;" County Basis Limit"</f>
        <v>2-Bedroom Ventura County Basis Limit</v>
      </c>
      <c r="G112" s="1116">
        <f>Application!R987</f>
        <v>538400</v>
      </c>
    </row>
    <row r="113" spans="4:9" ht="15" customHeight="1">
      <c r="E113" s="1124" t="s">
        <v>2312</v>
      </c>
      <c r="G113" s="1116">
        <f>MEDIAN((Application!BR806:BR863))</f>
        <v>489600</v>
      </c>
    </row>
    <row r="114" spans="4:9" ht="15" customHeight="1">
      <c r="D114" s="1081"/>
      <c r="E114" s="1160" t="s">
        <v>2314</v>
      </c>
      <c r="F114" s="1176"/>
      <c r="G114" s="1177">
        <f>((G112-G113)/G113)*0.25</f>
        <v>2.4918300653594773E-2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5776BE32DF82428A555DA22AE53D7A" ma:contentTypeVersion="18" ma:contentTypeDescription="Create a new document." ma:contentTypeScope="" ma:versionID="9d403dc10723df047a7cbb615b9f183d">
  <xsd:schema xmlns:xsd="http://www.w3.org/2001/XMLSchema" xmlns:xs="http://www.w3.org/2001/XMLSchema" xmlns:p="http://schemas.microsoft.com/office/2006/metadata/properties" xmlns:ns3="5e02f8ca-a3af-47ac-8d1d-73c5739bdfec" xmlns:ns4="cdaed092-272c-4f1d-b762-194968185eca" targetNamespace="http://schemas.microsoft.com/office/2006/metadata/properties" ma:root="true" ma:fieldsID="c3e2da79f1ae63040563f9c50eadcd72" ns3:_="" ns4:_="">
    <xsd:import namespace="5e02f8ca-a3af-47ac-8d1d-73c5739bdfec"/>
    <xsd:import namespace="cdaed092-272c-4f1d-b762-194968185eca"/>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_activity" minOccurs="0"/>
                <xsd:element ref="ns3:MediaServiceObjectDetectorVersions" minOccurs="0"/>
                <xsd:element ref="ns3:MediaServiceSystemTags" minOccurs="0"/>
                <xsd:element ref="ns3:MediaServiceSearchPropertie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02f8ca-a3af-47ac-8d1d-73c5739bdf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ystemTags" ma:index="23" nillable="true" ma:displayName="MediaServiceSystemTags" ma:hidden="true" ma:internalName="MediaServiceSystemTags"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daed092-272c-4f1d-b762-194968185ec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e02f8ca-a3af-47ac-8d1d-73c5739bdfec" xsi:nil="true"/>
  </documentManagement>
</p:properties>
</file>

<file path=customXml/itemProps1.xml><?xml version="1.0" encoding="utf-8"?>
<ds:datastoreItem xmlns:ds="http://schemas.openxmlformats.org/officeDocument/2006/customXml" ds:itemID="{5FBBA489-5627-492B-B13B-AC19EAFB86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02f8ca-a3af-47ac-8d1d-73c5739bdfec"/>
    <ds:schemaRef ds:uri="cdaed092-272c-4f1d-b762-194968185e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97C03F-D06C-41C7-B647-CC105E59412D}">
  <ds:schemaRefs>
    <ds:schemaRef ds:uri="http://schemas.microsoft.com/sharepoint/v3/contenttype/forms"/>
  </ds:schemaRefs>
</ds:datastoreItem>
</file>

<file path=customXml/itemProps3.xml><?xml version="1.0" encoding="utf-8"?>
<ds:datastoreItem xmlns:ds="http://schemas.openxmlformats.org/officeDocument/2006/customXml" ds:itemID="{0C716EC5-0AC4-4B0D-A9E4-5F4A7DF03850}">
  <ds:schemaRefs>
    <ds:schemaRef ds:uri="http://schemas.microsoft.com/office/2006/documentManagement/types"/>
    <ds:schemaRef ds:uri="5e02f8ca-a3af-47ac-8d1d-73c5739bdfec"/>
    <ds:schemaRef ds:uri="http://purl.org/dc/terms/"/>
    <ds:schemaRef ds:uri="http://schemas.microsoft.com/office/2006/metadata/properties"/>
    <ds:schemaRef ds:uri="http://purl.org/dc/elements/1.1/"/>
    <ds:schemaRef ds:uri="http://purl.org/dc/dcmitype/"/>
    <ds:schemaRef ds:uri="http://www.w3.org/XML/1998/namespace"/>
    <ds:schemaRef ds:uri="http://schemas.microsoft.com/office/infopath/2007/PartnerControls"/>
    <ds:schemaRef ds:uri="http://schemas.openxmlformats.org/package/2006/metadata/core-properties"/>
    <ds:schemaRef ds:uri="cdaed092-272c-4f1d-b762-194968185e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Kyler Carlson</cp:lastModifiedBy>
  <cp:lastPrinted>2024-04-23T18:11:23Z</cp:lastPrinted>
  <dcterms:created xsi:type="dcterms:W3CDTF">2007-12-27T18:26:28Z</dcterms:created>
  <dcterms:modified xsi:type="dcterms:W3CDTF">2024-04-23T18:11:26Z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0x010100B15776BE32DF82428A555DA22AE53D7A</vt:lpwstr>
  </property>
</Properties>
</file>