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Steve\Desktop\"/>
    </mc:Choice>
  </mc:AlternateContent>
  <xr:revisionPtr revIDLastSave="0" documentId="13_ncr:1_{4F0348BC-413B-4066-822C-3735F3978074}" xr6:coauthVersionLast="47" xr6:coauthVersionMax="47" xr10:uidLastSave="{00000000-0000-0000-0000-000000000000}"/>
  <bookViews>
    <workbookView xWindow="2868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AG391"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12" i="4" s="1"/>
  <c r="R7" i="4"/>
  <c r="R6" i="4"/>
  <c r="R5" i="4"/>
  <c r="R4" i="4"/>
  <c r="B5" i="11"/>
  <c r="C5" i="11"/>
  <c r="B6" i="11"/>
  <c r="C6" i="11"/>
  <c r="B7" i="11"/>
  <c r="C7" i="11"/>
  <c r="C8" i="11"/>
  <c r="B8" i="11"/>
  <c r="B10" i="11"/>
  <c r="B11" i="11"/>
  <c r="B12" i="11" s="1"/>
  <c r="B13"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D49" i="11" s="1"/>
  <c r="B50" i="11"/>
  <c r="B51" i="11"/>
  <c r="B52" i="11"/>
  <c r="B53" i="11"/>
  <c r="C48" i="11"/>
  <c r="D48" i="11" s="1"/>
  <c r="C49" i="11"/>
  <c r="C50" i="11"/>
  <c r="C51" i="11"/>
  <c r="D51" i="11" s="1"/>
  <c r="C52" i="11"/>
  <c r="C53" i="11"/>
  <c r="D53" i="11" s="1"/>
  <c r="B57" i="11"/>
  <c r="B63" i="11" s="1"/>
  <c r="C57" i="11"/>
  <c r="B58" i="11"/>
  <c r="C58" i="11"/>
  <c r="B59" i="11"/>
  <c r="C59" i="11"/>
  <c r="B60" i="11"/>
  <c r="C60" i="11"/>
  <c r="B61" i="11"/>
  <c r="C61" i="11"/>
  <c r="B62" i="11"/>
  <c r="C62" i="11"/>
  <c r="B66" i="11"/>
  <c r="B71" i="11" s="1"/>
  <c r="C66" i="11"/>
  <c r="C71" i="11" s="1"/>
  <c r="D71" i="11" s="1"/>
  <c r="B73" i="11"/>
  <c r="C73" i="11"/>
  <c r="B74" i="11"/>
  <c r="C74" i="11"/>
  <c r="B75" i="11"/>
  <c r="C75" i="11"/>
  <c r="B76" i="11"/>
  <c r="C76" i="1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12" i="4" s="1"/>
  <c r="B12" i="13" s="1"/>
  <c r="B26" i="13"/>
  <c r="C38" i="4"/>
  <c r="B38" i="4"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50" i="11"/>
  <c r="I63" i="13"/>
  <c r="I97" i="13"/>
  <c r="I105" i="13"/>
  <c r="I107" i="13"/>
  <c r="B81" i="13"/>
  <c r="D54" i="11"/>
  <c r="J63" i="13"/>
  <c r="J97" i="13"/>
  <c r="J105" i="13"/>
  <c r="J107" i="13"/>
  <c r="L12" i="4"/>
  <c r="D93" i="11"/>
  <c r="D5" i="11"/>
  <c r="D80" i="11"/>
  <c r="D52" i="11"/>
  <c r="I12" i="4"/>
  <c r="G12" i="4"/>
  <c r="D46" i="11"/>
  <c r="D6" i="11"/>
  <c r="L63" i="4"/>
  <c r="L97" i="4"/>
  <c r="L105" i="4"/>
  <c r="Q12" i="4"/>
  <c r="B11" i="4"/>
  <c r="O63" i="4"/>
  <c r="O97" i="4"/>
  <c r="O105" i="4"/>
  <c r="D18" i="11"/>
  <c r="R70" i="4"/>
  <c r="B8" i="4"/>
  <c r="N187" i="27" s="1"/>
  <c r="D10" i="11"/>
  <c r="D36" i="11"/>
  <c r="G63" i="13"/>
  <c r="G97" i="13"/>
  <c r="G105" i="13"/>
  <c r="G107" i="13"/>
  <c r="D61" i="11"/>
  <c r="D20" i="11"/>
  <c r="D8" i="11"/>
  <c r="D85" i="11"/>
  <c r="B43" i="11"/>
  <c r="D102" i="11"/>
  <c r="D94" i="11"/>
  <c r="K12" i="4"/>
  <c r="C43" i="11"/>
  <c r="D43" i="11" s="1"/>
  <c r="C12" i="13"/>
  <c r="D63" i="4"/>
  <c r="D97" i="4"/>
  <c r="D105" i="4"/>
  <c r="B78" i="11"/>
  <c r="D7" i="11"/>
  <c r="J12" i="4"/>
  <c r="D22" i="11"/>
  <c r="O12" i="4"/>
  <c r="I63" i="4"/>
  <c r="I97" i="4"/>
  <c r="I105" i="4" s="1"/>
  <c r="D95" i="11"/>
  <c r="D25" i="11"/>
  <c r="D12" i="4"/>
  <c r="H12" i="4"/>
  <c r="C82" i="11"/>
  <c r="B9" i="11"/>
  <c r="C39" i="11"/>
  <c r="D23" i="11"/>
  <c r="D19" i="11"/>
  <c r="D89" i="11"/>
  <c r="D73" i="11"/>
  <c r="D35" i="11"/>
  <c r="D76" i="11"/>
  <c r="D31" i="11"/>
  <c r="D32" i="11"/>
  <c r="D15" i="11"/>
  <c r="D63" i="13"/>
  <c r="D97" i="13"/>
  <c r="D105" i="13"/>
  <c r="D14" i="11"/>
  <c r="Q63" i="4"/>
  <c r="Q97" i="4"/>
  <c r="Q105" i="4"/>
  <c r="D87" i="11"/>
  <c r="N63" i="4"/>
  <c r="N97" i="4"/>
  <c r="N105" i="4"/>
  <c r="N12" i="4"/>
  <c r="H63" i="4"/>
  <c r="H97" i="4"/>
  <c r="D60" i="11"/>
  <c r="M12" i="4"/>
  <c r="R8" i="4"/>
  <c r="D74" i="11"/>
  <c r="D59" i="11"/>
  <c r="D38" i="11"/>
  <c r="R42" i="4"/>
  <c r="P63" i="4"/>
  <c r="P97" i="4"/>
  <c r="P105" i="4"/>
  <c r="C9" i="11"/>
  <c r="D12" i="13"/>
  <c r="D58" i="11"/>
  <c r="D62" i="11"/>
  <c r="D24" i="11"/>
  <c r="D101" i="11"/>
  <c r="D90" i="11"/>
  <c r="C63" i="13"/>
  <c r="C97" i="13"/>
  <c r="C105" i="13"/>
  <c r="D92" i="11"/>
  <c r="D75" i="11"/>
  <c r="B39" i="11"/>
  <c r="D28" i="11"/>
  <c r="D103" i="11"/>
  <c r="D88" i="11"/>
  <c r="C78" i="11"/>
  <c r="D78" i="11" s="1"/>
  <c r="D42" i="11"/>
  <c r="D21" i="11"/>
  <c r="D16" i="11"/>
  <c r="R26" i="4"/>
  <c r="D81" i="11"/>
  <c r="D86" i="11"/>
  <c r="F63" i="13"/>
  <c r="F97" i="13"/>
  <c r="F105" i="13"/>
  <c r="F107" i="13"/>
  <c r="AD199" i="20"/>
  <c r="B42" i="4"/>
  <c r="D77" i="11"/>
  <c r="D47" i="11"/>
  <c r="M63" i="4"/>
  <c r="M97" i="4"/>
  <c r="M105" i="4"/>
  <c r="G63" i="4"/>
  <c r="G97" i="4"/>
  <c r="G105" i="4" s="1"/>
  <c r="D91" i="11"/>
  <c r="D41" i="11"/>
  <c r="C12" i="11"/>
  <c r="D12" i="11" s="1"/>
  <c r="K63" i="4"/>
  <c r="K97" i="4"/>
  <c r="K105" i="4"/>
  <c r="B105" i="11"/>
  <c r="D104" i="11"/>
  <c r="E12" i="4"/>
  <c r="T63" i="4"/>
  <c r="T97" i="4"/>
  <c r="D11" i="11"/>
  <c r="D9" i="11"/>
  <c r="C13" i="11"/>
  <c r="H63" i="13"/>
  <c r="T105" i="4"/>
  <c r="H97" i="13"/>
  <c r="D96" i="11"/>
  <c r="T107" i="4"/>
  <c r="H105" i="13"/>
  <c r="H107" i="13"/>
  <c r="AD11" i="15"/>
  <c r="AZ846" i="3"/>
  <c r="D105" i="11" l="1"/>
  <c r="D84" i="11"/>
  <c r="B77" i="4"/>
  <c r="R38" i="4"/>
  <c r="J97" i="4"/>
  <c r="J105" i="4" s="1"/>
  <c r="D100" i="11"/>
  <c r="S63" i="4"/>
  <c r="E63" i="13" s="1"/>
  <c r="E38" i="13"/>
  <c r="R96" i="4"/>
  <c r="R62" i="4"/>
  <c r="R54" i="4"/>
  <c r="R63" i="4" s="1"/>
  <c r="E63" i="4"/>
  <c r="E97" i="4" s="1"/>
  <c r="E105" i="4" s="1"/>
  <c r="F63" i="4"/>
  <c r="F97" i="4" s="1"/>
  <c r="F105" i="4" s="1"/>
  <c r="F12" i="4"/>
  <c r="B97" i="11"/>
  <c r="N193" i="27"/>
  <c r="B96" i="4"/>
  <c r="C97" i="11"/>
  <c r="D82" i="11"/>
  <c r="D66" i="11"/>
  <c r="C63" i="11"/>
  <c r="D63" i="11" s="1"/>
  <c r="B62" i="4"/>
  <c r="D57" i="11"/>
  <c r="B55" i="11"/>
  <c r="B64" i="11" s="1"/>
  <c r="C55" i="11"/>
  <c r="B54" i="4"/>
  <c r="B63" i="4" s="1"/>
  <c r="D39" i="11"/>
  <c r="B38" i="13"/>
  <c r="D13" i="11"/>
  <c r="B11" i="13"/>
  <c r="B12"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97" i="4" l="1"/>
  <c r="R105" i="4" s="1"/>
  <c r="S97" i="4"/>
  <c r="E97" i="13" s="1"/>
  <c r="B98" i="11"/>
  <c r="B106" i="11" s="1"/>
  <c r="D97" i="11"/>
  <c r="D55" i="11"/>
  <c r="C64" i="11"/>
  <c r="D64" i="11" s="1"/>
  <c r="C97" i="4"/>
  <c r="C105" i="4" s="1"/>
  <c r="AC455" i="3" s="1"/>
  <c r="DX635" i="3"/>
  <c r="AY1004"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105" i="4" l="1"/>
  <c r="E105" i="13" s="1"/>
  <c r="C98" i="11"/>
  <c r="D98" i="11" s="1"/>
  <c r="B105" i="4"/>
  <c r="AC454" i="3" s="1"/>
  <c r="F457" i="3" s="1"/>
  <c r="B97" i="4"/>
  <c r="B97" i="13"/>
  <c r="B105" i="13"/>
  <c r="AG258" i="20"/>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S107" i="4"/>
  <c r="AF540" i="20" s="1"/>
  <c r="AB255" i="20"/>
  <c r="AG257" i="20" s="1"/>
  <c r="AG259" i="20" s="1"/>
  <c r="AK262" i="20" s="1"/>
  <c r="T801" i="20" s="1"/>
  <c r="AF801" i="20" s="1"/>
  <c r="AB47" i="15"/>
  <c r="AB49" i="15" s="1"/>
  <c r="AB54" i="15" s="1"/>
  <c r="AB55" i="15" s="1"/>
  <c r="N183" i="27"/>
  <c r="N19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C456" i="3" l="1"/>
  <c r="E107" i="13"/>
  <c r="T11" i="15" s="1"/>
  <c r="T23" i="15" s="1"/>
  <c r="T26" i="15" s="1"/>
  <c r="T28" i="15" s="1"/>
  <c r="N184" i="27"/>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Y11" i="15" l="1"/>
  <c r="Y23" i="15" s="1"/>
  <c r="Y26" i="15" s="1"/>
  <c r="Y28" i="15" s="1"/>
  <c r="Y64" i="15" s="1"/>
  <c r="Y68" i="15" s="1"/>
  <c r="AP543" i="20"/>
  <c r="T24" i="15"/>
  <c r="AP546" i="20"/>
  <c r="AP545" i="20" s="1"/>
  <c r="K5" i="7"/>
  <c r="E47" i="7"/>
  <c r="E60" i="7"/>
  <c r="E62" i="7" s="1"/>
  <c r="O4" i="7"/>
  <c r="M5" i="7"/>
  <c r="I45" i="7"/>
  <c r="I49" i="7"/>
  <c r="M6" i="7"/>
  <c r="K7" i="7"/>
  <c r="G47" i="7"/>
  <c r="G48" i="7"/>
  <c r="Q22" i="7"/>
  <c r="Q35" i="7" s="1"/>
  <c r="S15" i="7"/>
  <c r="G95" i="21"/>
  <c r="G96" i="21" s="1"/>
  <c r="G29" i="21"/>
  <c r="G31" i="21" s="1"/>
  <c r="E9" i="21" s="1"/>
  <c r="G104" i="21"/>
  <c r="G106" i="21" s="1"/>
  <c r="G79" i="21"/>
  <c r="G64" i="21"/>
  <c r="Q9" i="7"/>
  <c r="S8" i="7"/>
  <c r="Y38" i="15" l="1"/>
  <c r="Y40" i="15" s="1"/>
  <c r="T29" i="15"/>
  <c r="AP548" i="20"/>
  <c r="AF541" i="20" s="1"/>
  <c r="AF542" i="20" s="1"/>
  <c r="AK548" i="20" s="1"/>
  <c r="T807" i="20" s="1"/>
  <c r="AF807" i="20" s="1"/>
  <c r="K11" i="7"/>
  <c r="K37" i="7" s="1"/>
  <c r="K45" i="7" s="1"/>
  <c r="E66" i="7"/>
  <c r="E67" i="7"/>
  <c r="O5" i="7"/>
  <c r="Q4" i="7"/>
  <c r="AD38" i="15"/>
  <c r="AD40" i="15" s="1"/>
  <c r="M7" i="7"/>
  <c r="M11" i="7" s="1"/>
  <c r="M37" i="7" s="1"/>
  <c r="O6" i="7"/>
  <c r="I48" i="7"/>
  <c r="I47" i="7"/>
  <c r="G69" i="21"/>
  <c r="G81" i="21"/>
  <c r="G65" i="21"/>
  <c r="S22" i="7"/>
  <c r="S35" i="7" s="1"/>
  <c r="U15" i="7"/>
  <c r="E14" i="21"/>
  <c r="E15" i="21" s="1"/>
  <c r="U8" i="7"/>
  <c r="S9" i="7"/>
  <c r="K49" i="7" l="1"/>
  <c r="Y41" i="15"/>
  <c r="AB56" i="15" s="1"/>
  <c r="M26" i="3" s="1"/>
  <c r="E70" i="7"/>
  <c r="E72" i="7" s="1"/>
  <c r="S4" i="7"/>
  <c r="Q5" i="7"/>
  <c r="O7" i="7"/>
  <c r="O11" i="7" s="1"/>
  <c r="O37" i="7" s="1"/>
  <c r="Q6" i="7"/>
  <c r="M45" i="7"/>
  <c r="M49" i="7"/>
  <c r="K47" i="7"/>
  <c r="K48" i="7"/>
  <c r="U22" i="7"/>
  <c r="U35" i="7" s="1"/>
  <c r="W15" i="7"/>
  <c r="G83" i="21"/>
  <c r="E13" i="21" s="1"/>
  <c r="E16" i="21" s="1"/>
  <c r="H3" i="21" s="1"/>
  <c r="U9" i="7"/>
  <c r="W8" i="7"/>
  <c r="AB57" i="15" l="1"/>
  <c r="U4" i="7"/>
  <c r="S5" i="7"/>
  <c r="P204" i="3"/>
  <c r="M48" i="7"/>
  <c r="M47" i="7"/>
  <c r="O45" i="7"/>
  <c r="O49" i="7"/>
  <c r="Q7" i="7"/>
  <c r="Q11" i="7" s="1"/>
  <c r="Q37" i="7" s="1"/>
  <c r="S6" i="7"/>
  <c r="W22" i="7"/>
  <c r="W35" i="7" s="1"/>
  <c r="Y15" i="7"/>
  <c r="W9" i="7"/>
  <c r="Y8" i="7"/>
  <c r="AB59" i="15" l="1"/>
  <c r="AB76" i="15" s="1"/>
  <c r="AB77" i="15" s="1"/>
  <c r="AB78" i="15" s="1"/>
  <c r="U5" i="7"/>
  <c r="W4" i="7"/>
  <c r="Q49" i="7"/>
  <c r="Q45" i="7"/>
  <c r="O47" i="7"/>
  <c r="O48" i="7"/>
  <c r="S7" i="7"/>
  <c r="S11" i="7" s="1"/>
  <c r="S37" i="7" s="1"/>
  <c r="U6" i="7"/>
  <c r="Y22" i="7"/>
  <c r="Y35" i="7" s="1"/>
  <c r="AA15" i="7"/>
  <c r="Y9" i="7"/>
  <c r="AA8" i="7"/>
  <c r="M27" i="3" l="1"/>
  <c r="I10" i="21"/>
  <c r="I11" i="21" s="1"/>
  <c r="I16" i="21" s="1"/>
  <c r="H4" i="21" s="1"/>
  <c r="H5" i="21" s="1"/>
  <c r="W5" i="7"/>
  <c r="Y4" i="7"/>
  <c r="AB80" i="15"/>
  <c r="J81" i="15" s="1"/>
  <c r="U7" i="7"/>
  <c r="U11" i="7" s="1"/>
  <c r="U37" i="7" s="1"/>
  <c r="W6" i="7"/>
  <c r="Q48" i="7"/>
  <c r="Q47" i="7"/>
  <c r="S49" i="7"/>
  <c r="S45" i="7"/>
  <c r="AC15" i="7"/>
  <c r="AA22" i="7"/>
  <c r="AA35" i="7" s="1"/>
  <c r="AC8" i="7"/>
  <c r="AA9" i="7"/>
  <c r="P205" i="3" l="1"/>
  <c r="AA4" i="7"/>
  <c r="Y5" i="7"/>
  <c r="Y6" i="7"/>
  <c r="W7" i="7"/>
  <c r="W11" i="7" s="1"/>
  <c r="W37" i="7" s="1"/>
  <c r="U45" i="7"/>
  <c r="U49" i="7"/>
  <c r="S48" i="7"/>
  <c r="S47" i="7"/>
  <c r="AE15" i="7"/>
  <c r="AC22" i="7"/>
  <c r="AC35" i="7" s="1"/>
  <c r="AC9" i="7"/>
  <c r="AE8" i="7"/>
  <c r="AA5" i="7" l="1"/>
  <c r="AC4" i="7"/>
  <c r="U48" i="7"/>
  <c r="U47" i="7"/>
  <c r="W49" i="7"/>
  <c r="W45" i="7"/>
  <c r="Y7" i="7"/>
  <c r="Y11" i="7" s="1"/>
  <c r="Y37" i="7" s="1"/>
  <c r="AA6" i="7"/>
  <c r="AE22" i="7"/>
  <c r="AE35" i="7" s="1"/>
  <c r="AG15" i="7"/>
  <c r="AG22" i="7" s="1"/>
  <c r="AG35" i="7" s="1"/>
  <c r="AE9" i="7"/>
  <c r="AG8" i="7"/>
  <c r="AG9" i="7" s="1"/>
  <c r="AC5" i="7" l="1"/>
  <c r="AE4" i="7"/>
  <c r="AC6" i="7"/>
  <c r="AA7" i="7"/>
  <c r="AA11" i="7" s="1"/>
  <c r="AA37" i="7" s="1"/>
  <c r="Y49" i="7"/>
  <c r="Y45" i="7"/>
  <c r="W47" i="7"/>
  <c r="W48" i="7"/>
  <c r="AE5" i="7" l="1"/>
  <c r="AG4" i="7"/>
  <c r="AG5" i="7" s="1"/>
  <c r="AA45" i="7"/>
  <c r="AA60" i="7" s="1"/>
  <c r="AA62" i="7" s="1"/>
  <c r="AA49" i="7"/>
  <c r="Y47" i="7"/>
  <c r="Y48" i="7"/>
  <c r="AE6" i="7"/>
  <c r="AC7" i="7"/>
  <c r="AC11" i="7" s="1"/>
  <c r="AC37" i="7" s="1"/>
  <c r="AA47" i="7" l="1"/>
  <c r="AA48" i="7"/>
  <c r="AC45" i="7"/>
  <c r="AC49" i="7"/>
  <c r="AE7" i="7"/>
  <c r="AE11" i="7" s="1"/>
  <c r="AE37" i="7" s="1"/>
  <c r="AG6" i="7"/>
  <c r="AG7" i="7" l="1"/>
  <c r="AG11" i="7" s="1"/>
  <c r="AG37" i="7" s="1"/>
  <c r="AE49" i="7"/>
  <c r="AE45" i="7"/>
  <c r="AC48" i="7"/>
  <c r="AC47" i="7"/>
  <c r="AE47" i="7" l="1"/>
  <c r="AE48" i="7"/>
  <c r="AG49" i="7"/>
  <c r="AG45" i="7"/>
  <c r="AG48" i="7" l="1"/>
  <c r="AG47" i="7"/>
  <c r="BI693" i="3" l="1"/>
  <c r="BI703" i="3" l="1"/>
  <c r="AC753" i="3" s="1"/>
  <c r="E87" i="20" l="1"/>
  <c r="E88" i="20" s="1"/>
  <c r="E89" i="20" s="1"/>
  <c r="E97" i="20"/>
  <c r="E100" i="20" s="1"/>
  <c r="AP100" i="20" s="1"/>
  <c r="AK103" i="20" s="1"/>
  <c r="T795" i="20" s="1"/>
  <c r="AF795" i="20" s="1"/>
  <c r="AF810" i="20" s="1"/>
  <c r="K58" i="7"/>
  <c r="K60" i="7" s="1"/>
  <c r="I58" i="7"/>
  <c r="I60" i="7" s="1"/>
  <c r="I66" i="7" s="1"/>
  <c r="G58" i="7"/>
  <c r="G60" i="7" s="1"/>
  <c r="G66" i="7" l="1"/>
  <c r="G67" i="7"/>
  <c r="G62" i="7"/>
  <c r="M58" i="7"/>
  <c r="M60" i="7" s="1"/>
  <c r="K62" i="7"/>
  <c r="K66" i="7"/>
  <c r="K67" i="7"/>
  <c r="I67" i="7"/>
  <c r="I70" i="7" s="1"/>
  <c r="I62" i="7"/>
  <c r="I72" i="7" l="1"/>
  <c r="K70" i="7"/>
  <c r="K72" i="7" s="1"/>
  <c r="M67" i="7"/>
  <c r="M66" i="7"/>
  <c r="M70" i="7" s="1"/>
  <c r="M62" i="7"/>
  <c r="O58" i="7"/>
  <c r="O60" i="7" s="1"/>
  <c r="G70" i="7"/>
  <c r="G72" i="7" s="1"/>
  <c r="M72" i="7" l="1"/>
  <c r="Q58" i="7"/>
  <c r="Q60" i="7" s="1"/>
  <c r="O67" i="7"/>
  <c r="O62" i="7"/>
  <c r="O66" i="7"/>
  <c r="S58" i="7" l="1"/>
  <c r="S60" i="7" s="1"/>
  <c r="Q62" i="7"/>
  <c r="Q66" i="7"/>
  <c r="Q67" i="7"/>
  <c r="O70" i="7"/>
  <c r="O72" i="7" s="1"/>
  <c r="S66" i="7" l="1"/>
  <c r="S67" i="7"/>
  <c r="S62" i="7"/>
  <c r="U58" i="7"/>
  <c r="U60" i="7" s="1"/>
  <c r="Q70" i="7"/>
  <c r="Q72" i="7" s="1"/>
  <c r="W58" i="7" l="1"/>
  <c r="W60" i="7" s="1"/>
  <c r="U62" i="7"/>
  <c r="U66" i="7"/>
  <c r="U67" i="7"/>
  <c r="S70" i="7"/>
  <c r="S72" i="7" s="1"/>
  <c r="Y58" i="7" l="1"/>
  <c r="Y60" i="7" s="1"/>
  <c r="W67" i="7"/>
  <c r="W66" i="7"/>
  <c r="W70" i="7" s="1"/>
  <c r="W62" i="7"/>
  <c r="U70" i="7"/>
  <c r="U72" i="7" s="1"/>
  <c r="W72" i="7" l="1"/>
  <c r="AA58" i="7"/>
  <c r="Y66" i="7"/>
  <c r="Y67" i="7"/>
  <c r="Y62" i="7"/>
  <c r="Y70" i="7" l="1"/>
  <c r="Y72" i="7" s="1"/>
  <c r="AA67" i="7"/>
  <c r="AA66" i="7"/>
  <c r="AC58" i="7"/>
  <c r="AC60" i="7" s="1"/>
  <c r="AC62" i="7" s="1"/>
  <c r="AC67" i="7" l="1"/>
  <c r="AC66" i="7"/>
  <c r="AG58" i="7"/>
  <c r="AG60" i="7" s="1"/>
  <c r="AE58" i="7"/>
  <c r="AE60" i="7" s="1"/>
  <c r="AE62" i="7" s="1"/>
  <c r="AA70" i="7"/>
  <c r="AA72" i="7" s="1"/>
  <c r="AE66" i="7" l="1"/>
  <c r="AE67" i="7"/>
  <c r="AG66" i="7"/>
  <c r="AG67" i="7"/>
  <c r="AC70" i="7"/>
  <c r="AC72" i="7" s="1"/>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<sst xmlns="http://schemas.openxmlformats.org/spreadsheetml/2006/main" count="5297" uniqueCount="2749">
  <si>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</si>
  <si>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</si>
  <si>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</si>
  <si>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</si>
  <si>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</si>
  <si>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</si>
  <si>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</si>
  <si>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</si>
  <si>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</si>
  <si>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</si>
  <si>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</si>
  <si>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</si>
  <si>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</si>
  <si>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</si>
  <si>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</si>
  <si>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</si>
  <si>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</si>
  <si>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</si>
  <si>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</si>
  <si>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</si>
  <si>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</si>
  <si>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</si>
  <si>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</si>
  <si>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</si>
  <si>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</si>
  <si>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</si>
  <si>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</si>
  <si>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</si>
  <si>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</si>
  <si>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</si>
  <si>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</si>
  <si>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</si>
  <si>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</si>
  <si>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</si>
  <si>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</si>
  <si>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</si>
  <si>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</si>
  <si>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</si>
  <si>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</si>
  <si>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</si>
  <si>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</si>
  <si>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</si>
  <si>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</si>
  <si>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</si>
  <si>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</si>
  <si>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</si>
  <si>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</si>
  <si>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</si>
  <si>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</si>
  <si>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</si>
  <si>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</si>
  <si>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</si>
  <si>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</si>
  <si>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</si>
  <si>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</si>
  <si>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</si>
  <si>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</si>
  <si>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</si>
  <si>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</si>
  <si>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</si>
  <si>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</si>
  <si>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</si>
  <si>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</si>
  <si>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</si>
  <si>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</si>
  <si>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</si>
  <si>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</si>
  <si>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</si>
  <si>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</si>
  <si>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</si>
  <si>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</si>
  <si>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</si>
  <si>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</si>
  <si>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</si>
  <si>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</si>
  <si>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</si>
  <si>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</si>
  <si>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</si>
  <si>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</si>
  <si>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</si>
  <si>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</si>
  <si>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</si>
  <si>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</si>
  <si>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</si>
  <si>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</si>
  <si>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</si>
  <si>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</si>
  <si>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</si>
  <si>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</si>
  <si>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</si>
  <si>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</si>
  <si>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</si>
  <si>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</si>
  <si>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</si>
  <si>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</si>
  <si>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</si>
  <si>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</si>
  <si>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</si>
  <si>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</si>
  <si>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</si>
  <si>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</si>
  <si>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</si>
  <si>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</si>
  <si>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</si>
  <si>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</si>
  <si>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</si>
  <si>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</si>
  <si>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</si>
  <si>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</si>
  <si>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</si>
  <si>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</si>
  <si>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</si>
  <si>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</si>
  <si>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</si>
  <si>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</si>
  <si>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</si>
  <si>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</si>
  <si>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</si>
  <si>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</si>
  <si>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</si>
  <si>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</si>
  <si>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</si>
  <si>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</si>
  <si>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</si>
  <si>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</si>
  <si>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</si>
  <si>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</si>
  <si>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</si>
  <si>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</si>
  <si>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</si>
  <si>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</si>
  <si>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</si>
  <si>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</si>
  <si>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</si>
  <si>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</si>
  <si>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</si>
  <si>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</si>
  <si>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</si>
  <si>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</si>
  <si>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</si>
  <si>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</si>
  <si>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</si>
  <si>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</si>
  <si>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</si>
  <si>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</si>
  <si>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</si>
  <si>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</si>
  <si>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</si>
  <si>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</si>
  <si>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</si>
  <si>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</si>
  <si>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</si>
  <si>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</si>
  <si>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</si>
  <si>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</si>
  <si>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</si>
  <si>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</si>
  <si>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</si>
  <si>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</si>
  <si>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</si>
  <si>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</si>
  <si>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</si>
  <si>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</si>
  <si>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</si>
  <si>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</si>
  <si>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</si>
  <si>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</si>
  <si>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</si>
  <si>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</si>
  <si>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</si>
  <si>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</si>
  <si>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</si>
  <si>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</si>
  <si>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</si>
  <si>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</si>
  <si>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</si>
  <si>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</si>
  <si>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</si>
  <si>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</si>
  <si>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</si>
  <si>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</si>
  <si>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</si>
  <si>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</si>
  <si>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</si>
  <si>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</si>
  <si>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</si>
  <si>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</si>
  <si>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</si>
  <si>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</si>
  <si>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</si>
  <si>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</si>
  <si>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</si>
  <si>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</si>
  <si>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</si>
  <si>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</si>
  <si>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</si>
  <si>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</si>
  <si>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</si>
  <si>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</si>
  <si>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</si>
  <si>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</si>
  <si>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</si>
  <si>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</si>
  <si>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</si>
  <si>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</si>
  <si>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</si>
  <si>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</si>
  <si>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</si>
  <si>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</si>
  <si>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</si>
  <si>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</si>
  <si>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</si>
  <si>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</si>
  <si>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</si>
  <si>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</si>
  <si>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</si>
  <si>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</si>
  <si>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</si>
  <si>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</si>
  <si>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</si>
  <si>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</si>
  <si>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</si>
  <si>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</si>
  <si>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</si>
  <si>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</si>
  <si>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</si>
  <si>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</si>
  <si>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</si>
  <si>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</si>
  <si>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</si>
  <si>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</si>
  <si>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</si>
  <si>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</si>
  <si>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</si>
  <si>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</si>
  <si>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</si>
  <si>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</si>
  <si>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</si>
  <si>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</si>
  <si>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</si>
  <si>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</si>
  <si>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</si>
  <si>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</si>
  <si>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</si>
  <si>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</si>
  <si>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</si>
  <si>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</si>
  <si>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</si>
  <si>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</si>
  <si>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</si>
  <si>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</si>
  <si>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</si>
  <si>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</si>
  <si>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</si>
  <si>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</si>
  <si>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</si>
  <si>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</si>
  <si>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</si>
  <si>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</si>
  <si>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</si>
  <si>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</si>
  <si>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</si>
  <si>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</si>
  <si>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</si>
  <si>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</si>
  <si>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</si>
  <si>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</si>
  <si>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</si>
  <si>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</si>
  <si>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</si>
  <si>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</si>
  <si>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</si>
  <si>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</si>
  <si>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</si>
  <si>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</si>
  <si>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</si>
  <si>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</si>
  <si>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</si>
  <si>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</si>
  <si>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</si>
  <si>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</si>
  <si>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</si>
  <si>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</si>
  <si>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</si>
  <si>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</si>
  <si>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</si>
  <si>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</si>
  <si>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</si>
  <si>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</si>
  <si>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</si>
  <si>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</si>
  <si>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</si>
  <si>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</si>
  <si>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</si>
  <si>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</si>
  <si>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</si>
  <si>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</si>
  <si>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</si>
  <si>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</si>
  <si>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</si>
  <si>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</si>
  <si>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</si>
  <si>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</si>
  <si>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</si>
  <si>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</si>
  <si>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</si>
  <si>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</si>
  <si>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</si>
  <si>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</si>
  <si>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</si>
  <si>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</si>
  <si>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</si>
  <si>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</si>
  <si>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</si>
  <si>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</si>
  <si>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</si>
  <si>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</si>
  <si>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</si>
  <si>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</si>
  <si>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</si>
  <si>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</si>
  <si>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</si>
  <si>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</si>
  <si>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</si>
  <si>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</si>
  <si>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</si>
  <si>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</si>
  <si>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</si>
  <si>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</si>
  <si>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</si>
  <si>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</si>
  <si>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</si>
  <si>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</si>
  <si>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</si>
  <si>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</si>
  <si>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</si>
  <si>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</si>
  <si>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</si>
  <si>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</si>
  <si>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</si>
  <si>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</si>
  <si>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</si>
  <si>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</si>
  <si>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</si>
  <si>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</si>
  <si>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</si>
  <si>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</si>
  <si>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</si>
  <si>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</si>
  <si>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</si>
  <si>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</si>
  <si>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</si>
  <si>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</si>
  <si>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</si>
  <si>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</si>
  <si>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</si>
  <si>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</si>
  <si>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</si>
  <si>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</si>
  <si>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</si>
  <si>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</si>
  <si>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</si>
  <si>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</si>
  <si>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</si>
  <si>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</si>
  <si>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</si>
  <si>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</si>
  <si>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</si>
  <si>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</si>
  <si>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</si>
  <si>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</si>
  <si>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</si>
  <si>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</si>
  <si>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</si>
  <si>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</si>
  <si>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</si>
  <si>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</si>
  <si>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</si>
  <si>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</si>
  <si>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</si>
  <si>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</si>
  <si>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</si>
  <si>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</si>
  <si>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</si>
  <si>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</si>
  <si>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</si>
  <si>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</si>
  <si>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</si>
  <si>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</si>
  <si>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</si>
  <si>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</si>
  <si>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</si>
  <si>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</si>
  <si>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</si>
  <si>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</si>
  <si>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</si>
  <si>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</si>
  <si>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</si>
  <si>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</si>
  <si>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</si>
  <si>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</si>
  <si>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</si>
  <si>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</si>
  <si>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</si>
  <si>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</si>
  <si>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</si>
  <si>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</si>
  <si>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</si>
  <si>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</si>
  <si>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</si>
  <si>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</si>
  <si>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</si>
  <si>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</si>
  <si>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</si>
  <si>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</si>
  <si>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</si>
  <si>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</si>
  <si>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</si>
  <si>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</si>
  <si>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</si>
  <si>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</si>
  <si>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</si>
  <si>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</si>
  <si>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</si>
  <si>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</si>
  <si>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</si>
  <si>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</si>
  <si>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</si>
  <si>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</si>
  <si>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</si>
  <si>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</si>
  <si>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</si>
  <si>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</si>
  <si>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</si>
  <si>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</si>
  <si>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</si>
  <si>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</si>
  <si>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</si>
  <si>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</si>
  <si>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</si>
  <si>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</si>
  <si>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</si>
  <si>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</si>
  <si>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</si>
  <si>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</si>
  <si>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</si>
  <si>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</si>
  <si>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</si>
  <si>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</si>
  <si>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</si>
  <si>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</si>
  <si>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</si>
  <si>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</si>
  <si>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</si>
  <si>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</si>
  <si>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</si>
  <si>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</si>
  <si>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</si>
  <si>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</si>
  <si>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</si>
  <si>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</si>
  <si>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</si>
  <si>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</si>
  <si>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</si>
  <si>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</si>
  <si>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</si>
  <si>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</si>
  <si>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</si>
  <si>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</si>
  <si>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</si>
  <si>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</si>
  <si>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</si>
  <si>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</si>
  <si>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</si>
  <si>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</si>
  <si>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</si>
  <si>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</si>
  <si>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</si>
  <si>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</si>
  <si>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</si>
  <si>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</si>
  <si>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</si>
  <si>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</si>
  <si>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</si>
  <si>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</si>
  <si>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</si>
  <si>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</si>
  <si>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</si>
  <si>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</si>
  <si>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</si>
  <si>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</si>
  <si>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</si>
  <si>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</si>
  <si>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</si>
  <si>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</si>
  <si>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</si>
  <si>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</si>
  <si>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</si>
  <si>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</si>
  <si>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</si>
  <si>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</si>
  <si>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</si>
  <si>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</si>
  <si>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</si>
  <si>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</si>
  <si>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</si>
  <si>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</si>
  <si>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</si>
  <si>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</si>
  <si>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</si>
  <si>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</si>
  <si>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</si>
  <si>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</si>
  <si>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</si>
  <si>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</si>
  <si>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</si>
  <si>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</si>
  <si>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</si>
  <si>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</si>
  <si>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</si>
  <si>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</si>
  <si>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</si>
  <si>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</si>
  <si>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</si>
  <si>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</si>
  <si>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</si>
  <si>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</si>
  <si>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</si>
  <si>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</si>
  <si>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</si>
  <si>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</si>
  <si>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</si>
  <si>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</si>
  <si>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</si>
  <si>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</si>
  <si>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</si>
  <si>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</si>
  <si>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</si>
  <si>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</si>
  <si>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</si>
  <si>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</si>
  <si>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</si>
  <si>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</si>
  <si>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</si>
  <si>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</si>
  <si>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</si>
  <si>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</si>
  <si>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</si>
  <si>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</si>
  <si>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</si>
  <si>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</si>
  <si>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</si>
  <si>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</si>
  <si>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</si>
  <si>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</si>
  <si>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</si>
  <si>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</si>
  <si>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</si>
  <si>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</si>
  <si>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</si>
  <si>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</si>
  <si>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</si>
  <si>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</si>
  <si>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</si>
  <si>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</si>
  <si>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</si>
  <si>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</si>
  <si>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</si>
  <si>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</si>
  <si>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</si>
  <si>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</si>
  <si>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</si>
  <si>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</si>
  <si>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</si>
  <si>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</si>
  <si>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</si>
  <si>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</si>
  <si>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</si>
  <si>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</si>
  <si>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</si>
  <si>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</si>
  <si>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</si>
  <si>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</si>
  <si>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</si>
  <si>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</si>
  <si>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</si>
  <si>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</si>
  <si>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</si>
  <si>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</si>
  <si>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</si>
  <si>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</si>
  <si>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</si>
  <si>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</si>
  <si>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</si>
  <si>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</si>
  <si>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</si>
  <si>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</si>
  <si>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</si>
  <si>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</si>
  <si>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</si>
  <si>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</si>
  <si>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</si>
  <si>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</si>
  <si>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</si>
  <si>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</si>
  <si>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</si>
  <si>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</si>
  <si>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</si>
  <si>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</si>
  <si>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</si>
  <si>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</si>
  <si>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</si>
  <si>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</si>
  <si>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</si>
  <si>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</si>
  <si>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</si>
  <si>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</si>
  <si>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</si>
  <si>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</si>
  <si>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</si>
  <si>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</si>
  <si>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</si>
  <si>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</si>
  <si>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</si>
  <si>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</si>
  <si>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</si>
  <si>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</si>
  <si>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</si>
  <si>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</si>
  <si>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</si>
  <si>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</si>
  <si>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</si>
  <si>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</si>
  <si>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</si>
  <si>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</si>
  <si>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</si>
  <si>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</si>
  <si>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</si>
  <si>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</si>
  <si>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</si>
  <si>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</si>
  <si>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</si>
  <si>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</si>
  <si>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</si>
  <si>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</si>
  <si>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</si>
  <si>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</si>
  <si>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</si>
  <si>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</si>
  <si>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</si>
  <si>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</si>
  <si>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</si>
  <si>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</si>
  <si>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</si>
  <si>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</si>
  <si>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</si>
  <si>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</si>
  <si>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</si>
  <si>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</si>
  <si>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</si>
  <si>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</si>
  <si>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</si>
  <si>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</si>
  <si>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</si>
  <si>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</si>
  <si>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</si>
  <si>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</si>
  <si>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</si>
  <si>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</si>
  <si>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</si>
  <si>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</si>
  <si>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</si>
  <si>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</si>
  <si>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</si>
  <si>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</si>
  <si>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</si>
  <si>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</si>
  <si>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</si>
  <si>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</si>
  <si>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</si>
  <si>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</si>
  <si>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</si>
  <si>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</si>
  <si>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</si>
  <si>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</si>
  <si>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</si>
  <si>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</si>
  <si>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</si>
  <si>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</si>
  <si>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</si>
  <si>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</si>
  <si>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</si>
  <si>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</si>
  <si>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</si>
  <si>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</si>
  <si>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</si>
  <si>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</si>
  <si>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</si>
  <si>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</si>
  <si>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</si>
  <si>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</si>
  <si>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</si>
  <si>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</si>
  <si>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</si>
  <si>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</si>
  <si>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</si>
  <si>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</si>
  <si>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</si>
  <si>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</si>
  <si>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</si>
  <si>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</si>
  <si>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</si>
  <si>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</si>
  <si>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</si>
  <si>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</si>
  <si>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</si>
  <si>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</si>
  <si>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</si>
  <si>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</si>
  <si>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</si>
  <si>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</si>
  <si>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</si>
  <si>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</si>
  <si>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</si>
  <si>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</si>
  <si>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</si>
  <si>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</si>
  <si>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</si>
  <si>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</si>
  <si>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</si>
  <si>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</si>
  <si>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</si>
  <si>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</si>
  <si>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</si>
  <si>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</si>
  <si>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</si>
  <si>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</si>
  <si>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</si>
  <si>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</si>
  <si>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</si>
  <si>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</si>
  <si>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</si>
  <si>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</si>
  <si>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</si>
  <si>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</si>
  <si>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</si>
  <si>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</si>
  <si>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</si>
  <si>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</si>
  <si>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</si>
  <si>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</si>
  <si>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</si>
  <si>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</si>
  <si>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</si>
  <si>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</si>
  <si>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</si>
  <si>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</si>
  <si>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</si>
  <si>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</si>
  <si>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</si>
  <si>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</si>
  <si>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</si>
  <si>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</si>
  <si>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</si>
  <si>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</si>
  <si>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</si>
  <si>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</si>
  <si>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</si>
  <si>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</si>
  <si>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</si>
  <si>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</si>
  <si>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</si>
  <si>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</si>
  <si>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</si>
  <si>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</si>
  <si>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</si>
  <si>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</si>
  <si>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</si>
  <si>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</si>
  <si>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</si>
  <si>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</si>
  <si>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</si>
  <si>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</si>
  <si>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</si>
  <si>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</si>
  <si>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</si>
  <si>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</si>
  <si>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</si>
  <si>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</si>
  <si>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</si>
  <si>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</si>
  <si>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</si>
  <si>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</si>
  <si>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</si>
  <si>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</si>
  <si>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</si>
  <si>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</si>
  <si>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</si>
  <si>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</si>
  <si>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</si>
  <si>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</si>
  <si>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</si>
  <si>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</si>
  <si>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</si>
  <si>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</si>
  <si>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</si>
  <si>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</si>
  <si>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</si>
  <si>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</si>
  <si>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</si>
  <si>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</si>
  <si>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</si>
  <si>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</si>
  <si>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</si>
  <si>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</si>
  <si>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</si>
  <si>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</si>
  <si>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</si>
  <si>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</si>
  <si>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</si>
  <si>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</si>
  <si>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</si>
  <si>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</si>
  <si>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</si>
  <si>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</si>
  <si>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</si>
  <si>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</si>
  <si>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</si>
  <si>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</si>
  <si>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</si>
  <si>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</si>
  <si>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</si>
  <si>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</si>
  <si>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</si>
  <si>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</si>
  <si>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</si>
  <si>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</si>
  <si>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</si>
  <si>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</si>
  <si>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</si>
  <si>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</si>
  <si>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</si>
  <si>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</si>
  <si>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</si>
  <si>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</si>
  <si>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</si>
  <si>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</si>
  <si>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</si>
  <si>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</si>
  <si>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</si>
  <si>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</si>
  <si>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</si>
  <si>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</si>
  <si>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</si>
  <si>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</si>
  <si>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</si>
  <si>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</si>
  <si>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</si>
  <si>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</si>
  <si>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</si>
  <si>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</si>
  <si>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</si>
  <si>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</si>
  <si>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</si>
  <si>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</si>
  <si>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</si>
  <si>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</si>
  <si>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</si>
  <si>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</si>
  <si>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</si>
  <si>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</si>
  <si>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</si>
  <si>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</si>
  <si>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</si>
  <si>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</si>
  <si>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</si>
  <si>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</si>
  <si>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</si>
  <si>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</si>
  <si>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</si>
  <si>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</si>
  <si>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</si>
  <si>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</si>
  <si>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</si>
  <si>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</si>
  <si>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</si>
  <si>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</si>
  <si>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</si>
  <si>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</si>
  <si>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</si>
  <si>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</si>
  <si>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</si>
  <si>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</si>
  <si>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</si>
  <si>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</si>
  <si>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</si>
  <si>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</si>
  <si>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</si>
  <si>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</si>
  <si>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</si>
  <si>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</si>
  <si>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</si>
  <si>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</si>
  <si>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</si>
  <si>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</si>
  <si>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</si>
  <si>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</si>
  <si>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</si>
  <si>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</si>
  <si>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</si>
  <si>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</si>
  <si>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</si>
  <si>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</si>
  <si>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</si>
  <si>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</si>
  <si>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</si>
  <si>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</si>
  <si>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</si>
  <si>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</si>
  <si>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</si>
  <si>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</si>
  <si>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</si>
  <si>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</si>
  <si>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</si>
  <si>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</si>
  <si>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</si>
  <si>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</si>
  <si>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</si>
  <si>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</si>
  <si>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</si>
  <si>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</si>
  <si>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</si>
  <si>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</si>
  <si>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</si>
  <si>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</si>
  <si>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</si>
  <si>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</si>
  <si>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</si>
  <si>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</si>
  <si>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</si>
  <si>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</si>
  <si>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</si>
  <si>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</si>
  <si>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</si>
  <si>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</si>
  <si>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</si>
  <si>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</si>
  <si>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</si>
  <si>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</si>
  <si>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</si>
  <si>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</si>
  <si>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</si>
  <si>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</si>
  <si>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</si>
  <si>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</si>
  <si>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</si>
  <si>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</si>
  <si>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</si>
  <si>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</si>
  <si>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</si>
  <si>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</si>
  <si>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</si>
  <si>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</si>
  <si>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</si>
  <si>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</si>
  <si>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</si>
  <si>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</si>
  <si>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</si>
  <si>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</si>
  <si>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</si>
  <si>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</si>
  <si>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</si>
  <si>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</si>
  <si>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</si>
  <si>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</si>
  <si>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</si>
  <si>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</si>
  <si>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</si>
  <si>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</si>
  <si>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</si>
  <si>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</si>
  <si>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</si>
  <si>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</si>
  <si>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</si>
  <si>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</si>
  <si>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</si>
  <si>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</si>
  <si>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</si>
  <si>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</si>
  <si>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</si>
  <si>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</si>
  <si>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</si>
  <si>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</si>
  <si>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</si>
  <si>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</si>
  <si>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</si>
  <si>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</si>
  <si>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</si>
  <si>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</si>
  <si>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</si>
  <si>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</si>
  <si>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</si>
  <si>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</si>
  <si>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</si>
  <si>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</si>
  <si>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</si>
  <si>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</si>
  <si>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</si>
  <si>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</si>
  <si>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</si>
  <si>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</si>
  <si>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</si>
  <si>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</si>
  <si>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</si>
  <si>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</si>
  <si>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</si>
  <si>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</si>
  <si>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</si>
  <si>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</si>
  <si>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</si>
  <si>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</si>
  <si>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</si>
  <si>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</si>
  <si>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</si>
  <si>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</si>
  <si>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</si>
  <si>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</si>
  <si>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</si>
  <si>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</si>
  <si>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</si>
  <si>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</si>
  <si>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</si>
  <si>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</si>
  <si>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</si>
  <si>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</si>
  <si>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</si>
  <si>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</si>
  <si>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</si>
  <si>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</si>
  <si>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</si>
  <si>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</si>
  <si>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</si>
  <si>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</si>
  <si>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</si>
  <si>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</si>
  <si>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</si>
  <si>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</si>
  <si>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</si>
  <si>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</si>
  <si>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</si>
  <si>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</si>
  <si>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</si>
  <si>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</si>
  <si>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</si>
  <si>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</si>
  <si>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</si>
  <si>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</si>
  <si>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</si>
  <si>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</si>
  <si>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</si>
  <si>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</si>
  <si>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</si>
  <si>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</si>
  <si>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</si>
  <si>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</si>
  <si>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</si>
  <si>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</si>
  <si>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</si>
  <si>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</si>
  <si>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</si>
  <si>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</si>
  <si>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</si>
  <si>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</si>
  <si>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</si>
  <si>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</si>
  <si>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</si>
  <si>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</si>
  <si>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</si>
  <si>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</si>
  <si>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</si>
  <si>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</si>
  <si>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</si>
  <si>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</si>
  <si>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</si>
  <si>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</si>
  <si>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</si>
  <si>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</si>
  <si>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</si>
  <si>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</si>
  <si>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</si>
  <si>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</si>
  <si>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</si>
  <si>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</si>
  <si>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</si>
  <si>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</si>
  <si>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</si>
  <si>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</si>
  <si>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</si>
  <si>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</si>
  <si>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</si>
  <si>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</si>
  <si>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</si>
  <si>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</si>
  <si>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</si>
  <si>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</si>
  <si>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</si>
  <si>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</si>
  <si>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</si>
  <si>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</si>
  <si>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</si>
  <si>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</si>
  <si>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</si>
  <si>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</si>
  <si>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</si>
  <si>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</si>
  <si>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</si>
  <si>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</si>
  <si>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</si>
  <si>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</si>
  <si>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</si>
  <si>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</si>
  <si>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</si>
  <si>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</si>
  <si>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</si>
  <si>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</si>
  <si>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</si>
  <si>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</si>
  <si>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</si>
  <si>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</si>
  <si>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</si>
  <si>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</si>
  <si>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</si>
  <si>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</si>
  <si>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</si>
  <si>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</si>
  <si>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</si>
  <si>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</si>
  <si>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</si>
  <si>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</si>
  <si>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</si>
  <si>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</si>
  <si>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</si>
  <si>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</si>
  <si>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</si>
  <si>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</si>
  <si>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</si>
  <si>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</si>
  <si>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</si>
  <si>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</si>
  <si>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</si>
  <si>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</si>
  <si>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</si>
  <si>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</si>
  <si>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</si>
  <si>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</si>
  <si>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</si>
  <si>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</si>
  <si>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</si>
  <si>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</si>
  <si>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</si>
  <si>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</si>
  <si>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</si>
  <si>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</si>
  <si>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</si>
  <si>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</si>
  <si>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</si>
  <si>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</si>
  <si>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</si>
  <si>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</si>
  <si>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</si>
  <si>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</si>
  <si>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</si>
  <si>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</si>
  <si>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</si>
  <si>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</si>
  <si>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</si>
  <si>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</si>
  <si>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</si>
  <si>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</si>
  <si>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</si>
  <si>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</si>
  <si>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</si>
  <si>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</si>
  <si>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</si>
  <si>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</si>
  <si>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</si>
  <si>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</si>
  <si>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</si>
  <si>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</si>
  <si>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</si>
  <si>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</si>
  <si>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</si>
  <si>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</si>
  <si>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</si>
  <si>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</si>
  <si>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</si>
  <si>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</si>
  <si>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</si>
  <si>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</si>
  <si>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</si>
  <si>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</si>
  <si>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</si>
  <si>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</si>
  <si>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</si>
  <si>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</si>
  <si>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</si>
  <si>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</si>
  <si>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</si>
  <si>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</si>
  <si>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</si>
  <si>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</si>
  <si>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</si>
  <si>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</si>
  <si>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</si>
  <si>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</si>
  <si>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</si>
  <si>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</si>
  <si>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</si>
  <si>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</si>
  <si>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</si>
  <si>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</si>
  <si>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</si>
  <si>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</si>
  <si>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</si>
  <si>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</si>
  <si>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</si>
  <si>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</si>
  <si>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</si>
  <si>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</si>
  <si>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</si>
  <si>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</si>
  <si>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</si>
  <si>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</si>
  <si>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</si>
  <si>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</si>
  <si>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</si>
  <si>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</si>
  <si>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</si>
  <si>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</si>
  <si>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</si>
  <si>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</si>
  <si>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</si>
  <si>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</si>
  <si>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</si>
  <si>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</si>
  <si>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</si>
  <si>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</si>
  <si>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</si>
  <si>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</si>
  <si>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</si>
  <si>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</si>
  <si>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</si>
  <si>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</si>
  <si>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</si>
  <si>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</si>
  <si>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</si>
  <si>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</si>
  <si>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</si>
  <si>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</si>
  <si>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</si>
  <si>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</si>
  <si>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</si>
  <si>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</si>
  <si>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</si>
  <si>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</si>
  <si>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</si>
  <si>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</si>
  <si>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</si>
  <si>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</si>
  <si>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</si>
  <si>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</si>
  <si>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</si>
  <si>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</si>
  <si>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</si>
  <si>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</si>
  <si>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</si>
  <si>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</si>
  <si>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</si>
  <si>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</si>
  <si>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</si>
  <si>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</si>
  <si>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</si>
  <si>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</si>
  <si>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</si>
  <si>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</si>
  <si>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</si>
  <si>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</si>
  <si>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</si>
  <si>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</si>
  <si>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</si>
  <si>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</si>
  <si>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</si>
  <si>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</si>
  <si>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</si>
  <si>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</si>
  <si>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</si>
  <si>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</si>
  <si>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</si>
  <si>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</si>
  <si>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</si>
  <si>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</si>
  <si>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</si>
  <si>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</si>
  <si>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</si>
  <si>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</si>
  <si>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</si>
  <si>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</si>
  <si>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</si>
  <si>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</si>
  <si>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</si>
  <si>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</si>
  <si>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</si>
  <si>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</si>
  <si>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</si>
  <si>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</si>
  <si>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</si>
  <si>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</si>
  <si>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</si>
  <si>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</si>
  <si>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</si>
  <si>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</si>
  <si>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</si>
  <si>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</si>
  <si>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</si>
  <si>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</si>
  <si>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</si>
  <si>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</si>
  <si>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</si>
  <si>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</si>
  <si>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</si>
  <si>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</si>
  <si>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</si>
  <si>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</si>
  <si>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</si>
  <si>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</si>
  <si>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</si>
  <si>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</si>
  <si>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</si>
  <si>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</si>
  <si>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</si>
  <si>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</si>
  <si>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</si>
  <si>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</si>
  <si>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</si>
  <si>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</si>
  <si>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</si>
  <si>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</si>
  <si>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</si>
  <si>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</si>
  <si>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</si>
  <si>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</si>
  <si>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</si>
  <si>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</si>
  <si>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</si>
  <si>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</si>
  <si>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</si>
  <si>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</si>
  <si>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</si>
  <si>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</si>
  <si>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</si>
  <si>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</si>
  <si>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</si>
  <si>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</si>
  <si>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</si>
  <si>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</si>
  <si>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</si>
  <si>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</si>
  <si>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</si>
  <si>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</si>
  <si>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</si>
  <si>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</si>
  <si>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</si>
  <si>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</si>
  <si>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</si>
  <si>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</si>
  <si>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</si>
  <si>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</si>
  <si>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</si>
  <si>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</si>
  <si>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</si>
  <si>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</si>
  <si>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</si>
  <si>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</si>
  <si>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</si>
  <si>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</si>
  <si>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</si>
  <si>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</si>
  <si>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</si>
  <si>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</si>
  <si>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</si>
  <si>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</si>
  <si>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</si>
  <si>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</si>
  <si>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</si>
  <si>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</si>
  <si>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</si>
  <si>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</si>
  <si>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</si>
  <si>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</si>
  <si>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</si>
  <si>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</si>
  <si>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</si>
  <si>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</si>
  <si>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</si>
  <si>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</si>
  <si>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</si>
  <si>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</si>
  <si>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</si>
  <si>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</si>
  <si>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</si>
  <si>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</si>
  <si>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</si>
  <si>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</si>
  <si>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</si>
  <si>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</si>
  <si>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</si>
  <si>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</si>
  <si>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</si>
  <si>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</si>
  <si>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</si>
  <si>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</si>
  <si>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</si>
  <si>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</si>
  <si>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</si>
  <si>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</si>
  <si>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</si>
  <si>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</si>
  <si>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</si>
  <si>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</si>
  <si>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</si>
  <si>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</si>
  <si>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</si>
  <si>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</si>
  <si>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</si>
  <si>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</si>
  <si>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</si>
  <si>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</si>
  <si>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</si>
  <si>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</si>
  <si>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</si>
  <si>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</si>
  <si>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</si>
  <si>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</si>
  <si>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</si>
  <si>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</si>
  <si>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</si>
  <si>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</si>
  <si>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</si>
  <si>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</si>
  <si>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</si>
  <si>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</si>
  <si>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</si>
  <si>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</si>
  <si>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</si>
  <si>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</si>
  <si>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</si>
  <si>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</si>
  <si>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</si>
  <si>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</si>
  <si>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</si>
  <si>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</si>
  <si>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</si>
  <si>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</si>
  <si>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</si>
  <si>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</si>
  <si>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</si>
  <si>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</si>
  <si>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</si>
  <si>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</si>
  <si>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</si>
  <si>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</si>
  <si>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</si>
  <si>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</si>
  <si>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</si>
  <si>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</si>
  <si>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</si>
  <si>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</si>
  <si>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</si>
  <si>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</si>
  <si>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</si>
  <si>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</si>
  <si>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</si>
  <si>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</si>
  <si>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</si>
  <si>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</si>
  <si>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</si>
  <si>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</si>
  <si>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</si>
  <si>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</si>
  <si>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</si>
  <si>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</si>
  <si>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</si>
  <si>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</si>
  <si>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</si>
  <si>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</si>
  <si>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</si>
  <si>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</si>
  <si>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</si>
  <si>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</si>
  <si>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</si>
  <si>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</si>
  <si>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</si>
  <si>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</si>
  <si>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</si>
  <si>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</si>
  <si>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</si>
  <si>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</si>
  <si>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</si>
  <si>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</si>
  <si>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</si>
  <si>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</si>
  <si>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</si>
  <si>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</si>
  <si>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</si>
  <si>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</si>
  <si>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</si>
  <si>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</si>
  <si>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</si>
  <si>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</si>
  <si>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</si>
  <si>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</si>
  <si>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</si>
  <si>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</si>
  <si>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</si>
  <si>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</si>
  <si>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</si>
  <si>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</si>
  <si>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</si>
  <si>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</si>
  <si>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</si>
  <si>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</si>
  <si>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</si>
  <si>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</si>
  <si>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</si>
  <si>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</si>
  <si>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</si>
  <si>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</si>
  <si>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</si>
  <si>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</si>
  <si>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</si>
  <si>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</si>
  <si>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</si>
  <si>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</si>
  <si>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</si>
  <si>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</si>
  <si>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</si>
  <si>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</si>
  <si>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</si>
  <si>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</si>
  <si>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</si>
  <si>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</si>
  <si>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</si>
  <si>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</si>
  <si>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</si>
  <si>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</si>
  <si>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</si>
  <si>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</si>
  <si>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</si>
  <si>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</si>
  <si>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</si>
  <si>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</si>
  <si>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</si>
  <si>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</si>
  <si>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</si>
  <si>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</si>
  <si>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</si>
  <si>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</si>
  <si>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</si>
  <si>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</si>
  <si>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</si>
  <si>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</si>
  <si>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</si>
  <si>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</si>
  <si>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</si>
  <si>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</si>
  <si>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</si>
  <si>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</si>
  <si>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</si>
  <si>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</si>
  <si>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</si>
  <si>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</si>
  <si>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</si>
  <si>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</si>
  <si>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</si>
  <si>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</si>
  <si>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</si>
  <si>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</si>
  <si>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</si>
  <si>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</si>
  <si>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</si>
  <si>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</si>
  <si>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</si>
  <si>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</si>
  <si>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</si>
  <si>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</si>
  <si>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</si>
  <si>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</si>
  <si>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</si>
  <si>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</si>
  <si>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</si>
  <si>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</si>
  <si>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</si>
  <si>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</si>
  <si>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</si>
  <si>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</si>
  <si>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</si>
  <si>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</si>
  <si>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</si>
  <si>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</si>
  <si>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</si>
  <si>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</si>
  <si>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</si>
  <si>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</si>
  <si>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</si>
  <si>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</si>
  <si>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</si>
  <si>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</si>
  <si>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</si>
  <si>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</si>
  <si>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</si>
  <si>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</si>
  <si>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</si>
  <si>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</si>
  <si>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</si>
  <si>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</si>
  <si>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</si>
  <si>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</si>
  <si>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</si>
  <si>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</si>
  <si>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</si>
  <si>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</si>
  <si>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</si>
  <si>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</si>
  <si>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</si>
  <si>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</si>
  <si>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</si>
  <si>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</si>
  <si>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</si>
  <si>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</si>
  <si>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</si>
  <si>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</si>
  <si>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</si>
  <si>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</si>
  <si>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</si>
  <si>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</si>
  <si>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</si>
  <si>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</si>
  <si>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</si>
  <si>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</si>
  <si>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</si>
  <si>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</si>
  <si>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</si>
  <si>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</si>
  <si>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</si>
  <si>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</si>
  <si>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</si>
  <si>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</si>
  <si>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</si>
  <si>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</si>
  <si>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</si>
  <si>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</si>
  <si>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</si>
  <si>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</si>
  <si>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</si>
  <si>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</si>
  <si>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</si>
  <si>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</si>
  <si>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</si>
  <si>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</si>
  <si>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</si>
  <si>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</si>
  <si>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</si>
  <si>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</si>
  <si>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</si>
  <si>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</si>
  <si>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</si>
  <si>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</si>
  <si>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</si>
  <si>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</si>
  <si>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</si>
  <si>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</si>
  <si>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</si>
  <si>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</si>
  <si>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</si>
  <si>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</si>
  <si>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</si>
  <si>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</si>
  <si>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</si>
  <si>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</si>
  <si>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</si>
  <si>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</si>
  <si>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</si>
  <si>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</si>
  <si>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</si>
  <si>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</si>
  <si>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</si>
  <si>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</si>
  <si>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</si>
  <si>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</si>
  <si>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</si>
  <si>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</si>
  <si>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</si>
  <si>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</si>
  <si>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</si>
  <si>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</si>
  <si>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</si>
  <si>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</si>
  <si>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</si>
  <si>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</si>
  <si>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</si>
  <si>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</si>
  <si>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</si>
  <si>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</si>
  <si>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</si>
  <si>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</si>
  <si>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</si>
  <si>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</si>
  <si>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</si>
  <si>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</si>
  <si>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</si>
  <si>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</si>
  <si>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</si>
  <si>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</si>
  <si>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</si>
  <si>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</si>
  <si>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</si>
  <si>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</si>
  <si>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</si>
  <si>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</si>
  <si>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</si>
  <si>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</si>
  <si>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</si>
  <si>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</si>
  <si>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</si>
  <si>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</si>
  <si>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</si>
  <si>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</si>
  <si>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</si>
  <si>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</si>
  <si>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</si>
  <si>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</si>
  <si>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</si>
  <si>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</si>
  <si>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</si>
  <si>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</si>
  <si>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</si>
  <si>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</si>
  <si>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</si>
  <si>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</si>
  <si>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</si>
  <si>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</si>
  <si>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</si>
  <si>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</si>
  <si>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</si>
  <si>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</si>
  <si>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</si>
  <si>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</si>
  <si>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</si>
  <si>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</si>
  <si>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</si>
  <si>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</si>
  <si>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</si>
  <si>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</si>
  <si>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</si>
  <si>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</si>
  <si>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</si>
  <si>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</si>
  <si>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</si>
  <si>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</si>
  <si>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</si>
  <si>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</si>
  <si>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</si>
  <si>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</si>
  <si>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</si>
  <si>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</si>
  <si>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</si>
  <si>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</si>
  <si>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</si>
  <si>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</si>
  <si>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</si>
  <si>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</si>
  <si>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</si>
  <si>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</si>
  <si>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</si>
  <si>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</si>
  <si>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</si>
  <si>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</si>
  <si>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</si>
  <si>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</si>
  <si>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</si>
  <si>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</si>
  <si>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</si>
  <si>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</si>
  <si>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</si>
  <si>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</si>
  <si>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</si>
  <si>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</si>
  <si>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</si>
  <si>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</si>
  <si>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</si>
  <si>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</si>
  <si>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</si>
  <si>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</si>
  <si>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</si>
  <si>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</si>
  <si>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</si>
  <si>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</si>
  <si>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</si>
  <si>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</si>
  <si>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</si>
  <si>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</si>
  <si>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</si>
  <si>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</si>
  <si>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</si>
  <si>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</si>
  <si>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</si>
  <si>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</si>
  <si>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</si>
  <si>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</si>
  <si>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</si>
  <si>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</si>
  <si>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</si>
  <si>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</si>
  <si>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</si>
  <si>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</si>
  <si>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</si>
  <si>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</si>
  <si>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</si>
  <si>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</si>
  <si>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</si>
  <si>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</si>
  <si>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</si>
  <si>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</si>
  <si>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</si>
  <si>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</si>
  <si>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</si>
  <si>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</si>
  <si>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</si>
  <si>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</si>
  <si>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</si>
  <si>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</si>
  <si>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</si>
  <si>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</si>
  <si>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</si>
  <si>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</si>
  <si>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</si>
  <si>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</si>
  <si>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</si>
  <si>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</si>
  <si>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</si>
  <si>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</si>
  <si>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</si>
  <si>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</si>
  <si>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</si>
  <si>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</si>
  <si>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</si>
  <si>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</si>
  <si>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</si>
  <si>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</si>
  <si>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</si>
  <si>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</si>
  <si>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</si>
  <si>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</si>
  <si>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</si>
  <si>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</si>
  <si>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</si>
  <si>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</si>
  <si>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</si>
  <si>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</si>
  <si>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</si>
  <si>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</si>
  <si>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</si>
  <si>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</si>
  <si>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</si>
  <si>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</si>
  <si>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</si>
  <si>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</si>
  <si>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</si>
  <si>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</si>
  <si>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</si>
  <si>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</si>
  <si>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</si>
  <si>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</si>
  <si>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</si>
  <si>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</si>
  <si>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</si>
  <si>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</si>
  <si>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</si>
  <si>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</si>
  <si>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</si>
  <si>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</si>
  <si>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</si>
  <si>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</si>
  <si>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</si>
  <si>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</si>
  <si>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</si>
  <si>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</si>
  <si>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</si>
  <si>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</si>
  <si>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</si>
  <si>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</si>
  <si>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</si>
  <si>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</si>
  <si>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</si>
  <si>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</si>
  <si>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</si>
  <si>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</si>
  <si>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</si>
  <si>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</si>
  <si>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</si>
  <si>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</si>
  <si>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</si>
  <si>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</si>
  <si>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</si>
  <si>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</si>
  <si>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</si>
  <si>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</si>
  <si>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</si>
  <si>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</si>
  <si>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</si>
  <si>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</si>
  <si>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</si>
  <si>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</si>
  <si>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</si>
  <si>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</si>
  <si>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</si>
  <si>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</si>
  <si>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</si>
  <si>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</si>
  <si>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</si>
  <si>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</si>
  <si>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</si>
  <si>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</si>
  <si>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</si>
  <si>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</si>
  <si>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</si>
  <si>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</si>
  <si>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</si>
  <si>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</si>
  <si>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</si>
  <si>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</si>
  <si>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</si>
  <si>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</si>
  <si>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</si>
  <si>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</si>
  <si>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</si>
  <si>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</si>
  <si>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</si>
  <si>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</si>
  <si>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</si>
  <si>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</si>
  <si>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</si>
  <si>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</si>
  <si>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</si>
  <si>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</si>
  <si>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</si>
  <si>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</si>
  <si>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</si>
  <si>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</si>
  <si>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</si>
  <si>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</si>
  <si>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</si>
  <si>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</si>
  <si>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</si>
  <si>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</si>
  <si>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</si>
  <si>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</si>
  <si>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</si>
  <si>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</si>
  <si>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</si>
  <si>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</si>
  <si>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</si>
  <si>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</si>
  <si>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</si>
  <si>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</si>
  <si>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</si>
  <si>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</si>
  <si>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</si>
  <si>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</si>
  <si>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</si>
  <si>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</si>
  <si>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</si>
  <si>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</si>
  <si>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</si>
  <si>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</si>
  <si>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</si>
  <si>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</si>
  <si>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</si>
  <si>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</si>
  <si>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</si>
  <si>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</si>
  <si>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</si>
  <si>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</si>
  <si>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</si>
  <si>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</si>
  <si>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</si>
  <si>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</si>
  <si>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</si>
  <si>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</si>
  <si>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</si>
  <si>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</si>
  <si>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</si>
  <si>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</si>
  <si>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</si>
  <si>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</si>
  <si>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</si>
  <si>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</si>
  <si>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</si>
  <si>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</si>
  <si>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</si>
  <si>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</si>
  <si>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</si>
  <si>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</si>
  <si>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</si>
  <si>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</si>
  <si>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</si>
  <si>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</si>
  <si>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</si>
  <si>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</si>
  <si>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</si>
  <si>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</si>
  <si>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</si>
  <si>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</si>
  <si>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</si>
  <si>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</si>
  <si>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</si>
  <si>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</si>
  <si>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</si>
  <si>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</si>
  <si>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</si>
  <si>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</si>
  <si>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</si>
  <si>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</si>
  <si>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</si>
  <si>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</si>
  <si>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</si>
  <si>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</si>
  <si>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</si>
  <si>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</si>
  <si>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</si>
  <si>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</si>
  <si>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</si>
  <si>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</si>
  <si>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</si>
  <si>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</si>
  <si>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</si>
  <si>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</si>
  <si>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</si>
  <si>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</si>
  <si>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</si>
  <si>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</si>
  <si>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</si>
  <si>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</si>
  <si>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</si>
  <si>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</si>
  <si>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</si>
  <si>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</si>
  <si>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</si>
  <si>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</si>
  <si>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</si>
  <si>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</si>
  <si>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</si>
  <si>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</si>
  <si>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</si>
  <si>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</si>
  <si>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</si>
  <si>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</si>
  <si>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</si>
  <si>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</si>
  <si>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</si>
  <si>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</si>
  <si>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</si>
  <si>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</si>
  <si>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</si>
  <si>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</si>
  <si>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</si>
  <si>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</si>
  <si>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</si>
  <si>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</si>
  <si>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</si>
  <si>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</si>
  <si>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</si>
  <si>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</si>
  <si>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</si>
  <si>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</si>
  <si>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</si>
  <si>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</si>
  <si>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</si>
  <si>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</si>
  <si>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</si>
  <si>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</si>
  <si>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</si>
  <si>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</si>
  <si>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</si>
  <si>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</si>
  <si>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</si>
  <si>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</si>
  <si>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</si>
  <si>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</si>
  <si>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</si>
  <si>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</si>
  <si>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</si>
  <si>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</si>
  <si>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</si>
  <si>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</si>
  <si>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</si>
  <si>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</si>
  <si>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</si>
  <si>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</si>
  <si>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</si>
  <si>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</si>
  <si>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</si>
  <si>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</si>
  <si>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</si>
  <si>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</si>
  <si>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</si>
  <si>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</si>
  <si>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</si>
  <si>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</si>
  <si>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</si>
  <si>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</si>
  <si>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</si>
  <si>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</si>
  <si>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</si>
  <si>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</si>
  <si>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</si>
  <si>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</si>
  <si>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</si>
  <si>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</si>
  <si>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</si>
  <si>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</si>
  <si>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</si>
  <si>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</si>
  <si>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</si>
  <si>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</si>
  <si>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</si>
  <si>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</si>
  <si>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</si>
  <si>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</si>
  <si>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</si>
  <si>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</si>
  <si>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</si>
  <si>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</si>
  <si>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</si>
  <si>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</si>
  <si>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</si>
  <si>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</si>
  <si>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</si>
  <si>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</si>
  <si>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</si>
  <si>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</si>
  <si>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</si>
  <si>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</si>
  <si>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</si>
  <si>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</si>
  <si>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</si>
  <si>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</si>
  <si>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</si>
  <si>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</si>
  <si>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</si>
  <si>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</si>
  <si>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</si>
  <si>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</si>
  <si>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</si>
  <si>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</si>
  <si>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</si>
  <si>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</si>
  <si>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</si>
  <si>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</si>
  <si>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</si>
  <si>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</si>
  <si>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</si>
  <si>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</si>
  <si>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</si>
  <si>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</si>
  <si>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</si>
  <si>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</si>
  <si>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</si>
  <si>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</si>
  <si>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</si>
  <si>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</si>
  <si>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</si>
  <si>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</si>
  <si>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</si>
  <si>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</si>
  <si>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</si>
  <si>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</si>
  <si>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</si>
  <si>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</si>
  <si>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</si>
  <si>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</si>
  <si>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</si>
  <si>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</si>
  <si>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</si>
  <si>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</si>
  <si>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</si>
  <si>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</si>
  <si>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</si>
  <si>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</si>
  <si>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</si>
  <si>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</si>
  <si>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</si>
  <si>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</si>
  <si>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</si>
  <si>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</si>
  <si>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</si>
  <si>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</si>
  <si>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</si>
  <si>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</si>
  <si>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</si>
  <si>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</si>
  <si>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</si>
  <si>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</si>
  <si>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</si>
  <si>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</si>
  <si>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</si>
  <si>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</si>
  <si>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</si>
  <si>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</si>
  <si>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</si>
  <si>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</si>
  <si>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</si>
  <si>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</si>
  <si>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</si>
  <si>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</si>
  <si>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</si>
  <si>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</si>
  <si>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</si>
  <si>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</si>
  <si>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</si>
  <si>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</si>
  <si>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</si>
  <si>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</si>
  <si>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</si>
  <si>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</si>
  <si>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</si>
  <si>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</si>
  <si>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</si>
  <si>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</si>
  <si>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</si>
  <si>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</si>
  <si>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</si>
  <si>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</si>
  <si>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</si>
  <si>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</si>
  <si>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</si>
  <si>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</si>
  <si>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</si>
  <si>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</si>
  <si>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</si>
  <si>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</si>
  <si>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</si>
  <si>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</si>
  <si>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</si>
  <si>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</si>
  <si>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</si>
  <si>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</si>
  <si>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</si>
  <si>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</si>
  <si>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</si>
  <si>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</si>
  <si>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</si>
  <si>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</si>
  <si>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</si>
  <si>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</si>
  <si>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</si>
  <si>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</si>
  <si>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</si>
  <si>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</si>
  <si>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</si>
  <si>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</si>
  <si>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</si>
  <si>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</si>
  <si>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</si>
  <si>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</si>
  <si>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</si>
  <si>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</si>
  <si>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</si>
  <si>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</si>
  <si>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</si>
  <si>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</si>
  <si>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</si>
  <si>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</si>
  <si>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</si>
  <si>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</si>
  <si>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</si>
  <si>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</si>
  <si>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</si>
  <si>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</si>
  <si>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</si>
  <si>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</si>
  <si>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</si>
  <si>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</si>
  <si>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</si>
  <si>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</si>
  <si>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</si>
  <si>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</si>
  <si>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</si>
  <si>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</si>
  <si>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</si>
  <si>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</si>
  <si>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</si>
  <si>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</si>
  <si>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</si>
  <si>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</si>
  <si>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</si>
  <si>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</si>
  <si>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</si>
  <si>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</si>
  <si>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</si>
  <si>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</si>
  <si>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</si>
  <si>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</si>
  <si>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</si>
  <si>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</si>
  <si>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</si>
  <si>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</si>
  <si>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</si>
  <si>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</si>
  <si>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</si>
  <si>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</si>
  <si>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</si>
  <si>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</si>
  <si>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</si>
  <si>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</si>
  <si>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</si>
  <si>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</si>
  <si>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</si>
  <si>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</si>
  <si>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</si>
  <si>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</si>
  <si>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</si>
  <si>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</si>
  <si>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</si>
  <si>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</si>
  <si>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</si>
  <si>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</si>
  <si>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</si>
  <si>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</si>
  <si>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</si>
  <si>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</si>
  <si>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</si>
  <si>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</si>
  <si>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</si>
  <si>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</si>
  <si>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</si>
  <si>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</si>
  <si>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</si>
  <si>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</si>
  <si>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</si>
  <si>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</si>
  <si>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</si>
  <si>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</si>
  <si>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</si>
  <si>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</si>
  <si>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</si>
  <si>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</si>
  <si>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</si>
  <si>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</si>
  <si>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</si>
  <si>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</si>
  <si>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</si>
  <si>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</si>
  <si>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</si>
  <si>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</si>
  <si>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</si>
  <si>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</si>
  <si>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</si>
  <si>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</si>
  <si>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</si>
  <si>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</si>
  <si>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</si>
  <si>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</si>
  <si>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</si>
  <si>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</si>
  <si>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</si>
  <si>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</si>
  <si>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</si>
  <si>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</si>
  <si>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</si>
  <si>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</si>
  <si>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</si>
  <si>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</si>
  <si>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</si>
  <si>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</si>
  <si>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</si>
  <si>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</si>
  <si>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</si>
  <si>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</si>
  <si>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</si>
  <si>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</si>
  <si>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</si>
  <si>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</si>
  <si>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</si>
  <si>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</si>
  <si>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</si>
  <si>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</si>
  <si>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</si>
  <si>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</si>
  <si>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</si>
  <si>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</si>
  <si>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</si>
  <si>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</si>
  <si>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</si>
  <si>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</si>
  <si>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</si>
  <si>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</si>
  <si>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</si>
  <si>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</si>
  <si>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</si>
  <si>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</si>
  <si>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</si>
  <si>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</si>
  <si>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</si>
  <si>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</si>
  <si>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</si>
  <si>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</si>
  <si>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</si>
  <si>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</si>
  <si>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</si>
  <si>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</si>
  <si>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</si>
  <si>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</si>
  <si>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</si>
  <si>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</si>
  <si>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</si>
  <si>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</si>
  <si>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</si>
  <si>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</si>
  <si>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</si>
  <si>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</si>
  <si>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</si>
  <si>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</si>
  <si>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</si>
  <si>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</si>
  <si>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</si>
  <si>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</si>
  <si>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</si>
  <si>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</si>
  <si>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</si>
  <si>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</si>
  <si>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</si>
  <si>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</si>
  <si>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</si>
  <si>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</si>
  <si>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</si>
  <si>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</si>
  <si>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</si>
  <si>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</si>
  <si>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</si>
  <si>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</si>
  <si>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</si>
  <si>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</si>
  <si>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</si>
  <si>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</si>
  <si>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</si>
  <si>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</si>
  <si>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</si>
  <si>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</si>
  <si>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</si>
  <si>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</si>
  <si>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</si>
  <si>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</si>
  <si>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</si>
  <si>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</si>
  <si>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</si>
  <si>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</si>
  <si>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</si>
  <si>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</si>
  <si>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</si>
  <si>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</si>
  <si>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</si>
  <si>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</si>
  <si>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</si>
  <si>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</si>
  <si>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</si>
  <si>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</si>
  <si>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</si>
  <si>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</si>
  <si>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</si>
  <si>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</si>
  <si>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</si>
  <si>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</si>
  <si>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</si>
  <si>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</si>
  <si>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</si>
  <si>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</si>
  <si>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</si>
  <si>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</si>
  <si>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</si>
  <si>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</si>
  <si>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</si>
  <si>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</si>
  <si>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</si>
  <si>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</si>
  <si>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</si>
  <si>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</si>
  <si>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</si>
  <si>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</si>
  <si>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</si>
  <si>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</si>
  <si>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</si>
  <si>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</si>
  <si>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</si>
  <si>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</si>
  <si>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</si>
  <si>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</si>
  <si>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</si>
  <si>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</si>
  <si>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</si>
  <si>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</si>
  <si>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</si>
  <si>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</si>
  <si>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</si>
  <si>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</si>
  <si>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</si>
  <si>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</si>
  <si>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</si>
  <si>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</si>
  <si>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</si>
  <si>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</si>
  <si>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</si>
  <si>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</si>
  <si>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</si>
  <si>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</si>
  <si>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</si>
  <si>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</si>
  <si>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</si>
  <si>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</si>
  <si>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</si>
  <si>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</si>
  <si>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</si>
  <si>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</si>
  <si>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</si>
  <si>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</si>
  <si>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</si>
  <si>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</si>
  <si>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</si>
  <si>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</si>
  <si>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</si>
  <si>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</si>
  <si>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</si>
  <si>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</si>
  <si>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</si>
  <si>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</si>
  <si>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</si>
  <si>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</si>
  <si>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</si>
  <si>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</si>
  <si>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</si>
  <si>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</si>
  <si>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</si>
  <si>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</si>
  <si>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</si>
  <si>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</si>
  <si>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</si>
  <si>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</si>
  <si>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</si>
  <si>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</si>
  <si>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</si>
  <si>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</si>
  <si>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</si>
  <si>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</si>
  <si>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</si>
  <si>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</si>
  <si>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</si>
  <si>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</si>
  <si>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</si>
  <si>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</si>
  <si>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</si>
  <si>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</si>
  <si>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</si>
  <si>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</si>
  <si>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</si>
  <si>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</si>
  <si>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</si>
  <si>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</si>
  <si>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</si>
  <si>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</si>
  <si>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</si>
  <si>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</si>
  <si>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</si>
  <si>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</si>
  <si>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</si>
  <si>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</si>
  <si>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</si>
  <si>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</si>
  <si>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</si>
  <si>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</si>
  <si>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</si>
  <si>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</si>
  <si>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</si>
  <si>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</si>
  <si>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</si>
  <si>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</si>
  <si>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</si>
  <si>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</si>
  <si>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</si>
  <si>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</si>
  <si>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</si>
  <si>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</si>
  <si>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</si>
  <si>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</si>
  <si>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</si>
  <si>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</si>
  <si>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</si>
  <si>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</si>
  <si>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</si>
  <si>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</si>
  <si>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</si>
  <si>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</si>
  <si>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</si>
  <si>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</si>
  <si>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</si>
  <si>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</si>
  <si>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</si>
  <si>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</si>
  <si>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</si>
  <si>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</si>
  <si>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</si>
  <si>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</si>
  <si>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</si>
  <si>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</si>
  <si>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</si>
  <si>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</si>
  <si>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</si>
  <si>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</si>
  <si>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</si>
  <si>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</si>
  <si>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</si>
  <si>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</si>
  <si>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</si>
  <si>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</si>
  <si>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</si>
  <si>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</si>
  <si>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</si>
  <si>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</si>
  <si>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</si>
  <si>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</si>
  <si>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Koroni LLC</t>
  </si>
  <si>
    <t>Sierra Vista Apartments</t>
  </si>
  <si>
    <t>City of Roseville</t>
  </si>
  <si>
    <t>Jan  Shonkwiler</t>
  </si>
  <si>
    <t>311 Vernon Street</t>
  </si>
  <si>
    <t>Roseville</t>
  </si>
  <si>
    <t>jshonkwiler@roseville.ca.us</t>
  </si>
  <si>
    <t>SW Corner of Pleasant Grove Boulevard and Fiddyment Road</t>
  </si>
  <si>
    <t>40%/60% Average Income</t>
  </si>
  <si>
    <t>3007 Douglas Boulevard Suite 170</t>
  </si>
  <si>
    <t>CA</t>
  </si>
  <si>
    <t>Sam Stamas</t>
  </si>
  <si>
    <t>sstamas@surewest.net</t>
  </si>
  <si>
    <t>Administrative GP</t>
  </si>
  <si>
    <t>Adarte LLC</t>
  </si>
  <si>
    <t>Paul Z. Stamas</t>
  </si>
  <si>
    <t>(916) 783-0300</t>
  </si>
  <si>
    <t>pzstamas@surewst.net</t>
  </si>
  <si>
    <t>Greek Orthodox Housing Corporation</t>
  </si>
  <si>
    <t>4120 Douglas Boulevard Suite 306-511</t>
  </si>
  <si>
    <t>Granite Bay</t>
  </si>
  <si>
    <t>Makis Stathopoulos</t>
  </si>
  <si>
    <t>ghc@surewest.net</t>
  </si>
  <si>
    <t>Sabelhaus &amp; Strain PC</t>
  </si>
  <si>
    <t>1724 10th Street, Suite 110</t>
  </si>
  <si>
    <t>Stephen Strain</t>
  </si>
  <si>
    <t>sstrain@sabelhauslaw.com</t>
  </si>
  <si>
    <t>Attorney / Consultant</t>
  </si>
  <si>
    <t>Roseville, CA 95661</t>
  </si>
  <si>
    <t>Sacramento, CA 95811</t>
  </si>
  <si>
    <t>Bernard Rea, CPA</t>
  </si>
  <si>
    <t>P.O. Box 492</t>
  </si>
  <si>
    <t>Aubrey, TX 76227</t>
  </si>
  <si>
    <t>Bernard Rea</t>
  </si>
  <si>
    <t>BReaCPA@aol.com</t>
  </si>
  <si>
    <t>Sausalito Art &amp; Architecture</t>
  </si>
  <si>
    <t>480 Gate Five Road, Suite 260</t>
  </si>
  <si>
    <t>Sausalito, CA 94965</t>
  </si>
  <si>
    <t>Robert South</t>
  </si>
  <si>
    <t>robertsouth088@gmail.com</t>
  </si>
  <si>
    <t>Stamas Corporation</t>
  </si>
  <si>
    <t>pzstamas@surewest.net</t>
  </si>
  <si>
    <t>Raney Planning &amp; Management, Inc.</t>
  </si>
  <si>
    <t>1501 Sports Drive, Suite A</t>
  </si>
  <si>
    <t>Sacramento, CA 95834</t>
  </si>
  <si>
    <t>Stefanie Williams</t>
  </si>
  <si>
    <t>swilliams@laurinassociates.com</t>
  </si>
  <si>
    <t>FPI Management Inc.</t>
  </si>
  <si>
    <t>California Municipal Finance Authority</t>
  </si>
  <si>
    <t>2111 Palomar Airport Road, Suite 320</t>
  </si>
  <si>
    <t>Carlsbad, CA 92011</t>
  </si>
  <si>
    <t>(760) 930-1221</t>
  </si>
  <si>
    <t>800 Iron Point Road</t>
  </si>
  <si>
    <t>Folsom, CA 95630</t>
  </si>
  <si>
    <t>Monica Treat</t>
  </si>
  <si>
    <t>monicat.treat@fpimgt.com</t>
  </si>
  <si>
    <t>SVC1, LLC</t>
  </si>
  <si>
    <t>Karen Hadley</t>
  </si>
  <si>
    <t>John L. Mourier</t>
  </si>
  <si>
    <t>Member</t>
  </si>
  <si>
    <t>1430 Blue Oaks Boulevard, Suite 190</t>
  </si>
  <si>
    <t>, Roseville, CA 95747</t>
  </si>
  <si>
    <t>Secured by Fee Interest</t>
  </si>
  <si>
    <t>Other (Specify below)</t>
  </si>
  <si>
    <t>High Density Residential (HDR)</t>
  </si>
  <si>
    <t>Attached Housing (R3) 24.9 units per acre</t>
  </si>
  <si>
    <t>45 feet</t>
  </si>
  <si>
    <t>Tax-Exempt Construction Loan</t>
  </si>
  <si>
    <t>3007 Douglas Boulevard, Suite 170</t>
  </si>
  <si>
    <t>Deferred Reserves</t>
  </si>
  <si>
    <t>Taxable Construction Loan</t>
  </si>
  <si>
    <t>Tax Credit Equity</t>
  </si>
  <si>
    <t>Recyled Bond Construction Loan</t>
  </si>
  <si>
    <t>Permanent Loan</t>
  </si>
  <si>
    <t>Air conditioning</t>
  </si>
  <si>
    <t>Office</t>
  </si>
  <si>
    <t>Taxes / Benefits</t>
  </si>
  <si>
    <t>Supplies</t>
  </si>
  <si>
    <t>Recycled Bonds</t>
  </si>
  <si>
    <t>Provided</t>
  </si>
  <si>
    <t>Not Applicable</t>
  </si>
  <si>
    <t>Recycled bonds</t>
  </si>
  <si>
    <t>498-370-001</t>
  </si>
  <si>
    <t xml:space="preserve">April </t>
  </si>
  <si>
    <t>Makis Stathopoulous</t>
  </si>
  <si>
    <t>President of Greek Orthodox Housing</t>
  </si>
  <si>
    <t>Citibank, N.A.</t>
  </si>
  <si>
    <t>WNC &amp; Associates</t>
  </si>
  <si>
    <t>Fixed</t>
  </si>
  <si>
    <t>Paul Stamas</t>
  </si>
  <si>
    <t>CDBG Loan</t>
  </si>
  <si>
    <t>CUAC</t>
  </si>
  <si>
    <t>Bond Counsel &amp; CDLAC Fees</t>
  </si>
  <si>
    <t>Borrower Counsel</t>
  </si>
  <si>
    <t>Bank Inspections</t>
  </si>
  <si>
    <t>Contributed Developer Fee</t>
  </si>
  <si>
    <t>4120 Douglas Boulevard, Suite 306-511</t>
  </si>
  <si>
    <t>Jessica Captanis</t>
  </si>
  <si>
    <t>jcaptanis@wncinc.com</t>
  </si>
  <si>
    <t>17782 Sky Park Circle</t>
  </si>
  <si>
    <t>Irvine, CA 92614</t>
  </si>
  <si>
    <t>Irvine</t>
  </si>
  <si>
    <t>300 South Grand Avenue, Suite 3110</t>
  </si>
  <si>
    <t>Mike Hemmens</t>
  </si>
  <si>
    <t>GP  Loan</t>
  </si>
  <si>
    <t>316 Vernon Street #150</t>
  </si>
  <si>
    <t>Kristine Faelz</t>
  </si>
  <si>
    <t>Mourier Investments, LLC</t>
  </si>
  <si>
    <t>Ben Barker</t>
  </si>
  <si>
    <t>bbarker@cmfa-ca.com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</si>
</sst>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6" xfId="0" applyFont="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0" borderId="11" xfId="0" applyNumberFormat="1" applyFont="1" applyBorder="1" applyAlignment="1">
      <alignment horizontal="center"/>
    </xf>
    <xf numFmtId="0" fontId="0" fillId="0" borderId="6" xfId="0" applyBorder="1" applyAlignment="1" applyProtection="1">
      <alignment horizontal="center"/>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23" fillId="0" borderId="11" xfId="0" applyNumberFormat="1" applyFont="1" applyBorder="1" applyAlignment="1">
      <alignment horizontal="center"/>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0" fontId="0" fillId="43" borderId="10" xfId="0" applyFill="1" applyBorder="1" applyAlignment="1" applyProtection="1">
      <alignment horizontal="left"/>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68" fontId="23"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20" fontId="0" fillId="5" borderId="3" xfId="0" applyNumberFormat="1" applyFill="1" applyBorder="1" applyAlignment="1" applyProtection="1">
      <alignment horizontal="left"/>
      <protection locked="0"/>
    </xf>
    <xf numFmtId="0" fontId="21" fillId="0" borderId="9" xfId="0" applyFont="1" applyBorder="1" applyAlignment="1">
      <alignment horizontal="center"/>
    </xf>
    <xf numFmtId="0" fontId="21" fillId="0" borderId="6" xfId="0" applyFont="1" applyBorder="1" applyAlignment="1">
      <alignment horizontal="center"/>
    </xf>
    <xf numFmtId="0" fontId="21" fillId="0" borderId="10" xfId="0" applyFont="1" applyBorder="1" applyAlignment="1">
      <alignment horizontal="center"/>
    </xf>
    <xf numFmtId="0" fontId="0" fillId="43" borderId="6" xfId="0" applyFill="1" applyBorder="1" applyAlignment="1" applyProtection="1">
      <alignment horizontal="center"/>
      <protection locked="0"/>
    </xf>
    <xf numFmtId="0" fontId="14" fillId="5" borderId="6" xfId="0" applyFont="1" applyFill="1" applyBorder="1" applyAlignment="1" applyProtection="1">
      <alignment horizontal="lef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4" fillId="5" borderId="4" xfId="0" applyFont="1" applyFill="1" applyBorder="1" applyAlignment="1" applyProtection="1">
      <alignment horizontal="center"/>
      <protection locked="0"/>
    </xf>
    <xf numFmtId="0" fontId="23" fillId="5" borderId="6" xfId="0"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3" fontId="23" fillId="0" borderId="11" xfId="0" applyNumberFormat="1" applyFont="1" applyBorder="1" applyAlignment="1">
      <alignment horizontal="center"/>
    </xf>
    <xf numFmtId="0" fontId="14" fillId="5" borderId="4"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0" borderId="3" xfId="0" applyFont="1" applyBorder="1" applyAlignment="1">
      <alignment horizontal="center"/>
    </xf>
    <xf numFmtId="0" fontId="23"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0" borderId="11" xfId="543"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14"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4" fillId="5" borderId="6" xfId="0" applyNumberFormat="1" applyFont="1" applyFill="1" applyBorder="1" applyAlignment="1" applyProtection="1">
      <alignment horizontal="left"/>
      <protection locked="0"/>
    </xf>
    <xf numFmtId="0" fontId="0" fillId="43" borderId="4" xfId="0" applyFill="1" applyBorder="1" applyAlignment="1" applyProtection="1">
      <alignment horizontal="left"/>
      <protection locked="0"/>
    </xf>
    <xf numFmtId="0" fontId="33" fillId="5" borderId="6" xfId="0" applyFont="1" applyFill="1" applyBorder="1" applyAlignment="1" applyProtection="1">
      <alignment horizontal="left"/>
      <protection locked="0"/>
    </xf>
    <xf numFmtId="2" fontId="0" fillId="0" borderId="6" xfId="0" applyNumberFormat="1" applyBorder="1" applyAlignment="1">
      <alignment horizontal="center"/>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0" fillId="0" borderId="0" xfId="0" applyAlignment="1">
      <alignment wrapText="1"/>
    </xf>
    <xf numFmtId="0" fontId="23" fillId="0" borderId="0" xfId="0" applyFont="1" applyAlignment="1">
      <alignment horizontal="left" vertical="top" wrapText="1"/>
    </xf>
    <xf numFmtId="0" fontId="23" fillId="5" borderId="6" xfId="0" applyFont="1" applyFill="1" applyBorder="1" applyAlignment="1" applyProtection="1">
      <alignment horizontal="left" wrapText="1"/>
      <protection locked="0"/>
    </xf>
    <xf numFmtId="166" fontId="14" fillId="5" borderId="4" xfId="0" applyNumberFormat="1" applyFont="1" applyFill="1" applyBorder="1" applyAlignment="1" applyProtection="1">
      <alignment horizontal="left"/>
      <protection locked="0"/>
    </xf>
    <xf numFmtId="0" fontId="23" fillId="0" borderId="6" xfId="0" applyFont="1" applyBorder="1" applyAlignment="1">
      <alignment horizontal="left"/>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0" fontId="23" fillId="5" borderId="4" xfId="0" applyNumberFormat="1" applyFont="1" applyFill="1" applyBorder="1" applyAlignment="1" applyProtection="1">
      <alignment horizontal="right"/>
      <protection locked="0"/>
    </xf>
    <xf numFmtId="0" fontId="23" fillId="0" borderId="1" xfId="0" applyFont="1" applyBorder="1" applyAlignment="1">
      <alignment horizontal="center" vertical="top" wrapText="1"/>
    </xf>
    <xf numFmtId="168" fontId="170" fillId="0" borderId="0" xfId="0" applyNumberFormat="1" applyFont="1" applyAlignment="1">
      <alignment horizontal="center" vertical="center" wrapText="1"/>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11" xfId="0" applyFont="1" applyBorder="1" applyAlignment="1">
      <alignment horizontal="center" vertical="center"/>
    </xf>
    <xf numFmtId="0" fontId="23"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4"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4" fontId="0" fillId="5" borderId="4"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0"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3" fillId="0" borderId="11" xfId="0" applyFont="1" applyBorder="1" applyAlignment="1">
      <alignment horizontal="center" vertical="top" wrapText="1"/>
    </xf>
    <xf numFmtId="0" fontId="23" fillId="0" borderId="11"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4" fillId="0" borderId="0" xfId="543" applyNumberFormat="1" applyAlignment="1">
      <alignment horizontal="center" vertical="center"/>
    </xf>
    <xf numFmtId="168" fontId="0" fillId="5" borderId="11" xfId="0" applyNumberFormat="1" applyFill="1" applyBorder="1" applyProtection="1">
      <protection locked="0"/>
    </xf>
    <xf numFmtId="2" fontId="14" fillId="0" borderId="0" xfId="543" applyNumberFormat="1" applyAlignment="1">
      <alignment horizontal="center"/>
    </xf>
    <xf numFmtId="0" fontId="14"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3" borderId="0" xfId="0" applyFont="1" applyFill="1" applyAlignment="1">
      <alignment horizontal="center" vertical="center"/>
    </xf>
    <xf numFmtId="171" fontId="14" fillId="0" borderId="0" xfId="543" applyNumberFormat="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21" fillId="0" borderId="0" xfId="0" applyFont="1" applyAlignment="1">
      <alignment horizontal="center" vertic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23" fillId="0" borderId="4" xfId="0" applyFont="1" applyBorder="1" applyAlignment="1">
      <alignment horizont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43" borderId="11" xfId="0" applyFont="1" applyFill="1" applyBorder="1" applyAlignment="1" applyProtection="1">
      <alignment horizontal="center"/>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21" fillId="0" borderId="12" xfId="0" applyFont="1" applyBorder="1" applyAlignment="1">
      <alignment horizontal="center" wrapText="1"/>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4" fillId="5" borderId="3" xfId="0" applyNumberFormat="1" applyFont="1" applyFill="1" applyBorder="1" applyAlignment="1" applyProtection="1">
      <alignment horizontal="righ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3" fillId="0" borderId="3" xfId="0" applyFont="1" applyBorder="1" applyAlignment="1">
      <alignment horizontal="left"/>
    </xf>
    <xf numFmtId="0" fontId="14" fillId="0" borderId="0" xfId="0" applyFont="1" applyAlignment="1">
      <alignment wrapText="1"/>
    </xf>
    <xf numFmtId="172" fontId="21" fillId="0" borderId="11" xfId="0" applyNumberFormat="1" applyFont="1" applyBorder="1" applyAlignment="1">
      <alignment horizontal="center" vertical="center" wrapText="1"/>
    </xf>
    <xf numFmtId="0" fontId="23" fillId="5" borderId="6" xfId="271" applyFill="1" applyBorder="1" applyProtection="1">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ED9CFB38-EB14-4596-ACF7-BEEDF3B89466}"/>
    <cellStyle name="20% - Accent1 11" xfId="8729" xr:uid="{F2060C03-19AC-4A5C-94BA-815FC3765C38}"/>
    <cellStyle name="20% - Accent1 2" xfId="2" xr:uid="{00000000-0005-0000-0000-000002000000}"/>
    <cellStyle name="20% - Accent1 2 10" xfId="8730" xr:uid="{15AA0A90-1232-4044-814C-2A96D5A84D9D}"/>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6135DFBA-C0E2-4965-AD95-5EBDB9F07EB7}"/>
    <cellStyle name="20% - Accent1 2 2 2 2 2 3" xfId="11291" xr:uid="{F472290C-073F-4271-B5F9-06621D993599}"/>
    <cellStyle name="20% - Accent1 2 2 2 2 3" xfId="4922" xr:uid="{00000000-0005-0000-0000-000008000000}"/>
    <cellStyle name="20% - Accent1 2 2 2 2 3 2" xfId="13364" xr:uid="{E83BA822-3115-45F1-B287-2A1ABDF1CECD}"/>
    <cellStyle name="20% - Accent1 2 2 2 2 4" xfId="9146" xr:uid="{531B3CD4-0F74-4BF4-8177-67968B175B11}"/>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4D62C6CA-6386-4CDD-ABC8-3C9C65498242}"/>
    <cellStyle name="20% - Accent1 2 2 2 3 2 3" xfId="11704" xr:uid="{5917B9D0-37C5-419F-B603-C28192E6B0C9}"/>
    <cellStyle name="20% - Accent1 2 2 2 3 3" xfId="5335" xr:uid="{00000000-0005-0000-0000-00000C000000}"/>
    <cellStyle name="20% - Accent1 2 2 2 3 3 2" xfId="13777" xr:uid="{3DE0A2E6-9526-43D4-9B8F-ADD00CD72C73}"/>
    <cellStyle name="20% - Accent1 2 2 2 3 4" xfId="9559" xr:uid="{7C0E6E68-44DC-48CF-9632-6C6EBBEC4195}"/>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C3A838EC-D7BC-470A-B1C8-30E8BF57E949}"/>
    <cellStyle name="20% - Accent1 2 2 2 4 2 3" xfId="12117" xr:uid="{54CFE8BB-7CDB-4F57-AF5F-C89C12F199EA}"/>
    <cellStyle name="20% - Accent1 2 2 2 4 3" xfId="5748" xr:uid="{00000000-0005-0000-0000-000010000000}"/>
    <cellStyle name="20% - Accent1 2 2 2 4 3 2" xfId="14190" xr:uid="{6DCC93EE-1547-43DD-BC01-702600965A61}"/>
    <cellStyle name="20% - Accent1 2 2 2 4 4" xfId="9972" xr:uid="{8A3ED199-5920-4C31-BE35-A48301FA871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E87FED12-A60B-4054-8C60-98783D5B82A0}"/>
    <cellStyle name="20% - Accent1 2 2 2 5 2 3" xfId="12530" xr:uid="{E4F5499A-688C-43AB-AAE1-F7A12765309E}"/>
    <cellStyle name="20% - Accent1 2 2 2 5 3" xfId="6161" xr:uid="{00000000-0005-0000-0000-000014000000}"/>
    <cellStyle name="20% - Accent1 2 2 2 5 3 2" xfId="14603" xr:uid="{2B4CE10A-AB8F-49A1-9434-826FADA0A63F}"/>
    <cellStyle name="20% - Accent1 2 2 2 5 4" xfId="10385" xr:uid="{CB094647-4839-4F80-9C9A-0D3D312D8B4C}"/>
    <cellStyle name="20% - Accent1 2 2 2 6" xfId="2267" xr:uid="{00000000-0005-0000-0000-000015000000}"/>
    <cellStyle name="20% - Accent1 2 2 2 6 2" xfId="6574" xr:uid="{00000000-0005-0000-0000-000016000000}"/>
    <cellStyle name="20% - Accent1 2 2 2 6 2 2" xfId="15016" xr:uid="{B3445256-D53A-48C5-A32A-047705493604}"/>
    <cellStyle name="20% - Accent1 2 2 2 6 3" xfId="10798" xr:uid="{283384BB-97CA-4C43-B720-3E085C3BDAD9}"/>
    <cellStyle name="20% - Accent1 2 2 2 7" xfId="4508" xr:uid="{00000000-0005-0000-0000-000017000000}"/>
    <cellStyle name="20% - Accent1 2 2 2 7 2" xfId="12950" xr:uid="{753B1DFB-5C40-446D-B337-116A51830954}"/>
    <cellStyle name="20% - Accent1 2 2 2 8" xfId="8732" xr:uid="{715BBE7C-3B23-4845-91CC-D0DD5B3FE8C5}"/>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79D2C373-65B1-48D4-9F46-6186E6F6B176}"/>
    <cellStyle name="20% - Accent1 2 2 3 2 3" xfId="11290" xr:uid="{CFE9FFE5-645E-4324-936D-EE4DCAD862B2}"/>
    <cellStyle name="20% - Accent1 2 2 3 3" xfId="4921" xr:uid="{00000000-0005-0000-0000-00001B000000}"/>
    <cellStyle name="20% - Accent1 2 2 3 3 2" xfId="13363" xr:uid="{788BB512-52FC-4D94-886B-A1B6354F0214}"/>
    <cellStyle name="20% - Accent1 2 2 3 4" xfId="9145" xr:uid="{C1573DF9-8DDC-438F-8DFE-34F37199FF8C}"/>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21BED738-8D79-4FDE-827C-B399F09EF61E}"/>
    <cellStyle name="20% - Accent1 2 2 4 2 3" xfId="11703" xr:uid="{0AC1DF65-BDA2-431A-B55F-ADBF622CEA31}"/>
    <cellStyle name="20% - Accent1 2 2 4 3" xfId="5334" xr:uid="{00000000-0005-0000-0000-00001F000000}"/>
    <cellStyle name="20% - Accent1 2 2 4 3 2" xfId="13776" xr:uid="{D41379CE-D6E9-41A9-B9D0-8E1B04E90CB0}"/>
    <cellStyle name="20% - Accent1 2 2 4 4" xfId="9558" xr:uid="{566BD64B-8C41-4473-97F9-6B9A8C21FD3A}"/>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A8339CD6-B8BC-48B8-809B-F824B0D2C15C}"/>
    <cellStyle name="20% - Accent1 2 2 5 2 3" xfId="12116" xr:uid="{889DD014-8EA7-41D6-AAB4-D5B1AC2A4202}"/>
    <cellStyle name="20% - Accent1 2 2 5 3" xfId="5747" xr:uid="{00000000-0005-0000-0000-000023000000}"/>
    <cellStyle name="20% - Accent1 2 2 5 3 2" xfId="14189" xr:uid="{BBBE5104-D1CD-4342-AD78-7AC144FFC825}"/>
    <cellStyle name="20% - Accent1 2 2 5 4" xfId="9971" xr:uid="{224F248F-2858-4842-AF2F-A790F6774C6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39699331-044F-487C-9D81-E35D5D21648C}"/>
    <cellStyle name="20% - Accent1 2 2 6 2 3" xfId="12529" xr:uid="{A4ED7930-B44B-4BD6-BF68-538AAB99D994}"/>
    <cellStyle name="20% - Accent1 2 2 6 3" xfId="6160" xr:uid="{00000000-0005-0000-0000-000027000000}"/>
    <cellStyle name="20% - Accent1 2 2 6 3 2" xfId="14602" xr:uid="{8F442F58-1851-4937-979D-1BEDB7E0698E}"/>
    <cellStyle name="20% - Accent1 2 2 6 4" xfId="10384" xr:uid="{B25E59AD-C3A5-4BFD-BF8D-72719656B035}"/>
    <cellStyle name="20% - Accent1 2 2 7" xfId="2266" xr:uid="{00000000-0005-0000-0000-000028000000}"/>
    <cellStyle name="20% - Accent1 2 2 7 2" xfId="6573" xr:uid="{00000000-0005-0000-0000-000029000000}"/>
    <cellStyle name="20% - Accent1 2 2 7 2 2" xfId="15015" xr:uid="{6217E21A-1E47-46CA-9002-AED956A7A9C5}"/>
    <cellStyle name="20% - Accent1 2 2 7 3" xfId="10797" xr:uid="{4D67937E-F8BE-496A-ADBF-01116696EE1B}"/>
    <cellStyle name="20% - Accent1 2 2 8" xfId="4507" xr:uid="{00000000-0005-0000-0000-00002A000000}"/>
    <cellStyle name="20% - Accent1 2 2 8 2" xfId="12949" xr:uid="{93AB6B71-C2BA-472A-862F-1E620FB18C20}"/>
    <cellStyle name="20% - Accent1 2 2 9" xfId="8731" xr:uid="{ED4CB910-2218-4609-A5E0-9D12C8468AA5}"/>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1A81B679-15EE-4F99-909C-112ADFA9E191}"/>
    <cellStyle name="20% - Accent1 2 3 2 2 3" xfId="11292" xr:uid="{DF02448D-BCB3-446E-9624-A98B8B2F26F1}"/>
    <cellStyle name="20% - Accent1 2 3 2 3" xfId="4923" xr:uid="{00000000-0005-0000-0000-00002F000000}"/>
    <cellStyle name="20% - Accent1 2 3 2 3 2" xfId="13365" xr:uid="{1A95097B-2380-4883-AE91-CF2C993C7490}"/>
    <cellStyle name="20% - Accent1 2 3 2 4" xfId="9147" xr:uid="{D74C2A80-D7C0-4246-BF99-0C6953E7C14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377F0E4C-9ABA-453D-981E-3BA2D2DA55C4}"/>
    <cellStyle name="20% - Accent1 2 3 3 2 3" xfId="11705" xr:uid="{9BE1CF92-6C1E-408C-9B59-835F3CE5BF03}"/>
    <cellStyle name="20% - Accent1 2 3 3 3" xfId="5336" xr:uid="{00000000-0005-0000-0000-000033000000}"/>
    <cellStyle name="20% - Accent1 2 3 3 3 2" xfId="13778" xr:uid="{82D7C2B2-9094-4917-978D-543A1C8D7113}"/>
    <cellStyle name="20% - Accent1 2 3 3 4" xfId="9560" xr:uid="{A88249DC-C87B-4982-8703-6D3B66B239D8}"/>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2C28124F-B5CC-443F-B1B0-79CA5EBCC59D}"/>
    <cellStyle name="20% - Accent1 2 3 4 2 3" xfId="12118" xr:uid="{5E2C8480-41CA-4B8E-9420-4EB7D63CA99C}"/>
    <cellStyle name="20% - Accent1 2 3 4 3" xfId="5749" xr:uid="{00000000-0005-0000-0000-000037000000}"/>
    <cellStyle name="20% - Accent1 2 3 4 3 2" xfId="14191" xr:uid="{09972FF2-170D-4AF5-98EE-274AD8950855}"/>
    <cellStyle name="20% - Accent1 2 3 4 4" xfId="9973" xr:uid="{668A5C91-159D-4255-8F13-E27AA2226DA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E7885C3A-7956-4454-B7C0-A3465DC13BC6}"/>
    <cellStyle name="20% - Accent1 2 3 5 2 3" xfId="12531" xr:uid="{71562F03-FED2-4C1A-9D88-3DD8A2948560}"/>
    <cellStyle name="20% - Accent1 2 3 5 3" xfId="6162" xr:uid="{00000000-0005-0000-0000-00003B000000}"/>
    <cellStyle name="20% - Accent1 2 3 5 3 2" xfId="14604" xr:uid="{08598A69-0765-4E9B-AFAF-47C029E2E47B}"/>
    <cellStyle name="20% - Accent1 2 3 5 4" xfId="10386" xr:uid="{6E1AD0C3-E753-40A1-B675-863CAB396086}"/>
    <cellStyle name="20% - Accent1 2 3 6" xfId="2268" xr:uid="{00000000-0005-0000-0000-00003C000000}"/>
    <cellStyle name="20% - Accent1 2 3 6 2" xfId="6575" xr:uid="{00000000-0005-0000-0000-00003D000000}"/>
    <cellStyle name="20% - Accent1 2 3 6 2 2" xfId="15017" xr:uid="{97365CBB-1B3A-4F4E-9BFA-4174A35D9138}"/>
    <cellStyle name="20% - Accent1 2 3 6 3" xfId="10799" xr:uid="{50D18616-DD7F-480E-B48D-536233C64A31}"/>
    <cellStyle name="20% - Accent1 2 3 7" xfId="4509" xr:uid="{00000000-0005-0000-0000-00003E000000}"/>
    <cellStyle name="20% - Accent1 2 3 7 2" xfId="12951" xr:uid="{9F8CA1E3-6607-46F3-9FC8-9D0404F32F3C}"/>
    <cellStyle name="20% - Accent1 2 3 8" xfId="8733" xr:uid="{16225760-3D61-47D0-926D-A6B80240B69D}"/>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0496311-BEC6-4A4E-93B8-9214657D3B2D}"/>
    <cellStyle name="20% - Accent1 2 4 2 3" xfId="11289" xr:uid="{05679830-ABDC-4F0C-919D-23CD51B41950}"/>
    <cellStyle name="20% - Accent1 2 4 3" xfId="4920" xr:uid="{00000000-0005-0000-0000-000042000000}"/>
    <cellStyle name="20% - Accent1 2 4 3 2" xfId="13362" xr:uid="{B7E5861A-7E99-4648-A2C8-AAFB1BCCAF32}"/>
    <cellStyle name="20% - Accent1 2 4 4" xfId="9144" xr:uid="{E5710709-4897-44D6-A933-E1FFA7F11552}"/>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E4BA7369-262D-4906-AF95-DC3E499FC845}"/>
    <cellStyle name="20% - Accent1 2 5 2 3" xfId="11702" xr:uid="{D1AACA1C-9ED8-4360-BE99-FFCCD7974C9F}"/>
    <cellStyle name="20% - Accent1 2 5 3" xfId="5333" xr:uid="{00000000-0005-0000-0000-000046000000}"/>
    <cellStyle name="20% - Accent1 2 5 3 2" xfId="13775" xr:uid="{FC402E2E-237B-4A58-AE2D-12B30959A3BF}"/>
    <cellStyle name="20% - Accent1 2 5 4" xfId="9557" xr:uid="{CFB9AC64-AAFD-4017-95DF-7CADEEEB4184}"/>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1DBA6CF5-EAB7-4274-8498-78490C0BC31A}"/>
    <cellStyle name="20% - Accent1 2 6 2 3" xfId="12115" xr:uid="{DAD10334-D71F-4B76-A7FE-4B92C566A795}"/>
    <cellStyle name="20% - Accent1 2 6 3" xfId="5746" xr:uid="{00000000-0005-0000-0000-00004A000000}"/>
    <cellStyle name="20% - Accent1 2 6 3 2" xfId="14188" xr:uid="{30CB3F70-8E82-4865-81CC-531A7A826F47}"/>
    <cellStyle name="20% - Accent1 2 6 4" xfId="9970" xr:uid="{E833EF22-052F-487A-968D-0048B4002203}"/>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308A4D3B-0769-4C41-A962-E18D50859F40}"/>
    <cellStyle name="20% - Accent1 2 7 2 3" xfId="12528" xr:uid="{200C77D3-30F1-488A-B5D4-06528563DD25}"/>
    <cellStyle name="20% - Accent1 2 7 3" xfId="6159" xr:uid="{00000000-0005-0000-0000-00004E000000}"/>
    <cellStyle name="20% - Accent1 2 7 3 2" xfId="14601" xr:uid="{D32DC097-94B6-4405-B222-44A2529EAE58}"/>
    <cellStyle name="20% - Accent1 2 7 4" xfId="10383" xr:uid="{7A1976F6-584C-432F-B72E-1DDFE136549E}"/>
    <cellStyle name="20% - Accent1 2 8" xfId="2265" xr:uid="{00000000-0005-0000-0000-00004F000000}"/>
    <cellStyle name="20% - Accent1 2 8 2" xfId="6572" xr:uid="{00000000-0005-0000-0000-000050000000}"/>
    <cellStyle name="20% - Accent1 2 8 2 2" xfId="15014" xr:uid="{BBE257C9-600B-4E9C-A98C-ED98EA0AB661}"/>
    <cellStyle name="20% - Accent1 2 8 3" xfId="10796" xr:uid="{39D8EF6F-DC8A-46C5-82C9-FC75F33F72D7}"/>
    <cellStyle name="20% - Accent1 2 9" xfId="4506" xr:uid="{00000000-0005-0000-0000-000051000000}"/>
    <cellStyle name="20% - Accent1 2 9 2" xfId="12948" xr:uid="{9A816CD7-04DD-4019-8348-9D4D8B611B4A}"/>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D8A50C8E-70E6-4D75-890F-726151B34CF3}"/>
    <cellStyle name="20% - Accent1 3 2 2 2 3" xfId="11294" xr:uid="{C40586CC-CA1A-453F-9CBC-0D4DEFE1239A}"/>
    <cellStyle name="20% - Accent1 3 2 2 3" xfId="4925" xr:uid="{00000000-0005-0000-0000-000057000000}"/>
    <cellStyle name="20% - Accent1 3 2 2 3 2" xfId="13367" xr:uid="{EB10AB09-30C5-44D5-8E70-073A58D5EC83}"/>
    <cellStyle name="20% - Accent1 3 2 2 4" xfId="9149" xr:uid="{7A04D307-9BFC-4F98-9240-005ABA7EBE81}"/>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35C9B8B6-82B2-4C09-B317-82401009616A}"/>
    <cellStyle name="20% - Accent1 3 2 3 2 3" xfId="11707" xr:uid="{92D9BF44-15E3-4C50-9374-9CAE89C56577}"/>
    <cellStyle name="20% - Accent1 3 2 3 3" xfId="5338" xr:uid="{00000000-0005-0000-0000-00005B000000}"/>
    <cellStyle name="20% - Accent1 3 2 3 3 2" xfId="13780" xr:uid="{883D2B8E-97CC-41EE-9F78-16F0F9F5B725}"/>
    <cellStyle name="20% - Accent1 3 2 3 4" xfId="9562" xr:uid="{3CB565E0-1F42-4E4F-BDBF-7B07DB8DA0D8}"/>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E367DC15-A068-4CD8-B251-E67946072654}"/>
    <cellStyle name="20% - Accent1 3 2 4 2 3" xfId="12120" xr:uid="{F2E6A41A-7380-487A-8970-FCC84D18D153}"/>
    <cellStyle name="20% - Accent1 3 2 4 3" xfId="5751" xr:uid="{00000000-0005-0000-0000-00005F000000}"/>
    <cellStyle name="20% - Accent1 3 2 4 3 2" xfId="14193" xr:uid="{D83F35DA-6736-442C-B453-F96C26B65E35}"/>
    <cellStyle name="20% - Accent1 3 2 4 4" xfId="9975" xr:uid="{AF6FE3D0-CC79-48DB-800E-451FADFD90F9}"/>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052558D6-152E-439D-BCB9-CFEC34C6C432}"/>
    <cellStyle name="20% - Accent1 3 2 5 2 3" xfId="12533" xr:uid="{97DDEB7C-DCB5-4FA5-8D1F-D816CDC4EF10}"/>
    <cellStyle name="20% - Accent1 3 2 5 3" xfId="6164" xr:uid="{00000000-0005-0000-0000-000063000000}"/>
    <cellStyle name="20% - Accent1 3 2 5 3 2" xfId="14606" xr:uid="{0780031C-947B-4B30-AAE6-90FA0D05F18E}"/>
    <cellStyle name="20% - Accent1 3 2 5 4" xfId="10388" xr:uid="{48B9358B-67E9-476F-9A9B-ABB835999142}"/>
    <cellStyle name="20% - Accent1 3 2 6" xfId="2270" xr:uid="{00000000-0005-0000-0000-000064000000}"/>
    <cellStyle name="20% - Accent1 3 2 6 2" xfId="6577" xr:uid="{00000000-0005-0000-0000-000065000000}"/>
    <cellStyle name="20% - Accent1 3 2 6 2 2" xfId="15019" xr:uid="{1D1048BA-FE8E-42CA-AB31-3951E4C0A77D}"/>
    <cellStyle name="20% - Accent1 3 2 6 3" xfId="10801" xr:uid="{046EED68-9DA1-4508-8592-D79CA4B1746A}"/>
    <cellStyle name="20% - Accent1 3 2 7" xfId="4511" xr:uid="{00000000-0005-0000-0000-000066000000}"/>
    <cellStyle name="20% - Accent1 3 2 7 2" xfId="12953" xr:uid="{E89BB581-F857-49DB-8488-5F89470017EB}"/>
    <cellStyle name="20% - Accent1 3 2 8" xfId="8735" xr:uid="{38195C8A-30D2-486A-95F7-16FC243C2BE2}"/>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14321DA5-94FE-41BC-83A3-4455D196E776}"/>
    <cellStyle name="20% - Accent1 3 3 2 3" xfId="11293" xr:uid="{682B5FF4-14B0-4C30-85FE-6C0AE397A93C}"/>
    <cellStyle name="20% - Accent1 3 3 3" xfId="4924" xr:uid="{00000000-0005-0000-0000-00006A000000}"/>
    <cellStyle name="20% - Accent1 3 3 3 2" xfId="13366" xr:uid="{627B2B09-DAA8-47D8-8AB4-4D080AFC108B}"/>
    <cellStyle name="20% - Accent1 3 3 4" xfId="9148" xr:uid="{D3B9267E-B85A-4747-BB34-0F3D2C1D8960}"/>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0C93385D-778A-46D2-B579-059B69C4F359}"/>
    <cellStyle name="20% - Accent1 3 4 2 3" xfId="11706" xr:uid="{42F1E61D-667C-4EAF-94F9-E29F81B19C62}"/>
    <cellStyle name="20% - Accent1 3 4 3" xfId="5337" xr:uid="{00000000-0005-0000-0000-00006E000000}"/>
    <cellStyle name="20% - Accent1 3 4 3 2" xfId="13779" xr:uid="{CEEF6679-0121-407F-9A70-708B65991B20}"/>
    <cellStyle name="20% - Accent1 3 4 4" xfId="9561" xr:uid="{70B32392-B31C-4FEB-8591-BDB3C1B4D1EC}"/>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10B718E0-969C-4654-9CF1-2FC8DD41D8D8}"/>
    <cellStyle name="20% - Accent1 3 5 2 3" xfId="12119" xr:uid="{F2DBE16F-0410-4067-AAF8-26702ADF9C38}"/>
    <cellStyle name="20% - Accent1 3 5 3" xfId="5750" xr:uid="{00000000-0005-0000-0000-000072000000}"/>
    <cellStyle name="20% - Accent1 3 5 3 2" xfId="14192" xr:uid="{752DA709-C453-495B-83AA-D6C8FBDA5E6D}"/>
    <cellStyle name="20% - Accent1 3 5 4" xfId="9974" xr:uid="{82CA8B31-0CD7-4F79-99E5-886310F07AA4}"/>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FAA7CA3C-E36F-4A62-827D-9F223C1E460C}"/>
    <cellStyle name="20% - Accent1 3 6 2 3" xfId="12532" xr:uid="{2CA7E565-15E4-4E37-9002-578724480DFC}"/>
    <cellStyle name="20% - Accent1 3 6 3" xfId="6163" xr:uid="{00000000-0005-0000-0000-000076000000}"/>
    <cellStyle name="20% - Accent1 3 6 3 2" xfId="14605" xr:uid="{4CD45E4A-AB18-4A9F-8D98-175A5BC7CBA7}"/>
    <cellStyle name="20% - Accent1 3 6 4" xfId="10387" xr:uid="{8F66669D-351E-469A-A22B-EE5974264158}"/>
    <cellStyle name="20% - Accent1 3 7" xfId="2269" xr:uid="{00000000-0005-0000-0000-000077000000}"/>
    <cellStyle name="20% - Accent1 3 7 2" xfId="6576" xr:uid="{00000000-0005-0000-0000-000078000000}"/>
    <cellStyle name="20% - Accent1 3 7 2 2" xfId="15018" xr:uid="{00E4FE08-989B-49A6-859A-8289BDAB1A76}"/>
    <cellStyle name="20% - Accent1 3 7 3" xfId="10800" xr:uid="{0CE0C25B-AB89-4977-B334-977191141A89}"/>
    <cellStyle name="20% - Accent1 3 8" xfId="4510" xr:uid="{00000000-0005-0000-0000-000079000000}"/>
    <cellStyle name="20% - Accent1 3 8 2" xfId="12952" xr:uid="{9678A722-816A-4060-84A9-5274970DA8DB}"/>
    <cellStyle name="20% - Accent1 3 9" xfId="8734" xr:uid="{5CDB146F-5FF1-49D5-A0F2-04224081819C}"/>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D5C08EB9-2E55-41CA-B9EC-48B076FD4A19}"/>
    <cellStyle name="20% - Accent1 4 2 2 3" xfId="11295" xr:uid="{4849AD63-05B5-4E22-974E-A26B8F924CD1}"/>
    <cellStyle name="20% - Accent1 4 2 3" xfId="4926" xr:uid="{00000000-0005-0000-0000-00007E000000}"/>
    <cellStyle name="20% - Accent1 4 2 3 2" xfId="13368" xr:uid="{50761A33-4D35-4903-AA51-0619AD462012}"/>
    <cellStyle name="20% - Accent1 4 2 4" xfId="9150" xr:uid="{7A959B44-FDFE-4646-AD77-9D65447EF654}"/>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6F313EF6-6DE0-419F-964D-D2F0BFF8A97E}"/>
    <cellStyle name="20% - Accent1 4 3 2 3" xfId="11708" xr:uid="{EF8FF007-F6B3-4D1A-B817-B58AA0E59A66}"/>
    <cellStyle name="20% - Accent1 4 3 3" xfId="5339" xr:uid="{00000000-0005-0000-0000-000082000000}"/>
    <cellStyle name="20% - Accent1 4 3 3 2" xfId="13781" xr:uid="{FA6B4844-3D31-459A-91A2-0D64BDAEE84C}"/>
    <cellStyle name="20% - Accent1 4 3 4" xfId="9563" xr:uid="{6A8184D2-EFDA-42BD-9D3B-8FBDC6D7A487}"/>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01522678-7AC1-476D-B1B7-1507EC874BC1}"/>
    <cellStyle name="20% - Accent1 4 4 2 3" xfId="12121" xr:uid="{38493F6D-87AC-41F8-A7BD-489C9595697E}"/>
    <cellStyle name="20% - Accent1 4 4 3" xfId="5752" xr:uid="{00000000-0005-0000-0000-000086000000}"/>
    <cellStyle name="20% - Accent1 4 4 3 2" xfId="14194" xr:uid="{97B293C3-A930-40AB-A4CA-675EA214E875}"/>
    <cellStyle name="20% - Accent1 4 4 4" xfId="9976" xr:uid="{3AFB9DCC-3730-44F0-B144-AAFD6F9E4A76}"/>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A55CDDFB-2874-4360-92C3-8E0B488A4276}"/>
    <cellStyle name="20% - Accent1 4 5 2 3" xfId="12534" xr:uid="{29EF55C4-DDB7-4BAD-92F0-32639FB30878}"/>
    <cellStyle name="20% - Accent1 4 5 3" xfId="6165" xr:uid="{00000000-0005-0000-0000-00008A000000}"/>
    <cellStyle name="20% - Accent1 4 5 3 2" xfId="14607" xr:uid="{25FBB86C-4E73-49D1-BA03-F370F2048CDC}"/>
    <cellStyle name="20% - Accent1 4 5 4" xfId="10389" xr:uid="{8B57B80E-D039-4474-9516-45DF053E68B0}"/>
    <cellStyle name="20% - Accent1 4 6" xfId="2271" xr:uid="{00000000-0005-0000-0000-00008B000000}"/>
    <cellStyle name="20% - Accent1 4 6 2" xfId="6578" xr:uid="{00000000-0005-0000-0000-00008C000000}"/>
    <cellStyle name="20% - Accent1 4 6 2 2" xfId="15020" xr:uid="{DE3C7376-283F-4D81-A5C1-3F779B2E332C}"/>
    <cellStyle name="20% - Accent1 4 6 3" xfId="10802" xr:uid="{E59F180C-C6F3-428A-AF10-DAB62F5FB1A0}"/>
    <cellStyle name="20% - Accent1 4 7" xfId="4512" xr:uid="{00000000-0005-0000-0000-00008D000000}"/>
    <cellStyle name="20% - Accent1 4 7 2" xfId="12954" xr:uid="{C0D1C447-6F87-4E7A-95E6-68BCE81D3998}"/>
    <cellStyle name="20% - Accent1 4 8" xfId="8736" xr:uid="{CD2002E4-B668-4DC0-9046-6A5764D3C5BC}"/>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612B2221-E88C-40EB-9785-5B3948A67489}"/>
    <cellStyle name="20% - Accent1 5 2 3" xfId="11288" xr:uid="{5584B9DA-87E6-4D96-B5BB-622E7FE60899}"/>
    <cellStyle name="20% - Accent1 5 3" xfId="4919" xr:uid="{00000000-0005-0000-0000-000091000000}"/>
    <cellStyle name="20% - Accent1 5 3 2" xfId="13361" xr:uid="{64918032-FE85-4F78-9320-6F4F4B7CB07F}"/>
    <cellStyle name="20% - Accent1 5 4" xfId="9143" xr:uid="{F6F37F7B-1392-41CC-9C72-6D50E4A3AAAE}"/>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D57FAFB9-B948-4504-A6DC-977EDA1BF402}"/>
    <cellStyle name="20% - Accent1 6 2 3" xfId="11701" xr:uid="{A7A1402B-7586-48DA-A905-6D729A924FA4}"/>
    <cellStyle name="20% - Accent1 6 3" xfId="5332" xr:uid="{00000000-0005-0000-0000-000095000000}"/>
    <cellStyle name="20% - Accent1 6 3 2" xfId="13774" xr:uid="{F9589ADB-2F8E-4CC7-B1B5-A2B8296D3DC8}"/>
    <cellStyle name="20% - Accent1 6 4" xfId="9556" xr:uid="{A3D70543-4333-4F41-A05B-D24ABC6B9D24}"/>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49323ED1-6795-4DD2-B1FF-B57A24A26C67}"/>
    <cellStyle name="20% - Accent1 7 2 3" xfId="12114" xr:uid="{C0568404-8E31-44B8-BA36-729A2C39B7BD}"/>
    <cellStyle name="20% - Accent1 7 3" xfId="5745" xr:uid="{00000000-0005-0000-0000-000099000000}"/>
    <cellStyle name="20% - Accent1 7 3 2" xfId="14187" xr:uid="{CC14AF02-AA11-4339-9D43-8323CDBA2FF8}"/>
    <cellStyle name="20% - Accent1 7 4" xfId="9969" xr:uid="{678B31D1-3A23-4601-9591-A7B1DB84224A}"/>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CEE5C397-0A49-4D8B-822E-88343F660398}"/>
    <cellStyle name="20% - Accent1 8 2 3" xfId="12527" xr:uid="{D391EFA4-CF83-4F63-B88C-7DBC505C43C2}"/>
    <cellStyle name="20% - Accent1 8 3" xfId="6158" xr:uid="{00000000-0005-0000-0000-00009D000000}"/>
    <cellStyle name="20% - Accent1 8 3 2" xfId="14600" xr:uid="{6474E1DC-B280-4BF6-A60C-F0D97E5FE1C0}"/>
    <cellStyle name="20% - Accent1 8 4" xfId="10382" xr:uid="{CF8F14D5-7972-4A40-B151-2E8FF5C99455}"/>
    <cellStyle name="20% - Accent1 9" xfId="2264" xr:uid="{00000000-0005-0000-0000-00009E000000}"/>
    <cellStyle name="20% - Accent1 9 2" xfId="6571" xr:uid="{00000000-0005-0000-0000-00009F000000}"/>
    <cellStyle name="20% - Accent1 9 2 2" xfId="15013" xr:uid="{090C6521-8201-41D7-96CE-3D466C05E3DD}"/>
    <cellStyle name="20% - Accent1 9 3" xfId="10795" xr:uid="{298B607A-6286-4770-B579-CCEDECAFDBB6}"/>
    <cellStyle name="20% - Accent2" xfId="9" builtinId="34" customBuiltin="1"/>
    <cellStyle name="20% - Accent2 10" xfId="4513" xr:uid="{00000000-0005-0000-0000-0000A1000000}"/>
    <cellStyle name="20% - Accent2 10 2" xfId="12955" xr:uid="{6FCA8507-BB48-4E07-AB4B-2F2ECAE10BB8}"/>
    <cellStyle name="20% - Accent2 11" xfId="8737" xr:uid="{2D5925B3-69DB-4591-B55D-291F5711AEAB}"/>
    <cellStyle name="20% - Accent2 2" xfId="10" xr:uid="{00000000-0005-0000-0000-0000A2000000}"/>
    <cellStyle name="20% - Accent2 2 10" xfId="8738" xr:uid="{70576D70-11CA-4573-8DF7-F43A49102019}"/>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30B3156C-C488-4F05-8098-3BFAC0A67E31}"/>
    <cellStyle name="20% - Accent2 2 2 2 2 2 3" xfId="11299" xr:uid="{419B6E72-C92A-4C05-9165-2B0FFC797A76}"/>
    <cellStyle name="20% - Accent2 2 2 2 2 3" xfId="4930" xr:uid="{00000000-0005-0000-0000-0000A8000000}"/>
    <cellStyle name="20% - Accent2 2 2 2 2 3 2" xfId="13372" xr:uid="{FFD1AD49-82B0-4F90-A784-A9D92E95C23A}"/>
    <cellStyle name="20% - Accent2 2 2 2 2 4" xfId="9154" xr:uid="{C2A5ED44-4B94-44CC-AF43-261DEA7E48B5}"/>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3E943E7F-04A4-4556-A8FF-354E05BCA3CB}"/>
    <cellStyle name="20% - Accent2 2 2 2 3 2 3" xfId="11712" xr:uid="{0F9FFCEC-3853-45A5-AE0D-CA3838531B1B}"/>
    <cellStyle name="20% - Accent2 2 2 2 3 3" xfId="5343" xr:uid="{00000000-0005-0000-0000-0000AC000000}"/>
    <cellStyle name="20% - Accent2 2 2 2 3 3 2" xfId="13785" xr:uid="{0B4DFAEA-54B3-4348-B616-F77D9DB343EA}"/>
    <cellStyle name="20% - Accent2 2 2 2 3 4" xfId="9567" xr:uid="{FD686F4D-D368-469B-9FDF-0ED554BCA2F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3ED7E983-1964-4145-B509-BE0E8FE38FF9}"/>
    <cellStyle name="20% - Accent2 2 2 2 4 2 3" xfId="12125" xr:uid="{0CCC5500-7EC6-4F82-9ECE-0CD5E8B8FB87}"/>
    <cellStyle name="20% - Accent2 2 2 2 4 3" xfId="5756" xr:uid="{00000000-0005-0000-0000-0000B0000000}"/>
    <cellStyle name="20% - Accent2 2 2 2 4 3 2" xfId="14198" xr:uid="{E08FB5EB-A8F4-4D22-8700-D741CA3A9C35}"/>
    <cellStyle name="20% - Accent2 2 2 2 4 4" xfId="9980" xr:uid="{8CA12FD8-120D-42D4-B8E5-E4EC3BDC936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95740793-0A62-40A7-8C9C-915A3BA24324}"/>
    <cellStyle name="20% - Accent2 2 2 2 5 2 3" xfId="12538" xr:uid="{1E735E0E-F56F-4014-A7A7-CB53C889C640}"/>
    <cellStyle name="20% - Accent2 2 2 2 5 3" xfId="6169" xr:uid="{00000000-0005-0000-0000-0000B4000000}"/>
    <cellStyle name="20% - Accent2 2 2 2 5 3 2" xfId="14611" xr:uid="{E68BDC63-79D3-4392-A56C-02C083F9B2F9}"/>
    <cellStyle name="20% - Accent2 2 2 2 5 4" xfId="10393" xr:uid="{CF8915CB-B393-4AF2-AC3E-44B088E2133A}"/>
    <cellStyle name="20% - Accent2 2 2 2 6" xfId="2275" xr:uid="{00000000-0005-0000-0000-0000B5000000}"/>
    <cellStyle name="20% - Accent2 2 2 2 6 2" xfId="6582" xr:uid="{00000000-0005-0000-0000-0000B6000000}"/>
    <cellStyle name="20% - Accent2 2 2 2 6 2 2" xfId="15024" xr:uid="{42929D54-8916-44DE-A976-7A37A4D4DF3A}"/>
    <cellStyle name="20% - Accent2 2 2 2 6 3" xfId="10806" xr:uid="{5A42BE66-A37E-4439-86FE-DFA9882EEAEE}"/>
    <cellStyle name="20% - Accent2 2 2 2 7" xfId="4516" xr:uid="{00000000-0005-0000-0000-0000B7000000}"/>
    <cellStyle name="20% - Accent2 2 2 2 7 2" xfId="12958" xr:uid="{A5B4A3F3-0691-415E-A561-C6F1AA1D9C9F}"/>
    <cellStyle name="20% - Accent2 2 2 2 8" xfId="8740" xr:uid="{5796920D-573C-4617-B3CD-1D69F8136B32}"/>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79497509-48A7-48D1-A4F1-BD818C0B3D5C}"/>
    <cellStyle name="20% - Accent2 2 2 3 2 3" xfId="11298" xr:uid="{99AB52C9-976D-4F45-8F5F-8CCF90ACC76B}"/>
    <cellStyle name="20% - Accent2 2 2 3 3" xfId="4929" xr:uid="{00000000-0005-0000-0000-0000BB000000}"/>
    <cellStyle name="20% - Accent2 2 2 3 3 2" xfId="13371" xr:uid="{0FBB940D-B692-464C-BC37-EB99F5B1ED69}"/>
    <cellStyle name="20% - Accent2 2 2 3 4" xfId="9153" xr:uid="{E48E885E-3513-4B91-AA54-112B6B545BA8}"/>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B2B0E916-8E32-4018-A4C5-5161D93608AE}"/>
    <cellStyle name="20% - Accent2 2 2 4 2 3" xfId="11711" xr:uid="{E0FFC1EC-EC76-4C03-A105-5BCCACEAA558}"/>
    <cellStyle name="20% - Accent2 2 2 4 3" xfId="5342" xr:uid="{00000000-0005-0000-0000-0000BF000000}"/>
    <cellStyle name="20% - Accent2 2 2 4 3 2" xfId="13784" xr:uid="{1969EA17-BAF0-4640-BD11-CB297221E53F}"/>
    <cellStyle name="20% - Accent2 2 2 4 4" xfId="9566" xr:uid="{B08B080A-D981-4383-B7BD-8586B5CC3A01}"/>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5FEA5B69-A453-4EC0-98F5-2E5C8315BDEB}"/>
    <cellStyle name="20% - Accent2 2 2 5 2 3" xfId="12124" xr:uid="{791E54A8-D03C-4EE2-BD35-FC6013FCD29E}"/>
    <cellStyle name="20% - Accent2 2 2 5 3" xfId="5755" xr:uid="{00000000-0005-0000-0000-0000C3000000}"/>
    <cellStyle name="20% - Accent2 2 2 5 3 2" xfId="14197" xr:uid="{E82E2276-F828-4615-A660-48E632F12508}"/>
    <cellStyle name="20% - Accent2 2 2 5 4" xfId="9979" xr:uid="{87B819CF-AA08-47FE-95FA-08CA1BC9E781}"/>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A9666B54-309B-4D31-B827-9B9C2385C444}"/>
    <cellStyle name="20% - Accent2 2 2 6 2 3" xfId="12537" xr:uid="{67BB49CC-8148-49C1-83D5-3DC6A6938210}"/>
    <cellStyle name="20% - Accent2 2 2 6 3" xfId="6168" xr:uid="{00000000-0005-0000-0000-0000C7000000}"/>
    <cellStyle name="20% - Accent2 2 2 6 3 2" xfId="14610" xr:uid="{D88ECB1A-F343-47D3-AA4F-F07EAA24DAC4}"/>
    <cellStyle name="20% - Accent2 2 2 6 4" xfId="10392" xr:uid="{B61B8AC2-B0BB-4758-92A5-E4CF411A7177}"/>
    <cellStyle name="20% - Accent2 2 2 7" xfId="2274" xr:uid="{00000000-0005-0000-0000-0000C8000000}"/>
    <cellStyle name="20% - Accent2 2 2 7 2" xfId="6581" xr:uid="{00000000-0005-0000-0000-0000C9000000}"/>
    <cellStyle name="20% - Accent2 2 2 7 2 2" xfId="15023" xr:uid="{FE097AF1-4F71-4655-B845-7EEA856B858E}"/>
    <cellStyle name="20% - Accent2 2 2 7 3" xfId="10805" xr:uid="{802311EC-DE8B-4ED5-A851-8E3FF6DE85A6}"/>
    <cellStyle name="20% - Accent2 2 2 8" xfId="4515" xr:uid="{00000000-0005-0000-0000-0000CA000000}"/>
    <cellStyle name="20% - Accent2 2 2 8 2" xfId="12957" xr:uid="{96065A62-93C4-496E-9AAE-5E54E8584C46}"/>
    <cellStyle name="20% - Accent2 2 2 9" xfId="8739" xr:uid="{045D5A33-B8B6-414A-A98B-E48F3D38E155}"/>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86D50B57-7A87-46E5-BAB6-EC9D3E9CD08E}"/>
    <cellStyle name="20% - Accent2 2 3 2 2 3" xfId="11300" xr:uid="{580F122D-5012-449C-8277-8BA20E5D4B9A}"/>
    <cellStyle name="20% - Accent2 2 3 2 3" xfId="4931" xr:uid="{00000000-0005-0000-0000-0000CF000000}"/>
    <cellStyle name="20% - Accent2 2 3 2 3 2" xfId="13373" xr:uid="{4FF7FADA-8073-4734-8051-780A318D70FB}"/>
    <cellStyle name="20% - Accent2 2 3 2 4" xfId="9155" xr:uid="{974E39BA-06C7-40D1-8C15-41460B28042D}"/>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9350CB53-05D0-4E7C-BAE9-C61BE41A403F}"/>
    <cellStyle name="20% - Accent2 2 3 3 2 3" xfId="11713" xr:uid="{F942CE4A-30A2-4688-AB50-8326FC424CFC}"/>
    <cellStyle name="20% - Accent2 2 3 3 3" xfId="5344" xr:uid="{00000000-0005-0000-0000-0000D3000000}"/>
    <cellStyle name="20% - Accent2 2 3 3 3 2" xfId="13786" xr:uid="{CC3B2BCD-9E7C-46AE-AF44-49D8511B6DB2}"/>
    <cellStyle name="20% - Accent2 2 3 3 4" xfId="9568" xr:uid="{F2211096-4AF3-4E21-A41D-DE9673A2AEB4}"/>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4EC48EE7-680A-4435-B45D-12E0D93F040B}"/>
    <cellStyle name="20% - Accent2 2 3 4 2 3" xfId="12126" xr:uid="{C8792451-164D-4973-A7A3-276417392D76}"/>
    <cellStyle name="20% - Accent2 2 3 4 3" xfId="5757" xr:uid="{00000000-0005-0000-0000-0000D7000000}"/>
    <cellStyle name="20% - Accent2 2 3 4 3 2" xfId="14199" xr:uid="{02E493FB-0E9E-4AA8-A9C8-85C04D10C98E}"/>
    <cellStyle name="20% - Accent2 2 3 4 4" xfId="9981" xr:uid="{75F89005-4BCE-49E5-9454-2578FDE0F5FB}"/>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68D37D9D-F8CF-48F7-BD01-AAF9C96B7398}"/>
    <cellStyle name="20% - Accent2 2 3 5 2 3" xfId="12539" xr:uid="{367D1490-28D9-440A-A21C-A730BCFA5A76}"/>
    <cellStyle name="20% - Accent2 2 3 5 3" xfId="6170" xr:uid="{00000000-0005-0000-0000-0000DB000000}"/>
    <cellStyle name="20% - Accent2 2 3 5 3 2" xfId="14612" xr:uid="{72968389-F349-4E20-B3E9-EB4124DF629F}"/>
    <cellStyle name="20% - Accent2 2 3 5 4" xfId="10394" xr:uid="{CB321411-CCB2-4F19-8A63-EC56FC9CBF69}"/>
    <cellStyle name="20% - Accent2 2 3 6" xfId="2276" xr:uid="{00000000-0005-0000-0000-0000DC000000}"/>
    <cellStyle name="20% - Accent2 2 3 6 2" xfId="6583" xr:uid="{00000000-0005-0000-0000-0000DD000000}"/>
    <cellStyle name="20% - Accent2 2 3 6 2 2" xfId="15025" xr:uid="{F4443F4A-9D5F-4A16-B815-4010777B4D64}"/>
    <cellStyle name="20% - Accent2 2 3 6 3" xfId="10807" xr:uid="{5899FD4C-787A-4433-ACE3-E1C6E6686304}"/>
    <cellStyle name="20% - Accent2 2 3 7" xfId="4517" xr:uid="{00000000-0005-0000-0000-0000DE000000}"/>
    <cellStyle name="20% - Accent2 2 3 7 2" xfId="12959" xr:uid="{72B28CF5-14BE-496F-9E69-50AC4E07D611}"/>
    <cellStyle name="20% - Accent2 2 3 8" xfId="8741" xr:uid="{45B4B251-CD37-4966-BFAD-538CE2F1CEC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2530C940-88D4-4C7E-9824-CC29AA604FB9}"/>
    <cellStyle name="20% - Accent2 2 4 2 3" xfId="11297" xr:uid="{D6E3844D-DEC0-45F9-B314-F6162A1172DB}"/>
    <cellStyle name="20% - Accent2 2 4 3" xfId="4928" xr:uid="{00000000-0005-0000-0000-0000E2000000}"/>
    <cellStyle name="20% - Accent2 2 4 3 2" xfId="13370" xr:uid="{E4D742C8-4051-41DF-81E6-2EEAF209E58C}"/>
    <cellStyle name="20% - Accent2 2 4 4" xfId="9152" xr:uid="{AC0FEC98-6F4B-49BE-B2B1-2FD33482781C}"/>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4172B96C-3D00-4573-9297-9B6F30552109}"/>
    <cellStyle name="20% - Accent2 2 5 2 3" xfId="11710" xr:uid="{5A2D1D4A-1AA0-4795-BE40-F1BC4E540997}"/>
    <cellStyle name="20% - Accent2 2 5 3" xfId="5341" xr:uid="{00000000-0005-0000-0000-0000E6000000}"/>
    <cellStyle name="20% - Accent2 2 5 3 2" xfId="13783" xr:uid="{0BCFA049-3C81-4242-BAE4-3A76F18F73CF}"/>
    <cellStyle name="20% - Accent2 2 5 4" xfId="9565" xr:uid="{9458888A-014B-4CFA-A331-F8E69017B0FD}"/>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150A52C4-C3FC-4B26-B029-B5CE925AC1FD}"/>
    <cellStyle name="20% - Accent2 2 6 2 3" xfId="12123" xr:uid="{BF9A3D7B-9081-44A1-8EC0-64149DBC86ED}"/>
    <cellStyle name="20% - Accent2 2 6 3" xfId="5754" xr:uid="{00000000-0005-0000-0000-0000EA000000}"/>
    <cellStyle name="20% - Accent2 2 6 3 2" xfId="14196" xr:uid="{BA5F5760-B23F-4E8A-BAA5-43F6E29D8972}"/>
    <cellStyle name="20% - Accent2 2 6 4" xfId="9978" xr:uid="{8909BAB0-3B30-4791-BFC6-2315F2A0A84E}"/>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528F07BA-8F0C-4630-B474-E18E1FC3A080}"/>
    <cellStyle name="20% - Accent2 2 7 2 3" xfId="12536" xr:uid="{804C99FE-6FF5-4465-9EDD-CE76C46762C7}"/>
    <cellStyle name="20% - Accent2 2 7 3" xfId="6167" xr:uid="{00000000-0005-0000-0000-0000EE000000}"/>
    <cellStyle name="20% - Accent2 2 7 3 2" xfId="14609" xr:uid="{67A37594-B7C7-4DB6-B0E6-83860681F9F3}"/>
    <cellStyle name="20% - Accent2 2 7 4" xfId="10391" xr:uid="{BD412632-D863-4CD0-A167-7AA87CED710D}"/>
    <cellStyle name="20% - Accent2 2 8" xfId="2273" xr:uid="{00000000-0005-0000-0000-0000EF000000}"/>
    <cellStyle name="20% - Accent2 2 8 2" xfId="6580" xr:uid="{00000000-0005-0000-0000-0000F0000000}"/>
    <cellStyle name="20% - Accent2 2 8 2 2" xfId="15022" xr:uid="{95956AB3-5DD4-4897-A795-10E3EDA1932B}"/>
    <cellStyle name="20% - Accent2 2 8 3" xfId="10804" xr:uid="{B8ACEAB8-8091-44AE-98F9-BD8ECE288D9D}"/>
    <cellStyle name="20% - Accent2 2 9" xfId="4514" xr:uid="{00000000-0005-0000-0000-0000F1000000}"/>
    <cellStyle name="20% - Accent2 2 9 2" xfId="12956" xr:uid="{C96FA500-178C-431D-A62B-B797B29A8FFD}"/>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C575FD7C-2097-4EEF-9459-25FAA279B348}"/>
    <cellStyle name="20% - Accent2 3 2 2 2 3" xfId="11302" xr:uid="{891C0DC1-2C69-4E21-90EE-87CAE2A34998}"/>
    <cellStyle name="20% - Accent2 3 2 2 3" xfId="4933" xr:uid="{00000000-0005-0000-0000-0000F7000000}"/>
    <cellStyle name="20% - Accent2 3 2 2 3 2" xfId="13375" xr:uid="{077B317F-99A7-4111-885D-D305CB755430}"/>
    <cellStyle name="20% - Accent2 3 2 2 4" xfId="9157" xr:uid="{B65B1D7F-0142-4EA3-B673-1CF8F3F366F9}"/>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24BAEEE2-7373-40FA-AAFB-44BF4E2BD7BB}"/>
    <cellStyle name="20% - Accent2 3 2 3 2 3" xfId="11715" xr:uid="{D343F3AC-1820-46F7-AB46-E787AEBD35AB}"/>
    <cellStyle name="20% - Accent2 3 2 3 3" xfId="5346" xr:uid="{00000000-0005-0000-0000-0000FB000000}"/>
    <cellStyle name="20% - Accent2 3 2 3 3 2" xfId="13788" xr:uid="{998D5028-779F-43E0-85DD-A19A6D4073AA}"/>
    <cellStyle name="20% - Accent2 3 2 3 4" xfId="9570" xr:uid="{1DE8A7D0-9D84-4106-BC54-4E7058861122}"/>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6D360E0C-E204-4206-B7DB-740F8E61AEDB}"/>
    <cellStyle name="20% - Accent2 3 2 4 2 3" xfId="12128" xr:uid="{611C60D7-62F5-40DA-9F8D-1C02F825E7B9}"/>
    <cellStyle name="20% - Accent2 3 2 4 3" xfId="5759" xr:uid="{00000000-0005-0000-0000-0000FF000000}"/>
    <cellStyle name="20% - Accent2 3 2 4 3 2" xfId="14201" xr:uid="{5038BE2E-06D2-480D-8E64-C94E6B8BF0C4}"/>
    <cellStyle name="20% - Accent2 3 2 4 4" xfId="9983" xr:uid="{46698034-B7E3-4888-9F24-C2735659402C}"/>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B3926F6D-2E04-41C0-AEB8-EDC5711B1958}"/>
    <cellStyle name="20% - Accent2 3 2 5 2 3" xfId="12541" xr:uid="{0E1A9879-502D-4809-8ADC-BEB768BBC502}"/>
    <cellStyle name="20% - Accent2 3 2 5 3" xfId="6172" xr:uid="{00000000-0005-0000-0000-000003010000}"/>
    <cellStyle name="20% - Accent2 3 2 5 3 2" xfId="14614" xr:uid="{1F412ACD-C30D-484B-9DA4-A3803286300E}"/>
    <cellStyle name="20% - Accent2 3 2 5 4" xfId="10396" xr:uid="{A8A38334-B7C6-49D2-8E62-48ECD0388A5A}"/>
    <cellStyle name="20% - Accent2 3 2 6" xfId="2278" xr:uid="{00000000-0005-0000-0000-000004010000}"/>
    <cellStyle name="20% - Accent2 3 2 6 2" xfId="6585" xr:uid="{00000000-0005-0000-0000-000005010000}"/>
    <cellStyle name="20% - Accent2 3 2 6 2 2" xfId="15027" xr:uid="{394D7656-BF95-4800-B109-216932936C89}"/>
    <cellStyle name="20% - Accent2 3 2 6 3" xfId="10809" xr:uid="{E1C0DAA9-F870-4D33-81BD-F32E0E968BD7}"/>
    <cellStyle name="20% - Accent2 3 2 7" xfId="4519" xr:uid="{00000000-0005-0000-0000-000006010000}"/>
    <cellStyle name="20% - Accent2 3 2 7 2" xfId="12961" xr:uid="{6C3B0894-E4D4-40CD-8BE7-F5760850680B}"/>
    <cellStyle name="20% - Accent2 3 2 8" xfId="8743" xr:uid="{6C465BEB-FA66-464D-A09C-9B0AE40DBA05}"/>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A3186C59-5BCB-436F-8864-AE206A9844D8}"/>
    <cellStyle name="20% - Accent2 3 3 2 3" xfId="11301" xr:uid="{D102FC02-1FF9-4AD6-B439-9900D174384C}"/>
    <cellStyle name="20% - Accent2 3 3 3" xfId="4932" xr:uid="{00000000-0005-0000-0000-00000A010000}"/>
    <cellStyle name="20% - Accent2 3 3 3 2" xfId="13374" xr:uid="{362F4491-9DA5-4D53-B42D-31BA5E38D6D8}"/>
    <cellStyle name="20% - Accent2 3 3 4" xfId="9156" xr:uid="{70148C16-CD2F-43CD-9F21-7105B8EA709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8A2EE50D-E3F4-47C5-B218-AB9A5BBEAA5F}"/>
    <cellStyle name="20% - Accent2 3 4 2 3" xfId="11714" xr:uid="{858E1ECA-A882-4655-A485-FEA09DB6B435}"/>
    <cellStyle name="20% - Accent2 3 4 3" xfId="5345" xr:uid="{00000000-0005-0000-0000-00000E010000}"/>
    <cellStyle name="20% - Accent2 3 4 3 2" xfId="13787" xr:uid="{3316F79F-52C0-437D-AF06-F9DA4641E515}"/>
    <cellStyle name="20% - Accent2 3 4 4" xfId="9569" xr:uid="{15D2FC74-6FD8-4485-B257-9E68F9057EED}"/>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4F4CA9C2-95F0-4DAD-94E6-00C653B74EE7}"/>
    <cellStyle name="20% - Accent2 3 5 2 3" xfId="12127" xr:uid="{65A0EF80-CFB4-4E8E-B485-A7E7148D9201}"/>
    <cellStyle name="20% - Accent2 3 5 3" xfId="5758" xr:uid="{00000000-0005-0000-0000-000012010000}"/>
    <cellStyle name="20% - Accent2 3 5 3 2" xfId="14200" xr:uid="{AF5009CC-40F6-44B9-B86E-47FA6953E013}"/>
    <cellStyle name="20% - Accent2 3 5 4" xfId="9982" xr:uid="{C2B6AC99-FC61-45E8-B1A0-3C28C71966EB}"/>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62C0F5E6-4ACB-4B00-AF5D-9B62A9EEF18A}"/>
    <cellStyle name="20% - Accent2 3 6 2 3" xfId="12540" xr:uid="{F32BACB7-4F76-4EE1-AEA6-76C39C1AF963}"/>
    <cellStyle name="20% - Accent2 3 6 3" xfId="6171" xr:uid="{00000000-0005-0000-0000-000016010000}"/>
    <cellStyle name="20% - Accent2 3 6 3 2" xfId="14613" xr:uid="{1B5F1E6C-BCDB-4EC5-AA78-1BCEEC7CE2E3}"/>
    <cellStyle name="20% - Accent2 3 6 4" xfId="10395" xr:uid="{4AD41280-CFCC-4F3F-9475-A9106D9ABB88}"/>
    <cellStyle name="20% - Accent2 3 7" xfId="2277" xr:uid="{00000000-0005-0000-0000-000017010000}"/>
    <cellStyle name="20% - Accent2 3 7 2" xfId="6584" xr:uid="{00000000-0005-0000-0000-000018010000}"/>
    <cellStyle name="20% - Accent2 3 7 2 2" xfId="15026" xr:uid="{BE77DC37-EABE-4C62-B6B8-8279D34F9809}"/>
    <cellStyle name="20% - Accent2 3 7 3" xfId="10808" xr:uid="{88E8EC56-28F8-4DC1-9EBD-CCDDC17A3030}"/>
    <cellStyle name="20% - Accent2 3 8" xfId="4518" xr:uid="{00000000-0005-0000-0000-000019010000}"/>
    <cellStyle name="20% - Accent2 3 8 2" xfId="12960" xr:uid="{4C424A26-90B9-4D0C-A1C0-BFA813361B46}"/>
    <cellStyle name="20% - Accent2 3 9" xfId="8742" xr:uid="{24BFA0EE-937F-4810-A1E9-25181D323FA8}"/>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2ACF333A-065E-4241-B0E5-10EEB7F5D2CE}"/>
    <cellStyle name="20% - Accent2 4 2 2 3" xfId="11303" xr:uid="{FE901870-4B2A-446C-B21B-D702B55EF454}"/>
    <cellStyle name="20% - Accent2 4 2 3" xfId="4934" xr:uid="{00000000-0005-0000-0000-00001E010000}"/>
    <cellStyle name="20% - Accent2 4 2 3 2" xfId="13376" xr:uid="{25533ECB-320C-47E0-B515-76BF13CC9E2C}"/>
    <cellStyle name="20% - Accent2 4 2 4" xfId="9158" xr:uid="{B5E712C7-09F4-4AC7-98DB-058A5D036276}"/>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C2D58623-CC49-4796-B2AB-03CDB7FEF65A}"/>
    <cellStyle name="20% - Accent2 4 3 2 3" xfId="11716" xr:uid="{DDA8BD9C-21CB-49CE-B7C2-90D2663FC861}"/>
    <cellStyle name="20% - Accent2 4 3 3" xfId="5347" xr:uid="{00000000-0005-0000-0000-000022010000}"/>
    <cellStyle name="20% - Accent2 4 3 3 2" xfId="13789" xr:uid="{A9C9AB32-BDB1-479A-A673-BE504A359443}"/>
    <cellStyle name="20% - Accent2 4 3 4" xfId="9571" xr:uid="{2DAF4955-65B2-43C3-96C1-70F69CC46366}"/>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0B39CED0-AF96-4B06-86BE-1E70235D3AF4}"/>
    <cellStyle name="20% - Accent2 4 4 2 3" xfId="12129" xr:uid="{2CC5F684-90C7-419C-8BFC-0F424355DD34}"/>
    <cellStyle name="20% - Accent2 4 4 3" xfId="5760" xr:uid="{00000000-0005-0000-0000-000026010000}"/>
    <cellStyle name="20% - Accent2 4 4 3 2" xfId="14202" xr:uid="{6449D82F-575E-4AE9-A204-F86AB89CB1F3}"/>
    <cellStyle name="20% - Accent2 4 4 4" xfId="9984" xr:uid="{F6D15785-209F-42F5-BAA1-43190BE41BFA}"/>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8037522B-0421-4429-8417-0430BCBAA20E}"/>
    <cellStyle name="20% - Accent2 4 5 2 3" xfId="12542" xr:uid="{14FCFB4A-B8B6-4EB2-9D95-1446B990DBF4}"/>
    <cellStyle name="20% - Accent2 4 5 3" xfId="6173" xr:uid="{00000000-0005-0000-0000-00002A010000}"/>
    <cellStyle name="20% - Accent2 4 5 3 2" xfId="14615" xr:uid="{A5F1160A-BD8E-4660-939B-231B524EF33E}"/>
    <cellStyle name="20% - Accent2 4 5 4" xfId="10397" xr:uid="{10228835-2FC5-4A9A-B424-B162C0F3A555}"/>
    <cellStyle name="20% - Accent2 4 6" xfId="2279" xr:uid="{00000000-0005-0000-0000-00002B010000}"/>
    <cellStyle name="20% - Accent2 4 6 2" xfId="6586" xr:uid="{00000000-0005-0000-0000-00002C010000}"/>
    <cellStyle name="20% - Accent2 4 6 2 2" xfId="15028" xr:uid="{9EB7606A-C1E2-404C-B638-45F6743032E2}"/>
    <cellStyle name="20% - Accent2 4 6 3" xfId="10810" xr:uid="{5A39A574-EABC-4A2C-9890-4F46AD0B2458}"/>
    <cellStyle name="20% - Accent2 4 7" xfId="4520" xr:uid="{00000000-0005-0000-0000-00002D010000}"/>
    <cellStyle name="20% - Accent2 4 7 2" xfId="12962" xr:uid="{9D630409-3267-4839-BDF3-ED136E107186}"/>
    <cellStyle name="20% - Accent2 4 8" xfId="8744" xr:uid="{46E0C0EA-D93E-43B2-9FED-37793C3E55A7}"/>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2D2951F6-EF5D-4B0F-9EAE-F27A0969CA0A}"/>
    <cellStyle name="20% - Accent2 5 2 3" xfId="11296" xr:uid="{BAA65E0F-CFBA-4227-96B2-059948763479}"/>
    <cellStyle name="20% - Accent2 5 3" xfId="4927" xr:uid="{00000000-0005-0000-0000-000031010000}"/>
    <cellStyle name="20% - Accent2 5 3 2" xfId="13369" xr:uid="{F2BFCD24-0ACC-47D4-9435-BC1365CE84CA}"/>
    <cellStyle name="20% - Accent2 5 4" xfId="9151" xr:uid="{D3997A08-F2FE-4AA6-9EF2-0DEDFEC451DD}"/>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18476C65-FADB-4B62-98A0-304E95A3223C}"/>
    <cellStyle name="20% - Accent2 6 2 3" xfId="11709" xr:uid="{E1E2FA41-F1A9-4949-B46C-0C8E5E623C18}"/>
    <cellStyle name="20% - Accent2 6 3" xfId="5340" xr:uid="{00000000-0005-0000-0000-000035010000}"/>
    <cellStyle name="20% - Accent2 6 3 2" xfId="13782" xr:uid="{52736D30-86AB-4E72-B913-39ACAD4876F2}"/>
    <cellStyle name="20% - Accent2 6 4" xfId="9564" xr:uid="{D8172282-A06A-416A-B671-113377043993}"/>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DC3E5D28-D3C1-4FB8-BD9F-1A982B9FA8F3}"/>
    <cellStyle name="20% - Accent2 7 2 3" xfId="12122" xr:uid="{43ABC7BB-C2B3-437D-8B60-686F6DFD4B53}"/>
    <cellStyle name="20% - Accent2 7 3" xfId="5753" xr:uid="{00000000-0005-0000-0000-000039010000}"/>
    <cellStyle name="20% - Accent2 7 3 2" xfId="14195" xr:uid="{FB04787D-7610-47EE-9B0C-E71398AF0D9B}"/>
    <cellStyle name="20% - Accent2 7 4" xfId="9977" xr:uid="{91F6E662-0ABD-4D8E-BAFE-9E7213E941F1}"/>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C6749599-5897-4DF8-B774-47A6238DDA7A}"/>
    <cellStyle name="20% - Accent2 8 2 3" xfId="12535" xr:uid="{A2917989-71BB-46C3-B36A-CBC552673E8F}"/>
    <cellStyle name="20% - Accent2 8 3" xfId="6166" xr:uid="{00000000-0005-0000-0000-00003D010000}"/>
    <cellStyle name="20% - Accent2 8 3 2" xfId="14608" xr:uid="{054DD0AD-0D79-4295-90CD-5F8DC5A48C51}"/>
    <cellStyle name="20% - Accent2 8 4" xfId="10390" xr:uid="{891B3B47-7972-492E-AE82-62472C70CBA7}"/>
    <cellStyle name="20% - Accent2 9" xfId="2272" xr:uid="{00000000-0005-0000-0000-00003E010000}"/>
    <cellStyle name="20% - Accent2 9 2" xfId="6579" xr:uid="{00000000-0005-0000-0000-00003F010000}"/>
    <cellStyle name="20% - Accent2 9 2 2" xfId="15021" xr:uid="{CB4C84E9-D1A6-44F0-B984-AA58412A5F03}"/>
    <cellStyle name="20% - Accent2 9 3" xfId="10803" xr:uid="{C8592C68-AF99-4D50-A4FA-74C21B79876C}"/>
    <cellStyle name="20% - Accent3" xfId="17" builtinId="38" customBuiltin="1"/>
    <cellStyle name="20% - Accent3 10" xfId="4521" xr:uid="{00000000-0005-0000-0000-000041010000}"/>
    <cellStyle name="20% - Accent3 10 2" xfId="12963" xr:uid="{A93086AD-8117-4D3F-AA5A-1C05BBC97FFB}"/>
    <cellStyle name="20% - Accent3 11" xfId="8745" xr:uid="{8913A898-DDCC-4639-BAE8-0ABF4152BD71}"/>
    <cellStyle name="20% - Accent3 2" xfId="18" xr:uid="{00000000-0005-0000-0000-000042010000}"/>
    <cellStyle name="20% - Accent3 2 10" xfId="8746" xr:uid="{29BE7CCE-6C9D-4789-B8B0-79C50C6781C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4B1F9E87-9CFE-4262-90E3-9769411C0AAE}"/>
    <cellStyle name="20% - Accent3 2 2 2 2 2 3" xfId="11307" xr:uid="{27678C34-5461-4B50-83B2-D98FF12189FC}"/>
    <cellStyle name="20% - Accent3 2 2 2 2 3" xfId="4938" xr:uid="{00000000-0005-0000-0000-000048010000}"/>
    <cellStyle name="20% - Accent3 2 2 2 2 3 2" xfId="13380" xr:uid="{05ADAB7B-5117-45F6-BBB4-3C036EEA59B0}"/>
    <cellStyle name="20% - Accent3 2 2 2 2 4" xfId="9162" xr:uid="{57E61A8D-E5DF-4D04-82FB-1760841B6245}"/>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21852AEC-3F5C-4D96-8F1E-71F22DBE7CA5}"/>
    <cellStyle name="20% - Accent3 2 2 2 3 2 3" xfId="11720" xr:uid="{AF3FBB5B-E9C8-4DFF-86DF-811E6F87E2E1}"/>
    <cellStyle name="20% - Accent3 2 2 2 3 3" xfId="5351" xr:uid="{00000000-0005-0000-0000-00004C010000}"/>
    <cellStyle name="20% - Accent3 2 2 2 3 3 2" xfId="13793" xr:uid="{874DA803-48DF-45A7-921B-DB06ED2E403C}"/>
    <cellStyle name="20% - Accent3 2 2 2 3 4" xfId="9575" xr:uid="{F81439BB-1A67-4225-87C1-B436F59BE68E}"/>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3B18386B-4487-41F7-9DB5-BFEC659155CC}"/>
    <cellStyle name="20% - Accent3 2 2 2 4 2 3" xfId="12133" xr:uid="{A833A3D0-D93D-47FC-8AAD-D458D8F9D867}"/>
    <cellStyle name="20% - Accent3 2 2 2 4 3" xfId="5764" xr:uid="{00000000-0005-0000-0000-000050010000}"/>
    <cellStyle name="20% - Accent3 2 2 2 4 3 2" xfId="14206" xr:uid="{2EB35635-57F8-42FB-B208-9D47D0F16AB3}"/>
    <cellStyle name="20% - Accent3 2 2 2 4 4" xfId="9988" xr:uid="{83335152-5B76-4A9B-B725-A50BBAA9E5C8}"/>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514ACB2D-A84D-4BB4-BBF3-91DAFB1AC61D}"/>
    <cellStyle name="20% - Accent3 2 2 2 5 2 3" xfId="12546" xr:uid="{08909BD9-DCCD-440D-B105-D56FC6DC18F5}"/>
    <cellStyle name="20% - Accent3 2 2 2 5 3" xfId="6177" xr:uid="{00000000-0005-0000-0000-000054010000}"/>
    <cellStyle name="20% - Accent3 2 2 2 5 3 2" xfId="14619" xr:uid="{3A7D79B7-FA14-4980-ADC4-A2A276891433}"/>
    <cellStyle name="20% - Accent3 2 2 2 5 4" xfId="10401" xr:uid="{90F5AF14-2A2A-4AD9-BBCA-B23D377D4038}"/>
    <cellStyle name="20% - Accent3 2 2 2 6" xfId="2283" xr:uid="{00000000-0005-0000-0000-000055010000}"/>
    <cellStyle name="20% - Accent3 2 2 2 6 2" xfId="6590" xr:uid="{00000000-0005-0000-0000-000056010000}"/>
    <cellStyle name="20% - Accent3 2 2 2 6 2 2" xfId="15032" xr:uid="{F5E80C9F-899F-4488-96F7-9DBCA04653D0}"/>
    <cellStyle name="20% - Accent3 2 2 2 6 3" xfId="10814" xr:uid="{C3ECF382-ACD5-4608-A871-AED060836C5B}"/>
    <cellStyle name="20% - Accent3 2 2 2 7" xfId="4524" xr:uid="{00000000-0005-0000-0000-000057010000}"/>
    <cellStyle name="20% - Accent3 2 2 2 7 2" xfId="12966" xr:uid="{4C2540D9-EFF5-4574-A54A-CBD7926B23EC}"/>
    <cellStyle name="20% - Accent3 2 2 2 8" xfId="8748" xr:uid="{8784A5AF-C680-4B7C-B767-ADB7F98EDCFC}"/>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28C3984D-A5E8-44E1-AEC3-57B806FA26DB}"/>
    <cellStyle name="20% - Accent3 2 2 3 2 3" xfId="11306" xr:uid="{7AD8CC56-22EF-4AF0-82A4-7A6B981B9E8E}"/>
    <cellStyle name="20% - Accent3 2 2 3 3" xfId="4937" xr:uid="{00000000-0005-0000-0000-00005B010000}"/>
    <cellStyle name="20% - Accent3 2 2 3 3 2" xfId="13379" xr:uid="{67A5F007-E9D0-4824-BB0B-0E65D0B62B2A}"/>
    <cellStyle name="20% - Accent3 2 2 3 4" xfId="9161" xr:uid="{B7AA255E-BF90-43B3-AD27-CA04F499547B}"/>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AB92CF49-81C5-4A6A-9A47-160D2DA00B18}"/>
    <cellStyle name="20% - Accent3 2 2 4 2 3" xfId="11719" xr:uid="{93B3D121-9208-439B-9860-473575DC4A6C}"/>
    <cellStyle name="20% - Accent3 2 2 4 3" xfId="5350" xr:uid="{00000000-0005-0000-0000-00005F010000}"/>
    <cellStyle name="20% - Accent3 2 2 4 3 2" xfId="13792" xr:uid="{07C99996-7131-436D-B50F-C8493F5A090E}"/>
    <cellStyle name="20% - Accent3 2 2 4 4" xfId="9574" xr:uid="{C4E64339-6F9D-4B79-8BF7-310D40CAE30C}"/>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477224DA-50C4-438E-ADB3-41D7BC23D431}"/>
    <cellStyle name="20% - Accent3 2 2 5 2 3" xfId="12132" xr:uid="{48168C2E-F403-4908-85C9-8F54A3CF9298}"/>
    <cellStyle name="20% - Accent3 2 2 5 3" xfId="5763" xr:uid="{00000000-0005-0000-0000-000063010000}"/>
    <cellStyle name="20% - Accent3 2 2 5 3 2" xfId="14205" xr:uid="{6566BC96-A74C-4731-8B76-4937BC0886AB}"/>
    <cellStyle name="20% - Accent3 2 2 5 4" xfId="9987" xr:uid="{4796DA81-59D2-4CBF-824A-BF2693FB459A}"/>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0438C170-DD3B-4BC1-B3C8-D1E2C2DA5A8A}"/>
    <cellStyle name="20% - Accent3 2 2 6 2 3" xfId="12545" xr:uid="{BFBDCCE3-379E-4651-AC5A-5AED0A562527}"/>
    <cellStyle name="20% - Accent3 2 2 6 3" xfId="6176" xr:uid="{00000000-0005-0000-0000-000067010000}"/>
    <cellStyle name="20% - Accent3 2 2 6 3 2" xfId="14618" xr:uid="{58D5D527-935D-4D6E-9F87-1DE801C08EEA}"/>
    <cellStyle name="20% - Accent3 2 2 6 4" xfId="10400" xr:uid="{8CC81FCC-D0B8-4D36-A720-FE95968148E7}"/>
    <cellStyle name="20% - Accent3 2 2 7" xfId="2282" xr:uid="{00000000-0005-0000-0000-000068010000}"/>
    <cellStyle name="20% - Accent3 2 2 7 2" xfId="6589" xr:uid="{00000000-0005-0000-0000-000069010000}"/>
    <cellStyle name="20% - Accent3 2 2 7 2 2" xfId="15031" xr:uid="{903D08F2-6D50-4EE3-A68E-F864D682CD22}"/>
    <cellStyle name="20% - Accent3 2 2 7 3" xfId="10813" xr:uid="{A0530589-5411-4C7F-8FC5-5CB939CA5E5C}"/>
    <cellStyle name="20% - Accent3 2 2 8" xfId="4523" xr:uid="{00000000-0005-0000-0000-00006A010000}"/>
    <cellStyle name="20% - Accent3 2 2 8 2" xfId="12965" xr:uid="{167A81A8-2498-4502-954F-3AF6F78C9023}"/>
    <cellStyle name="20% - Accent3 2 2 9" xfId="8747" xr:uid="{AFA36A82-21A6-40C6-AC81-575C7932E89D}"/>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62E96AC0-0520-4C72-A0A5-36BE9F9EDCB7}"/>
    <cellStyle name="20% - Accent3 2 3 2 2 3" xfId="11308" xr:uid="{469A99C2-BEB4-4F90-A313-A29DF13DE55A}"/>
    <cellStyle name="20% - Accent3 2 3 2 3" xfId="4939" xr:uid="{00000000-0005-0000-0000-00006F010000}"/>
    <cellStyle name="20% - Accent3 2 3 2 3 2" xfId="13381" xr:uid="{EBE30E83-34BE-4508-B906-28FA38CF49A9}"/>
    <cellStyle name="20% - Accent3 2 3 2 4" xfId="9163" xr:uid="{65F50AD5-C686-4D78-A976-253BB78A53C5}"/>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4E0EC864-209F-4402-8676-8D561EC14D8C}"/>
    <cellStyle name="20% - Accent3 2 3 3 2 3" xfId="11721" xr:uid="{ECEBAF98-8820-41F7-93B7-ABAE3117438B}"/>
    <cellStyle name="20% - Accent3 2 3 3 3" xfId="5352" xr:uid="{00000000-0005-0000-0000-000073010000}"/>
    <cellStyle name="20% - Accent3 2 3 3 3 2" xfId="13794" xr:uid="{8E40BF37-1EFF-492A-8B86-E3DBD5D133FF}"/>
    <cellStyle name="20% - Accent3 2 3 3 4" xfId="9576" xr:uid="{B1DBF595-6380-403C-8F9B-7960C69B0E48}"/>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E0FD8FF2-F8BD-4401-AFA2-DD2CB8F0E34C}"/>
    <cellStyle name="20% - Accent3 2 3 4 2 3" xfId="12134" xr:uid="{C2683D1A-E0B9-415A-B983-B36FB3AFA75C}"/>
    <cellStyle name="20% - Accent3 2 3 4 3" xfId="5765" xr:uid="{00000000-0005-0000-0000-000077010000}"/>
    <cellStyle name="20% - Accent3 2 3 4 3 2" xfId="14207" xr:uid="{EB80F153-7722-4196-B6F3-433AE826B37B}"/>
    <cellStyle name="20% - Accent3 2 3 4 4" xfId="9989" xr:uid="{97BA866A-00A8-41F5-8A31-E4AFDB2338CB}"/>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C72DCC93-92AF-4370-ABD5-F0C657771AE3}"/>
    <cellStyle name="20% - Accent3 2 3 5 2 3" xfId="12547" xr:uid="{5C116506-5B4C-4573-AAB9-292A0645800D}"/>
    <cellStyle name="20% - Accent3 2 3 5 3" xfId="6178" xr:uid="{00000000-0005-0000-0000-00007B010000}"/>
    <cellStyle name="20% - Accent3 2 3 5 3 2" xfId="14620" xr:uid="{32DB9A68-DDA0-4A80-AF0D-3996FE5FBF43}"/>
    <cellStyle name="20% - Accent3 2 3 5 4" xfId="10402" xr:uid="{D2B5D305-A84B-497A-BF99-CA4CAF75E0AE}"/>
    <cellStyle name="20% - Accent3 2 3 6" xfId="2284" xr:uid="{00000000-0005-0000-0000-00007C010000}"/>
    <cellStyle name="20% - Accent3 2 3 6 2" xfId="6591" xr:uid="{00000000-0005-0000-0000-00007D010000}"/>
    <cellStyle name="20% - Accent3 2 3 6 2 2" xfId="15033" xr:uid="{5CF29C2E-519A-49C7-A985-68CB9E46B6FD}"/>
    <cellStyle name="20% - Accent3 2 3 6 3" xfId="10815" xr:uid="{4B1E4908-4A31-4016-8A5E-8DF260FF5589}"/>
    <cellStyle name="20% - Accent3 2 3 7" xfId="4525" xr:uid="{00000000-0005-0000-0000-00007E010000}"/>
    <cellStyle name="20% - Accent3 2 3 7 2" xfId="12967" xr:uid="{8A3A4787-0738-40FD-B507-98D0AF30011E}"/>
    <cellStyle name="20% - Accent3 2 3 8" xfId="8749" xr:uid="{F4FE5054-AD31-4D20-BB8C-44E478CF22C6}"/>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E19E62EE-C643-47B3-A515-09289D7D36BE}"/>
    <cellStyle name="20% - Accent3 2 4 2 3" xfId="11305" xr:uid="{F23C7142-66FB-4389-A861-2421705FC812}"/>
    <cellStyle name="20% - Accent3 2 4 3" xfId="4936" xr:uid="{00000000-0005-0000-0000-000082010000}"/>
    <cellStyle name="20% - Accent3 2 4 3 2" xfId="13378" xr:uid="{97E4C029-D21D-4D60-9D6D-1B6A04901B35}"/>
    <cellStyle name="20% - Accent3 2 4 4" xfId="9160" xr:uid="{21BF3F24-FE99-4FD1-8AF5-BB49C1C06D9A}"/>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8406ACB1-0D57-49CC-9C9D-04307A0A5BEA}"/>
    <cellStyle name="20% - Accent3 2 5 2 3" xfId="11718" xr:uid="{A153717B-EC1C-4851-8852-56F7A6F7FA62}"/>
    <cellStyle name="20% - Accent3 2 5 3" xfId="5349" xr:uid="{00000000-0005-0000-0000-000086010000}"/>
    <cellStyle name="20% - Accent3 2 5 3 2" xfId="13791" xr:uid="{05B11A2E-E3D6-4EDF-AAC6-C9AA90ABE974}"/>
    <cellStyle name="20% - Accent3 2 5 4" xfId="9573" xr:uid="{8ED2B1BD-B483-4AAC-BEAC-BA5C3792F240}"/>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B27765D3-B3D7-4A50-A935-31CA330BCA15}"/>
    <cellStyle name="20% - Accent3 2 6 2 3" xfId="12131" xr:uid="{14BE242D-3609-4BCD-A1C9-7E64E5FC5C74}"/>
    <cellStyle name="20% - Accent3 2 6 3" xfId="5762" xr:uid="{00000000-0005-0000-0000-00008A010000}"/>
    <cellStyle name="20% - Accent3 2 6 3 2" xfId="14204" xr:uid="{A34864FD-6C96-41E4-822C-C92143FC644D}"/>
    <cellStyle name="20% - Accent3 2 6 4" xfId="9986" xr:uid="{82FC0A3B-1E58-4204-AEF6-1C0AB3D46EFC}"/>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61D8313B-51DA-4FC3-A1C5-D9D0453720E7}"/>
    <cellStyle name="20% - Accent3 2 7 2 3" xfId="12544" xr:uid="{55EE26B1-FD04-4B4E-BD17-4D1FA9F7251D}"/>
    <cellStyle name="20% - Accent3 2 7 3" xfId="6175" xr:uid="{00000000-0005-0000-0000-00008E010000}"/>
    <cellStyle name="20% - Accent3 2 7 3 2" xfId="14617" xr:uid="{87E5274E-BADF-46ED-96C7-0CD8177F98B4}"/>
    <cellStyle name="20% - Accent3 2 7 4" xfId="10399" xr:uid="{1B643536-F5C5-4398-80F5-F24D59D35FFD}"/>
    <cellStyle name="20% - Accent3 2 8" xfId="2281" xr:uid="{00000000-0005-0000-0000-00008F010000}"/>
    <cellStyle name="20% - Accent3 2 8 2" xfId="6588" xr:uid="{00000000-0005-0000-0000-000090010000}"/>
    <cellStyle name="20% - Accent3 2 8 2 2" xfId="15030" xr:uid="{4CF08EAB-2071-4C92-BA9A-98C92D5495B8}"/>
    <cellStyle name="20% - Accent3 2 8 3" xfId="10812" xr:uid="{E541A083-C0EB-4129-8141-0BAF869C9432}"/>
    <cellStyle name="20% - Accent3 2 9" xfId="4522" xr:uid="{00000000-0005-0000-0000-000091010000}"/>
    <cellStyle name="20% - Accent3 2 9 2" xfId="12964" xr:uid="{D9CF5C04-3BEF-4DF0-B748-8A640DD7D493}"/>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14B2CAA0-4911-4840-AC42-C53AB6960D81}"/>
    <cellStyle name="20% - Accent3 3 2 2 2 3" xfId="11310" xr:uid="{BA1ABEFE-AC48-4422-9EA5-15452ED33612}"/>
    <cellStyle name="20% - Accent3 3 2 2 3" xfId="4941" xr:uid="{00000000-0005-0000-0000-000097010000}"/>
    <cellStyle name="20% - Accent3 3 2 2 3 2" xfId="13383" xr:uid="{093D6AD4-A2F5-4AF8-AF2F-BCC0DA8F1B17}"/>
    <cellStyle name="20% - Accent3 3 2 2 4" xfId="9165" xr:uid="{07FA834B-A5DC-47D7-96C6-840F22EC3095}"/>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BABC2329-467B-4067-BE64-57E8090BF82A}"/>
    <cellStyle name="20% - Accent3 3 2 3 2 3" xfId="11723" xr:uid="{AFC269E0-8B1E-43B9-AC74-E008171F8E75}"/>
    <cellStyle name="20% - Accent3 3 2 3 3" xfId="5354" xr:uid="{00000000-0005-0000-0000-00009B010000}"/>
    <cellStyle name="20% - Accent3 3 2 3 3 2" xfId="13796" xr:uid="{C4296D66-B602-4A1F-B98C-2C32206DC9D0}"/>
    <cellStyle name="20% - Accent3 3 2 3 4" xfId="9578" xr:uid="{4FE6D1F4-4AE2-4F04-9EA2-5A738B9E5451}"/>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066D968E-6C43-4399-9975-F4AE4F647BF8}"/>
    <cellStyle name="20% - Accent3 3 2 4 2 3" xfId="12136" xr:uid="{F5CDE25F-3F67-48A8-A07E-FCE274A8F567}"/>
    <cellStyle name="20% - Accent3 3 2 4 3" xfId="5767" xr:uid="{00000000-0005-0000-0000-00009F010000}"/>
    <cellStyle name="20% - Accent3 3 2 4 3 2" xfId="14209" xr:uid="{3F42D518-EB68-4394-A4EA-531738A48273}"/>
    <cellStyle name="20% - Accent3 3 2 4 4" xfId="9991" xr:uid="{6FFF73E7-6CA7-414A-87A8-EEC2125CD9E8}"/>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503CBF1E-1FA0-43E9-A748-7FC43A48B7BF}"/>
    <cellStyle name="20% - Accent3 3 2 5 2 3" xfId="12549" xr:uid="{59BEA81D-F5B4-40FE-8ECE-CB7A454B153B}"/>
    <cellStyle name="20% - Accent3 3 2 5 3" xfId="6180" xr:uid="{00000000-0005-0000-0000-0000A3010000}"/>
    <cellStyle name="20% - Accent3 3 2 5 3 2" xfId="14622" xr:uid="{21F5B4E4-00C9-475B-93B4-3F5CCD68281D}"/>
    <cellStyle name="20% - Accent3 3 2 5 4" xfId="10404" xr:uid="{D48D3F0D-0B60-4160-8A4B-D5C1CA585136}"/>
    <cellStyle name="20% - Accent3 3 2 6" xfId="2286" xr:uid="{00000000-0005-0000-0000-0000A4010000}"/>
    <cellStyle name="20% - Accent3 3 2 6 2" xfId="6593" xr:uid="{00000000-0005-0000-0000-0000A5010000}"/>
    <cellStyle name="20% - Accent3 3 2 6 2 2" xfId="15035" xr:uid="{A1BFC637-69CF-4E39-9C52-D0C8331409C6}"/>
    <cellStyle name="20% - Accent3 3 2 6 3" xfId="10817" xr:uid="{A5BAB01D-0A90-48DB-8196-A668CC1AC357}"/>
    <cellStyle name="20% - Accent3 3 2 7" xfId="4527" xr:uid="{00000000-0005-0000-0000-0000A6010000}"/>
    <cellStyle name="20% - Accent3 3 2 7 2" xfId="12969" xr:uid="{622E3B7E-9B60-4A14-9C11-FFCA5A22349F}"/>
    <cellStyle name="20% - Accent3 3 2 8" xfId="8751" xr:uid="{7351C921-F441-45C5-A923-13A3C41873A3}"/>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5EC33278-B290-49C0-AEC4-0ABEF6A08D1F}"/>
    <cellStyle name="20% - Accent3 3 3 2 3" xfId="11309" xr:uid="{1BD43A01-829E-489C-A2DB-CF65090DE371}"/>
    <cellStyle name="20% - Accent3 3 3 3" xfId="4940" xr:uid="{00000000-0005-0000-0000-0000AA010000}"/>
    <cellStyle name="20% - Accent3 3 3 3 2" xfId="13382" xr:uid="{F9E8ED20-CCCF-4E4B-82A4-D0D4FE871EF8}"/>
    <cellStyle name="20% - Accent3 3 3 4" xfId="9164" xr:uid="{20934A89-CC72-461E-9234-44B51B9384CD}"/>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E412A05B-E28D-447F-85C2-A5347224E024}"/>
    <cellStyle name="20% - Accent3 3 4 2 3" xfId="11722" xr:uid="{F38C15B1-08C7-4A7C-9FEC-15F1FAD36838}"/>
    <cellStyle name="20% - Accent3 3 4 3" xfId="5353" xr:uid="{00000000-0005-0000-0000-0000AE010000}"/>
    <cellStyle name="20% - Accent3 3 4 3 2" xfId="13795" xr:uid="{C65D8A94-03AC-47F5-BF63-CC8B1CBE777F}"/>
    <cellStyle name="20% - Accent3 3 4 4" xfId="9577" xr:uid="{D9A5E281-C530-48E4-80CC-18F16D9A8C1F}"/>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83774379-0C7A-447D-A1D5-72CCB8A8553E}"/>
    <cellStyle name="20% - Accent3 3 5 2 3" xfId="12135" xr:uid="{1BA091A7-2A36-4BF9-9714-23359203B754}"/>
    <cellStyle name="20% - Accent3 3 5 3" xfId="5766" xr:uid="{00000000-0005-0000-0000-0000B2010000}"/>
    <cellStyle name="20% - Accent3 3 5 3 2" xfId="14208" xr:uid="{AB61FCD7-5B00-4ACA-8B0C-8767E935A92C}"/>
    <cellStyle name="20% - Accent3 3 5 4" xfId="9990" xr:uid="{67F2EB79-2806-4066-B290-EE5AEBF636B4}"/>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5C6F53EB-031E-45CF-A553-5ECE54F805CA}"/>
    <cellStyle name="20% - Accent3 3 6 2 3" xfId="12548" xr:uid="{A26E021A-5805-4493-AD76-F6268C0FE2F1}"/>
    <cellStyle name="20% - Accent3 3 6 3" xfId="6179" xr:uid="{00000000-0005-0000-0000-0000B6010000}"/>
    <cellStyle name="20% - Accent3 3 6 3 2" xfId="14621" xr:uid="{368F1662-04C9-406A-824C-2DC4AD8C3BC2}"/>
    <cellStyle name="20% - Accent3 3 6 4" xfId="10403" xr:uid="{FE89D2C4-2C33-4D45-9B5A-10264C4D2095}"/>
    <cellStyle name="20% - Accent3 3 7" xfId="2285" xr:uid="{00000000-0005-0000-0000-0000B7010000}"/>
    <cellStyle name="20% - Accent3 3 7 2" xfId="6592" xr:uid="{00000000-0005-0000-0000-0000B8010000}"/>
    <cellStyle name="20% - Accent3 3 7 2 2" xfId="15034" xr:uid="{4793E52F-7503-494B-86B7-38412AB95C32}"/>
    <cellStyle name="20% - Accent3 3 7 3" xfId="10816" xr:uid="{A4CABE13-A84F-464F-A602-F67156F49BCD}"/>
    <cellStyle name="20% - Accent3 3 8" xfId="4526" xr:uid="{00000000-0005-0000-0000-0000B9010000}"/>
    <cellStyle name="20% - Accent3 3 8 2" xfId="12968" xr:uid="{717C60D3-92CD-42D4-B5F5-A16EAC6A176F}"/>
    <cellStyle name="20% - Accent3 3 9" xfId="8750" xr:uid="{C74C199D-4AC6-438B-B22F-711AB379AEBA}"/>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9EF4F2EB-D20A-4183-947F-2F7462507FDE}"/>
    <cellStyle name="20% - Accent3 4 2 2 3" xfId="11311" xr:uid="{2C3C8DA9-9A8B-4CA5-BBD6-0800F178E4D5}"/>
    <cellStyle name="20% - Accent3 4 2 3" xfId="4942" xr:uid="{00000000-0005-0000-0000-0000BE010000}"/>
    <cellStyle name="20% - Accent3 4 2 3 2" xfId="13384" xr:uid="{41DEE8F4-504F-49A6-AF1D-5D9720BD15B1}"/>
    <cellStyle name="20% - Accent3 4 2 4" xfId="9166" xr:uid="{69E5D1EF-F884-4922-8A1A-2844CFEBF832}"/>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C8A0C162-12FA-446F-A780-E6D8E48C045E}"/>
    <cellStyle name="20% - Accent3 4 3 2 3" xfId="11724" xr:uid="{73552AD5-319C-4C24-BCF2-458FD5CE705E}"/>
    <cellStyle name="20% - Accent3 4 3 3" xfId="5355" xr:uid="{00000000-0005-0000-0000-0000C2010000}"/>
    <cellStyle name="20% - Accent3 4 3 3 2" xfId="13797" xr:uid="{4CDAA5F0-9ED4-48DF-95F8-0EE2570CC0E0}"/>
    <cellStyle name="20% - Accent3 4 3 4" xfId="9579" xr:uid="{DC0540AF-E427-4248-A571-E8A9BA74CBD1}"/>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2C262CDF-D6FF-41CC-A8D5-3A18E764F782}"/>
    <cellStyle name="20% - Accent3 4 4 2 3" xfId="12137" xr:uid="{A9B995A5-D5B8-4E5F-9B46-C586C656D372}"/>
    <cellStyle name="20% - Accent3 4 4 3" xfId="5768" xr:uid="{00000000-0005-0000-0000-0000C6010000}"/>
    <cellStyle name="20% - Accent3 4 4 3 2" xfId="14210" xr:uid="{64A683BA-E7A2-41F1-AE96-E921765157AC}"/>
    <cellStyle name="20% - Accent3 4 4 4" xfId="9992" xr:uid="{7C4DB05E-8DC1-44EA-81D0-CA321B2BB9CA}"/>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366302C0-40D4-45FC-B28F-E2D2A3483227}"/>
    <cellStyle name="20% - Accent3 4 5 2 3" xfId="12550" xr:uid="{AB56D475-4D2F-4141-8374-1062BAA4CFC2}"/>
    <cellStyle name="20% - Accent3 4 5 3" xfId="6181" xr:uid="{00000000-0005-0000-0000-0000CA010000}"/>
    <cellStyle name="20% - Accent3 4 5 3 2" xfId="14623" xr:uid="{0C944BFA-8AD6-44DD-BC48-4E8528A8E07D}"/>
    <cellStyle name="20% - Accent3 4 5 4" xfId="10405" xr:uid="{78836BA5-5AF9-473F-87EB-6AE3CD18E54F}"/>
    <cellStyle name="20% - Accent3 4 6" xfId="2287" xr:uid="{00000000-0005-0000-0000-0000CB010000}"/>
    <cellStyle name="20% - Accent3 4 6 2" xfId="6594" xr:uid="{00000000-0005-0000-0000-0000CC010000}"/>
    <cellStyle name="20% - Accent3 4 6 2 2" xfId="15036" xr:uid="{51F3AF95-B37C-4C23-B877-52E25E0D1934}"/>
    <cellStyle name="20% - Accent3 4 6 3" xfId="10818" xr:uid="{8880942F-ABF8-4A71-9886-97D6D0BB41E8}"/>
    <cellStyle name="20% - Accent3 4 7" xfId="4528" xr:uid="{00000000-0005-0000-0000-0000CD010000}"/>
    <cellStyle name="20% - Accent3 4 7 2" xfId="12970" xr:uid="{6A4F9151-0C13-49FB-950D-D83527A2B924}"/>
    <cellStyle name="20% - Accent3 4 8" xfId="8752" xr:uid="{2B320872-103A-4570-9CA4-7465A083AF9C}"/>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2C4671D3-B9E1-4AF5-9099-22F0813E5105}"/>
    <cellStyle name="20% - Accent3 5 2 3" xfId="11304" xr:uid="{125B55E4-C79A-462D-AEA3-F9F14F7DDF4F}"/>
    <cellStyle name="20% - Accent3 5 3" xfId="4935" xr:uid="{00000000-0005-0000-0000-0000D1010000}"/>
    <cellStyle name="20% - Accent3 5 3 2" xfId="13377" xr:uid="{A465092A-8361-4959-A137-63E4A6219D38}"/>
    <cellStyle name="20% - Accent3 5 4" xfId="9159" xr:uid="{BBD5B845-FB92-4A92-B220-76CD211AC628}"/>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F15C6FEA-AFF2-41CD-9CEB-9C71D3B91054}"/>
    <cellStyle name="20% - Accent3 6 2 3" xfId="11717" xr:uid="{E341CD64-2263-4527-8915-B38E0EAA8531}"/>
    <cellStyle name="20% - Accent3 6 3" xfId="5348" xr:uid="{00000000-0005-0000-0000-0000D5010000}"/>
    <cellStyle name="20% - Accent3 6 3 2" xfId="13790" xr:uid="{7CB1B71C-FAEF-4815-B917-CDD08E793FB0}"/>
    <cellStyle name="20% - Accent3 6 4" xfId="9572" xr:uid="{B1002219-BCBD-4630-BB65-64B6F840CCE8}"/>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9E2AD08F-D5B3-4567-B653-330F5A322EB3}"/>
    <cellStyle name="20% - Accent3 7 2 3" xfId="12130" xr:uid="{4780D38A-CE87-434B-8411-6FFB4479E7C3}"/>
    <cellStyle name="20% - Accent3 7 3" xfId="5761" xr:uid="{00000000-0005-0000-0000-0000D9010000}"/>
    <cellStyle name="20% - Accent3 7 3 2" xfId="14203" xr:uid="{08F2D0AF-C64B-45B5-A6F6-330A4B2D7AD8}"/>
    <cellStyle name="20% - Accent3 7 4" xfId="9985" xr:uid="{D6B3050A-7701-401A-9D3C-A0EE1213B501}"/>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5298C308-0FBC-4F46-A727-670C84FA5B15}"/>
    <cellStyle name="20% - Accent3 8 2 3" xfId="12543" xr:uid="{0D21D6DA-9C7A-4715-A5D8-AEE8E2E408D3}"/>
    <cellStyle name="20% - Accent3 8 3" xfId="6174" xr:uid="{00000000-0005-0000-0000-0000DD010000}"/>
    <cellStyle name="20% - Accent3 8 3 2" xfId="14616" xr:uid="{1A39C3FF-5B10-4CD2-BAA6-CC121B033E69}"/>
    <cellStyle name="20% - Accent3 8 4" xfId="10398" xr:uid="{2A4E1FFF-CE98-40A8-9E4F-3822195C8BA6}"/>
    <cellStyle name="20% - Accent3 9" xfId="2280" xr:uid="{00000000-0005-0000-0000-0000DE010000}"/>
    <cellStyle name="20% - Accent3 9 2" xfId="6587" xr:uid="{00000000-0005-0000-0000-0000DF010000}"/>
    <cellStyle name="20% - Accent3 9 2 2" xfId="15029" xr:uid="{B547E0BB-AAC8-4D0B-8F29-E5593D3B997F}"/>
    <cellStyle name="20% - Accent3 9 3" xfId="10811" xr:uid="{C3F4D404-1BD8-4634-91AE-F1A978DB0787}"/>
    <cellStyle name="20% - Accent4" xfId="25" builtinId="42" customBuiltin="1"/>
    <cellStyle name="20% - Accent4 10" xfId="4529" xr:uid="{00000000-0005-0000-0000-0000E1010000}"/>
    <cellStyle name="20% - Accent4 10 2" xfId="12971" xr:uid="{4793CD55-A7E6-40B9-A19F-1A5868132086}"/>
    <cellStyle name="20% - Accent4 11" xfId="8753" xr:uid="{44CAEE00-1548-4F9F-818F-B755DBE022C4}"/>
    <cellStyle name="20% - Accent4 2" xfId="26" xr:uid="{00000000-0005-0000-0000-0000E2010000}"/>
    <cellStyle name="20% - Accent4 2 10" xfId="8754" xr:uid="{0FD8A8EB-225E-4DFB-8154-09D59E3F83E5}"/>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CE51967B-E362-4187-9F09-6D7E8A9B2A7F}"/>
    <cellStyle name="20% - Accent4 2 2 2 2 2 3" xfId="11315" xr:uid="{DE3224E0-3D3E-4BC6-8DCD-DA8ACD0D5EC1}"/>
    <cellStyle name="20% - Accent4 2 2 2 2 3" xfId="4946" xr:uid="{00000000-0005-0000-0000-0000E8010000}"/>
    <cellStyle name="20% - Accent4 2 2 2 2 3 2" xfId="13388" xr:uid="{94D56E26-7C2A-4BBB-BC0D-03BE2BF7E2A7}"/>
    <cellStyle name="20% - Accent4 2 2 2 2 4" xfId="9170" xr:uid="{3E88779C-8A86-47F8-BE0A-384F887675A7}"/>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0C56D589-7EDF-4244-AB2E-8713287116A9}"/>
    <cellStyle name="20% - Accent4 2 2 2 3 2 3" xfId="11728" xr:uid="{88C60567-6686-441A-9B35-9B1A0F088102}"/>
    <cellStyle name="20% - Accent4 2 2 2 3 3" xfId="5359" xr:uid="{00000000-0005-0000-0000-0000EC010000}"/>
    <cellStyle name="20% - Accent4 2 2 2 3 3 2" xfId="13801" xr:uid="{AAA5CAE8-673B-4847-A94B-96197634C27C}"/>
    <cellStyle name="20% - Accent4 2 2 2 3 4" xfId="9583" xr:uid="{6B2DBE49-0FF6-4F43-A217-AB3C46853E69}"/>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9B4CE461-475D-453F-B027-81FB00114D61}"/>
    <cellStyle name="20% - Accent4 2 2 2 4 2 3" xfId="12141" xr:uid="{59025548-81B5-48D6-B04B-C962A063A43C}"/>
    <cellStyle name="20% - Accent4 2 2 2 4 3" xfId="5772" xr:uid="{00000000-0005-0000-0000-0000F0010000}"/>
    <cellStyle name="20% - Accent4 2 2 2 4 3 2" xfId="14214" xr:uid="{07E91257-5142-40D6-8785-5510B9BF9AC6}"/>
    <cellStyle name="20% - Accent4 2 2 2 4 4" xfId="9996" xr:uid="{9575A6D6-ED46-4023-8C45-252C7C34D498}"/>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CD6EB551-8F46-4410-9084-383791E7E035}"/>
    <cellStyle name="20% - Accent4 2 2 2 5 2 3" xfId="12554" xr:uid="{0302F937-7EE8-4B3A-A523-FC61107625BF}"/>
    <cellStyle name="20% - Accent4 2 2 2 5 3" xfId="6185" xr:uid="{00000000-0005-0000-0000-0000F4010000}"/>
    <cellStyle name="20% - Accent4 2 2 2 5 3 2" xfId="14627" xr:uid="{2BB41A45-2DFE-4717-99D7-9B7C2B25D123}"/>
    <cellStyle name="20% - Accent4 2 2 2 5 4" xfId="10409" xr:uid="{016A0DC7-CD65-4C4E-8664-8FFDC0048B6B}"/>
    <cellStyle name="20% - Accent4 2 2 2 6" xfId="2291" xr:uid="{00000000-0005-0000-0000-0000F5010000}"/>
    <cellStyle name="20% - Accent4 2 2 2 6 2" xfId="6598" xr:uid="{00000000-0005-0000-0000-0000F6010000}"/>
    <cellStyle name="20% - Accent4 2 2 2 6 2 2" xfId="15040" xr:uid="{D9C1DAD3-54F7-4AED-8FCF-B9CA3A894C27}"/>
    <cellStyle name="20% - Accent4 2 2 2 6 3" xfId="10822" xr:uid="{7814BED4-00AE-4ABF-BEE8-0F80DA062FC9}"/>
    <cellStyle name="20% - Accent4 2 2 2 7" xfId="4532" xr:uid="{00000000-0005-0000-0000-0000F7010000}"/>
    <cellStyle name="20% - Accent4 2 2 2 7 2" xfId="12974" xr:uid="{11222F02-71BD-43D0-BB16-D1404808BA70}"/>
    <cellStyle name="20% - Accent4 2 2 2 8" xfId="8756" xr:uid="{C2D70AF4-C20C-4229-BA2F-71724709DE53}"/>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5CAA2C04-8557-4671-93A0-EA96A6BEDAFB}"/>
    <cellStyle name="20% - Accent4 2 2 3 2 3" xfId="11314" xr:uid="{44DCCF48-8CA8-437E-BB23-175D92A61613}"/>
    <cellStyle name="20% - Accent4 2 2 3 3" xfId="4945" xr:uid="{00000000-0005-0000-0000-0000FB010000}"/>
    <cellStyle name="20% - Accent4 2 2 3 3 2" xfId="13387" xr:uid="{D8832308-D57C-43B2-9DE0-68CF7F21068E}"/>
    <cellStyle name="20% - Accent4 2 2 3 4" xfId="9169" xr:uid="{BE27A2B7-69B8-447C-8FFB-8260C2FEB66B}"/>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94493759-B00E-4287-AA68-3096D8636BE1}"/>
    <cellStyle name="20% - Accent4 2 2 4 2 3" xfId="11727" xr:uid="{A6D10610-7D07-4A4F-8ECA-D13BA22AEDAB}"/>
    <cellStyle name="20% - Accent4 2 2 4 3" xfId="5358" xr:uid="{00000000-0005-0000-0000-0000FF010000}"/>
    <cellStyle name="20% - Accent4 2 2 4 3 2" xfId="13800" xr:uid="{DA5E9078-F386-430C-987C-7275694059BF}"/>
    <cellStyle name="20% - Accent4 2 2 4 4" xfId="9582" xr:uid="{201215C1-7851-46AD-A467-1C7A22F38EE1}"/>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94918D21-B578-45E3-A2F2-4ECB426203FB}"/>
    <cellStyle name="20% - Accent4 2 2 5 2 3" xfId="12140" xr:uid="{4CC87613-04F9-456C-83E7-D2573812DA4E}"/>
    <cellStyle name="20% - Accent4 2 2 5 3" xfId="5771" xr:uid="{00000000-0005-0000-0000-000003020000}"/>
    <cellStyle name="20% - Accent4 2 2 5 3 2" xfId="14213" xr:uid="{FEAFD880-FB33-48AF-B402-DCF91B2CFDA3}"/>
    <cellStyle name="20% - Accent4 2 2 5 4" xfId="9995" xr:uid="{D1685D50-0DA5-4D51-8558-3333043A16C3}"/>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4D3D95B-B861-4B2A-BE7E-B3EE8E0A737F}"/>
    <cellStyle name="20% - Accent4 2 2 6 2 3" xfId="12553" xr:uid="{D4C65622-F6C8-4873-8CD7-4BE13898B962}"/>
    <cellStyle name="20% - Accent4 2 2 6 3" xfId="6184" xr:uid="{00000000-0005-0000-0000-000007020000}"/>
    <cellStyle name="20% - Accent4 2 2 6 3 2" xfId="14626" xr:uid="{DD63675D-8ED8-4FF0-9298-76C4131445EC}"/>
    <cellStyle name="20% - Accent4 2 2 6 4" xfId="10408" xr:uid="{3499DCCC-4C5C-44AF-91E5-2A98EA71C561}"/>
    <cellStyle name="20% - Accent4 2 2 7" xfId="2290" xr:uid="{00000000-0005-0000-0000-000008020000}"/>
    <cellStyle name="20% - Accent4 2 2 7 2" xfId="6597" xr:uid="{00000000-0005-0000-0000-000009020000}"/>
    <cellStyle name="20% - Accent4 2 2 7 2 2" xfId="15039" xr:uid="{033B5E53-3238-4341-864A-7E3BC567BD8F}"/>
    <cellStyle name="20% - Accent4 2 2 7 3" xfId="10821" xr:uid="{2BF1E8DE-DF6E-4327-9783-D90656B5EFAF}"/>
    <cellStyle name="20% - Accent4 2 2 8" xfId="4531" xr:uid="{00000000-0005-0000-0000-00000A020000}"/>
    <cellStyle name="20% - Accent4 2 2 8 2" xfId="12973" xr:uid="{E575AA01-7C62-472F-9851-6421839CFAC5}"/>
    <cellStyle name="20% - Accent4 2 2 9" xfId="8755" xr:uid="{3F07742C-A7FD-4660-B3C3-0C154D1CE7C3}"/>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93902900-D8D2-43D6-BD5C-F049983E4DE4}"/>
    <cellStyle name="20% - Accent4 2 3 2 2 3" xfId="11316" xr:uid="{91C896AB-28B9-4B73-89F8-5A22AA4731AA}"/>
    <cellStyle name="20% - Accent4 2 3 2 3" xfId="4947" xr:uid="{00000000-0005-0000-0000-00000F020000}"/>
    <cellStyle name="20% - Accent4 2 3 2 3 2" xfId="13389" xr:uid="{A1949764-84FB-4434-AD06-295539660D95}"/>
    <cellStyle name="20% - Accent4 2 3 2 4" xfId="9171" xr:uid="{39C1FFEC-CD6D-4185-A3B0-DCA202C34390}"/>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99B5A8E5-F78E-4825-BACC-F0F8ECA9BB0F}"/>
    <cellStyle name="20% - Accent4 2 3 3 2 3" xfId="11729" xr:uid="{230B55E9-8B62-49CC-A87B-466B3F56C0D0}"/>
    <cellStyle name="20% - Accent4 2 3 3 3" xfId="5360" xr:uid="{00000000-0005-0000-0000-000013020000}"/>
    <cellStyle name="20% - Accent4 2 3 3 3 2" xfId="13802" xr:uid="{ABC6ED42-47D2-4DA8-B5BE-DAB2BFE41CD7}"/>
    <cellStyle name="20% - Accent4 2 3 3 4" xfId="9584" xr:uid="{8B23B5E6-D9BF-45E5-9458-C17C78145C99}"/>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B1F43C51-2535-4734-8B14-416E4C007E53}"/>
    <cellStyle name="20% - Accent4 2 3 4 2 3" xfId="12142" xr:uid="{2182B777-ACFB-4BF4-ACCB-F64B4515F0CD}"/>
    <cellStyle name="20% - Accent4 2 3 4 3" xfId="5773" xr:uid="{00000000-0005-0000-0000-000017020000}"/>
    <cellStyle name="20% - Accent4 2 3 4 3 2" xfId="14215" xr:uid="{F7BD1543-39E6-44E8-8149-D23AFB40BFEB}"/>
    <cellStyle name="20% - Accent4 2 3 4 4" xfId="9997" xr:uid="{6DD1443A-873F-47EE-963B-C651E565710B}"/>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2A4B7A27-8ABF-4BE7-90DA-8A453EB6D408}"/>
    <cellStyle name="20% - Accent4 2 3 5 2 3" xfId="12555" xr:uid="{D172BCBA-1FEA-4802-89C0-2E3D44DE5B1B}"/>
    <cellStyle name="20% - Accent4 2 3 5 3" xfId="6186" xr:uid="{00000000-0005-0000-0000-00001B020000}"/>
    <cellStyle name="20% - Accent4 2 3 5 3 2" xfId="14628" xr:uid="{AAE009AE-71CF-49CE-B990-8D4A24257491}"/>
    <cellStyle name="20% - Accent4 2 3 5 4" xfId="10410" xr:uid="{FAED90D7-AF3F-411F-B8A6-D30E55F51895}"/>
    <cellStyle name="20% - Accent4 2 3 6" xfId="2292" xr:uid="{00000000-0005-0000-0000-00001C020000}"/>
    <cellStyle name="20% - Accent4 2 3 6 2" xfId="6599" xr:uid="{00000000-0005-0000-0000-00001D020000}"/>
    <cellStyle name="20% - Accent4 2 3 6 2 2" xfId="15041" xr:uid="{4D9F2F28-2CC3-4943-89F5-6D4ACAE90E0E}"/>
    <cellStyle name="20% - Accent4 2 3 6 3" xfId="10823" xr:uid="{1A29AA5E-739E-4511-B646-9F49C94DC996}"/>
    <cellStyle name="20% - Accent4 2 3 7" xfId="4533" xr:uid="{00000000-0005-0000-0000-00001E020000}"/>
    <cellStyle name="20% - Accent4 2 3 7 2" xfId="12975" xr:uid="{4B321E4D-E35B-46C1-BB83-D21D760095D6}"/>
    <cellStyle name="20% - Accent4 2 3 8" xfId="8757" xr:uid="{41EF4932-7C5D-4BC7-AE5A-04539D6B3A07}"/>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DAB965DC-7800-4C95-8A47-2185A4E75DCA}"/>
    <cellStyle name="20% - Accent4 2 4 2 3" xfId="11313" xr:uid="{E5B7F8B3-EAC6-4ECB-8BF5-C3FBC671604C}"/>
    <cellStyle name="20% - Accent4 2 4 3" xfId="4944" xr:uid="{00000000-0005-0000-0000-000022020000}"/>
    <cellStyle name="20% - Accent4 2 4 3 2" xfId="13386" xr:uid="{E3D3D6B5-B2CF-4E58-9F62-037D5AF781B7}"/>
    <cellStyle name="20% - Accent4 2 4 4" xfId="9168" xr:uid="{6D75DB67-F55A-4394-9959-B7FB91B9013B}"/>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EDFF4D88-47E0-499B-9EB3-0AEDD51BDB6A}"/>
    <cellStyle name="20% - Accent4 2 5 2 3" xfId="11726" xr:uid="{A7BA58E0-871B-4743-8A7E-FDB4C0DC1479}"/>
    <cellStyle name="20% - Accent4 2 5 3" xfId="5357" xr:uid="{00000000-0005-0000-0000-000026020000}"/>
    <cellStyle name="20% - Accent4 2 5 3 2" xfId="13799" xr:uid="{E5A8B641-474D-4FED-9B87-765D60018C85}"/>
    <cellStyle name="20% - Accent4 2 5 4" xfId="9581" xr:uid="{B9AD45E4-6E9C-4542-8FBB-B2139DDB62C2}"/>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CFAE7068-0E3A-4021-80F5-44B9B3CA7EB3}"/>
    <cellStyle name="20% - Accent4 2 6 2 3" xfId="12139" xr:uid="{797C26D8-08A2-4892-BF74-8616346337E4}"/>
    <cellStyle name="20% - Accent4 2 6 3" xfId="5770" xr:uid="{00000000-0005-0000-0000-00002A020000}"/>
    <cellStyle name="20% - Accent4 2 6 3 2" xfId="14212" xr:uid="{98E87088-B6C8-45FE-83DD-F6F3F9B5ED5C}"/>
    <cellStyle name="20% - Accent4 2 6 4" xfId="9994" xr:uid="{F170EA4F-056A-4030-8C4E-478E1F392BC8}"/>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3053C4A9-5090-4820-B3CC-212D06A08685}"/>
    <cellStyle name="20% - Accent4 2 7 2 3" xfId="12552" xr:uid="{DEB2C881-4DBE-46B7-B4AF-59991BEE5E4E}"/>
    <cellStyle name="20% - Accent4 2 7 3" xfId="6183" xr:uid="{00000000-0005-0000-0000-00002E020000}"/>
    <cellStyle name="20% - Accent4 2 7 3 2" xfId="14625" xr:uid="{298550A9-0330-4843-BFA4-6ADD45FC4A4B}"/>
    <cellStyle name="20% - Accent4 2 7 4" xfId="10407" xr:uid="{21127049-E2FB-48E5-A846-C8C00A14496C}"/>
    <cellStyle name="20% - Accent4 2 8" xfId="2289" xr:uid="{00000000-0005-0000-0000-00002F020000}"/>
    <cellStyle name="20% - Accent4 2 8 2" xfId="6596" xr:uid="{00000000-0005-0000-0000-000030020000}"/>
    <cellStyle name="20% - Accent4 2 8 2 2" xfId="15038" xr:uid="{5C1D1945-2A39-4B96-ADCB-0922BA9D7D29}"/>
    <cellStyle name="20% - Accent4 2 8 3" xfId="10820" xr:uid="{EA662082-D988-43F3-BE58-105426BC9CE6}"/>
    <cellStyle name="20% - Accent4 2 9" xfId="4530" xr:uid="{00000000-0005-0000-0000-000031020000}"/>
    <cellStyle name="20% - Accent4 2 9 2" xfId="12972" xr:uid="{671FD2D9-783B-4393-874F-5476666BA086}"/>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8EE96515-E5F6-4CDA-AB78-A3BC740C3D7A}"/>
    <cellStyle name="20% - Accent4 3 2 2 2 3" xfId="11318" xr:uid="{B147F37C-EECD-4CD7-AA94-86B0338A90F7}"/>
    <cellStyle name="20% - Accent4 3 2 2 3" xfId="4949" xr:uid="{00000000-0005-0000-0000-000037020000}"/>
    <cellStyle name="20% - Accent4 3 2 2 3 2" xfId="13391" xr:uid="{831FEBB0-8220-4AA8-B1B4-14A409DADB87}"/>
    <cellStyle name="20% - Accent4 3 2 2 4" xfId="9173" xr:uid="{98169F8E-33E5-46C3-87D4-D98090E85C2E}"/>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AB168B11-F6E9-40F0-9F11-085A64ECCE84}"/>
    <cellStyle name="20% - Accent4 3 2 3 2 3" xfId="11731" xr:uid="{4FCBB1C6-0DFF-4B13-BE47-2333E45EA2D5}"/>
    <cellStyle name="20% - Accent4 3 2 3 3" xfId="5362" xr:uid="{00000000-0005-0000-0000-00003B020000}"/>
    <cellStyle name="20% - Accent4 3 2 3 3 2" xfId="13804" xr:uid="{6A2A2940-7726-4F12-8865-F38AC28D853D}"/>
    <cellStyle name="20% - Accent4 3 2 3 4" xfId="9586" xr:uid="{A6A91D42-1CED-4043-B5B1-BA16C4EB75A3}"/>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4E08B45F-10EA-478E-89BD-84959D9ADED3}"/>
    <cellStyle name="20% - Accent4 3 2 4 2 3" xfId="12144" xr:uid="{3A9DA652-771E-427E-814D-89735E19A934}"/>
    <cellStyle name="20% - Accent4 3 2 4 3" xfId="5775" xr:uid="{00000000-0005-0000-0000-00003F020000}"/>
    <cellStyle name="20% - Accent4 3 2 4 3 2" xfId="14217" xr:uid="{D609E361-2C12-411C-B560-CA69422B9AC0}"/>
    <cellStyle name="20% - Accent4 3 2 4 4" xfId="9999" xr:uid="{2A259686-5B38-456A-92D2-7CB531EFBC73}"/>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A2416BD3-2330-4ABE-9621-900B8FDD22BC}"/>
    <cellStyle name="20% - Accent4 3 2 5 2 3" xfId="12557" xr:uid="{B2ED7E0D-327D-4938-B019-E86047A2558B}"/>
    <cellStyle name="20% - Accent4 3 2 5 3" xfId="6188" xr:uid="{00000000-0005-0000-0000-000043020000}"/>
    <cellStyle name="20% - Accent4 3 2 5 3 2" xfId="14630" xr:uid="{C27D4CC2-CB72-4344-BD1E-3701DB9F4E95}"/>
    <cellStyle name="20% - Accent4 3 2 5 4" xfId="10412" xr:uid="{688E5128-8B9F-44CD-AD77-B5D5EEAE657D}"/>
    <cellStyle name="20% - Accent4 3 2 6" xfId="2294" xr:uid="{00000000-0005-0000-0000-000044020000}"/>
    <cellStyle name="20% - Accent4 3 2 6 2" xfId="6601" xr:uid="{00000000-0005-0000-0000-000045020000}"/>
    <cellStyle name="20% - Accent4 3 2 6 2 2" xfId="15043" xr:uid="{E7AE209C-8383-4131-805C-641914ABEDC7}"/>
    <cellStyle name="20% - Accent4 3 2 6 3" xfId="10825" xr:uid="{CC42B990-E44D-408F-97E4-E67B87A097C1}"/>
    <cellStyle name="20% - Accent4 3 2 7" xfId="4535" xr:uid="{00000000-0005-0000-0000-000046020000}"/>
    <cellStyle name="20% - Accent4 3 2 7 2" xfId="12977" xr:uid="{C5715441-8908-49C4-AAB0-449CB8B6C4CC}"/>
    <cellStyle name="20% - Accent4 3 2 8" xfId="8759" xr:uid="{389289A2-D976-41C1-A788-519DC59803A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4BC51A40-60F7-450F-A7C8-F1B302CCDDA6}"/>
    <cellStyle name="20% - Accent4 3 3 2 3" xfId="11317" xr:uid="{42BEECBC-BA6F-4228-97CC-0DB0F0351D05}"/>
    <cellStyle name="20% - Accent4 3 3 3" xfId="4948" xr:uid="{00000000-0005-0000-0000-00004A020000}"/>
    <cellStyle name="20% - Accent4 3 3 3 2" xfId="13390" xr:uid="{B3311AED-A5BB-4A93-A0F7-01C6D49E431B}"/>
    <cellStyle name="20% - Accent4 3 3 4" xfId="9172" xr:uid="{D9926B7F-C904-45AD-B85E-41D9BEDDE63F}"/>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2D064F3C-BDB2-49F1-802E-36F9AE45BE39}"/>
    <cellStyle name="20% - Accent4 3 4 2 3" xfId="11730" xr:uid="{46618F37-8801-45E9-A1DB-37A2DA9774E3}"/>
    <cellStyle name="20% - Accent4 3 4 3" xfId="5361" xr:uid="{00000000-0005-0000-0000-00004E020000}"/>
    <cellStyle name="20% - Accent4 3 4 3 2" xfId="13803" xr:uid="{A51CFEAF-82FA-4139-9D84-068F7C7350D9}"/>
    <cellStyle name="20% - Accent4 3 4 4" xfId="9585" xr:uid="{ADF248AC-2254-4740-B378-6D4F39A4F538}"/>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61FAEF49-8E81-4454-AD11-14FFF6E18589}"/>
    <cellStyle name="20% - Accent4 3 5 2 3" xfId="12143" xr:uid="{F91D0A19-B626-4630-909F-10685588D278}"/>
    <cellStyle name="20% - Accent4 3 5 3" xfId="5774" xr:uid="{00000000-0005-0000-0000-000052020000}"/>
    <cellStyle name="20% - Accent4 3 5 3 2" xfId="14216" xr:uid="{09CFC9B7-E538-4508-986A-CDB4D89C1A0E}"/>
    <cellStyle name="20% - Accent4 3 5 4" xfId="9998" xr:uid="{19C8A872-B351-43BF-B659-E6543A52EE4B}"/>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85D9BB99-249B-47D4-BCBF-89BBA61D427A}"/>
    <cellStyle name="20% - Accent4 3 6 2 3" xfId="12556" xr:uid="{A8ECBEF9-EFCB-451A-96B0-4FEB921CF140}"/>
    <cellStyle name="20% - Accent4 3 6 3" xfId="6187" xr:uid="{00000000-0005-0000-0000-000056020000}"/>
    <cellStyle name="20% - Accent4 3 6 3 2" xfId="14629" xr:uid="{75B949D0-46BF-4E60-BA86-07752CA190F3}"/>
    <cellStyle name="20% - Accent4 3 6 4" xfId="10411" xr:uid="{63CCC221-DAD5-4482-BBB1-395A561D4703}"/>
    <cellStyle name="20% - Accent4 3 7" xfId="2293" xr:uid="{00000000-0005-0000-0000-000057020000}"/>
    <cellStyle name="20% - Accent4 3 7 2" xfId="6600" xr:uid="{00000000-0005-0000-0000-000058020000}"/>
    <cellStyle name="20% - Accent4 3 7 2 2" xfId="15042" xr:uid="{FC02AD42-E238-462E-BC5B-712692CDE87C}"/>
    <cellStyle name="20% - Accent4 3 7 3" xfId="10824" xr:uid="{40D782CE-B9DA-454A-8ED6-959AE667B7FA}"/>
    <cellStyle name="20% - Accent4 3 8" xfId="4534" xr:uid="{00000000-0005-0000-0000-000059020000}"/>
    <cellStyle name="20% - Accent4 3 8 2" xfId="12976" xr:uid="{27FE9EA5-FB10-40B2-922D-83B0A65B467D}"/>
    <cellStyle name="20% - Accent4 3 9" xfId="8758" xr:uid="{D686E798-4779-4433-9E01-1863FA1E2CBE}"/>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0106943A-ACDC-42B5-AB3B-F2F4E282C821}"/>
    <cellStyle name="20% - Accent4 4 2 2 3" xfId="11319" xr:uid="{2E0068CB-7114-4567-BB75-272E54CC7710}"/>
    <cellStyle name="20% - Accent4 4 2 3" xfId="4950" xr:uid="{00000000-0005-0000-0000-00005E020000}"/>
    <cellStyle name="20% - Accent4 4 2 3 2" xfId="13392" xr:uid="{0789A501-5884-44FF-9D37-30E3029DF981}"/>
    <cellStyle name="20% - Accent4 4 2 4" xfId="9174" xr:uid="{9687BA88-38A3-4FE0-BFE5-291538D2E12E}"/>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CD6CE0D3-26CF-41D8-9940-4C102A781448}"/>
    <cellStyle name="20% - Accent4 4 3 2 3" xfId="11732" xr:uid="{CC1E1EA0-83AF-47E8-A1BE-1FC33BB10B13}"/>
    <cellStyle name="20% - Accent4 4 3 3" xfId="5363" xr:uid="{00000000-0005-0000-0000-000062020000}"/>
    <cellStyle name="20% - Accent4 4 3 3 2" xfId="13805" xr:uid="{B9478340-C127-49C8-9267-5F6947888CA3}"/>
    <cellStyle name="20% - Accent4 4 3 4" xfId="9587" xr:uid="{5AAD0924-B9F9-4C89-AED0-C6A9E69F87A6}"/>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37FDD124-7F1B-4D74-88B8-3AC47C3BCACE}"/>
    <cellStyle name="20% - Accent4 4 4 2 3" xfId="12145" xr:uid="{9883E95C-0B06-4B9E-BA92-ACCF48EEA0E0}"/>
    <cellStyle name="20% - Accent4 4 4 3" xfId="5776" xr:uid="{00000000-0005-0000-0000-000066020000}"/>
    <cellStyle name="20% - Accent4 4 4 3 2" xfId="14218" xr:uid="{0DFAC3EB-8BB9-496E-8424-DB57CEF7FDB4}"/>
    <cellStyle name="20% - Accent4 4 4 4" xfId="10000" xr:uid="{C5142DA7-EDEB-4776-9155-70F57880ED4A}"/>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EE96C223-4620-4350-84CB-FC0EC899F620}"/>
    <cellStyle name="20% - Accent4 4 5 2 3" xfId="12558" xr:uid="{975945B5-5B4E-4542-BC7E-51E33D8AB049}"/>
    <cellStyle name="20% - Accent4 4 5 3" xfId="6189" xr:uid="{00000000-0005-0000-0000-00006A020000}"/>
    <cellStyle name="20% - Accent4 4 5 3 2" xfId="14631" xr:uid="{8639E2A3-A11C-4C52-981E-544D8C0D81D0}"/>
    <cellStyle name="20% - Accent4 4 5 4" xfId="10413" xr:uid="{F9410582-2BBE-4252-96B1-3CCA9B0764CF}"/>
    <cellStyle name="20% - Accent4 4 6" xfId="2295" xr:uid="{00000000-0005-0000-0000-00006B020000}"/>
    <cellStyle name="20% - Accent4 4 6 2" xfId="6602" xr:uid="{00000000-0005-0000-0000-00006C020000}"/>
    <cellStyle name="20% - Accent4 4 6 2 2" xfId="15044" xr:uid="{50352AFD-13A1-4E14-9339-B9922DD1110C}"/>
    <cellStyle name="20% - Accent4 4 6 3" xfId="10826" xr:uid="{7E5ED2DA-B0A7-43D4-BB51-3580A3795C44}"/>
    <cellStyle name="20% - Accent4 4 7" xfId="4536" xr:uid="{00000000-0005-0000-0000-00006D020000}"/>
    <cellStyle name="20% - Accent4 4 7 2" xfId="12978" xr:uid="{3ED7ED54-132D-452D-AE65-D0C0C7549801}"/>
    <cellStyle name="20% - Accent4 4 8" xfId="8760" xr:uid="{659DE25A-8AC4-494C-9352-8D83C8DDBF81}"/>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32288568-5A9D-4CC5-8EA0-C85E3E874DF8}"/>
    <cellStyle name="20% - Accent4 5 2 3" xfId="11312" xr:uid="{70D02A25-1AD3-4A1D-921A-541E673477B8}"/>
    <cellStyle name="20% - Accent4 5 3" xfId="4943" xr:uid="{00000000-0005-0000-0000-000071020000}"/>
    <cellStyle name="20% - Accent4 5 3 2" xfId="13385" xr:uid="{BE270084-3935-457B-969C-C4220D72EF11}"/>
    <cellStyle name="20% - Accent4 5 4" xfId="9167" xr:uid="{B9B61116-C9DD-4D3E-A6EA-7174D62C594A}"/>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DE5D8395-639D-4F22-B4B2-EE6858C04053}"/>
    <cellStyle name="20% - Accent4 6 2 3" xfId="11725" xr:uid="{B7A1161D-6D84-4DF7-A539-F75CEB8EC221}"/>
    <cellStyle name="20% - Accent4 6 3" xfId="5356" xr:uid="{00000000-0005-0000-0000-000075020000}"/>
    <cellStyle name="20% - Accent4 6 3 2" xfId="13798" xr:uid="{684AB57F-A874-42D8-AA05-6E95D52EBFE2}"/>
    <cellStyle name="20% - Accent4 6 4" xfId="9580" xr:uid="{9049435F-BD46-4B73-9CE4-D033F183CC6B}"/>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279AE5EC-514C-4F5D-93A8-C2624F229C66}"/>
    <cellStyle name="20% - Accent4 7 2 3" xfId="12138" xr:uid="{04C021E5-0046-435C-B041-93F1F55C00EB}"/>
    <cellStyle name="20% - Accent4 7 3" xfId="5769" xr:uid="{00000000-0005-0000-0000-000079020000}"/>
    <cellStyle name="20% - Accent4 7 3 2" xfId="14211" xr:uid="{835EF5FC-8173-4CDF-997D-A710BF70E030}"/>
    <cellStyle name="20% - Accent4 7 4" xfId="9993" xr:uid="{F08475C3-AD85-4A70-8D34-393384F92F9A}"/>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EF35F867-73A7-4581-8208-7EF58ACEF0C1}"/>
    <cellStyle name="20% - Accent4 8 2 3" xfId="12551" xr:uid="{981D2F89-53BA-4842-BDA3-179AB7857F1A}"/>
    <cellStyle name="20% - Accent4 8 3" xfId="6182" xr:uid="{00000000-0005-0000-0000-00007D020000}"/>
    <cellStyle name="20% - Accent4 8 3 2" xfId="14624" xr:uid="{1D923EC0-5246-410C-8870-7EACAB3552BC}"/>
    <cellStyle name="20% - Accent4 8 4" xfId="10406" xr:uid="{0C12ADCF-4EC8-4399-8225-65BF55D1BE30}"/>
    <cellStyle name="20% - Accent4 9" xfId="2288" xr:uid="{00000000-0005-0000-0000-00007E020000}"/>
    <cellStyle name="20% - Accent4 9 2" xfId="6595" xr:uid="{00000000-0005-0000-0000-00007F020000}"/>
    <cellStyle name="20% - Accent4 9 2 2" xfId="15037" xr:uid="{46375B07-6734-4447-A392-5391794E7F43}"/>
    <cellStyle name="20% - Accent4 9 3" xfId="10819" xr:uid="{E1126771-C4F7-4D98-A271-693E39A75486}"/>
    <cellStyle name="20% - Accent5" xfId="33" builtinId="46" customBuiltin="1"/>
    <cellStyle name="20% - Accent5 10" xfId="4537" xr:uid="{00000000-0005-0000-0000-000081020000}"/>
    <cellStyle name="20% - Accent5 10 2" xfId="12979" xr:uid="{6ECCB134-C2B4-47F2-8447-8F1DD73AA4FC}"/>
    <cellStyle name="20% - Accent5 11" xfId="8761" xr:uid="{9C420B46-03C5-49DA-80C4-C48B5CF63456}"/>
    <cellStyle name="20% - Accent5 2" xfId="34" xr:uid="{00000000-0005-0000-0000-000082020000}"/>
    <cellStyle name="20% - Accent5 2 10" xfId="8762" xr:uid="{129397ED-7EF5-406B-86A2-3ADF605FA7F6}"/>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304F5FBE-9C4A-43C3-AE3D-0C76F9EFB1F6}"/>
    <cellStyle name="20% - Accent5 2 2 2 2 2 3" xfId="11323" xr:uid="{6D612735-70FA-4AF5-ADB3-86F51947C20C}"/>
    <cellStyle name="20% - Accent5 2 2 2 2 3" xfId="4954" xr:uid="{00000000-0005-0000-0000-000088020000}"/>
    <cellStyle name="20% - Accent5 2 2 2 2 3 2" xfId="13396" xr:uid="{F2D44DA1-3B6C-432D-9BB8-A26A2EC5AEC7}"/>
    <cellStyle name="20% - Accent5 2 2 2 2 4" xfId="9178" xr:uid="{8FDDD8DC-92A2-4F14-9109-1BB3AAE0000F}"/>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1697779D-91DA-4F84-A8F0-426F0E533EF2}"/>
    <cellStyle name="20% - Accent5 2 2 2 3 2 3" xfId="11736" xr:uid="{6609A51F-E060-4C0F-8202-641C634334F6}"/>
    <cellStyle name="20% - Accent5 2 2 2 3 3" xfId="5367" xr:uid="{00000000-0005-0000-0000-00008C020000}"/>
    <cellStyle name="20% - Accent5 2 2 2 3 3 2" xfId="13809" xr:uid="{85A4CD07-BBA8-401E-A00D-B65941F363EB}"/>
    <cellStyle name="20% - Accent5 2 2 2 3 4" xfId="9591" xr:uid="{9758ADAF-E956-48FE-A08B-2280C04BD7CC}"/>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A4D02C03-8331-49D4-8D64-5045AA9047AC}"/>
    <cellStyle name="20% - Accent5 2 2 2 4 2 3" xfId="12149" xr:uid="{576FC433-0F89-4583-8113-2C749D943046}"/>
    <cellStyle name="20% - Accent5 2 2 2 4 3" xfId="5780" xr:uid="{00000000-0005-0000-0000-000090020000}"/>
    <cellStyle name="20% - Accent5 2 2 2 4 3 2" xfId="14222" xr:uid="{BA88BD3E-7144-4DE2-9C52-2DFBDA15B960}"/>
    <cellStyle name="20% - Accent5 2 2 2 4 4" xfId="10004" xr:uid="{EC59C14A-87D0-495C-9828-91BD739E3108}"/>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62401DD3-0953-4D9F-88EB-1BED0C04DF1B}"/>
    <cellStyle name="20% - Accent5 2 2 2 5 2 3" xfId="12562" xr:uid="{2801DA7A-34A3-4D35-832C-B6D15719E512}"/>
    <cellStyle name="20% - Accent5 2 2 2 5 3" xfId="6193" xr:uid="{00000000-0005-0000-0000-000094020000}"/>
    <cellStyle name="20% - Accent5 2 2 2 5 3 2" xfId="14635" xr:uid="{3CFB8234-AF42-4828-9C2E-C168697765E5}"/>
    <cellStyle name="20% - Accent5 2 2 2 5 4" xfId="10417" xr:uid="{BEF765EE-0FE5-4C75-B3E3-BE88D65E8DE3}"/>
    <cellStyle name="20% - Accent5 2 2 2 6" xfId="2299" xr:uid="{00000000-0005-0000-0000-000095020000}"/>
    <cellStyle name="20% - Accent5 2 2 2 6 2" xfId="6606" xr:uid="{00000000-0005-0000-0000-000096020000}"/>
    <cellStyle name="20% - Accent5 2 2 2 6 2 2" xfId="15048" xr:uid="{6C1693A5-B0EB-4009-A171-E938E32AD328}"/>
    <cellStyle name="20% - Accent5 2 2 2 6 3" xfId="10830" xr:uid="{9E037958-88C9-461D-B587-DB21F06FDA80}"/>
    <cellStyle name="20% - Accent5 2 2 2 7" xfId="4540" xr:uid="{00000000-0005-0000-0000-000097020000}"/>
    <cellStyle name="20% - Accent5 2 2 2 7 2" xfId="12982" xr:uid="{85BFE8D5-4CD9-4112-8ADA-7BD97195789F}"/>
    <cellStyle name="20% - Accent5 2 2 2 8" xfId="8764" xr:uid="{16135B48-6D59-43CB-874F-91CB3BDD4012}"/>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995760C4-11E8-4643-8E74-1E244E2F6096}"/>
    <cellStyle name="20% - Accent5 2 2 3 2 3" xfId="11322" xr:uid="{1DBDA1F1-1043-4B2D-9C41-68EA41BABABE}"/>
    <cellStyle name="20% - Accent5 2 2 3 3" xfId="4953" xr:uid="{00000000-0005-0000-0000-00009B020000}"/>
    <cellStyle name="20% - Accent5 2 2 3 3 2" xfId="13395" xr:uid="{E37E213F-5B1E-429E-AA05-58248493F23B}"/>
    <cellStyle name="20% - Accent5 2 2 3 4" xfId="9177" xr:uid="{CADBC7E4-B509-49CB-803E-756619EB6F0B}"/>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4477B370-7077-40A1-B2B0-68C3382CE254}"/>
    <cellStyle name="20% - Accent5 2 2 4 2 3" xfId="11735" xr:uid="{182B7748-18E2-4C9E-AD23-3E3939C3AD85}"/>
    <cellStyle name="20% - Accent5 2 2 4 3" xfId="5366" xr:uid="{00000000-0005-0000-0000-00009F020000}"/>
    <cellStyle name="20% - Accent5 2 2 4 3 2" xfId="13808" xr:uid="{F7DB6C2E-34CF-40A5-9E8A-03D26757C21D}"/>
    <cellStyle name="20% - Accent5 2 2 4 4" xfId="9590" xr:uid="{F93DFBAF-A565-4FC8-8965-121771343B6F}"/>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9945452B-B2AE-47E1-A828-E3FB762AACC6}"/>
    <cellStyle name="20% - Accent5 2 2 5 2 3" xfId="12148" xr:uid="{E72FE669-3A7A-4B41-BD78-21B10632D98E}"/>
    <cellStyle name="20% - Accent5 2 2 5 3" xfId="5779" xr:uid="{00000000-0005-0000-0000-0000A3020000}"/>
    <cellStyle name="20% - Accent5 2 2 5 3 2" xfId="14221" xr:uid="{DD293CC9-2929-45F4-BA42-D2D74D253C55}"/>
    <cellStyle name="20% - Accent5 2 2 5 4" xfId="10003" xr:uid="{C9FD2311-ECF2-45FE-9B73-6E8B1D679981}"/>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F3F2C3BC-B0CE-4DAE-A25C-67882E757557}"/>
    <cellStyle name="20% - Accent5 2 2 6 2 3" xfId="12561" xr:uid="{42D59185-E1D0-4361-9074-08443533D9D0}"/>
    <cellStyle name="20% - Accent5 2 2 6 3" xfId="6192" xr:uid="{00000000-0005-0000-0000-0000A7020000}"/>
    <cellStyle name="20% - Accent5 2 2 6 3 2" xfId="14634" xr:uid="{10C3F6D9-6A35-42C9-9585-21C4EE062B22}"/>
    <cellStyle name="20% - Accent5 2 2 6 4" xfId="10416" xr:uid="{B3C0F198-50F0-4897-AFFD-E29786F451CA}"/>
    <cellStyle name="20% - Accent5 2 2 7" xfId="2298" xr:uid="{00000000-0005-0000-0000-0000A8020000}"/>
    <cellStyle name="20% - Accent5 2 2 7 2" xfId="6605" xr:uid="{00000000-0005-0000-0000-0000A9020000}"/>
    <cellStyle name="20% - Accent5 2 2 7 2 2" xfId="15047" xr:uid="{891BF264-AF2D-48E1-949E-D3C4B6FDD783}"/>
    <cellStyle name="20% - Accent5 2 2 7 3" xfId="10829" xr:uid="{6043D0E0-BB69-4590-BC56-53F8BDA88E60}"/>
    <cellStyle name="20% - Accent5 2 2 8" xfId="4539" xr:uid="{00000000-0005-0000-0000-0000AA020000}"/>
    <cellStyle name="20% - Accent5 2 2 8 2" xfId="12981" xr:uid="{40BD2DF7-9388-48AD-8417-35B97813AA89}"/>
    <cellStyle name="20% - Accent5 2 2 9" xfId="8763" xr:uid="{5EEF4EE7-33F5-44B7-A315-DB662F713402}"/>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0C7612E7-2BF0-48E4-B540-7EE667714259}"/>
    <cellStyle name="20% - Accent5 2 3 2 2 3" xfId="11324" xr:uid="{8526301A-FE4A-4615-98E9-DA891042F931}"/>
    <cellStyle name="20% - Accent5 2 3 2 3" xfId="4955" xr:uid="{00000000-0005-0000-0000-0000AF020000}"/>
    <cellStyle name="20% - Accent5 2 3 2 3 2" xfId="13397" xr:uid="{4E2363BF-3F22-44A5-930C-462328865327}"/>
    <cellStyle name="20% - Accent5 2 3 2 4" xfId="9179" xr:uid="{895500EA-D4C7-468F-8DCF-15CCB9B86409}"/>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38982FA4-C5D6-4CC5-BAE3-103CB9941C76}"/>
    <cellStyle name="20% - Accent5 2 3 3 2 3" xfId="11737" xr:uid="{56C06EAF-A4D5-414E-AF54-44D510AD1A79}"/>
    <cellStyle name="20% - Accent5 2 3 3 3" xfId="5368" xr:uid="{00000000-0005-0000-0000-0000B3020000}"/>
    <cellStyle name="20% - Accent5 2 3 3 3 2" xfId="13810" xr:uid="{0A41449E-2624-4A79-966A-5FE228A21AC4}"/>
    <cellStyle name="20% - Accent5 2 3 3 4" xfId="9592" xr:uid="{3E02A570-9BA2-45D2-914B-B34F2DD66034}"/>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64AF89E2-F62F-4E96-893D-26B73F0F8606}"/>
    <cellStyle name="20% - Accent5 2 3 4 2 3" xfId="12150" xr:uid="{4ED21E64-C88D-449C-9C15-3BE47797AEA0}"/>
    <cellStyle name="20% - Accent5 2 3 4 3" xfId="5781" xr:uid="{00000000-0005-0000-0000-0000B7020000}"/>
    <cellStyle name="20% - Accent5 2 3 4 3 2" xfId="14223" xr:uid="{2DA1BB8F-65DB-4507-A8B2-8E76944A92B5}"/>
    <cellStyle name="20% - Accent5 2 3 4 4" xfId="10005" xr:uid="{F2E540BF-1BF8-40F3-8EF1-223BD8711C42}"/>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3CF424B9-C755-4A12-9CF8-D443361B2F69}"/>
    <cellStyle name="20% - Accent5 2 3 5 2 3" xfId="12563" xr:uid="{F4BCD5DF-9DAF-46E4-9829-08DDDB9780B1}"/>
    <cellStyle name="20% - Accent5 2 3 5 3" xfId="6194" xr:uid="{00000000-0005-0000-0000-0000BB020000}"/>
    <cellStyle name="20% - Accent5 2 3 5 3 2" xfId="14636" xr:uid="{9A3E550D-E105-4DF4-A3C3-6509952B23B8}"/>
    <cellStyle name="20% - Accent5 2 3 5 4" xfId="10418" xr:uid="{105C1E35-630C-4281-8D41-836AD978CCE6}"/>
    <cellStyle name="20% - Accent5 2 3 6" xfId="2300" xr:uid="{00000000-0005-0000-0000-0000BC020000}"/>
    <cellStyle name="20% - Accent5 2 3 6 2" xfId="6607" xr:uid="{00000000-0005-0000-0000-0000BD020000}"/>
    <cellStyle name="20% - Accent5 2 3 6 2 2" xfId="15049" xr:uid="{2D3C1D81-88D6-4B69-938C-590C9982019B}"/>
    <cellStyle name="20% - Accent5 2 3 6 3" xfId="10831" xr:uid="{C7BF1FA8-6D33-4F3E-9F43-8CC659850EEF}"/>
    <cellStyle name="20% - Accent5 2 3 7" xfId="4541" xr:uid="{00000000-0005-0000-0000-0000BE020000}"/>
    <cellStyle name="20% - Accent5 2 3 7 2" xfId="12983" xr:uid="{CDBFE7C0-2469-4565-A680-C18CA7452512}"/>
    <cellStyle name="20% - Accent5 2 3 8" xfId="8765" xr:uid="{27B75D3B-B209-45EA-8D57-4734651AB723}"/>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D9FBD7E9-89E3-4FB1-A84C-CD107CB1D7AA}"/>
    <cellStyle name="20% - Accent5 2 4 2 3" xfId="11321" xr:uid="{34C88BEE-9F36-431F-9B77-18AB80519790}"/>
    <cellStyle name="20% - Accent5 2 4 3" xfId="4952" xr:uid="{00000000-0005-0000-0000-0000C2020000}"/>
    <cellStyle name="20% - Accent5 2 4 3 2" xfId="13394" xr:uid="{D9730CCB-A3B6-4091-B451-358434AFBA25}"/>
    <cellStyle name="20% - Accent5 2 4 4" xfId="9176" xr:uid="{3CF08ED8-02D7-4E17-9BC8-01F53A9705E1}"/>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E98D91EB-DDEE-4732-B5FC-C20E911546D7}"/>
    <cellStyle name="20% - Accent5 2 5 2 3" xfId="11734" xr:uid="{65165566-87CF-4D6D-A05A-AA12577ACCEA}"/>
    <cellStyle name="20% - Accent5 2 5 3" xfId="5365" xr:uid="{00000000-0005-0000-0000-0000C6020000}"/>
    <cellStyle name="20% - Accent5 2 5 3 2" xfId="13807" xr:uid="{B629FC0C-1AD1-44B9-A7FB-7414E2E00436}"/>
    <cellStyle name="20% - Accent5 2 5 4" xfId="9589" xr:uid="{3FB17AFC-E51C-4B07-8A1A-90B9154605EA}"/>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B2FA3C14-60CE-47AD-A1E9-EF22700F6A3C}"/>
    <cellStyle name="20% - Accent5 2 6 2 3" xfId="12147" xr:uid="{235A47D6-2558-4646-BA80-923E871CFA33}"/>
    <cellStyle name="20% - Accent5 2 6 3" xfId="5778" xr:uid="{00000000-0005-0000-0000-0000CA020000}"/>
    <cellStyle name="20% - Accent5 2 6 3 2" xfId="14220" xr:uid="{753DB939-A961-477F-9AB3-3CC8BE91B002}"/>
    <cellStyle name="20% - Accent5 2 6 4" xfId="10002" xr:uid="{0624EDB3-60D4-4071-A336-D77B4C8ABD53}"/>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0507666F-F1F7-42B3-949F-A6AB8E648709}"/>
    <cellStyle name="20% - Accent5 2 7 2 3" xfId="12560" xr:uid="{06742626-954F-4EFC-911A-B0BD79317E4A}"/>
    <cellStyle name="20% - Accent5 2 7 3" xfId="6191" xr:uid="{00000000-0005-0000-0000-0000CE020000}"/>
    <cellStyle name="20% - Accent5 2 7 3 2" xfId="14633" xr:uid="{D1E29D62-89CF-4AE0-92DF-16F3E82D036E}"/>
    <cellStyle name="20% - Accent5 2 7 4" xfId="10415" xr:uid="{343FD4B8-D1D9-4ACA-80FC-317872FA56D6}"/>
    <cellStyle name="20% - Accent5 2 8" xfId="2297" xr:uid="{00000000-0005-0000-0000-0000CF020000}"/>
    <cellStyle name="20% - Accent5 2 8 2" xfId="6604" xr:uid="{00000000-0005-0000-0000-0000D0020000}"/>
    <cellStyle name="20% - Accent5 2 8 2 2" xfId="15046" xr:uid="{9EE78094-31A2-48F0-8567-DE1745748109}"/>
    <cellStyle name="20% - Accent5 2 8 3" xfId="10828" xr:uid="{4BD2DECC-A32C-4DC7-B2A3-AD4B3B074AB8}"/>
    <cellStyle name="20% - Accent5 2 9" xfId="4538" xr:uid="{00000000-0005-0000-0000-0000D1020000}"/>
    <cellStyle name="20% - Accent5 2 9 2" xfId="12980" xr:uid="{22226D63-D28A-47DF-AB49-798BCED8DB27}"/>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EE0F4E4A-734B-473F-B708-FC4562CBE373}"/>
    <cellStyle name="20% - Accent5 3 2 2 2 3" xfId="11326" xr:uid="{C911BA35-7445-4B3E-8A73-4872F0B907C6}"/>
    <cellStyle name="20% - Accent5 3 2 2 3" xfId="4957" xr:uid="{00000000-0005-0000-0000-0000D7020000}"/>
    <cellStyle name="20% - Accent5 3 2 2 3 2" xfId="13399" xr:uid="{01535765-2E5A-4324-8721-FE991BEEE4FC}"/>
    <cellStyle name="20% - Accent5 3 2 2 4" xfId="9181" xr:uid="{EDF16930-7475-40D2-9445-570AB17D24F6}"/>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24F3E403-6413-4838-BDF1-C8BD2BBD9560}"/>
    <cellStyle name="20% - Accent5 3 2 3 2 3" xfId="11739" xr:uid="{8E723775-44D8-4A97-8CD4-6B4595B7A75E}"/>
    <cellStyle name="20% - Accent5 3 2 3 3" xfId="5370" xr:uid="{00000000-0005-0000-0000-0000DB020000}"/>
    <cellStyle name="20% - Accent5 3 2 3 3 2" xfId="13812" xr:uid="{A57728CE-ED09-4333-A3E9-96956CA8F97D}"/>
    <cellStyle name="20% - Accent5 3 2 3 4" xfId="9594" xr:uid="{E0B3B87E-2CDE-4F86-833D-73A6D9E4225A}"/>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C8CFC5BC-CB04-4DE6-B846-A7EFA6C9EBF5}"/>
    <cellStyle name="20% - Accent5 3 2 4 2 3" xfId="12152" xr:uid="{465B5537-5D18-4843-902D-4DF05B981097}"/>
    <cellStyle name="20% - Accent5 3 2 4 3" xfId="5783" xr:uid="{00000000-0005-0000-0000-0000DF020000}"/>
    <cellStyle name="20% - Accent5 3 2 4 3 2" xfId="14225" xr:uid="{51DE8C4D-F4C0-4387-95EC-B3C5094490A3}"/>
    <cellStyle name="20% - Accent5 3 2 4 4" xfId="10007" xr:uid="{C157B7F1-E909-4A7A-9F51-24E4F1E0D0E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66AC5806-E407-47C2-AF51-C3ED16109CAA}"/>
    <cellStyle name="20% - Accent5 3 2 5 2 3" xfId="12565" xr:uid="{3FB44E07-DB32-429A-B365-45A228F1FC09}"/>
    <cellStyle name="20% - Accent5 3 2 5 3" xfId="6196" xr:uid="{00000000-0005-0000-0000-0000E3020000}"/>
    <cellStyle name="20% - Accent5 3 2 5 3 2" xfId="14638" xr:uid="{076A33C2-C944-4D81-BF83-F1B3924F6CA9}"/>
    <cellStyle name="20% - Accent5 3 2 5 4" xfId="10420" xr:uid="{CB62E4E9-40C3-4E50-ACD2-CC9E48989BD4}"/>
    <cellStyle name="20% - Accent5 3 2 6" xfId="2302" xr:uid="{00000000-0005-0000-0000-0000E4020000}"/>
    <cellStyle name="20% - Accent5 3 2 6 2" xfId="6609" xr:uid="{00000000-0005-0000-0000-0000E5020000}"/>
    <cellStyle name="20% - Accent5 3 2 6 2 2" xfId="15051" xr:uid="{3438869A-9C9F-449F-9C77-BDB522249CF0}"/>
    <cellStyle name="20% - Accent5 3 2 6 3" xfId="10833" xr:uid="{B0282AC7-CC08-4C0D-A8E0-D904694DE5C9}"/>
    <cellStyle name="20% - Accent5 3 2 7" xfId="4543" xr:uid="{00000000-0005-0000-0000-0000E6020000}"/>
    <cellStyle name="20% - Accent5 3 2 7 2" xfId="12985" xr:uid="{09ECC08E-0447-40C5-962F-911E5DC2E531}"/>
    <cellStyle name="20% - Accent5 3 2 8" xfId="8767" xr:uid="{804409C8-5B8D-45DE-B150-42939D8E851E}"/>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4E83C0B8-1E1C-40AD-8365-91AB8817D867}"/>
    <cellStyle name="20% - Accent5 3 3 2 3" xfId="11325" xr:uid="{BB55802A-AD88-4085-85BB-443961275C93}"/>
    <cellStyle name="20% - Accent5 3 3 3" xfId="4956" xr:uid="{00000000-0005-0000-0000-0000EA020000}"/>
    <cellStyle name="20% - Accent5 3 3 3 2" xfId="13398" xr:uid="{A1575F20-48F7-4746-A34D-6668C4185DAE}"/>
    <cellStyle name="20% - Accent5 3 3 4" xfId="9180" xr:uid="{76B70251-1F49-497A-98EA-8909DFFC577B}"/>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BEF34752-EDAC-435A-A646-6BA306EC3665}"/>
    <cellStyle name="20% - Accent5 3 4 2 3" xfId="11738" xr:uid="{8D1B72ED-2706-496D-A946-30CE11D5A81F}"/>
    <cellStyle name="20% - Accent5 3 4 3" xfId="5369" xr:uid="{00000000-0005-0000-0000-0000EE020000}"/>
    <cellStyle name="20% - Accent5 3 4 3 2" xfId="13811" xr:uid="{F64A4F0C-C8EC-471C-B0A0-46688A5DFC4D}"/>
    <cellStyle name="20% - Accent5 3 4 4" xfId="9593" xr:uid="{2463DF33-64B1-4689-A332-53939BEDA8CD}"/>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8E19887A-C269-41E2-BE3D-F6509610FE7E}"/>
    <cellStyle name="20% - Accent5 3 5 2 3" xfId="12151" xr:uid="{5CE0651D-71CA-4B21-AF9D-313B1BD0B953}"/>
    <cellStyle name="20% - Accent5 3 5 3" xfId="5782" xr:uid="{00000000-0005-0000-0000-0000F2020000}"/>
    <cellStyle name="20% - Accent5 3 5 3 2" xfId="14224" xr:uid="{CAF403A6-614E-45A7-AA67-4C2B7A164CFF}"/>
    <cellStyle name="20% - Accent5 3 5 4" xfId="10006" xr:uid="{8DCB8336-5D2C-488A-9FBE-DB047C6C0497}"/>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054BA692-80F1-4372-8307-F1C72B2DA3F6}"/>
    <cellStyle name="20% - Accent5 3 6 2 3" xfId="12564" xr:uid="{BF7DDC58-DF04-42AE-ABDB-ECD6100E820B}"/>
    <cellStyle name="20% - Accent5 3 6 3" xfId="6195" xr:uid="{00000000-0005-0000-0000-0000F6020000}"/>
    <cellStyle name="20% - Accent5 3 6 3 2" xfId="14637" xr:uid="{992FC009-B798-44E7-A304-678EBD8B365F}"/>
    <cellStyle name="20% - Accent5 3 6 4" xfId="10419" xr:uid="{1C85B6D8-FA0B-4D32-AB49-2EBD7375AFAF}"/>
    <cellStyle name="20% - Accent5 3 7" xfId="2301" xr:uid="{00000000-0005-0000-0000-0000F7020000}"/>
    <cellStyle name="20% - Accent5 3 7 2" xfId="6608" xr:uid="{00000000-0005-0000-0000-0000F8020000}"/>
    <cellStyle name="20% - Accent5 3 7 2 2" xfId="15050" xr:uid="{93C866A7-3C74-4092-B4DA-5AC612BD9894}"/>
    <cellStyle name="20% - Accent5 3 7 3" xfId="10832" xr:uid="{47AE9E3D-97DA-4695-9E03-6EBACC4A2C4F}"/>
    <cellStyle name="20% - Accent5 3 8" xfId="4542" xr:uid="{00000000-0005-0000-0000-0000F9020000}"/>
    <cellStyle name="20% - Accent5 3 8 2" xfId="12984" xr:uid="{32251FC7-A12E-4B5A-824E-475B2050DEF0}"/>
    <cellStyle name="20% - Accent5 3 9" xfId="8766" xr:uid="{50BF110D-4E08-4020-A902-07416FBA3803}"/>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D149C6E2-FCEC-4CE0-BFE5-F47B4A4D7367}"/>
    <cellStyle name="20% - Accent5 4 2 2 3" xfId="11327" xr:uid="{6D164A99-0D52-4F5B-9036-B24986D1D1DC}"/>
    <cellStyle name="20% - Accent5 4 2 3" xfId="4958" xr:uid="{00000000-0005-0000-0000-0000FE020000}"/>
    <cellStyle name="20% - Accent5 4 2 3 2" xfId="13400" xr:uid="{397FE81C-76C8-4650-B440-A13B825D8455}"/>
    <cellStyle name="20% - Accent5 4 2 4" xfId="9182" xr:uid="{081BC8B7-722F-4359-8C1D-48EF22AD8336}"/>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0B78D6D1-2E72-4F5E-A86D-E19DA4B0DB18}"/>
    <cellStyle name="20% - Accent5 4 3 2 3" xfId="11740" xr:uid="{77F236CE-7D20-4E80-AF7E-B370FEF3137E}"/>
    <cellStyle name="20% - Accent5 4 3 3" xfId="5371" xr:uid="{00000000-0005-0000-0000-000002030000}"/>
    <cellStyle name="20% - Accent5 4 3 3 2" xfId="13813" xr:uid="{2C47D9F4-381B-4A89-A98F-90A737840F96}"/>
    <cellStyle name="20% - Accent5 4 3 4" xfId="9595" xr:uid="{47EA902C-5D6D-48D9-BD0E-E3EC4EE47D33}"/>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428B6816-4012-44C5-9C17-0BBA8818F400}"/>
    <cellStyle name="20% - Accent5 4 4 2 3" xfId="12153" xr:uid="{FA61B01D-95AB-42FF-A3C2-9F822C8E5A7B}"/>
    <cellStyle name="20% - Accent5 4 4 3" xfId="5784" xr:uid="{00000000-0005-0000-0000-000006030000}"/>
    <cellStyle name="20% - Accent5 4 4 3 2" xfId="14226" xr:uid="{D8BBB36F-BA78-4398-97F2-2C0BEBDD0063}"/>
    <cellStyle name="20% - Accent5 4 4 4" xfId="10008" xr:uid="{405D9508-CB1C-4533-8CDD-2C1389D0F2D7}"/>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38AEA835-E3EA-49C4-8551-7A81688C3304}"/>
    <cellStyle name="20% - Accent5 4 5 2 3" xfId="12566" xr:uid="{58CE3E4C-8CA1-4EC2-BC43-B44CE9320BF0}"/>
    <cellStyle name="20% - Accent5 4 5 3" xfId="6197" xr:uid="{00000000-0005-0000-0000-00000A030000}"/>
    <cellStyle name="20% - Accent5 4 5 3 2" xfId="14639" xr:uid="{9D746B6A-56D9-4FF4-B575-4B453F229EC6}"/>
    <cellStyle name="20% - Accent5 4 5 4" xfId="10421" xr:uid="{47D48C72-BCBF-4673-99AE-FB15381D63B5}"/>
    <cellStyle name="20% - Accent5 4 6" xfId="2303" xr:uid="{00000000-0005-0000-0000-00000B030000}"/>
    <cellStyle name="20% - Accent5 4 6 2" xfId="6610" xr:uid="{00000000-0005-0000-0000-00000C030000}"/>
    <cellStyle name="20% - Accent5 4 6 2 2" xfId="15052" xr:uid="{C86D6A18-4FFE-42E8-A1D6-A921BA008BAD}"/>
    <cellStyle name="20% - Accent5 4 6 3" xfId="10834" xr:uid="{65FC0FF7-F45D-45D8-9E39-12A41A3613A3}"/>
    <cellStyle name="20% - Accent5 4 7" xfId="4544" xr:uid="{00000000-0005-0000-0000-00000D030000}"/>
    <cellStyle name="20% - Accent5 4 7 2" xfId="12986" xr:uid="{A566C89E-3DDD-49FC-A85C-55026010D32E}"/>
    <cellStyle name="20% - Accent5 4 8" xfId="8768" xr:uid="{629810F9-C12E-4029-BDC2-016A104E5250}"/>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E7A0FB93-E1CA-449A-A30B-259969799EFD}"/>
    <cellStyle name="20% - Accent5 5 2 3" xfId="11320" xr:uid="{4C932062-2CAF-4123-9B11-498184ABEDE8}"/>
    <cellStyle name="20% - Accent5 5 3" xfId="4951" xr:uid="{00000000-0005-0000-0000-000011030000}"/>
    <cellStyle name="20% - Accent5 5 3 2" xfId="13393" xr:uid="{3A484677-BD61-4B27-AB59-01D1EA5A403D}"/>
    <cellStyle name="20% - Accent5 5 4" xfId="9175" xr:uid="{8F6A61B9-3852-4672-9BF8-0062EBA46766}"/>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1BBA9C1D-7AD3-45B3-8AA8-45E3AC6F667A}"/>
    <cellStyle name="20% - Accent5 6 2 3" xfId="11733" xr:uid="{DF350D12-017D-42E3-B4D6-153F2B8C997C}"/>
    <cellStyle name="20% - Accent5 6 3" xfId="5364" xr:uid="{00000000-0005-0000-0000-000015030000}"/>
    <cellStyle name="20% - Accent5 6 3 2" xfId="13806" xr:uid="{04E0E9BC-940D-47B2-BBCE-B766AFF7F355}"/>
    <cellStyle name="20% - Accent5 6 4" xfId="9588" xr:uid="{ECA73956-7F83-44D2-9592-F2EB1743BDF5}"/>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F9D4AB70-868F-4F20-9EEB-37C6D006778A}"/>
    <cellStyle name="20% - Accent5 7 2 3" xfId="12146" xr:uid="{8AD2D078-AF3D-4214-B8F8-B57F5639A50B}"/>
    <cellStyle name="20% - Accent5 7 3" xfId="5777" xr:uid="{00000000-0005-0000-0000-000019030000}"/>
    <cellStyle name="20% - Accent5 7 3 2" xfId="14219" xr:uid="{5212EA17-F2B9-4930-8CA4-BAE40B4AB6FC}"/>
    <cellStyle name="20% - Accent5 7 4" xfId="10001" xr:uid="{9CACA204-0292-4864-96E9-918677925791}"/>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0776752E-EE75-4184-8434-1B97CBA08E0B}"/>
    <cellStyle name="20% - Accent5 8 2 3" xfId="12559" xr:uid="{49377C7F-6746-48F3-82DE-42DBA67D5208}"/>
    <cellStyle name="20% - Accent5 8 3" xfId="6190" xr:uid="{00000000-0005-0000-0000-00001D030000}"/>
    <cellStyle name="20% - Accent5 8 3 2" xfId="14632" xr:uid="{DCA67A74-4D6A-4746-BEE2-D6FD959C26E4}"/>
    <cellStyle name="20% - Accent5 8 4" xfId="10414" xr:uid="{02917462-B08D-42AF-810B-B253737B93B1}"/>
    <cellStyle name="20% - Accent5 9" xfId="2296" xr:uid="{00000000-0005-0000-0000-00001E030000}"/>
    <cellStyle name="20% - Accent5 9 2" xfId="6603" xr:uid="{00000000-0005-0000-0000-00001F030000}"/>
    <cellStyle name="20% - Accent5 9 2 2" xfId="15045" xr:uid="{DA081132-E269-449E-8CAC-5D8DB848AF19}"/>
    <cellStyle name="20% - Accent5 9 3" xfId="10827" xr:uid="{D1A6DCB3-6478-428B-9EB0-06461F18CE3E}"/>
    <cellStyle name="20% - Accent6" xfId="41" builtinId="50" customBuiltin="1"/>
    <cellStyle name="20% - Accent6 10" xfId="4545" xr:uid="{00000000-0005-0000-0000-000021030000}"/>
    <cellStyle name="20% - Accent6 10 2" xfId="12987" xr:uid="{925B3961-934B-4E81-9840-CCB8BD9DEFA7}"/>
    <cellStyle name="20% - Accent6 11" xfId="8769" xr:uid="{814B0BFB-681C-41EF-8516-DBFD5C2BAF24}"/>
    <cellStyle name="20% - Accent6 2" xfId="42" xr:uid="{00000000-0005-0000-0000-000022030000}"/>
    <cellStyle name="20% - Accent6 2 10" xfId="8770" xr:uid="{4FD6B8B3-74CA-4B0B-B676-E01FA48F57DB}"/>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96E608D-DE14-4D68-AC7D-4738EF836647}"/>
    <cellStyle name="20% - Accent6 2 2 2 2 2 3" xfId="11331" xr:uid="{8BEDC23D-43EC-46C9-9CCB-A73FB5DB17FB}"/>
    <cellStyle name="20% - Accent6 2 2 2 2 3" xfId="4962" xr:uid="{00000000-0005-0000-0000-000028030000}"/>
    <cellStyle name="20% - Accent6 2 2 2 2 3 2" xfId="13404" xr:uid="{3C94C633-E099-4848-A4D5-31A6B3BAB931}"/>
    <cellStyle name="20% - Accent6 2 2 2 2 4" xfId="9186" xr:uid="{A0B536C5-C210-4080-AD3F-0ABF65369902}"/>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4ABAA531-62E3-4462-93B9-9D88B3092683}"/>
    <cellStyle name="20% - Accent6 2 2 2 3 2 3" xfId="11744" xr:uid="{E4CDCDAB-F983-4038-A6AF-2E47A105CFA2}"/>
    <cellStyle name="20% - Accent6 2 2 2 3 3" xfId="5375" xr:uid="{00000000-0005-0000-0000-00002C030000}"/>
    <cellStyle name="20% - Accent6 2 2 2 3 3 2" xfId="13817" xr:uid="{B1FE8151-A89A-4253-8EFD-5C68474319FD}"/>
    <cellStyle name="20% - Accent6 2 2 2 3 4" xfId="9599" xr:uid="{F54FC9D3-07AB-4570-B4AF-B76C1563BF26}"/>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83B54424-5E7E-4AB4-8DBE-8FAAD163E51F}"/>
    <cellStyle name="20% - Accent6 2 2 2 4 2 3" xfId="12157" xr:uid="{30C709BD-B5F7-45FB-A8C8-4E8B33FC71B6}"/>
    <cellStyle name="20% - Accent6 2 2 2 4 3" xfId="5788" xr:uid="{00000000-0005-0000-0000-000030030000}"/>
    <cellStyle name="20% - Accent6 2 2 2 4 3 2" xfId="14230" xr:uid="{F92D077A-62F2-4C0E-963F-B958617ACAD0}"/>
    <cellStyle name="20% - Accent6 2 2 2 4 4" xfId="10012" xr:uid="{1D83350B-68C2-45B4-9B64-1BBA953BB2AF}"/>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9CDE5DB0-9E0C-4430-9FF3-EA29E640BB84}"/>
    <cellStyle name="20% - Accent6 2 2 2 5 2 3" xfId="12570" xr:uid="{BE79CF82-5852-4A16-99DD-957ED5F6384B}"/>
    <cellStyle name="20% - Accent6 2 2 2 5 3" xfId="6201" xr:uid="{00000000-0005-0000-0000-000034030000}"/>
    <cellStyle name="20% - Accent6 2 2 2 5 3 2" xfId="14643" xr:uid="{E72471FA-B1FA-4DE4-B5AD-915FB33097EE}"/>
    <cellStyle name="20% - Accent6 2 2 2 5 4" xfId="10425" xr:uid="{93C71410-1625-4CE6-8726-FB9245731AE6}"/>
    <cellStyle name="20% - Accent6 2 2 2 6" xfId="2307" xr:uid="{00000000-0005-0000-0000-000035030000}"/>
    <cellStyle name="20% - Accent6 2 2 2 6 2" xfId="6614" xr:uid="{00000000-0005-0000-0000-000036030000}"/>
    <cellStyle name="20% - Accent6 2 2 2 6 2 2" xfId="15056" xr:uid="{AA4C7C83-4FE4-4CE6-9CA5-0470E5FEE428}"/>
    <cellStyle name="20% - Accent6 2 2 2 6 3" xfId="10838" xr:uid="{0A758AD4-E28B-4722-8C98-D5785B019A98}"/>
    <cellStyle name="20% - Accent6 2 2 2 7" xfId="4548" xr:uid="{00000000-0005-0000-0000-000037030000}"/>
    <cellStyle name="20% - Accent6 2 2 2 7 2" xfId="12990" xr:uid="{F445E689-54B5-4C5F-AA4C-B30740B97EAD}"/>
    <cellStyle name="20% - Accent6 2 2 2 8" xfId="8772" xr:uid="{CB1A7A14-C3AE-4C93-8EA2-2FBD2572B19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17DB9C41-915D-46A3-92B2-39A6482DA88E}"/>
    <cellStyle name="20% - Accent6 2 2 3 2 3" xfId="11330" xr:uid="{089447E3-47CB-4E2F-8689-87BD98BE8431}"/>
    <cellStyle name="20% - Accent6 2 2 3 3" xfId="4961" xr:uid="{00000000-0005-0000-0000-00003B030000}"/>
    <cellStyle name="20% - Accent6 2 2 3 3 2" xfId="13403" xr:uid="{ED094705-CF3B-47AF-8BC4-4706DE74AA03}"/>
    <cellStyle name="20% - Accent6 2 2 3 4" xfId="9185" xr:uid="{0DA95D0E-5394-4E23-951A-167F74143517}"/>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B2883EDF-76C3-43CB-81FA-097E452C2753}"/>
    <cellStyle name="20% - Accent6 2 2 4 2 3" xfId="11743" xr:uid="{23BABE9A-6B5A-4DB3-AC3A-97519411D757}"/>
    <cellStyle name="20% - Accent6 2 2 4 3" xfId="5374" xr:uid="{00000000-0005-0000-0000-00003F030000}"/>
    <cellStyle name="20% - Accent6 2 2 4 3 2" xfId="13816" xr:uid="{3DD34DD6-4D00-4FEC-BACB-32E7490D4E49}"/>
    <cellStyle name="20% - Accent6 2 2 4 4" xfId="9598" xr:uid="{C77D2169-159F-460E-BCAE-33BB68789F77}"/>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C0C4EF05-25F6-4192-BD8A-5A38CA672AE0}"/>
    <cellStyle name="20% - Accent6 2 2 5 2 3" xfId="12156" xr:uid="{98FCF5FB-5AE7-4CDA-9D5F-6624B4C88ABE}"/>
    <cellStyle name="20% - Accent6 2 2 5 3" xfId="5787" xr:uid="{00000000-0005-0000-0000-000043030000}"/>
    <cellStyle name="20% - Accent6 2 2 5 3 2" xfId="14229" xr:uid="{442DCCE9-75CB-4753-B9C7-72A6F2845520}"/>
    <cellStyle name="20% - Accent6 2 2 5 4" xfId="10011" xr:uid="{C1C90831-C3EB-4E2F-AF44-F4ADA2F0E90B}"/>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D63E73E0-1CAA-4E49-A17A-BB2C8D86D85D}"/>
    <cellStyle name="20% - Accent6 2 2 6 2 3" xfId="12569" xr:uid="{893E2D96-B79C-4027-A316-FEC7CF9CF0B9}"/>
    <cellStyle name="20% - Accent6 2 2 6 3" xfId="6200" xr:uid="{00000000-0005-0000-0000-000047030000}"/>
    <cellStyle name="20% - Accent6 2 2 6 3 2" xfId="14642" xr:uid="{56E17567-5267-4CD5-BC1C-DA615FF0D7C1}"/>
    <cellStyle name="20% - Accent6 2 2 6 4" xfId="10424" xr:uid="{1961175D-F8F9-47BC-890E-90CC0EE05286}"/>
    <cellStyle name="20% - Accent6 2 2 7" xfId="2306" xr:uid="{00000000-0005-0000-0000-000048030000}"/>
    <cellStyle name="20% - Accent6 2 2 7 2" xfId="6613" xr:uid="{00000000-0005-0000-0000-000049030000}"/>
    <cellStyle name="20% - Accent6 2 2 7 2 2" xfId="15055" xr:uid="{2F426C95-3472-43C9-A8AC-C5E228A3437A}"/>
    <cellStyle name="20% - Accent6 2 2 7 3" xfId="10837" xr:uid="{375AF025-BBF0-430D-9CF3-343BE3FAF319}"/>
    <cellStyle name="20% - Accent6 2 2 8" xfId="4547" xr:uid="{00000000-0005-0000-0000-00004A030000}"/>
    <cellStyle name="20% - Accent6 2 2 8 2" xfId="12989" xr:uid="{B3E9F8BE-37A5-4158-BA26-CDCAF6EA216E}"/>
    <cellStyle name="20% - Accent6 2 2 9" xfId="8771" xr:uid="{DFF46B57-983A-49B5-9792-32ACCF82883B}"/>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32E6DC1B-EEB0-4545-A123-0414FB73FBD8}"/>
    <cellStyle name="20% - Accent6 2 3 2 2 3" xfId="11332" xr:uid="{024D17C7-D4CC-451C-9B26-4A0F046F9D47}"/>
    <cellStyle name="20% - Accent6 2 3 2 3" xfId="4963" xr:uid="{00000000-0005-0000-0000-00004F030000}"/>
    <cellStyle name="20% - Accent6 2 3 2 3 2" xfId="13405" xr:uid="{88AA41A6-1236-4464-BFC2-27B896DF3A58}"/>
    <cellStyle name="20% - Accent6 2 3 2 4" xfId="9187" xr:uid="{32337CE2-6C83-4557-94C7-D0A31400B3D5}"/>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A20AE652-5E44-401E-A4CB-C730CD3931B9}"/>
    <cellStyle name="20% - Accent6 2 3 3 2 3" xfId="11745" xr:uid="{5ABB740C-7BD3-4E17-BBD6-F203F7E55C0E}"/>
    <cellStyle name="20% - Accent6 2 3 3 3" xfId="5376" xr:uid="{00000000-0005-0000-0000-000053030000}"/>
    <cellStyle name="20% - Accent6 2 3 3 3 2" xfId="13818" xr:uid="{69912D03-4E11-4023-89E9-9292F50BDC81}"/>
    <cellStyle name="20% - Accent6 2 3 3 4" xfId="9600" xr:uid="{6D4E9002-14BD-45DB-8B00-2C8ABA076744}"/>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C583E3F0-8952-4037-BA3E-7197AE78E946}"/>
    <cellStyle name="20% - Accent6 2 3 4 2 3" xfId="12158" xr:uid="{C485BC67-F418-4236-9A77-35A5E3453593}"/>
    <cellStyle name="20% - Accent6 2 3 4 3" xfId="5789" xr:uid="{00000000-0005-0000-0000-000057030000}"/>
    <cellStyle name="20% - Accent6 2 3 4 3 2" xfId="14231" xr:uid="{7382ACE6-4F98-4D85-B252-DF76D608D96D}"/>
    <cellStyle name="20% - Accent6 2 3 4 4" xfId="10013" xr:uid="{0827CC1C-A6A4-47C9-B1E9-C1C69623CA52}"/>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3E0848AB-3904-4A69-B1E7-C3DD331CD6BF}"/>
    <cellStyle name="20% - Accent6 2 3 5 2 3" xfId="12571" xr:uid="{40006A25-6391-4E4D-A5E2-C3C541620A9E}"/>
    <cellStyle name="20% - Accent6 2 3 5 3" xfId="6202" xr:uid="{00000000-0005-0000-0000-00005B030000}"/>
    <cellStyle name="20% - Accent6 2 3 5 3 2" xfId="14644" xr:uid="{31096BF0-DC69-4719-8B9A-A5C441CBD93F}"/>
    <cellStyle name="20% - Accent6 2 3 5 4" xfId="10426" xr:uid="{7A984357-90F1-41F6-93F1-40176F5B846D}"/>
    <cellStyle name="20% - Accent6 2 3 6" xfId="2308" xr:uid="{00000000-0005-0000-0000-00005C030000}"/>
    <cellStyle name="20% - Accent6 2 3 6 2" xfId="6615" xr:uid="{00000000-0005-0000-0000-00005D030000}"/>
    <cellStyle name="20% - Accent6 2 3 6 2 2" xfId="15057" xr:uid="{A319BEB9-E75C-43B2-B65C-974B5FDF92AC}"/>
    <cellStyle name="20% - Accent6 2 3 6 3" xfId="10839" xr:uid="{A2D22679-C2D8-4EE2-977F-C8B7864D37AE}"/>
    <cellStyle name="20% - Accent6 2 3 7" xfId="4549" xr:uid="{00000000-0005-0000-0000-00005E030000}"/>
    <cellStyle name="20% - Accent6 2 3 7 2" xfId="12991" xr:uid="{8CA97EC3-7807-4108-ACC6-361A51478887}"/>
    <cellStyle name="20% - Accent6 2 3 8" xfId="8773" xr:uid="{FF72FF2C-7833-4060-BD24-C944EF72B4D8}"/>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AA023DEE-B5BB-4090-B24C-FCC5FA6FE065}"/>
    <cellStyle name="20% - Accent6 2 4 2 3" xfId="11329" xr:uid="{5A0A906B-429B-4DE9-B978-03ABE3B77EC2}"/>
    <cellStyle name="20% - Accent6 2 4 3" xfId="4960" xr:uid="{00000000-0005-0000-0000-000062030000}"/>
    <cellStyle name="20% - Accent6 2 4 3 2" xfId="13402" xr:uid="{DE2EFB95-79FD-4CBB-B433-894EFD3AA14D}"/>
    <cellStyle name="20% - Accent6 2 4 4" xfId="9184" xr:uid="{72D7E9EA-05B3-4C89-A3A2-8B18ABCC3B12}"/>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B39470BB-7451-4DFA-843A-FE3A2AC0B587}"/>
    <cellStyle name="20% - Accent6 2 5 2 3" xfId="11742" xr:uid="{3427CC84-6BE4-4E14-970F-06C94F6AC321}"/>
    <cellStyle name="20% - Accent6 2 5 3" xfId="5373" xr:uid="{00000000-0005-0000-0000-000066030000}"/>
    <cellStyle name="20% - Accent6 2 5 3 2" xfId="13815" xr:uid="{1DBC27DC-4C40-4084-8C2F-00E43CC4E729}"/>
    <cellStyle name="20% - Accent6 2 5 4" xfId="9597" xr:uid="{08F006F7-8ED1-4F98-A6B9-50CA7EC25506}"/>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2A100229-4D78-4983-8D76-1E4087F2DE4C}"/>
    <cellStyle name="20% - Accent6 2 6 2 3" xfId="12155" xr:uid="{96E36FF6-1CDF-4AC0-BEDB-31F73FF5067E}"/>
    <cellStyle name="20% - Accent6 2 6 3" xfId="5786" xr:uid="{00000000-0005-0000-0000-00006A030000}"/>
    <cellStyle name="20% - Accent6 2 6 3 2" xfId="14228" xr:uid="{7D806228-FF5C-4C08-A4E5-882E3B3DC820}"/>
    <cellStyle name="20% - Accent6 2 6 4" xfId="10010" xr:uid="{6D8EB5D9-4803-4031-BE1C-CD38450B74C8}"/>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8527283D-50EB-40DD-9B4D-5B7576F5E8C6}"/>
    <cellStyle name="20% - Accent6 2 7 2 3" xfId="12568" xr:uid="{F98E5B8F-8CD6-4B8A-923E-4D7E0A996C0B}"/>
    <cellStyle name="20% - Accent6 2 7 3" xfId="6199" xr:uid="{00000000-0005-0000-0000-00006E030000}"/>
    <cellStyle name="20% - Accent6 2 7 3 2" xfId="14641" xr:uid="{A9434497-0F7D-4EA7-BD32-1192ECDBCBB1}"/>
    <cellStyle name="20% - Accent6 2 7 4" xfId="10423" xr:uid="{1F2A04B9-0AAB-4A70-B6EE-4952973E98A9}"/>
    <cellStyle name="20% - Accent6 2 8" xfId="2305" xr:uid="{00000000-0005-0000-0000-00006F030000}"/>
    <cellStyle name="20% - Accent6 2 8 2" xfId="6612" xr:uid="{00000000-0005-0000-0000-000070030000}"/>
    <cellStyle name="20% - Accent6 2 8 2 2" xfId="15054" xr:uid="{2CE2D69C-A580-4896-93D7-16F6F3D43551}"/>
    <cellStyle name="20% - Accent6 2 8 3" xfId="10836" xr:uid="{3948822F-2BDF-422D-8D54-DBA7F348B09A}"/>
    <cellStyle name="20% - Accent6 2 9" xfId="4546" xr:uid="{00000000-0005-0000-0000-000071030000}"/>
    <cellStyle name="20% - Accent6 2 9 2" xfId="12988" xr:uid="{DB2D9E57-6ED7-4792-8320-E60F2D36B9DB}"/>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ABC50DD6-DBDC-4824-B59F-29662FA5C5BC}"/>
    <cellStyle name="20% - Accent6 3 2 2 2 3" xfId="11334" xr:uid="{92EB1FE6-1C32-43E0-AFC0-297DBDA2DC8C}"/>
    <cellStyle name="20% - Accent6 3 2 2 3" xfId="4965" xr:uid="{00000000-0005-0000-0000-000077030000}"/>
    <cellStyle name="20% - Accent6 3 2 2 3 2" xfId="13407" xr:uid="{D08BECBD-BB1A-4099-8BA7-1B0917BF3774}"/>
    <cellStyle name="20% - Accent6 3 2 2 4" xfId="9189" xr:uid="{0FA039E8-C815-4949-A76B-197BBDF533FD}"/>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EE0D378D-9497-4933-91D1-39ABA37D998A}"/>
    <cellStyle name="20% - Accent6 3 2 3 2 3" xfId="11747" xr:uid="{8D82138D-E777-404C-B11D-79E3ABEFD35A}"/>
    <cellStyle name="20% - Accent6 3 2 3 3" xfId="5378" xr:uid="{00000000-0005-0000-0000-00007B030000}"/>
    <cellStyle name="20% - Accent6 3 2 3 3 2" xfId="13820" xr:uid="{C1AC51D5-6BA8-47DB-A2E5-54C315140A24}"/>
    <cellStyle name="20% - Accent6 3 2 3 4" xfId="9602" xr:uid="{ADB8753F-0EC7-4B6B-BA9F-0C10F43DA941}"/>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A48661B1-9322-4FCE-A5E4-F6DD9B1EA59D}"/>
    <cellStyle name="20% - Accent6 3 2 4 2 3" xfId="12160" xr:uid="{313F5C56-F350-40C5-90DE-05846389C305}"/>
    <cellStyle name="20% - Accent6 3 2 4 3" xfId="5791" xr:uid="{00000000-0005-0000-0000-00007F030000}"/>
    <cellStyle name="20% - Accent6 3 2 4 3 2" xfId="14233" xr:uid="{59CF0D9A-D93F-4B98-AACE-CAAC61FBBA11}"/>
    <cellStyle name="20% - Accent6 3 2 4 4" xfId="10015" xr:uid="{93F74DA1-E4D1-4A0A-A406-960A765D5395}"/>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6DCCA50B-C527-4B89-BB7B-A3C5442D348B}"/>
    <cellStyle name="20% - Accent6 3 2 5 2 3" xfId="12573" xr:uid="{10FF4A37-A305-47DA-BE39-03C8A17AFF78}"/>
    <cellStyle name="20% - Accent6 3 2 5 3" xfId="6204" xr:uid="{00000000-0005-0000-0000-000083030000}"/>
    <cellStyle name="20% - Accent6 3 2 5 3 2" xfId="14646" xr:uid="{3688DAFE-AD2F-4222-A6C2-98CF11C116C4}"/>
    <cellStyle name="20% - Accent6 3 2 5 4" xfId="10428" xr:uid="{51DC44CF-A532-422B-A7C1-B977968F576D}"/>
    <cellStyle name="20% - Accent6 3 2 6" xfId="2310" xr:uid="{00000000-0005-0000-0000-000084030000}"/>
    <cellStyle name="20% - Accent6 3 2 6 2" xfId="6617" xr:uid="{00000000-0005-0000-0000-000085030000}"/>
    <cellStyle name="20% - Accent6 3 2 6 2 2" xfId="15059" xr:uid="{3F143619-A319-4892-9D3A-CCBEDB791726}"/>
    <cellStyle name="20% - Accent6 3 2 6 3" xfId="10841" xr:uid="{EC9340F2-D54D-4A5E-9B99-62BFB6DCE2E6}"/>
    <cellStyle name="20% - Accent6 3 2 7" xfId="4551" xr:uid="{00000000-0005-0000-0000-000086030000}"/>
    <cellStyle name="20% - Accent6 3 2 7 2" xfId="12993" xr:uid="{0F57DEEF-76F5-45E5-AD5A-81753CB972BF}"/>
    <cellStyle name="20% - Accent6 3 2 8" xfId="8775" xr:uid="{A605BE8E-C420-40FF-8CC5-F767B9C19118}"/>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B3AC067B-07F8-4A3E-9A82-6C4A4CFDAF25}"/>
    <cellStyle name="20% - Accent6 3 3 2 3" xfId="11333" xr:uid="{1D6DBA90-0B67-412D-BF67-C0BB78BCA01C}"/>
    <cellStyle name="20% - Accent6 3 3 3" xfId="4964" xr:uid="{00000000-0005-0000-0000-00008A030000}"/>
    <cellStyle name="20% - Accent6 3 3 3 2" xfId="13406" xr:uid="{D9BA27F3-D528-40B4-A64C-637F1685E348}"/>
    <cellStyle name="20% - Accent6 3 3 4" xfId="9188" xr:uid="{E11E5C89-149E-4F65-9FD2-BFC87CE787E4}"/>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77E75F7D-15B3-45B3-A9A4-968C72F436BA}"/>
    <cellStyle name="20% - Accent6 3 4 2 3" xfId="11746" xr:uid="{C9D3C56B-44EC-4743-9008-4B2B14DB2BA4}"/>
    <cellStyle name="20% - Accent6 3 4 3" xfId="5377" xr:uid="{00000000-0005-0000-0000-00008E030000}"/>
    <cellStyle name="20% - Accent6 3 4 3 2" xfId="13819" xr:uid="{47460004-3430-4CA5-947A-C7784AD2F31E}"/>
    <cellStyle name="20% - Accent6 3 4 4" xfId="9601" xr:uid="{E5E73BE0-FA11-4E51-B2B2-E3F684A48153}"/>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1607CA9B-A7A0-4761-BC58-A21A71A08302}"/>
    <cellStyle name="20% - Accent6 3 5 2 3" xfId="12159" xr:uid="{004FEA68-D7C4-42FB-82AE-B022C3B9661C}"/>
    <cellStyle name="20% - Accent6 3 5 3" xfId="5790" xr:uid="{00000000-0005-0000-0000-000092030000}"/>
    <cellStyle name="20% - Accent6 3 5 3 2" xfId="14232" xr:uid="{68F37978-43E1-4C25-9704-D842787533DD}"/>
    <cellStyle name="20% - Accent6 3 5 4" xfId="10014" xr:uid="{A95E705F-47E7-4F76-BF32-C3ECFEBE03F4}"/>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3BBC0C4B-516E-42A5-8D78-70AEBD777982}"/>
    <cellStyle name="20% - Accent6 3 6 2 3" xfId="12572" xr:uid="{30E65C92-946C-47B8-BFCD-51DB571A2130}"/>
    <cellStyle name="20% - Accent6 3 6 3" xfId="6203" xr:uid="{00000000-0005-0000-0000-000096030000}"/>
    <cellStyle name="20% - Accent6 3 6 3 2" xfId="14645" xr:uid="{5767AB6A-D30C-4A3E-900B-C59147EAF19B}"/>
    <cellStyle name="20% - Accent6 3 6 4" xfId="10427" xr:uid="{59CAC901-292A-4946-9364-B50EA1AFD17D}"/>
    <cellStyle name="20% - Accent6 3 7" xfId="2309" xr:uid="{00000000-0005-0000-0000-000097030000}"/>
    <cellStyle name="20% - Accent6 3 7 2" xfId="6616" xr:uid="{00000000-0005-0000-0000-000098030000}"/>
    <cellStyle name="20% - Accent6 3 7 2 2" xfId="15058" xr:uid="{5544ADE5-2230-476A-97BE-E0DE5E8E3ADA}"/>
    <cellStyle name="20% - Accent6 3 7 3" xfId="10840" xr:uid="{1E97435D-C5B8-49D0-A846-61A00B5CBF99}"/>
    <cellStyle name="20% - Accent6 3 8" xfId="4550" xr:uid="{00000000-0005-0000-0000-000099030000}"/>
    <cellStyle name="20% - Accent6 3 8 2" xfId="12992" xr:uid="{90D8BC11-2E48-44E3-AA59-6D5B3DA90516}"/>
    <cellStyle name="20% - Accent6 3 9" xfId="8774" xr:uid="{71727F1B-4C43-43D6-B39F-B77A6D39E391}"/>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0F619EFA-67E4-45AA-87F9-D4CAD727E314}"/>
    <cellStyle name="20% - Accent6 4 2 2 3" xfId="11335" xr:uid="{6FBE4AB7-05C1-4F5E-84E6-55BF86362C4C}"/>
    <cellStyle name="20% - Accent6 4 2 3" xfId="4966" xr:uid="{00000000-0005-0000-0000-00009E030000}"/>
    <cellStyle name="20% - Accent6 4 2 3 2" xfId="13408" xr:uid="{0FF78831-D7CF-4D81-9091-E9C86CE55D04}"/>
    <cellStyle name="20% - Accent6 4 2 4" xfId="9190" xr:uid="{FB917987-0C8C-442C-A0C5-E2DCF2DA6B32}"/>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E51072D2-2047-4F88-ADE2-D15FBEF492F1}"/>
    <cellStyle name="20% - Accent6 4 3 2 3" xfId="11748" xr:uid="{492DD6AA-80DB-4F65-B557-B7499F39186E}"/>
    <cellStyle name="20% - Accent6 4 3 3" xfId="5379" xr:uid="{00000000-0005-0000-0000-0000A2030000}"/>
    <cellStyle name="20% - Accent6 4 3 3 2" xfId="13821" xr:uid="{951C2C38-CF27-434B-92D7-B8F1DB2DB603}"/>
    <cellStyle name="20% - Accent6 4 3 4" xfId="9603" xr:uid="{5B890E99-E75D-4ED9-8783-5C9B3782BE3E}"/>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34235BF9-E53A-4709-B11B-C11E3ECAF727}"/>
    <cellStyle name="20% - Accent6 4 4 2 3" xfId="12161" xr:uid="{64ECA79F-62B9-437E-AEAD-72D03938E14B}"/>
    <cellStyle name="20% - Accent6 4 4 3" xfId="5792" xr:uid="{00000000-0005-0000-0000-0000A6030000}"/>
    <cellStyle name="20% - Accent6 4 4 3 2" xfId="14234" xr:uid="{A039D399-14CE-4019-9566-7AD52D5323CB}"/>
    <cellStyle name="20% - Accent6 4 4 4" xfId="10016" xr:uid="{1963408F-32DA-4895-A284-737B51C4375A}"/>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380381CB-CFC8-4C9D-8AC2-69AA323E1668}"/>
    <cellStyle name="20% - Accent6 4 5 2 3" xfId="12574" xr:uid="{3315B36B-B2F9-4387-9160-17E628495223}"/>
    <cellStyle name="20% - Accent6 4 5 3" xfId="6205" xr:uid="{00000000-0005-0000-0000-0000AA030000}"/>
    <cellStyle name="20% - Accent6 4 5 3 2" xfId="14647" xr:uid="{08D49B7C-E1BE-4786-804E-44FB88124C00}"/>
    <cellStyle name="20% - Accent6 4 5 4" xfId="10429" xr:uid="{BD0EEECC-EC6D-4E5C-B87F-BDCED26866EF}"/>
    <cellStyle name="20% - Accent6 4 6" xfId="2311" xr:uid="{00000000-0005-0000-0000-0000AB030000}"/>
    <cellStyle name="20% - Accent6 4 6 2" xfId="6618" xr:uid="{00000000-0005-0000-0000-0000AC030000}"/>
    <cellStyle name="20% - Accent6 4 6 2 2" xfId="15060" xr:uid="{609D9243-2906-4D6D-B61D-E055B86A3575}"/>
    <cellStyle name="20% - Accent6 4 6 3" xfId="10842" xr:uid="{8ED2854B-2E51-430F-9DF0-354A2E6E48D0}"/>
    <cellStyle name="20% - Accent6 4 7" xfId="4552" xr:uid="{00000000-0005-0000-0000-0000AD030000}"/>
    <cellStyle name="20% - Accent6 4 7 2" xfId="12994" xr:uid="{4214FA33-8E59-4132-BA25-67B26626F23B}"/>
    <cellStyle name="20% - Accent6 4 8" xfId="8776" xr:uid="{EE3F3573-021F-4A6F-BD0A-5D409E9C7BE6}"/>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B8CE5E1B-DC86-405D-96CD-07C06634DAFC}"/>
    <cellStyle name="20% - Accent6 5 2 3" xfId="11328" xr:uid="{FB985C30-BD62-4DE6-ADB0-F1D12B953720}"/>
    <cellStyle name="20% - Accent6 5 3" xfId="4959" xr:uid="{00000000-0005-0000-0000-0000B1030000}"/>
    <cellStyle name="20% - Accent6 5 3 2" xfId="13401" xr:uid="{FC1C1027-1D90-419D-A505-601EED082F0C}"/>
    <cellStyle name="20% - Accent6 5 4" xfId="9183" xr:uid="{1D249898-2A9C-4DA6-BE01-C0346C55BBAA}"/>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2335F983-80F3-42BC-8FCB-FF64F5A577F5}"/>
    <cellStyle name="20% - Accent6 6 2 3" xfId="11741" xr:uid="{7DA2E746-C29E-4D2C-9EBB-08758EB1EFFB}"/>
    <cellStyle name="20% - Accent6 6 3" xfId="5372" xr:uid="{00000000-0005-0000-0000-0000B5030000}"/>
    <cellStyle name="20% - Accent6 6 3 2" xfId="13814" xr:uid="{57F4B1FD-4ACD-4188-B17B-8C939D50E60B}"/>
    <cellStyle name="20% - Accent6 6 4" xfId="9596" xr:uid="{7B03F98A-F906-499C-8997-05CB4D8CE292}"/>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A34575AD-8AC6-4C69-9FF0-5AEBCDE011AE}"/>
    <cellStyle name="20% - Accent6 7 2 3" xfId="12154" xr:uid="{1C04F429-2468-492A-B6E2-BE7AA784D527}"/>
    <cellStyle name="20% - Accent6 7 3" xfId="5785" xr:uid="{00000000-0005-0000-0000-0000B9030000}"/>
    <cellStyle name="20% - Accent6 7 3 2" xfId="14227" xr:uid="{0354CEAD-24F3-4D5F-90EC-106CDA9898D4}"/>
    <cellStyle name="20% - Accent6 7 4" xfId="10009" xr:uid="{8220BDF9-730A-4695-B01C-F25E5E2569F3}"/>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C83BD1C2-EC97-42DA-A967-4134F6334579}"/>
    <cellStyle name="20% - Accent6 8 2 3" xfId="12567" xr:uid="{5221A895-913D-43BA-9556-AD988F15C1FA}"/>
    <cellStyle name="20% - Accent6 8 3" xfId="6198" xr:uid="{00000000-0005-0000-0000-0000BD030000}"/>
    <cellStyle name="20% - Accent6 8 3 2" xfId="14640" xr:uid="{8CF1756C-A10C-49EE-A8EC-B85622F2B88F}"/>
    <cellStyle name="20% - Accent6 8 4" xfId="10422" xr:uid="{2A4B5B8F-FE96-4C46-91AD-ED945AFFD4C4}"/>
    <cellStyle name="20% - Accent6 9" xfId="2304" xr:uid="{00000000-0005-0000-0000-0000BE030000}"/>
    <cellStyle name="20% - Accent6 9 2" xfId="6611" xr:uid="{00000000-0005-0000-0000-0000BF030000}"/>
    <cellStyle name="20% - Accent6 9 2 2" xfId="15053" xr:uid="{612D4734-02E3-42B8-AF73-FAF0A435E506}"/>
    <cellStyle name="20% - Accent6 9 3" xfId="10835" xr:uid="{17E1B3AF-F15B-460C-A1B4-F206FFD5DA16}"/>
    <cellStyle name="40% - Accent1" xfId="49" builtinId="31" customBuiltin="1"/>
    <cellStyle name="40% - Accent1 10" xfId="4553" xr:uid="{00000000-0005-0000-0000-0000C1030000}"/>
    <cellStyle name="40% - Accent1 10 2" xfId="12995" xr:uid="{A2B358D9-96F9-47FA-91A2-2158F96816AB}"/>
    <cellStyle name="40% - Accent1 11" xfId="8777" xr:uid="{DCF02002-332C-439D-9A63-FF8676ADE7B0}"/>
    <cellStyle name="40% - Accent1 2" xfId="50" xr:uid="{00000000-0005-0000-0000-0000C2030000}"/>
    <cellStyle name="40% - Accent1 2 10" xfId="8778" xr:uid="{948EA780-2FD3-448F-9C83-BF2FC71ECA7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BD0F9571-D17B-4951-9A3D-2D689E30F3F1}"/>
    <cellStyle name="40% - Accent1 2 2 2 2 2 3" xfId="11339" xr:uid="{4064BF7F-420C-4CD8-BA40-5684C5B6FD34}"/>
    <cellStyle name="40% - Accent1 2 2 2 2 3" xfId="4970" xr:uid="{00000000-0005-0000-0000-0000C8030000}"/>
    <cellStyle name="40% - Accent1 2 2 2 2 3 2" xfId="13412" xr:uid="{214B98AB-2647-46DE-B6F0-79FDBEE7949B}"/>
    <cellStyle name="40% - Accent1 2 2 2 2 4" xfId="9194" xr:uid="{17A79485-739E-478A-8734-4724DFACF3BA}"/>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3028EB44-418D-4504-B0B0-246986CAA565}"/>
    <cellStyle name="40% - Accent1 2 2 2 3 2 3" xfId="11752" xr:uid="{A3953BAC-1BCF-4422-88CC-BBC4ACDB2DCD}"/>
    <cellStyle name="40% - Accent1 2 2 2 3 3" xfId="5383" xr:uid="{00000000-0005-0000-0000-0000CC030000}"/>
    <cellStyle name="40% - Accent1 2 2 2 3 3 2" xfId="13825" xr:uid="{8BF931A4-A26B-47F5-A356-2077B122D52B}"/>
    <cellStyle name="40% - Accent1 2 2 2 3 4" xfId="9607" xr:uid="{52774869-480E-42A4-BE4D-DBFE6787F92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71A2F1F9-828D-4D52-A340-577F5711E405}"/>
    <cellStyle name="40% - Accent1 2 2 2 4 2 3" xfId="12165" xr:uid="{96D76553-6976-4F76-B133-BD95BED17DAD}"/>
    <cellStyle name="40% - Accent1 2 2 2 4 3" xfId="5796" xr:uid="{00000000-0005-0000-0000-0000D0030000}"/>
    <cellStyle name="40% - Accent1 2 2 2 4 3 2" xfId="14238" xr:uid="{689F3A89-D4A5-4D01-9641-C9BC315234A6}"/>
    <cellStyle name="40% - Accent1 2 2 2 4 4" xfId="10020" xr:uid="{3BA2EAEA-77F6-4984-8D7D-967EDF0409DE}"/>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FFA21003-7282-4EBE-B13B-9B6A6D39F835}"/>
    <cellStyle name="40% - Accent1 2 2 2 5 2 3" xfId="12578" xr:uid="{69C402E9-6A90-42FE-B7FF-317857DBDB2D}"/>
    <cellStyle name="40% - Accent1 2 2 2 5 3" xfId="6209" xr:uid="{00000000-0005-0000-0000-0000D4030000}"/>
    <cellStyle name="40% - Accent1 2 2 2 5 3 2" xfId="14651" xr:uid="{057B614C-DA23-40D2-9580-8640C98065C5}"/>
    <cellStyle name="40% - Accent1 2 2 2 5 4" xfId="10433" xr:uid="{11AD03E5-1207-4332-AAFC-44DD19CFEBC5}"/>
    <cellStyle name="40% - Accent1 2 2 2 6" xfId="2315" xr:uid="{00000000-0005-0000-0000-0000D5030000}"/>
    <cellStyle name="40% - Accent1 2 2 2 6 2" xfId="6622" xr:uid="{00000000-0005-0000-0000-0000D6030000}"/>
    <cellStyle name="40% - Accent1 2 2 2 6 2 2" xfId="15064" xr:uid="{FAD099BD-86AC-41B4-ACB8-2937F7EC9FAE}"/>
    <cellStyle name="40% - Accent1 2 2 2 6 3" xfId="10846" xr:uid="{C843ED7C-0BBF-4884-9535-D9B1B70A8711}"/>
    <cellStyle name="40% - Accent1 2 2 2 7" xfId="4556" xr:uid="{00000000-0005-0000-0000-0000D7030000}"/>
    <cellStyle name="40% - Accent1 2 2 2 7 2" xfId="12998" xr:uid="{49B47601-3050-48AA-924B-7DFD357EEB8D}"/>
    <cellStyle name="40% - Accent1 2 2 2 8" xfId="8780" xr:uid="{94D13869-5B20-46DE-85FB-845C5E27B31F}"/>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2A516125-4252-4183-9F2D-55163A3F9AAB}"/>
    <cellStyle name="40% - Accent1 2 2 3 2 3" xfId="11338" xr:uid="{B01DF719-7353-4837-9475-D7D935EF0BB6}"/>
    <cellStyle name="40% - Accent1 2 2 3 3" xfId="4969" xr:uid="{00000000-0005-0000-0000-0000DB030000}"/>
    <cellStyle name="40% - Accent1 2 2 3 3 2" xfId="13411" xr:uid="{ADB98770-A742-447F-8FD9-F932D0C5DABC}"/>
    <cellStyle name="40% - Accent1 2 2 3 4" xfId="9193" xr:uid="{89B88F04-B292-425B-B249-9C1FD14B5C42}"/>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D2CAEB85-4C3C-4712-99AF-DCD004E012E3}"/>
    <cellStyle name="40% - Accent1 2 2 4 2 3" xfId="11751" xr:uid="{0CFC16C1-7F55-4A98-B1D7-F6818DF894D9}"/>
    <cellStyle name="40% - Accent1 2 2 4 3" xfId="5382" xr:uid="{00000000-0005-0000-0000-0000DF030000}"/>
    <cellStyle name="40% - Accent1 2 2 4 3 2" xfId="13824" xr:uid="{92AD2A20-F3E7-4DDE-8FC4-7F15993E4637}"/>
    <cellStyle name="40% - Accent1 2 2 4 4" xfId="9606" xr:uid="{D208CF27-AAE5-4B88-AC92-47BDFF416668}"/>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1AF7716A-2D50-45BB-A296-29923B8B41CF}"/>
    <cellStyle name="40% - Accent1 2 2 5 2 3" xfId="12164" xr:uid="{58D245FC-71B7-438B-915C-351868231BB4}"/>
    <cellStyle name="40% - Accent1 2 2 5 3" xfId="5795" xr:uid="{00000000-0005-0000-0000-0000E3030000}"/>
    <cellStyle name="40% - Accent1 2 2 5 3 2" xfId="14237" xr:uid="{ECE5BCED-E687-43B3-8A6C-6295460C64A6}"/>
    <cellStyle name="40% - Accent1 2 2 5 4" xfId="10019" xr:uid="{83C260A2-466A-415E-AF0D-3A162F0CE94A}"/>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88B007A1-DF0D-47A1-9D5D-07EB17266CA8}"/>
    <cellStyle name="40% - Accent1 2 2 6 2 3" xfId="12577" xr:uid="{8A33D05C-553C-47D9-88DF-2FEF44E0A8BA}"/>
    <cellStyle name="40% - Accent1 2 2 6 3" xfId="6208" xr:uid="{00000000-0005-0000-0000-0000E7030000}"/>
    <cellStyle name="40% - Accent1 2 2 6 3 2" xfId="14650" xr:uid="{4E8017CC-EA70-47A0-90B9-32566E150A3D}"/>
    <cellStyle name="40% - Accent1 2 2 6 4" xfId="10432" xr:uid="{60179820-E8E1-4DE5-8B85-55353EA67DF2}"/>
    <cellStyle name="40% - Accent1 2 2 7" xfId="2314" xr:uid="{00000000-0005-0000-0000-0000E8030000}"/>
    <cellStyle name="40% - Accent1 2 2 7 2" xfId="6621" xr:uid="{00000000-0005-0000-0000-0000E9030000}"/>
    <cellStyle name="40% - Accent1 2 2 7 2 2" xfId="15063" xr:uid="{43DE886E-4144-43FC-A230-693584ECD473}"/>
    <cellStyle name="40% - Accent1 2 2 7 3" xfId="10845" xr:uid="{B71CC78A-B9E3-4A7F-B396-2B3DA37DAECC}"/>
    <cellStyle name="40% - Accent1 2 2 8" xfId="4555" xr:uid="{00000000-0005-0000-0000-0000EA030000}"/>
    <cellStyle name="40% - Accent1 2 2 8 2" xfId="12997" xr:uid="{A214CEC1-613A-4BD1-B453-E6496548F075}"/>
    <cellStyle name="40% - Accent1 2 2 9" xfId="8779" xr:uid="{3232507D-EE40-444F-9A7C-91FF9CCA2FC2}"/>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AC18767C-B259-4CDC-B7BA-BB104DE07A63}"/>
    <cellStyle name="40% - Accent1 2 3 2 2 3" xfId="11340" xr:uid="{4DEEC515-731F-4C94-9A23-182A7BB0563A}"/>
    <cellStyle name="40% - Accent1 2 3 2 3" xfId="4971" xr:uid="{00000000-0005-0000-0000-0000EF030000}"/>
    <cellStyle name="40% - Accent1 2 3 2 3 2" xfId="13413" xr:uid="{72A14B4B-D0EA-44BC-A7B3-B038F75BB4E9}"/>
    <cellStyle name="40% - Accent1 2 3 2 4" xfId="9195" xr:uid="{EB92EB2C-D79A-460F-8A3D-78B40EEB2885}"/>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0B7A5D13-FE01-4C05-8667-580CE5F59B2F}"/>
    <cellStyle name="40% - Accent1 2 3 3 2 3" xfId="11753" xr:uid="{9B477A32-D866-41FE-B646-538E2DBF75EF}"/>
    <cellStyle name="40% - Accent1 2 3 3 3" xfId="5384" xr:uid="{00000000-0005-0000-0000-0000F3030000}"/>
    <cellStyle name="40% - Accent1 2 3 3 3 2" xfId="13826" xr:uid="{F898A6B2-AA1D-459A-9785-A2A0BB8440DF}"/>
    <cellStyle name="40% - Accent1 2 3 3 4" xfId="9608" xr:uid="{E955EDD1-C7C2-40B8-ADCB-768E5F13942C}"/>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81C53633-E44A-4A4B-A4F7-0BB62BB22CBE}"/>
    <cellStyle name="40% - Accent1 2 3 4 2 3" xfId="12166" xr:uid="{1B9CB341-38C7-43E3-A3AE-558061DEEF33}"/>
    <cellStyle name="40% - Accent1 2 3 4 3" xfId="5797" xr:uid="{00000000-0005-0000-0000-0000F7030000}"/>
    <cellStyle name="40% - Accent1 2 3 4 3 2" xfId="14239" xr:uid="{07154FEC-2547-4BA3-AE2F-31F403806B4F}"/>
    <cellStyle name="40% - Accent1 2 3 4 4" xfId="10021" xr:uid="{613F19FF-2E57-4878-B390-9C1A59022C44}"/>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230E81C9-A00E-40CA-B0EB-A675CAE6C76B}"/>
    <cellStyle name="40% - Accent1 2 3 5 2 3" xfId="12579" xr:uid="{4D5B5529-74B5-40BE-99FB-CD0456F3F0D8}"/>
    <cellStyle name="40% - Accent1 2 3 5 3" xfId="6210" xr:uid="{00000000-0005-0000-0000-0000FB030000}"/>
    <cellStyle name="40% - Accent1 2 3 5 3 2" xfId="14652" xr:uid="{4C8742DA-1191-4438-B295-C520CCB92E18}"/>
    <cellStyle name="40% - Accent1 2 3 5 4" xfId="10434" xr:uid="{BE39AFF9-C95F-4F62-BC42-FBD275CCAE88}"/>
    <cellStyle name="40% - Accent1 2 3 6" xfId="2316" xr:uid="{00000000-0005-0000-0000-0000FC030000}"/>
    <cellStyle name="40% - Accent1 2 3 6 2" xfId="6623" xr:uid="{00000000-0005-0000-0000-0000FD030000}"/>
    <cellStyle name="40% - Accent1 2 3 6 2 2" xfId="15065" xr:uid="{D8B6B60D-40BE-4F4E-AFC3-85EF20856A00}"/>
    <cellStyle name="40% - Accent1 2 3 6 3" xfId="10847" xr:uid="{1F5B8BAD-FCF4-4F94-9A69-EADC9043B704}"/>
    <cellStyle name="40% - Accent1 2 3 7" xfId="4557" xr:uid="{00000000-0005-0000-0000-0000FE030000}"/>
    <cellStyle name="40% - Accent1 2 3 7 2" xfId="12999" xr:uid="{2B66873E-9943-49AB-AEA4-21B0D3527AEF}"/>
    <cellStyle name="40% - Accent1 2 3 8" xfId="8781" xr:uid="{0F916030-C170-4BD8-AA29-85D8A606EB4E}"/>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3F8D9311-01BA-4E58-8883-308B87D09E65}"/>
    <cellStyle name="40% - Accent1 2 4 2 3" xfId="11337" xr:uid="{C1C82544-55A0-425B-AB22-A9CACE53BAB5}"/>
    <cellStyle name="40% - Accent1 2 4 3" xfId="4968" xr:uid="{00000000-0005-0000-0000-000002040000}"/>
    <cellStyle name="40% - Accent1 2 4 3 2" xfId="13410" xr:uid="{14BF508C-3582-4557-ADFD-11553C56D2DB}"/>
    <cellStyle name="40% - Accent1 2 4 4" xfId="9192" xr:uid="{F1263BB9-3246-4C8F-A1CE-34ED025CA101}"/>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9CBBE804-EF25-4001-9DAF-0A34DCCC8818}"/>
    <cellStyle name="40% - Accent1 2 5 2 3" xfId="11750" xr:uid="{C435BB3C-DC15-4C77-A294-3F7A17E6E6EB}"/>
    <cellStyle name="40% - Accent1 2 5 3" xfId="5381" xr:uid="{00000000-0005-0000-0000-000006040000}"/>
    <cellStyle name="40% - Accent1 2 5 3 2" xfId="13823" xr:uid="{B233D9EF-91E1-434E-A788-1ED9D32311E1}"/>
    <cellStyle name="40% - Accent1 2 5 4" xfId="9605" xr:uid="{85763432-B688-4A56-B160-02DFAA1FAB49}"/>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C4B055B2-0901-45F3-86C2-8B610C511812}"/>
    <cellStyle name="40% - Accent1 2 6 2 3" xfId="12163" xr:uid="{0EB3971A-03FE-464E-ADF2-327BFD6A2407}"/>
    <cellStyle name="40% - Accent1 2 6 3" xfId="5794" xr:uid="{00000000-0005-0000-0000-00000A040000}"/>
    <cellStyle name="40% - Accent1 2 6 3 2" xfId="14236" xr:uid="{646B21FD-F0EE-4754-BC4C-3CAF11589F26}"/>
    <cellStyle name="40% - Accent1 2 6 4" xfId="10018" xr:uid="{B5F5AD44-2780-4E4A-8429-EE2A2A7421DF}"/>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31772919-1851-4627-8B39-150657E3C0B8}"/>
    <cellStyle name="40% - Accent1 2 7 2 3" xfId="12576" xr:uid="{277F7A99-EDC4-4E35-99D8-213941F5FC7C}"/>
    <cellStyle name="40% - Accent1 2 7 3" xfId="6207" xr:uid="{00000000-0005-0000-0000-00000E040000}"/>
    <cellStyle name="40% - Accent1 2 7 3 2" xfId="14649" xr:uid="{D8AC7077-184E-460D-8F1B-F33A89577774}"/>
    <cellStyle name="40% - Accent1 2 7 4" xfId="10431" xr:uid="{F34610F0-FA17-4D69-A117-D71394B26165}"/>
    <cellStyle name="40% - Accent1 2 8" xfId="2313" xr:uid="{00000000-0005-0000-0000-00000F040000}"/>
    <cellStyle name="40% - Accent1 2 8 2" xfId="6620" xr:uid="{00000000-0005-0000-0000-000010040000}"/>
    <cellStyle name="40% - Accent1 2 8 2 2" xfId="15062" xr:uid="{B34CF389-A82C-4D45-8420-28BC2BEB4A70}"/>
    <cellStyle name="40% - Accent1 2 8 3" xfId="10844" xr:uid="{6E7C39B9-E896-46C4-9BF5-F40046BF4F03}"/>
    <cellStyle name="40% - Accent1 2 9" xfId="4554" xr:uid="{00000000-0005-0000-0000-000011040000}"/>
    <cellStyle name="40% - Accent1 2 9 2" xfId="12996" xr:uid="{F4124B6C-F7B8-4AD8-996F-C0356EA6705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8F77ABB3-AE99-42B3-800B-25DB5CEB240A}"/>
    <cellStyle name="40% - Accent1 3 2 2 2 3" xfId="11342" xr:uid="{630C63F8-EE53-4AA8-A284-127170BD7A63}"/>
    <cellStyle name="40% - Accent1 3 2 2 3" xfId="4973" xr:uid="{00000000-0005-0000-0000-000017040000}"/>
    <cellStyle name="40% - Accent1 3 2 2 3 2" xfId="13415" xr:uid="{536D6FCA-4160-4F18-8329-FC781C34457F}"/>
    <cellStyle name="40% - Accent1 3 2 2 4" xfId="9197" xr:uid="{6EBD623D-6DD6-4CFF-AAE4-7C673E9E336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920E7CCA-40D0-4433-9E11-69BEFA6FFEBA}"/>
    <cellStyle name="40% - Accent1 3 2 3 2 3" xfId="11755" xr:uid="{D5D20831-C330-4AB7-9B8B-86166F42ED49}"/>
    <cellStyle name="40% - Accent1 3 2 3 3" xfId="5386" xr:uid="{00000000-0005-0000-0000-00001B040000}"/>
    <cellStyle name="40% - Accent1 3 2 3 3 2" xfId="13828" xr:uid="{1B9F789E-DB05-4014-9E67-5FA029447ABD}"/>
    <cellStyle name="40% - Accent1 3 2 3 4" xfId="9610" xr:uid="{4463B273-571C-449F-B43D-5F50584E28B7}"/>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7B5AD1E7-A279-47D7-BF91-96ACCF4CE38D}"/>
    <cellStyle name="40% - Accent1 3 2 4 2 3" xfId="12168" xr:uid="{9926844C-CF43-4D69-A5A6-7DE69987C406}"/>
    <cellStyle name="40% - Accent1 3 2 4 3" xfId="5799" xr:uid="{00000000-0005-0000-0000-00001F040000}"/>
    <cellStyle name="40% - Accent1 3 2 4 3 2" xfId="14241" xr:uid="{4AFD3C2A-14DA-4675-909B-1A9F8240D539}"/>
    <cellStyle name="40% - Accent1 3 2 4 4" xfId="10023" xr:uid="{A773A78B-C180-441C-A9E3-BBD2EDBEF131}"/>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C471EC8D-A3A4-4AA0-B375-A5F0E2AEEEC0}"/>
    <cellStyle name="40% - Accent1 3 2 5 2 3" xfId="12581" xr:uid="{1FD222DC-20C0-4C8A-9CC9-11400DBB142F}"/>
    <cellStyle name="40% - Accent1 3 2 5 3" xfId="6212" xr:uid="{00000000-0005-0000-0000-000023040000}"/>
    <cellStyle name="40% - Accent1 3 2 5 3 2" xfId="14654" xr:uid="{308AD02D-EFAD-4CAF-96F3-5CEDCD3C737A}"/>
    <cellStyle name="40% - Accent1 3 2 5 4" xfId="10436" xr:uid="{D67E5B7D-C736-46AB-915F-2E2E28EFAF11}"/>
    <cellStyle name="40% - Accent1 3 2 6" xfId="2318" xr:uid="{00000000-0005-0000-0000-000024040000}"/>
    <cellStyle name="40% - Accent1 3 2 6 2" xfId="6625" xr:uid="{00000000-0005-0000-0000-000025040000}"/>
    <cellStyle name="40% - Accent1 3 2 6 2 2" xfId="15067" xr:uid="{18CA9F6C-39EB-4D48-9A84-75BD71A6C3E7}"/>
    <cellStyle name="40% - Accent1 3 2 6 3" xfId="10849" xr:uid="{D5F4B1B1-201F-4AE3-85B1-935DDF5128A7}"/>
    <cellStyle name="40% - Accent1 3 2 7" xfId="4559" xr:uid="{00000000-0005-0000-0000-000026040000}"/>
    <cellStyle name="40% - Accent1 3 2 7 2" xfId="13001" xr:uid="{F3AFD247-0934-4E9A-98CD-40B7E4FAF853}"/>
    <cellStyle name="40% - Accent1 3 2 8" xfId="8783" xr:uid="{55F227C6-42ED-490D-8D2F-A2A6F964A084}"/>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EC7EE3ED-9E85-46F7-8AAB-F2D217DFE264}"/>
    <cellStyle name="40% - Accent1 3 3 2 3" xfId="11341" xr:uid="{E3F20321-C2E7-41B6-A693-3EFD245D89AE}"/>
    <cellStyle name="40% - Accent1 3 3 3" xfId="4972" xr:uid="{00000000-0005-0000-0000-00002A040000}"/>
    <cellStyle name="40% - Accent1 3 3 3 2" xfId="13414" xr:uid="{4B18170C-0C7C-4706-91D0-556B06EC32CA}"/>
    <cellStyle name="40% - Accent1 3 3 4" xfId="9196" xr:uid="{3ADC6AF4-3AE3-471E-9057-84A6883DD4C7}"/>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1F4D1AAE-47C7-4C44-B9FE-20D07C3C7504}"/>
    <cellStyle name="40% - Accent1 3 4 2 3" xfId="11754" xr:uid="{0513338D-6543-4DEF-9B9E-B4CA0561ED8B}"/>
    <cellStyle name="40% - Accent1 3 4 3" xfId="5385" xr:uid="{00000000-0005-0000-0000-00002E040000}"/>
    <cellStyle name="40% - Accent1 3 4 3 2" xfId="13827" xr:uid="{016DA8D4-96FA-487D-A35B-66DD3CDE1421}"/>
    <cellStyle name="40% - Accent1 3 4 4" xfId="9609" xr:uid="{0E6DDF13-C333-40F8-ADFF-B1A35423900B}"/>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165958E0-52C4-43A7-BAE2-444BFF080624}"/>
    <cellStyle name="40% - Accent1 3 5 2 3" xfId="12167" xr:uid="{E56AC005-2B21-4D98-BC19-C82062A4D693}"/>
    <cellStyle name="40% - Accent1 3 5 3" xfId="5798" xr:uid="{00000000-0005-0000-0000-000032040000}"/>
    <cellStyle name="40% - Accent1 3 5 3 2" xfId="14240" xr:uid="{FCAA52D9-89CF-4CF3-8D91-7B0C16F984BB}"/>
    <cellStyle name="40% - Accent1 3 5 4" xfId="10022" xr:uid="{5AADF82B-2301-43B9-8786-90A2FC80B289}"/>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3D222DD2-1791-4CD1-84D5-250F46ABEA4D}"/>
    <cellStyle name="40% - Accent1 3 6 2 3" xfId="12580" xr:uid="{D73207F5-3456-4248-B23A-6BB1E6222B4F}"/>
    <cellStyle name="40% - Accent1 3 6 3" xfId="6211" xr:uid="{00000000-0005-0000-0000-000036040000}"/>
    <cellStyle name="40% - Accent1 3 6 3 2" xfId="14653" xr:uid="{CF94791C-DC99-4921-BD1F-F9EB7B4BD4E4}"/>
    <cellStyle name="40% - Accent1 3 6 4" xfId="10435" xr:uid="{0C99A7F9-98F7-45CA-8BB0-776547E6B796}"/>
    <cellStyle name="40% - Accent1 3 7" xfId="2317" xr:uid="{00000000-0005-0000-0000-000037040000}"/>
    <cellStyle name="40% - Accent1 3 7 2" xfId="6624" xr:uid="{00000000-0005-0000-0000-000038040000}"/>
    <cellStyle name="40% - Accent1 3 7 2 2" xfId="15066" xr:uid="{200A8E98-42DE-44FC-9934-10DAE7FDAA86}"/>
    <cellStyle name="40% - Accent1 3 7 3" xfId="10848" xr:uid="{1427882D-B757-4CF3-A4A2-26AFE1B774A1}"/>
    <cellStyle name="40% - Accent1 3 8" xfId="4558" xr:uid="{00000000-0005-0000-0000-000039040000}"/>
    <cellStyle name="40% - Accent1 3 8 2" xfId="13000" xr:uid="{27F453D2-FCA2-4748-9735-17BE4F88198E}"/>
    <cellStyle name="40% - Accent1 3 9" xfId="8782" xr:uid="{329A0203-B309-414F-83D7-2FF8EAB11CC4}"/>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D1579BA4-319E-4434-A96F-070FFD059FD0}"/>
    <cellStyle name="40% - Accent1 4 2 2 3" xfId="11343" xr:uid="{DF9A7A54-72B1-4623-8D8F-4F8ACBE13267}"/>
    <cellStyle name="40% - Accent1 4 2 3" xfId="4974" xr:uid="{00000000-0005-0000-0000-00003E040000}"/>
    <cellStyle name="40% - Accent1 4 2 3 2" xfId="13416" xr:uid="{471927D0-FB9F-46BC-B491-E2D710F1F670}"/>
    <cellStyle name="40% - Accent1 4 2 4" xfId="9198" xr:uid="{F84A2D3B-4CCD-4305-A0C3-B3AE7309761F}"/>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00AC8F37-2640-4C91-8A04-93E0EDCD4977}"/>
    <cellStyle name="40% - Accent1 4 3 2 3" xfId="11756" xr:uid="{FEAFD878-4CA6-45F0-B751-B53169A947A4}"/>
    <cellStyle name="40% - Accent1 4 3 3" xfId="5387" xr:uid="{00000000-0005-0000-0000-000042040000}"/>
    <cellStyle name="40% - Accent1 4 3 3 2" xfId="13829" xr:uid="{21ED4ED8-E610-4EC3-967B-B5A5B378CCB1}"/>
    <cellStyle name="40% - Accent1 4 3 4" xfId="9611" xr:uid="{B9C2D1EC-D94C-4180-8C98-76DD1FFE34A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A8F9896C-861B-4AD0-AFF7-161664D54278}"/>
    <cellStyle name="40% - Accent1 4 4 2 3" xfId="12169" xr:uid="{E08C51F9-103B-4A20-86A3-5816560DB69A}"/>
    <cellStyle name="40% - Accent1 4 4 3" xfId="5800" xr:uid="{00000000-0005-0000-0000-000046040000}"/>
    <cellStyle name="40% - Accent1 4 4 3 2" xfId="14242" xr:uid="{2CED4B64-8C02-49DD-AFC8-7B97647A08BE}"/>
    <cellStyle name="40% - Accent1 4 4 4" xfId="10024" xr:uid="{2889C51E-BCDF-4881-B858-3A2EBE381DAF}"/>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582F36F5-7C2F-4922-BEDB-594C0387DBD8}"/>
    <cellStyle name="40% - Accent1 4 5 2 3" xfId="12582" xr:uid="{197B6469-BA8D-4975-ADDA-236F198FEE03}"/>
    <cellStyle name="40% - Accent1 4 5 3" xfId="6213" xr:uid="{00000000-0005-0000-0000-00004A040000}"/>
    <cellStyle name="40% - Accent1 4 5 3 2" xfId="14655" xr:uid="{B20AFBA1-D3E0-4A00-8127-C1425BDB4543}"/>
    <cellStyle name="40% - Accent1 4 5 4" xfId="10437" xr:uid="{17AB7D59-0BF2-4BE2-9F43-8B5D1E1E6A9E}"/>
    <cellStyle name="40% - Accent1 4 6" xfId="2319" xr:uid="{00000000-0005-0000-0000-00004B040000}"/>
    <cellStyle name="40% - Accent1 4 6 2" xfId="6626" xr:uid="{00000000-0005-0000-0000-00004C040000}"/>
    <cellStyle name="40% - Accent1 4 6 2 2" xfId="15068" xr:uid="{99E4ECD6-D82D-46E8-B96A-4D32577F92BE}"/>
    <cellStyle name="40% - Accent1 4 6 3" xfId="10850" xr:uid="{5C4DE410-9064-42E2-9EAA-86D951090625}"/>
    <cellStyle name="40% - Accent1 4 7" xfId="4560" xr:uid="{00000000-0005-0000-0000-00004D040000}"/>
    <cellStyle name="40% - Accent1 4 7 2" xfId="13002" xr:uid="{6E6D50B5-6D0F-493D-945B-EB08C9C6E012}"/>
    <cellStyle name="40% - Accent1 4 8" xfId="8784" xr:uid="{85A30F10-4AD5-4FA9-BE05-C383B333AF4D}"/>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E53A9F78-5D52-432D-91B7-6C8330F912D1}"/>
    <cellStyle name="40% - Accent1 5 2 3" xfId="11336" xr:uid="{BE892004-A3C8-4599-BC90-E13DCFCD2EF1}"/>
    <cellStyle name="40% - Accent1 5 3" xfId="4967" xr:uid="{00000000-0005-0000-0000-000051040000}"/>
    <cellStyle name="40% - Accent1 5 3 2" xfId="13409" xr:uid="{D56D0845-C99D-46F9-AF0D-DF9D833D51DE}"/>
    <cellStyle name="40% - Accent1 5 4" xfId="9191" xr:uid="{FB24E3B6-5278-4D89-AFBB-76062D4E6D86}"/>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8DD3FC79-1645-4399-A5F0-6107E595A00A}"/>
    <cellStyle name="40% - Accent1 6 2 3" xfId="11749" xr:uid="{5036F058-D2E0-4B40-A188-3125007FD355}"/>
    <cellStyle name="40% - Accent1 6 3" xfId="5380" xr:uid="{00000000-0005-0000-0000-000055040000}"/>
    <cellStyle name="40% - Accent1 6 3 2" xfId="13822" xr:uid="{568A3ADB-23B1-4E28-AF67-F4686329163D}"/>
    <cellStyle name="40% - Accent1 6 4" xfId="9604" xr:uid="{5B566CA3-265A-416D-912D-7CD72672EACA}"/>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24972EFB-25DD-4B15-86BD-00B43A498A7D}"/>
    <cellStyle name="40% - Accent1 7 2 3" xfId="12162" xr:uid="{489BC2B7-5132-48BE-9DA5-36DB51D6774E}"/>
    <cellStyle name="40% - Accent1 7 3" xfId="5793" xr:uid="{00000000-0005-0000-0000-000059040000}"/>
    <cellStyle name="40% - Accent1 7 3 2" xfId="14235" xr:uid="{08DF2FF9-F97A-4A48-B3F1-0E6A64032427}"/>
    <cellStyle name="40% - Accent1 7 4" xfId="10017" xr:uid="{5A3FDFBD-6505-4088-BE88-47534F29D33C}"/>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F9819444-D700-4ADA-A6B6-47E0CD4EE918}"/>
    <cellStyle name="40% - Accent1 8 2 3" xfId="12575" xr:uid="{B550DCB4-7B3B-42F2-A01F-0087B21974A4}"/>
    <cellStyle name="40% - Accent1 8 3" xfId="6206" xr:uid="{00000000-0005-0000-0000-00005D040000}"/>
    <cellStyle name="40% - Accent1 8 3 2" xfId="14648" xr:uid="{30E79A86-E1C3-4529-8549-A2C3CBF72EFA}"/>
    <cellStyle name="40% - Accent1 8 4" xfId="10430" xr:uid="{20954D92-D3A4-46A4-A461-AB3555366DF8}"/>
    <cellStyle name="40% - Accent1 9" xfId="2312" xr:uid="{00000000-0005-0000-0000-00005E040000}"/>
    <cellStyle name="40% - Accent1 9 2" xfId="6619" xr:uid="{00000000-0005-0000-0000-00005F040000}"/>
    <cellStyle name="40% - Accent1 9 2 2" xfId="15061" xr:uid="{9B82BCEA-26DC-48BE-996A-12018D2C42B3}"/>
    <cellStyle name="40% - Accent1 9 3" xfId="10843" xr:uid="{C773E1E4-1990-4672-9E83-2508B89C95BB}"/>
    <cellStyle name="40% - Accent2" xfId="57" builtinId="35" customBuiltin="1"/>
    <cellStyle name="40% - Accent2 10" xfId="4561" xr:uid="{00000000-0005-0000-0000-000061040000}"/>
    <cellStyle name="40% - Accent2 10 2" xfId="13003" xr:uid="{DA5CA968-741C-44B3-895F-A28446C28225}"/>
    <cellStyle name="40% - Accent2 11" xfId="8785" xr:uid="{CD028DCF-FBBF-4EF0-ADE4-F18F141BFA78}"/>
    <cellStyle name="40% - Accent2 2" xfId="58" xr:uid="{00000000-0005-0000-0000-000062040000}"/>
    <cellStyle name="40% - Accent2 2 10" xfId="8786" xr:uid="{73786508-BD55-488D-AFF8-9CB8327E03C8}"/>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2A7BF749-FDB6-4AA9-9D11-2B41CB1B61EF}"/>
    <cellStyle name="40% - Accent2 2 2 2 2 2 3" xfId="11347" xr:uid="{AA202935-7294-4157-B46C-171F7F134E12}"/>
    <cellStyle name="40% - Accent2 2 2 2 2 3" xfId="4978" xr:uid="{00000000-0005-0000-0000-000068040000}"/>
    <cellStyle name="40% - Accent2 2 2 2 2 3 2" xfId="13420" xr:uid="{15E2F7A9-E0DE-455D-BAAF-505935072A7A}"/>
    <cellStyle name="40% - Accent2 2 2 2 2 4" xfId="9202" xr:uid="{6D37CF64-0DAB-42DC-AD18-12D0F736E241}"/>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39FDFFDA-62CC-4575-8502-25259A77EB04}"/>
    <cellStyle name="40% - Accent2 2 2 2 3 2 3" xfId="11760" xr:uid="{C4B6DBAC-598E-42DB-9CB4-1A21BB3090D1}"/>
    <cellStyle name="40% - Accent2 2 2 2 3 3" xfId="5391" xr:uid="{00000000-0005-0000-0000-00006C040000}"/>
    <cellStyle name="40% - Accent2 2 2 2 3 3 2" xfId="13833" xr:uid="{A1D15048-EEA1-4666-AF81-C1CFB48957DB}"/>
    <cellStyle name="40% - Accent2 2 2 2 3 4" xfId="9615" xr:uid="{25B98EC5-05E4-4805-9A73-EF16583BD825}"/>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7038DFD5-3381-4D62-AE2C-7BB629CEE8CA}"/>
    <cellStyle name="40% - Accent2 2 2 2 4 2 3" xfId="12173" xr:uid="{C7C28F9E-934A-490C-B08B-309486D9FD60}"/>
    <cellStyle name="40% - Accent2 2 2 2 4 3" xfId="5804" xr:uid="{00000000-0005-0000-0000-000070040000}"/>
    <cellStyle name="40% - Accent2 2 2 2 4 3 2" xfId="14246" xr:uid="{EB7A7CD0-E79A-4F29-86B6-F22F84FB81A0}"/>
    <cellStyle name="40% - Accent2 2 2 2 4 4" xfId="10028" xr:uid="{4F4920BE-FB88-4D02-AE4D-EDC0B5180E1B}"/>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299EB05F-103C-4B21-81A6-0C982C2EA6A9}"/>
    <cellStyle name="40% - Accent2 2 2 2 5 2 3" xfId="12586" xr:uid="{8D175016-5531-4FAF-AC25-8236E0B29A56}"/>
    <cellStyle name="40% - Accent2 2 2 2 5 3" xfId="6217" xr:uid="{00000000-0005-0000-0000-000074040000}"/>
    <cellStyle name="40% - Accent2 2 2 2 5 3 2" xfId="14659" xr:uid="{4FF7F50C-B4A2-4602-A66F-DC42FEA90F82}"/>
    <cellStyle name="40% - Accent2 2 2 2 5 4" xfId="10441" xr:uid="{8E751F12-E759-4081-9EC7-03BADF109B03}"/>
    <cellStyle name="40% - Accent2 2 2 2 6" xfId="2323" xr:uid="{00000000-0005-0000-0000-000075040000}"/>
    <cellStyle name="40% - Accent2 2 2 2 6 2" xfId="6630" xr:uid="{00000000-0005-0000-0000-000076040000}"/>
    <cellStyle name="40% - Accent2 2 2 2 6 2 2" xfId="15072" xr:uid="{37F025D6-4B01-487B-A03C-194D9BE3D824}"/>
    <cellStyle name="40% - Accent2 2 2 2 6 3" xfId="10854" xr:uid="{63088433-A98C-4BDE-A942-2009D131A831}"/>
    <cellStyle name="40% - Accent2 2 2 2 7" xfId="4564" xr:uid="{00000000-0005-0000-0000-000077040000}"/>
    <cellStyle name="40% - Accent2 2 2 2 7 2" xfId="13006" xr:uid="{1C5EEC09-CA3E-4FFF-B481-6ECA1192D8B7}"/>
    <cellStyle name="40% - Accent2 2 2 2 8" xfId="8788" xr:uid="{9CFA35DA-4BF9-4711-83F2-2199626926D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DBE6D70D-DCA2-46B5-97FF-5DBB5D3E04F4}"/>
    <cellStyle name="40% - Accent2 2 2 3 2 3" xfId="11346" xr:uid="{18687A26-AFBD-4B4D-A2ED-B4B59FCAB870}"/>
    <cellStyle name="40% - Accent2 2 2 3 3" xfId="4977" xr:uid="{00000000-0005-0000-0000-00007B040000}"/>
    <cellStyle name="40% - Accent2 2 2 3 3 2" xfId="13419" xr:uid="{6AFDB329-09AD-42E2-830F-549DD0973E3E}"/>
    <cellStyle name="40% - Accent2 2 2 3 4" xfId="9201" xr:uid="{A5F568D4-F4D6-4836-BE6E-57055E3FA36D}"/>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0B613E51-1D20-4744-B718-16FC5E9310EE}"/>
    <cellStyle name="40% - Accent2 2 2 4 2 3" xfId="11759" xr:uid="{69F10BE3-4209-42B8-A079-DDDC2EDF6F59}"/>
    <cellStyle name="40% - Accent2 2 2 4 3" xfId="5390" xr:uid="{00000000-0005-0000-0000-00007F040000}"/>
    <cellStyle name="40% - Accent2 2 2 4 3 2" xfId="13832" xr:uid="{660F09D7-63B7-4B62-88CF-AA798D79A049}"/>
    <cellStyle name="40% - Accent2 2 2 4 4" xfId="9614" xr:uid="{C1A91AA6-5C36-4F25-B6EE-34C2CFA87923}"/>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3E4C5E78-5D34-489D-89CA-54664250E53C}"/>
    <cellStyle name="40% - Accent2 2 2 5 2 3" xfId="12172" xr:uid="{8A4F5F74-22B8-45EE-B5A3-642167F82829}"/>
    <cellStyle name="40% - Accent2 2 2 5 3" xfId="5803" xr:uid="{00000000-0005-0000-0000-000083040000}"/>
    <cellStyle name="40% - Accent2 2 2 5 3 2" xfId="14245" xr:uid="{AC6148F3-253B-45E6-8BD0-A449B68EB3C1}"/>
    <cellStyle name="40% - Accent2 2 2 5 4" xfId="10027" xr:uid="{EE8BFDF4-BC76-493A-AFEF-9734DDF54265}"/>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8E054770-A143-4CC9-9F16-78D0187F965D}"/>
    <cellStyle name="40% - Accent2 2 2 6 2 3" xfId="12585" xr:uid="{ECBC3530-D577-477D-B415-4AF6DBBB2592}"/>
    <cellStyle name="40% - Accent2 2 2 6 3" xfId="6216" xr:uid="{00000000-0005-0000-0000-000087040000}"/>
    <cellStyle name="40% - Accent2 2 2 6 3 2" xfId="14658" xr:uid="{0A402A20-6B5B-4AB1-BF97-674EF4C73556}"/>
    <cellStyle name="40% - Accent2 2 2 6 4" xfId="10440" xr:uid="{9973E986-BC09-43D6-B7CA-1F5795637829}"/>
    <cellStyle name="40% - Accent2 2 2 7" xfId="2322" xr:uid="{00000000-0005-0000-0000-000088040000}"/>
    <cellStyle name="40% - Accent2 2 2 7 2" xfId="6629" xr:uid="{00000000-0005-0000-0000-000089040000}"/>
    <cellStyle name="40% - Accent2 2 2 7 2 2" xfId="15071" xr:uid="{7079BC78-D6A0-41EE-9833-7D0162BABA6B}"/>
    <cellStyle name="40% - Accent2 2 2 7 3" xfId="10853" xr:uid="{3F9F3F30-57E3-478F-BACA-B5C222BAD336}"/>
    <cellStyle name="40% - Accent2 2 2 8" xfId="4563" xr:uid="{00000000-0005-0000-0000-00008A040000}"/>
    <cellStyle name="40% - Accent2 2 2 8 2" xfId="13005" xr:uid="{2990C34B-EBE5-4F62-91FF-352961A799B8}"/>
    <cellStyle name="40% - Accent2 2 2 9" xfId="8787" xr:uid="{0301D744-6AAB-4100-991C-F117C280CA6D}"/>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06CE3C3A-E09E-4638-B8BF-6674FF287BF8}"/>
    <cellStyle name="40% - Accent2 2 3 2 2 3" xfId="11348" xr:uid="{C0A18D13-D9C0-48C2-924A-F9386B0A3764}"/>
    <cellStyle name="40% - Accent2 2 3 2 3" xfId="4979" xr:uid="{00000000-0005-0000-0000-00008F040000}"/>
    <cellStyle name="40% - Accent2 2 3 2 3 2" xfId="13421" xr:uid="{28529047-E780-4D6F-8080-45C1ADD5A55D}"/>
    <cellStyle name="40% - Accent2 2 3 2 4" xfId="9203" xr:uid="{1FF63071-F9BD-4090-939F-1F8985E85ED2}"/>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D7C577AD-541A-4D1C-AA69-85CBDED2698D}"/>
    <cellStyle name="40% - Accent2 2 3 3 2 3" xfId="11761" xr:uid="{FB6207A0-7600-4B80-8907-AAE8F30D3AF5}"/>
    <cellStyle name="40% - Accent2 2 3 3 3" xfId="5392" xr:uid="{00000000-0005-0000-0000-000093040000}"/>
    <cellStyle name="40% - Accent2 2 3 3 3 2" xfId="13834" xr:uid="{9317F1B4-477D-4072-AF93-404B97A8C2D4}"/>
    <cellStyle name="40% - Accent2 2 3 3 4" xfId="9616" xr:uid="{8AD84AE8-FA64-41F0-9B3F-33870FF4145F}"/>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3B244A57-D623-4493-BAA1-5BA71930927F}"/>
    <cellStyle name="40% - Accent2 2 3 4 2 3" xfId="12174" xr:uid="{005FA02A-3C04-48C3-A8A0-EC61E28BB2FD}"/>
    <cellStyle name="40% - Accent2 2 3 4 3" xfId="5805" xr:uid="{00000000-0005-0000-0000-000097040000}"/>
    <cellStyle name="40% - Accent2 2 3 4 3 2" xfId="14247" xr:uid="{92D6E29B-DD9E-4C00-B3BF-6FDD7D17256D}"/>
    <cellStyle name="40% - Accent2 2 3 4 4" xfId="10029" xr:uid="{E81B272C-A94D-464F-9809-C5628BF55F95}"/>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DC8C29C6-726E-41C6-933B-06198361362D}"/>
    <cellStyle name="40% - Accent2 2 3 5 2 3" xfId="12587" xr:uid="{A7A776E5-1623-40E9-8D3D-FBC56575E6F8}"/>
    <cellStyle name="40% - Accent2 2 3 5 3" xfId="6218" xr:uid="{00000000-0005-0000-0000-00009B040000}"/>
    <cellStyle name="40% - Accent2 2 3 5 3 2" xfId="14660" xr:uid="{30918368-1C88-4291-9D72-CCDE9350E78C}"/>
    <cellStyle name="40% - Accent2 2 3 5 4" xfId="10442" xr:uid="{85E27154-ED2A-416E-86D7-E1118F8BB624}"/>
    <cellStyle name="40% - Accent2 2 3 6" xfId="2324" xr:uid="{00000000-0005-0000-0000-00009C040000}"/>
    <cellStyle name="40% - Accent2 2 3 6 2" xfId="6631" xr:uid="{00000000-0005-0000-0000-00009D040000}"/>
    <cellStyle name="40% - Accent2 2 3 6 2 2" xfId="15073" xr:uid="{9A3349D9-3CD2-4C2A-A2BA-43FC152A47C4}"/>
    <cellStyle name="40% - Accent2 2 3 6 3" xfId="10855" xr:uid="{14B0EB00-5338-4752-B343-EA507C30C1D8}"/>
    <cellStyle name="40% - Accent2 2 3 7" xfId="4565" xr:uid="{00000000-0005-0000-0000-00009E040000}"/>
    <cellStyle name="40% - Accent2 2 3 7 2" xfId="13007" xr:uid="{01B36481-DE0B-487B-BCBC-C5047D32979E}"/>
    <cellStyle name="40% - Accent2 2 3 8" xfId="8789" xr:uid="{7408E36B-8FE8-4705-958A-528A9A83B9D8}"/>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8B20BFDB-B6CF-4F5F-BD93-285AA63D3210}"/>
    <cellStyle name="40% - Accent2 2 4 2 3" xfId="11345" xr:uid="{F3205885-64A4-4D5E-9F1A-569CE173A2F2}"/>
    <cellStyle name="40% - Accent2 2 4 3" xfId="4976" xr:uid="{00000000-0005-0000-0000-0000A2040000}"/>
    <cellStyle name="40% - Accent2 2 4 3 2" xfId="13418" xr:uid="{5738D243-CFD0-45E8-811C-9F2DA06EAD13}"/>
    <cellStyle name="40% - Accent2 2 4 4" xfId="9200" xr:uid="{1D33C6FD-609C-41BD-825D-3D96032DAFA4}"/>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190394C1-C95F-400E-8434-0B18578013F5}"/>
    <cellStyle name="40% - Accent2 2 5 2 3" xfId="11758" xr:uid="{B19D2477-AC2D-42AF-B4F9-A269DFCF2D44}"/>
    <cellStyle name="40% - Accent2 2 5 3" xfId="5389" xr:uid="{00000000-0005-0000-0000-0000A6040000}"/>
    <cellStyle name="40% - Accent2 2 5 3 2" xfId="13831" xr:uid="{86088890-2DD4-4C60-AA1C-31608FD40F09}"/>
    <cellStyle name="40% - Accent2 2 5 4" xfId="9613" xr:uid="{59A1023B-F0C9-4ED8-9BA3-16A6F422A543}"/>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A88DD2A0-5C3E-4EE6-A532-847C2E49663D}"/>
    <cellStyle name="40% - Accent2 2 6 2 3" xfId="12171" xr:uid="{2EFC21C5-DF79-4DED-9030-C18D4D5266F3}"/>
    <cellStyle name="40% - Accent2 2 6 3" xfId="5802" xr:uid="{00000000-0005-0000-0000-0000AA040000}"/>
    <cellStyle name="40% - Accent2 2 6 3 2" xfId="14244" xr:uid="{D4A421CC-6ECA-4ADE-978B-6F0BB716AD3D}"/>
    <cellStyle name="40% - Accent2 2 6 4" xfId="10026" xr:uid="{B3C13F7B-8C99-4292-9E01-6A81433CE51A}"/>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09FC408A-937F-47EF-9D96-2CE942208AE1}"/>
    <cellStyle name="40% - Accent2 2 7 2 3" xfId="12584" xr:uid="{A7851A22-27EF-45F2-854E-AED4E5E57200}"/>
    <cellStyle name="40% - Accent2 2 7 3" xfId="6215" xr:uid="{00000000-0005-0000-0000-0000AE040000}"/>
    <cellStyle name="40% - Accent2 2 7 3 2" xfId="14657" xr:uid="{26712519-5709-4906-B053-7CB6CB2420A8}"/>
    <cellStyle name="40% - Accent2 2 7 4" xfId="10439" xr:uid="{7BF5F606-9AE9-468A-A3AA-0BCDBBC8EE4F}"/>
    <cellStyle name="40% - Accent2 2 8" xfId="2321" xr:uid="{00000000-0005-0000-0000-0000AF040000}"/>
    <cellStyle name="40% - Accent2 2 8 2" xfId="6628" xr:uid="{00000000-0005-0000-0000-0000B0040000}"/>
    <cellStyle name="40% - Accent2 2 8 2 2" xfId="15070" xr:uid="{A8D460A5-597F-4809-AA16-2C190938AB81}"/>
    <cellStyle name="40% - Accent2 2 8 3" xfId="10852" xr:uid="{E4B77BDF-0317-42A7-987A-FB69F89199C9}"/>
    <cellStyle name="40% - Accent2 2 9" xfId="4562" xr:uid="{00000000-0005-0000-0000-0000B1040000}"/>
    <cellStyle name="40% - Accent2 2 9 2" xfId="13004" xr:uid="{B04BA96F-1FF2-4CA9-9542-D8D27F4A5BA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F66D4B00-18C3-4E21-9BE4-31340B48EA8A}"/>
    <cellStyle name="40% - Accent2 3 2 2 2 3" xfId="11350" xr:uid="{BE2E30B0-A57D-40A7-AEE6-E9045828ABA5}"/>
    <cellStyle name="40% - Accent2 3 2 2 3" xfId="4981" xr:uid="{00000000-0005-0000-0000-0000B7040000}"/>
    <cellStyle name="40% - Accent2 3 2 2 3 2" xfId="13423" xr:uid="{8CF79262-197A-46D3-BDC4-F8EB0173E366}"/>
    <cellStyle name="40% - Accent2 3 2 2 4" xfId="9205" xr:uid="{E46EC265-7E7E-4722-9573-03FC3C5E7C2F}"/>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BAB0395E-3CBC-45ED-9EEE-B9707CAA45EA}"/>
    <cellStyle name="40% - Accent2 3 2 3 2 3" xfId="11763" xr:uid="{97C51068-D4B6-4121-80DB-8CF1C6464780}"/>
    <cellStyle name="40% - Accent2 3 2 3 3" xfId="5394" xr:uid="{00000000-0005-0000-0000-0000BB040000}"/>
    <cellStyle name="40% - Accent2 3 2 3 3 2" xfId="13836" xr:uid="{ED4CB525-B42C-491B-A35C-FBCA88A2CB3C}"/>
    <cellStyle name="40% - Accent2 3 2 3 4" xfId="9618" xr:uid="{9CB037F0-AF22-4335-A4F2-7AF4D2B5801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99EB3D86-AEE4-4EC7-918F-435909A63AD8}"/>
    <cellStyle name="40% - Accent2 3 2 4 2 3" xfId="12176" xr:uid="{3CE9C958-FF6E-430C-BC3A-84923EC16EFC}"/>
    <cellStyle name="40% - Accent2 3 2 4 3" xfId="5807" xr:uid="{00000000-0005-0000-0000-0000BF040000}"/>
    <cellStyle name="40% - Accent2 3 2 4 3 2" xfId="14249" xr:uid="{C47BC4DB-D099-4400-B168-84BE037D3254}"/>
    <cellStyle name="40% - Accent2 3 2 4 4" xfId="10031" xr:uid="{2B36FC55-C6A3-40F3-B312-D3910C3EA434}"/>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5C7B2945-1C9A-4A0E-87CF-7DD513D94CF7}"/>
    <cellStyle name="40% - Accent2 3 2 5 2 3" xfId="12589" xr:uid="{C75FF099-4FC2-4AC4-84CC-E7F5D0458D06}"/>
    <cellStyle name="40% - Accent2 3 2 5 3" xfId="6220" xr:uid="{00000000-0005-0000-0000-0000C3040000}"/>
    <cellStyle name="40% - Accent2 3 2 5 3 2" xfId="14662" xr:uid="{C105E7C7-A054-4B7B-B60B-C7BE027D066E}"/>
    <cellStyle name="40% - Accent2 3 2 5 4" xfId="10444" xr:uid="{05E68C4A-E016-4A88-AEBB-41DBB44E3636}"/>
    <cellStyle name="40% - Accent2 3 2 6" xfId="2326" xr:uid="{00000000-0005-0000-0000-0000C4040000}"/>
    <cellStyle name="40% - Accent2 3 2 6 2" xfId="6633" xr:uid="{00000000-0005-0000-0000-0000C5040000}"/>
    <cellStyle name="40% - Accent2 3 2 6 2 2" xfId="15075" xr:uid="{10566FF8-E166-41A7-A63E-43D735095F4C}"/>
    <cellStyle name="40% - Accent2 3 2 6 3" xfId="10857" xr:uid="{F34BEAA0-A85E-4190-A02B-56980A4E59DF}"/>
    <cellStyle name="40% - Accent2 3 2 7" xfId="4567" xr:uid="{00000000-0005-0000-0000-0000C6040000}"/>
    <cellStyle name="40% - Accent2 3 2 7 2" xfId="13009" xr:uid="{26071037-19A0-4D85-B389-4C55C0A8BBA8}"/>
    <cellStyle name="40% - Accent2 3 2 8" xfId="8791" xr:uid="{8530F5D2-0D3C-490C-9D87-BD52E8397D21}"/>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467951A0-C7AC-475C-8705-47A6E166CBAA}"/>
    <cellStyle name="40% - Accent2 3 3 2 3" xfId="11349" xr:uid="{2AE0B897-19F5-4F6A-BC66-A54A859063CA}"/>
    <cellStyle name="40% - Accent2 3 3 3" xfId="4980" xr:uid="{00000000-0005-0000-0000-0000CA040000}"/>
    <cellStyle name="40% - Accent2 3 3 3 2" xfId="13422" xr:uid="{A25A2C6A-72CD-4385-88A9-04684A45E55C}"/>
    <cellStyle name="40% - Accent2 3 3 4" xfId="9204" xr:uid="{100A28EE-ABCE-4A2D-958F-51A204CA1AFE}"/>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75470D66-CB8D-4B6D-A665-51590A183A40}"/>
    <cellStyle name="40% - Accent2 3 4 2 3" xfId="11762" xr:uid="{3F82F9EB-CF84-49F9-9D20-5399F2ADB7A4}"/>
    <cellStyle name="40% - Accent2 3 4 3" xfId="5393" xr:uid="{00000000-0005-0000-0000-0000CE040000}"/>
    <cellStyle name="40% - Accent2 3 4 3 2" xfId="13835" xr:uid="{AEB93272-5432-4CBB-ADE2-AA6469A21ECC}"/>
    <cellStyle name="40% - Accent2 3 4 4" xfId="9617" xr:uid="{E05E6F2E-7712-4777-B7AD-4D87B6897153}"/>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6810A3C8-B069-447A-8250-E3DB81B613AF}"/>
    <cellStyle name="40% - Accent2 3 5 2 3" xfId="12175" xr:uid="{06F5D28F-2A1E-41E5-ADD2-4B79D7F7AF7F}"/>
    <cellStyle name="40% - Accent2 3 5 3" xfId="5806" xr:uid="{00000000-0005-0000-0000-0000D2040000}"/>
    <cellStyle name="40% - Accent2 3 5 3 2" xfId="14248" xr:uid="{F1580317-5E84-40A4-806C-499A3AE087E1}"/>
    <cellStyle name="40% - Accent2 3 5 4" xfId="10030" xr:uid="{BEC3B415-6192-431E-81A4-2CEF31EB69B1}"/>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ACF4D4ED-0450-48AF-9032-0797D11D4D6A}"/>
    <cellStyle name="40% - Accent2 3 6 2 3" xfId="12588" xr:uid="{40D7470F-201A-4491-A318-4F80DE92D43E}"/>
    <cellStyle name="40% - Accent2 3 6 3" xfId="6219" xr:uid="{00000000-0005-0000-0000-0000D6040000}"/>
    <cellStyle name="40% - Accent2 3 6 3 2" xfId="14661" xr:uid="{DE91679C-B4F3-4A17-85CC-FF5D9523BDE2}"/>
    <cellStyle name="40% - Accent2 3 6 4" xfId="10443" xr:uid="{2AA25CD2-F96B-4E5A-B83E-846C69F3ED0F}"/>
    <cellStyle name="40% - Accent2 3 7" xfId="2325" xr:uid="{00000000-0005-0000-0000-0000D7040000}"/>
    <cellStyle name="40% - Accent2 3 7 2" xfId="6632" xr:uid="{00000000-0005-0000-0000-0000D8040000}"/>
    <cellStyle name="40% - Accent2 3 7 2 2" xfId="15074" xr:uid="{2ADD6F8E-39EC-49C6-92C7-3CD42F13F84A}"/>
    <cellStyle name="40% - Accent2 3 7 3" xfId="10856" xr:uid="{8A6C25BB-D34C-4DDA-965C-30A122A893D5}"/>
    <cellStyle name="40% - Accent2 3 8" xfId="4566" xr:uid="{00000000-0005-0000-0000-0000D9040000}"/>
    <cellStyle name="40% - Accent2 3 8 2" xfId="13008" xr:uid="{A0A0DCDD-D070-44DB-9DA1-FC26BDAEA067}"/>
    <cellStyle name="40% - Accent2 3 9" xfId="8790" xr:uid="{E3D68747-70B9-4CF0-9917-1A00B693DFC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E2451299-C9FE-4CF7-9B5E-F085C499B08D}"/>
    <cellStyle name="40% - Accent2 4 2 2 3" xfId="11351" xr:uid="{B2C75216-18BB-4654-AA8B-F9AA74E98DEB}"/>
    <cellStyle name="40% - Accent2 4 2 3" xfId="4982" xr:uid="{00000000-0005-0000-0000-0000DE040000}"/>
    <cellStyle name="40% - Accent2 4 2 3 2" xfId="13424" xr:uid="{C60A72B2-347A-4B4A-B4F7-E1B1E7A99AAF}"/>
    <cellStyle name="40% - Accent2 4 2 4" xfId="9206" xr:uid="{EC3CCBBB-7E65-4CF1-94C7-4828746179D5}"/>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D09BB6D0-169D-4562-AA1D-1D749F13F752}"/>
    <cellStyle name="40% - Accent2 4 3 2 3" xfId="11764" xr:uid="{1D4F67B7-76F6-48D8-A4D7-19A964D768AE}"/>
    <cellStyle name="40% - Accent2 4 3 3" xfId="5395" xr:uid="{00000000-0005-0000-0000-0000E2040000}"/>
    <cellStyle name="40% - Accent2 4 3 3 2" xfId="13837" xr:uid="{206ACB6F-C26B-413F-B513-968B948F1884}"/>
    <cellStyle name="40% - Accent2 4 3 4" xfId="9619" xr:uid="{08B4118C-2530-457B-B4D4-762F2435E04D}"/>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F4EEECC3-2545-4019-86AE-729CA5DD5557}"/>
    <cellStyle name="40% - Accent2 4 4 2 3" xfId="12177" xr:uid="{711784F6-1AD8-4ABC-811C-389468A5154E}"/>
    <cellStyle name="40% - Accent2 4 4 3" xfId="5808" xr:uid="{00000000-0005-0000-0000-0000E6040000}"/>
    <cellStyle name="40% - Accent2 4 4 3 2" xfId="14250" xr:uid="{3C509580-01A7-40E7-852D-4E5AB7FFBF62}"/>
    <cellStyle name="40% - Accent2 4 4 4" xfId="10032" xr:uid="{0BD599A0-7C5C-4706-84F9-79E4DED34279}"/>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A570BDA3-4514-41BE-BDCA-FF7C3C1D1F52}"/>
    <cellStyle name="40% - Accent2 4 5 2 3" xfId="12590" xr:uid="{650B9E29-88C3-4C31-8E91-AE18DBC4EA81}"/>
    <cellStyle name="40% - Accent2 4 5 3" xfId="6221" xr:uid="{00000000-0005-0000-0000-0000EA040000}"/>
    <cellStyle name="40% - Accent2 4 5 3 2" xfId="14663" xr:uid="{2BC05B22-CD46-4AA1-98C8-E3046085963F}"/>
    <cellStyle name="40% - Accent2 4 5 4" xfId="10445" xr:uid="{76F04975-D77D-4D05-B45D-DC807C35D320}"/>
    <cellStyle name="40% - Accent2 4 6" xfId="2327" xr:uid="{00000000-0005-0000-0000-0000EB040000}"/>
    <cellStyle name="40% - Accent2 4 6 2" xfId="6634" xr:uid="{00000000-0005-0000-0000-0000EC040000}"/>
    <cellStyle name="40% - Accent2 4 6 2 2" xfId="15076" xr:uid="{7DAD08CA-07D3-4B77-8526-4DAC1A4C2F49}"/>
    <cellStyle name="40% - Accent2 4 6 3" xfId="10858" xr:uid="{B9F9F9C2-BBF5-449C-AC61-23A8AA1B846E}"/>
    <cellStyle name="40% - Accent2 4 7" xfId="4568" xr:uid="{00000000-0005-0000-0000-0000ED040000}"/>
    <cellStyle name="40% - Accent2 4 7 2" xfId="13010" xr:uid="{F18B364B-FBB9-475E-9361-BA69CF2FDF7F}"/>
    <cellStyle name="40% - Accent2 4 8" xfId="8792" xr:uid="{FF92FAA0-5DB9-41DB-88C4-E713C128A518}"/>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80BD13C3-CF00-4BC4-9442-9F3E1D810817}"/>
    <cellStyle name="40% - Accent2 5 2 3" xfId="11344" xr:uid="{66C9F4AC-76BB-4A33-AB88-16C7CE0CE012}"/>
    <cellStyle name="40% - Accent2 5 3" xfId="4975" xr:uid="{00000000-0005-0000-0000-0000F1040000}"/>
    <cellStyle name="40% - Accent2 5 3 2" xfId="13417" xr:uid="{8435B5F9-122E-4B83-8FF8-747770DADED2}"/>
    <cellStyle name="40% - Accent2 5 4" xfId="9199" xr:uid="{A2A2F27F-0933-41B9-A574-369FB2B9178F}"/>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0A5B5D33-7AE5-49E0-A310-761C8F7F5DE7}"/>
    <cellStyle name="40% - Accent2 6 2 3" xfId="11757" xr:uid="{956C84A8-8D4E-4314-97A5-F878CF7F147B}"/>
    <cellStyle name="40% - Accent2 6 3" xfId="5388" xr:uid="{00000000-0005-0000-0000-0000F5040000}"/>
    <cellStyle name="40% - Accent2 6 3 2" xfId="13830" xr:uid="{C6645011-3A61-43D9-B2D0-4C0CC856A438}"/>
    <cellStyle name="40% - Accent2 6 4" xfId="9612" xr:uid="{9278C717-DF45-4D55-B7BD-89F4D9B0A46A}"/>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8251A11C-F0E5-46EC-ACDC-C8A79CE9D3FA}"/>
    <cellStyle name="40% - Accent2 7 2 3" xfId="12170" xr:uid="{43C626CC-F229-4084-9DDE-A690D8EFAFE8}"/>
    <cellStyle name="40% - Accent2 7 3" xfId="5801" xr:uid="{00000000-0005-0000-0000-0000F9040000}"/>
    <cellStyle name="40% - Accent2 7 3 2" xfId="14243" xr:uid="{7B575A2E-3049-411D-902C-956F77501180}"/>
    <cellStyle name="40% - Accent2 7 4" xfId="10025" xr:uid="{62B4181A-C0CF-41B9-BD17-BA97602D7787}"/>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93BF27B2-115D-497D-ADB3-06572117504B}"/>
    <cellStyle name="40% - Accent2 8 2 3" xfId="12583" xr:uid="{71E16DA1-8518-43FF-8729-D0C3223658CD}"/>
    <cellStyle name="40% - Accent2 8 3" xfId="6214" xr:uid="{00000000-0005-0000-0000-0000FD040000}"/>
    <cellStyle name="40% - Accent2 8 3 2" xfId="14656" xr:uid="{541629A9-1F65-4B70-BAAE-3BA93B95C6A1}"/>
    <cellStyle name="40% - Accent2 8 4" xfId="10438" xr:uid="{3B33337D-0B97-4188-879B-A77B52BD10C8}"/>
    <cellStyle name="40% - Accent2 9" xfId="2320" xr:uid="{00000000-0005-0000-0000-0000FE040000}"/>
    <cellStyle name="40% - Accent2 9 2" xfId="6627" xr:uid="{00000000-0005-0000-0000-0000FF040000}"/>
    <cellStyle name="40% - Accent2 9 2 2" xfId="15069" xr:uid="{2681A1CB-AB63-4613-A498-6AAFFBBBA2F5}"/>
    <cellStyle name="40% - Accent2 9 3" xfId="10851" xr:uid="{32907DC6-CDC9-4A1E-B37C-D87E3D60B558}"/>
    <cellStyle name="40% - Accent3" xfId="65" builtinId="39" customBuiltin="1"/>
    <cellStyle name="40% - Accent3 10" xfId="4569" xr:uid="{00000000-0005-0000-0000-000001050000}"/>
    <cellStyle name="40% - Accent3 10 2" xfId="13011" xr:uid="{7A203E8E-E7DD-4852-AB12-3ABF08AC0AA4}"/>
    <cellStyle name="40% - Accent3 11" xfId="8793" xr:uid="{02F3CAA7-EA6D-4604-881B-9D17A637B807}"/>
    <cellStyle name="40% - Accent3 2" xfId="66" xr:uid="{00000000-0005-0000-0000-000002050000}"/>
    <cellStyle name="40% - Accent3 2 10" xfId="8794" xr:uid="{3BF72C87-E084-4846-BF03-F302DEE11E2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3DD2AA1F-B672-48A3-A806-40C97E8DD197}"/>
    <cellStyle name="40% - Accent3 2 2 2 2 2 3" xfId="11355" xr:uid="{6A7EDCE4-F997-4F4E-96AA-89BA3D7C3F13}"/>
    <cellStyle name="40% - Accent3 2 2 2 2 3" xfId="4986" xr:uid="{00000000-0005-0000-0000-000008050000}"/>
    <cellStyle name="40% - Accent3 2 2 2 2 3 2" xfId="13428" xr:uid="{3922B5BF-56D5-4CDB-A566-38EA919212C1}"/>
    <cellStyle name="40% - Accent3 2 2 2 2 4" xfId="9210" xr:uid="{48EECEA0-20C7-42E5-8F5B-B760ACD0622B}"/>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EDA12C6F-6EC2-442C-921C-5ED463CF38E8}"/>
    <cellStyle name="40% - Accent3 2 2 2 3 2 3" xfId="11768" xr:uid="{523B83FE-24D2-4154-A73B-407AFAA547BF}"/>
    <cellStyle name="40% - Accent3 2 2 2 3 3" xfId="5399" xr:uid="{00000000-0005-0000-0000-00000C050000}"/>
    <cellStyle name="40% - Accent3 2 2 2 3 3 2" xfId="13841" xr:uid="{7D0C9DA7-8535-441D-B5CF-5C4F2F2017D7}"/>
    <cellStyle name="40% - Accent3 2 2 2 3 4" xfId="9623" xr:uid="{330CDEAF-24B7-4B08-88EE-99BF33D7D75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7F72D1F6-660B-453C-A3D9-7B0A59718C6F}"/>
    <cellStyle name="40% - Accent3 2 2 2 4 2 3" xfId="12181" xr:uid="{DAAE0748-43F6-485E-9A6A-E33C81BA9CE7}"/>
    <cellStyle name="40% - Accent3 2 2 2 4 3" xfId="5812" xr:uid="{00000000-0005-0000-0000-000010050000}"/>
    <cellStyle name="40% - Accent3 2 2 2 4 3 2" xfId="14254" xr:uid="{AFF296CE-B458-4876-BF7A-C4EA48D0E1CB}"/>
    <cellStyle name="40% - Accent3 2 2 2 4 4" xfId="10036" xr:uid="{67D4F31B-5C94-4B5F-BCBF-021DCE9FBA77}"/>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F5BBD881-7D27-45F8-B17B-C055BE518A48}"/>
    <cellStyle name="40% - Accent3 2 2 2 5 2 3" xfId="12594" xr:uid="{EEFEA2C7-700A-4FD4-A646-849C26F7B6AC}"/>
    <cellStyle name="40% - Accent3 2 2 2 5 3" xfId="6225" xr:uid="{00000000-0005-0000-0000-000014050000}"/>
    <cellStyle name="40% - Accent3 2 2 2 5 3 2" xfId="14667" xr:uid="{6791806F-92C6-40BF-9351-87453A3178AB}"/>
    <cellStyle name="40% - Accent3 2 2 2 5 4" xfId="10449" xr:uid="{2F22DBC2-38F7-4E81-87CD-39E3839C74DC}"/>
    <cellStyle name="40% - Accent3 2 2 2 6" xfId="2331" xr:uid="{00000000-0005-0000-0000-000015050000}"/>
    <cellStyle name="40% - Accent3 2 2 2 6 2" xfId="6638" xr:uid="{00000000-0005-0000-0000-000016050000}"/>
    <cellStyle name="40% - Accent3 2 2 2 6 2 2" xfId="15080" xr:uid="{54AF1707-54FA-4E24-AFC3-BF8F8CFB5CEB}"/>
    <cellStyle name="40% - Accent3 2 2 2 6 3" xfId="10862" xr:uid="{0AB95AF2-4311-45B0-B9D9-0371B9EB69B4}"/>
    <cellStyle name="40% - Accent3 2 2 2 7" xfId="4572" xr:uid="{00000000-0005-0000-0000-000017050000}"/>
    <cellStyle name="40% - Accent3 2 2 2 7 2" xfId="13014" xr:uid="{69A9D462-87AE-4EC7-94E5-F07E98851AE8}"/>
    <cellStyle name="40% - Accent3 2 2 2 8" xfId="8796" xr:uid="{C4D8D4D3-2DF8-4DFA-835F-E261310421C0}"/>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66A65916-A6F6-4CD6-B083-7183B84A8DF4}"/>
    <cellStyle name="40% - Accent3 2 2 3 2 3" xfId="11354" xr:uid="{4A4CEA8E-059B-4F10-9DF1-2E52BEC99653}"/>
    <cellStyle name="40% - Accent3 2 2 3 3" xfId="4985" xr:uid="{00000000-0005-0000-0000-00001B050000}"/>
    <cellStyle name="40% - Accent3 2 2 3 3 2" xfId="13427" xr:uid="{AA845AF6-ADEA-4294-9EFA-7480E018A094}"/>
    <cellStyle name="40% - Accent3 2 2 3 4" xfId="9209" xr:uid="{0B4447E2-FDD5-4223-81EA-DDCB21714892}"/>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B75650A4-5325-47F3-972D-DBA605262EB0}"/>
    <cellStyle name="40% - Accent3 2 2 4 2 3" xfId="11767" xr:uid="{DFB0D0DB-B543-4409-9374-86ADFC09FBC9}"/>
    <cellStyle name="40% - Accent3 2 2 4 3" xfId="5398" xr:uid="{00000000-0005-0000-0000-00001F050000}"/>
    <cellStyle name="40% - Accent3 2 2 4 3 2" xfId="13840" xr:uid="{4AE7421C-66F9-4B03-9ACF-5A265F424FFB}"/>
    <cellStyle name="40% - Accent3 2 2 4 4" xfId="9622" xr:uid="{A235FA01-CD33-4A1C-AB19-DA5C4C2477E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9ACBC987-3D3A-466D-925F-692729B1AC86}"/>
    <cellStyle name="40% - Accent3 2 2 5 2 3" xfId="12180" xr:uid="{44313064-1267-4D2E-8F43-5B3124EEEF7A}"/>
    <cellStyle name="40% - Accent3 2 2 5 3" xfId="5811" xr:uid="{00000000-0005-0000-0000-000023050000}"/>
    <cellStyle name="40% - Accent3 2 2 5 3 2" xfId="14253" xr:uid="{6A7C1D3E-C159-48B6-A898-0646CF6341A5}"/>
    <cellStyle name="40% - Accent3 2 2 5 4" xfId="10035" xr:uid="{85FB2EBC-ABE4-4833-9DAE-5C6DE53F1D39}"/>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CCDEAEC2-0B46-45DC-8903-0290B6456BAE}"/>
    <cellStyle name="40% - Accent3 2 2 6 2 3" xfId="12593" xr:uid="{B8A90329-E4A9-4A01-A6C9-CE82D8C54BBB}"/>
    <cellStyle name="40% - Accent3 2 2 6 3" xfId="6224" xr:uid="{00000000-0005-0000-0000-000027050000}"/>
    <cellStyle name="40% - Accent3 2 2 6 3 2" xfId="14666" xr:uid="{C18A9327-3A62-4C97-9EA0-BD1F1DB663F7}"/>
    <cellStyle name="40% - Accent3 2 2 6 4" xfId="10448" xr:uid="{616E4265-E988-418C-BA5A-84C73185A382}"/>
    <cellStyle name="40% - Accent3 2 2 7" xfId="2330" xr:uid="{00000000-0005-0000-0000-000028050000}"/>
    <cellStyle name="40% - Accent3 2 2 7 2" xfId="6637" xr:uid="{00000000-0005-0000-0000-000029050000}"/>
    <cellStyle name="40% - Accent3 2 2 7 2 2" xfId="15079" xr:uid="{87ECF40F-ABAB-4AB6-B4D1-EB58568F4C21}"/>
    <cellStyle name="40% - Accent3 2 2 7 3" xfId="10861" xr:uid="{69D6E978-3CB3-4595-B61D-7C899DF3E955}"/>
    <cellStyle name="40% - Accent3 2 2 8" xfId="4571" xr:uid="{00000000-0005-0000-0000-00002A050000}"/>
    <cellStyle name="40% - Accent3 2 2 8 2" xfId="13013" xr:uid="{B747616E-6FAA-4390-A5E8-C449F0CD2A53}"/>
    <cellStyle name="40% - Accent3 2 2 9" xfId="8795" xr:uid="{DF1133EA-F01E-47B5-AFBB-E231B1EA30D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0E332553-46F2-4F75-A8CB-532BB4167DC9}"/>
    <cellStyle name="40% - Accent3 2 3 2 2 3" xfId="11356" xr:uid="{22BB5261-3FB6-417E-B278-4678E3C9C5E7}"/>
    <cellStyle name="40% - Accent3 2 3 2 3" xfId="4987" xr:uid="{00000000-0005-0000-0000-00002F050000}"/>
    <cellStyle name="40% - Accent3 2 3 2 3 2" xfId="13429" xr:uid="{BAA63E49-3E16-4D78-AC4B-85768EC73D87}"/>
    <cellStyle name="40% - Accent3 2 3 2 4" xfId="9211" xr:uid="{111A1DA7-C980-4F1B-A11F-0EEE2A5A620F}"/>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4D204986-C485-41B9-ACA9-2166EFBC9EFF}"/>
    <cellStyle name="40% - Accent3 2 3 3 2 3" xfId="11769" xr:uid="{6E7384A3-E941-43D1-B65B-1B7E1D1CAF07}"/>
    <cellStyle name="40% - Accent3 2 3 3 3" xfId="5400" xr:uid="{00000000-0005-0000-0000-000033050000}"/>
    <cellStyle name="40% - Accent3 2 3 3 3 2" xfId="13842" xr:uid="{8B0D9251-EB71-4ED6-A965-19018A323977}"/>
    <cellStyle name="40% - Accent3 2 3 3 4" xfId="9624" xr:uid="{F2064811-47CB-45B5-B18C-737D2CAE4683}"/>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7B6AF488-1201-46ED-BA96-FB36F379BF2D}"/>
    <cellStyle name="40% - Accent3 2 3 4 2 3" xfId="12182" xr:uid="{8E56024B-46C6-4ADD-957C-8B86EBF094A4}"/>
    <cellStyle name="40% - Accent3 2 3 4 3" xfId="5813" xr:uid="{00000000-0005-0000-0000-000037050000}"/>
    <cellStyle name="40% - Accent3 2 3 4 3 2" xfId="14255" xr:uid="{6900AC9A-8455-423C-945D-004AAE5A235A}"/>
    <cellStyle name="40% - Accent3 2 3 4 4" xfId="10037" xr:uid="{3715ACAD-1941-413C-BBC9-65F4780D0EB5}"/>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3C543948-1719-43B4-BB3A-415D62CC42A8}"/>
    <cellStyle name="40% - Accent3 2 3 5 2 3" xfId="12595" xr:uid="{3CD4DF85-58B5-45E3-AA5D-F12B9B960410}"/>
    <cellStyle name="40% - Accent3 2 3 5 3" xfId="6226" xr:uid="{00000000-0005-0000-0000-00003B050000}"/>
    <cellStyle name="40% - Accent3 2 3 5 3 2" xfId="14668" xr:uid="{8521D19B-9FE5-4C50-B2FE-5236B0AD0A85}"/>
    <cellStyle name="40% - Accent3 2 3 5 4" xfId="10450" xr:uid="{5EA671B2-A6DE-48ED-A3FA-DBC5DC9AD5CA}"/>
    <cellStyle name="40% - Accent3 2 3 6" xfId="2332" xr:uid="{00000000-0005-0000-0000-00003C050000}"/>
    <cellStyle name="40% - Accent3 2 3 6 2" xfId="6639" xr:uid="{00000000-0005-0000-0000-00003D050000}"/>
    <cellStyle name="40% - Accent3 2 3 6 2 2" xfId="15081" xr:uid="{E165702A-3525-4854-937C-234D166C4EDD}"/>
    <cellStyle name="40% - Accent3 2 3 6 3" xfId="10863" xr:uid="{BD4DAFCA-DB24-4566-94C7-26DC50DCD38C}"/>
    <cellStyle name="40% - Accent3 2 3 7" xfId="4573" xr:uid="{00000000-0005-0000-0000-00003E050000}"/>
    <cellStyle name="40% - Accent3 2 3 7 2" xfId="13015" xr:uid="{83EF4459-C3A9-4C48-8C16-9EE11E8C3329}"/>
    <cellStyle name="40% - Accent3 2 3 8" xfId="8797" xr:uid="{6237B6C9-8B09-4722-867C-2947BF9D6FAC}"/>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816E50D1-2949-4EB6-AFD1-A7BB0C9CE1A1}"/>
    <cellStyle name="40% - Accent3 2 4 2 3" xfId="11353" xr:uid="{05ACEA07-B815-46F2-81DB-E884257B42EC}"/>
    <cellStyle name="40% - Accent3 2 4 3" xfId="4984" xr:uid="{00000000-0005-0000-0000-000042050000}"/>
    <cellStyle name="40% - Accent3 2 4 3 2" xfId="13426" xr:uid="{C1BA5CF5-CE79-4A88-9DAF-E655E95B407B}"/>
    <cellStyle name="40% - Accent3 2 4 4" xfId="9208" xr:uid="{92EB8FE0-4116-4831-98B3-B3CC54570FC5}"/>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24450E58-10F0-4DCE-860C-469630FFA6E2}"/>
    <cellStyle name="40% - Accent3 2 5 2 3" xfId="11766" xr:uid="{4085422B-0A3D-451D-B2C4-9DCA29A18BDD}"/>
    <cellStyle name="40% - Accent3 2 5 3" xfId="5397" xr:uid="{00000000-0005-0000-0000-000046050000}"/>
    <cellStyle name="40% - Accent3 2 5 3 2" xfId="13839" xr:uid="{5F5F0E08-17E4-4A1C-BCC7-741A63B8908E}"/>
    <cellStyle name="40% - Accent3 2 5 4" xfId="9621" xr:uid="{22FB12DF-591B-4282-9206-A9B09A272C5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3DD19B3D-E7F0-4F30-824F-667CDDCDFEDF}"/>
    <cellStyle name="40% - Accent3 2 6 2 3" xfId="12179" xr:uid="{A35240FE-1076-40FB-AC80-EF7A5522D905}"/>
    <cellStyle name="40% - Accent3 2 6 3" xfId="5810" xr:uid="{00000000-0005-0000-0000-00004A050000}"/>
    <cellStyle name="40% - Accent3 2 6 3 2" xfId="14252" xr:uid="{4B94F718-CB94-459F-B617-2BAB423DA274}"/>
    <cellStyle name="40% - Accent3 2 6 4" xfId="10034" xr:uid="{9AEA9E30-541F-42B5-80D1-CF67777FC546}"/>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D2B202D6-C096-4740-B123-69566E590FFB}"/>
    <cellStyle name="40% - Accent3 2 7 2 3" xfId="12592" xr:uid="{22446036-D059-4CA8-9C99-85A8DA0ACFB9}"/>
    <cellStyle name="40% - Accent3 2 7 3" xfId="6223" xr:uid="{00000000-0005-0000-0000-00004E050000}"/>
    <cellStyle name="40% - Accent3 2 7 3 2" xfId="14665" xr:uid="{92A01E17-7EF8-4EBA-996D-7F7927172C88}"/>
    <cellStyle name="40% - Accent3 2 7 4" xfId="10447" xr:uid="{96930BA1-0E57-49B5-83B0-20FC3669A7C7}"/>
    <cellStyle name="40% - Accent3 2 8" xfId="2329" xr:uid="{00000000-0005-0000-0000-00004F050000}"/>
    <cellStyle name="40% - Accent3 2 8 2" xfId="6636" xr:uid="{00000000-0005-0000-0000-000050050000}"/>
    <cellStyle name="40% - Accent3 2 8 2 2" xfId="15078" xr:uid="{4F28796B-C43E-4531-92CE-7FDAA93B9DEF}"/>
    <cellStyle name="40% - Accent3 2 8 3" xfId="10860" xr:uid="{D9776440-6684-439A-B487-3287D5E9A05D}"/>
    <cellStyle name="40% - Accent3 2 9" xfId="4570" xr:uid="{00000000-0005-0000-0000-000051050000}"/>
    <cellStyle name="40% - Accent3 2 9 2" xfId="13012" xr:uid="{8251DD05-109D-40C3-A94B-8267CFE583D9}"/>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D79F7B83-D430-4554-A037-B4A678C51D63}"/>
    <cellStyle name="40% - Accent3 3 2 2 2 3" xfId="11358" xr:uid="{A711A4DA-8348-44A0-BE73-B1E8EF711A41}"/>
    <cellStyle name="40% - Accent3 3 2 2 3" xfId="4989" xr:uid="{00000000-0005-0000-0000-000057050000}"/>
    <cellStyle name="40% - Accent3 3 2 2 3 2" xfId="13431" xr:uid="{C48C9B3E-2147-43AB-BD6C-2C9CB3C1585F}"/>
    <cellStyle name="40% - Accent3 3 2 2 4" xfId="9213" xr:uid="{AA5A2583-0348-45FE-A0FC-69235067533C}"/>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2AE9E6A2-E714-4230-9681-AA7AEBBD70FA}"/>
    <cellStyle name="40% - Accent3 3 2 3 2 3" xfId="11771" xr:uid="{A51E3D40-8557-4002-991E-864F8C4FBA19}"/>
    <cellStyle name="40% - Accent3 3 2 3 3" xfId="5402" xr:uid="{00000000-0005-0000-0000-00005B050000}"/>
    <cellStyle name="40% - Accent3 3 2 3 3 2" xfId="13844" xr:uid="{77F23F76-3FE0-4F82-B219-95694ABB643C}"/>
    <cellStyle name="40% - Accent3 3 2 3 4" xfId="9626" xr:uid="{5DEB551F-8AEC-4931-897B-8E5EE7C8D94E}"/>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4C1F70EB-A0B2-454D-8710-E0F4772C7FDC}"/>
    <cellStyle name="40% - Accent3 3 2 4 2 3" xfId="12184" xr:uid="{5F5790BA-2318-4B39-93C2-2CA010A27626}"/>
    <cellStyle name="40% - Accent3 3 2 4 3" xfId="5815" xr:uid="{00000000-0005-0000-0000-00005F050000}"/>
    <cellStyle name="40% - Accent3 3 2 4 3 2" xfId="14257" xr:uid="{D19BBE31-6DAD-4156-871B-7CD72AB83AE9}"/>
    <cellStyle name="40% - Accent3 3 2 4 4" xfId="10039" xr:uid="{A1F4F950-30AD-42E7-ADF2-E5506B6BCABC}"/>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88481BF5-4F1C-4812-A2AA-853DBE5CF72B}"/>
    <cellStyle name="40% - Accent3 3 2 5 2 3" xfId="12597" xr:uid="{0B2C1400-8BCB-4A13-809A-2C552CEE19F8}"/>
    <cellStyle name="40% - Accent3 3 2 5 3" xfId="6228" xr:uid="{00000000-0005-0000-0000-000063050000}"/>
    <cellStyle name="40% - Accent3 3 2 5 3 2" xfId="14670" xr:uid="{C72EA48B-4D0A-4681-98EF-389673B2324A}"/>
    <cellStyle name="40% - Accent3 3 2 5 4" xfId="10452" xr:uid="{4BB0F8EF-88CC-4DF6-9465-E7CC7249B768}"/>
    <cellStyle name="40% - Accent3 3 2 6" xfId="2334" xr:uid="{00000000-0005-0000-0000-000064050000}"/>
    <cellStyle name="40% - Accent3 3 2 6 2" xfId="6641" xr:uid="{00000000-0005-0000-0000-000065050000}"/>
    <cellStyle name="40% - Accent3 3 2 6 2 2" xfId="15083" xr:uid="{2D126336-A525-4220-A6AF-B40F0E7A5377}"/>
    <cellStyle name="40% - Accent3 3 2 6 3" xfId="10865" xr:uid="{D42C3435-E1A2-4705-B874-7AA7B145BAF0}"/>
    <cellStyle name="40% - Accent3 3 2 7" xfId="4575" xr:uid="{00000000-0005-0000-0000-000066050000}"/>
    <cellStyle name="40% - Accent3 3 2 7 2" xfId="13017" xr:uid="{5B31B3CA-4DA5-4343-BB1E-129EA0771961}"/>
    <cellStyle name="40% - Accent3 3 2 8" xfId="8799" xr:uid="{5F613B5A-A56D-41BF-B3CA-814E66537892}"/>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51D0C0D4-BA1E-4F99-84E0-7FBD26EA27A3}"/>
    <cellStyle name="40% - Accent3 3 3 2 3" xfId="11357" xr:uid="{44EC0F47-AC3E-4123-844A-43515751941A}"/>
    <cellStyle name="40% - Accent3 3 3 3" xfId="4988" xr:uid="{00000000-0005-0000-0000-00006A050000}"/>
    <cellStyle name="40% - Accent3 3 3 3 2" xfId="13430" xr:uid="{B8B97FB6-8A1F-485A-B369-AFB6A1EFFA03}"/>
    <cellStyle name="40% - Accent3 3 3 4" xfId="9212" xr:uid="{2478AD58-DDC3-48CC-A2C0-95F3B186E2DE}"/>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E2D6A5B3-5DAA-40FA-974D-ECF7553FE823}"/>
    <cellStyle name="40% - Accent3 3 4 2 3" xfId="11770" xr:uid="{F7F6BE75-0AF6-446E-A000-8DA7E36883F4}"/>
    <cellStyle name="40% - Accent3 3 4 3" xfId="5401" xr:uid="{00000000-0005-0000-0000-00006E050000}"/>
    <cellStyle name="40% - Accent3 3 4 3 2" xfId="13843" xr:uid="{948D51A1-ED24-414B-8067-75A1F249DC3E}"/>
    <cellStyle name="40% - Accent3 3 4 4" xfId="9625" xr:uid="{E96359EF-37C6-4381-BFC2-BAE248EDCA3A}"/>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3090F96C-FC4B-47C9-ADF5-CEC020031BE1}"/>
    <cellStyle name="40% - Accent3 3 5 2 3" xfId="12183" xr:uid="{202A06A1-AAAA-4DA5-8EBF-CD8F684C73DF}"/>
    <cellStyle name="40% - Accent3 3 5 3" xfId="5814" xr:uid="{00000000-0005-0000-0000-000072050000}"/>
    <cellStyle name="40% - Accent3 3 5 3 2" xfId="14256" xr:uid="{E6758DDA-CAC9-412F-88E4-1BFD4092EB57}"/>
    <cellStyle name="40% - Accent3 3 5 4" xfId="10038" xr:uid="{6F77AA27-0B66-42DE-AE4C-D375894B080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62D9A4F0-CE2F-4EF1-A176-6C3449FB637C}"/>
    <cellStyle name="40% - Accent3 3 6 2 3" xfId="12596" xr:uid="{C66DA1BE-5E09-4F79-908E-B7BDB326EE13}"/>
    <cellStyle name="40% - Accent3 3 6 3" xfId="6227" xr:uid="{00000000-0005-0000-0000-000076050000}"/>
    <cellStyle name="40% - Accent3 3 6 3 2" xfId="14669" xr:uid="{D83F8A89-FF6C-4279-9582-466D9146276E}"/>
    <cellStyle name="40% - Accent3 3 6 4" xfId="10451" xr:uid="{3369337D-7C3F-48CE-A1A8-4BE96DA7022B}"/>
    <cellStyle name="40% - Accent3 3 7" xfId="2333" xr:uid="{00000000-0005-0000-0000-000077050000}"/>
    <cellStyle name="40% - Accent3 3 7 2" xfId="6640" xr:uid="{00000000-0005-0000-0000-000078050000}"/>
    <cellStyle name="40% - Accent3 3 7 2 2" xfId="15082" xr:uid="{7EDCAA10-1AED-4ADD-8967-BFC9C92A51F1}"/>
    <cellStyle name="40% - Accent3 3 7 3" xfId="10864" xr:uid="{A4537357-C984-41DD-83EC-0F3EFE7463E7}"/>
    <cellStyle name="40% - Accent3 3 8" xfId="4574" xr:uid="{00000000-0005-0000-0000-000079050000}"/>
    <cellStyle name="40% - Accent3 3 8 2" xfId="13016" xr:uid="{3C4119DE-6ABE-476F-9B0D-430CB842EAC4}"/>
    <cellStyle name="40% - Accent3 3 9" xfId="8798" xr:uid="{967DD595-FB21-4B2B-89B8-857E66C6CEC1}"/>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8A9C6982-49F0-4934-8801-543FFDF9B0F3}"/>
    <cellStyle name="40% - Accent3 4 2 2 3" xfId="11359" xr:uid="{92D4D4A4-763A-4476-9162-AAAC677A849F}"/>
    <cellStyle name="40% - Accent3 4 2 3" xfId="4990" xr:uid="{00000000-0005-0000-0000-00007E050000}"/>
    <cellStyle name="40% - Accent3 4 2 3 2" xfId="13432" xr:uid="{0E853407-C639-48AD-B2D9-3A9A95A685ED}"/>
    <cellStyle name="40% - Accent3 4 2 4" xfId="9214" xr:uid="{BA056E65-563D-4A3E-A8D8-0DF5D7504769}"/>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49600088-E2FB-4BC3-908A-56BEC91EB66A}"/>
    <cellStyle name="40% - Accent3 4 3 2 3" xfId="11772" xr:uid="{140C0A5A-75BF-46B0-86AF-E78A19106521}"/>
    <cellStyle name="40% - Accent3 4 3 3" xfId="5403" xr:uid="{00000000-0005-0000-0000-000082050000}"/>
    <cellStyle name="40% - Accent3 4 3 3 2" xfId="13845" xr:uid="{93883D88-1C8D-4011-A80F-CC774BB35B0B}"/>
    <cellStyle name="40% - Accent3 4 3 4" xfId="9627" xr:uid="{E52ABC22-0514-4DFE-832E-E3EFC6AC730B}"/>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01606EA9-793B-4967-85C5-A4A5D4AC2517}"/>
    <cellStyle name="40% - Accent3 4 4 2 3" xfId="12185" xr:uid="{1C138380-B675-4F2C-8ACA-80D0E603166A}"/>
    <cellStyle name="40% - Accent3 4 4 3" xfId="5816" xr:uid="{00000000-0005-0000-0000-000086050000}"/>
    <cellStyle name="40% - Accent3 4 4 3 2" xfId="14258" xr:uid="{DA02ADEB-1949-449B-AEE4-DC9BE11CB2E2}"/>
    <cellStyle name="40% - Accent3 4 4 4" xfId="10040" xr:uid="{821091B4-8EB1-47CB-A106-B5A2BC9392C3}"/>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E02D5092-6C5A-44A3-8752-9DEC63FB0ADF}"/>
    <cellStyle name="40% - Accent3 4 5 2 3" xfId="12598" xr:uid="{1E8C261F-1172-4A41-AC93-1885FA27E692}"/>
    <cellStyle name="40% - Accent3 4 5 3" xfId="6229" xr:uid="{00000000-0005-0000-0000-00008A050000}"/>
    <cellStyle name="40% - Accent3 4 5 3 2" xfId="14671" xr:uid="{F1937DB4-6959-4B4A-8E3C-F96971B54B33}"/>
    <cellStyle name="40% - Accent3 4 5 4" xfId="10453" xr:uid="{D3DB9BEA-277E-4EEB-B041-BFB6B87616AB}"/>
    <cellStyle name="40% - Accent3 4 6" xfId="2335" xr:uid="{00000000-0005-0000-0000-00008B050000}"/>
    <cellStyle name="40% - Accent3 4 6 2" xfId="6642" xr:uid="{00000000-0005-0000-0000-00008C050000}"/>
    <cellStyle name="40% - Accent3 4 6 2 2" xfId="15084" xr:uid="{CFE03C17-9163-48AB-9AEC-9FAD3D585E93}"/>
    <cellStyle name="40% - Accent3 4 6 3" xfId="10866" xr:uid="{1D5131C0-C0A0-45C1-8C3E-67A1929ECB95}"/>
    <cellStyle name="40% - Accent3 4 7" xfId="4576" xr:uid="{00000000-0005-0000-0000-00008D050000}"/>
    <cellStyle name="40% - Accent3 4 7 2" xfId="13018" xr:uid="{FA736DF3-2FDE-4F45-881C-1B701B5187B8}"/>
    <cellStyle name="40% - Accent3 4 8" xfId="8800" xr:uid="{A04C2029-593C-465E-A09C-73DE21590EF3}"/>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241B3311-239C-4284-AA75-38E8457C4D0A}"/>
    <cellStyle name="40% - Accent3 5 2 3" xfId="11352" xr:uid="{0FDA9E59-81C0-4A64-9570-663805E2C91A}"/>
    <cellStyle name="40% - Accent3 5 3" xfId="4983" xr:uid="{00000000-0005-0000-0000-000091050000}"/>
    <cellStyle name="40% - Accent3 5 3 2" xfId="13425" xr:uid="{A302FF64-7992-4AED-A054-FBEB801CAA36}"/>
    <cellStyle name="40% - Accent3 5 4" xfId="9207" xr:uid="{9F0764D2-DCCC-4C39-9266-D131276E5105}"/>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F379439D-B05F-40D1-9619-4CA5C945A76C}"/>
    <cellStyle name="40% - Accent3 6 2 3" xfId="11765" xr:uid="{B6A64577-604D-425F-A11A-4D88AC4318DB}"/>
    <cellStyle name="40% - Accent3 6 3" xfId="5396" xr:uid="{00000000-0005-0000-0000-000095050000}"/>
    <cellStyle name="40% - Accent3 6 3 2" xfId="13838" xr:uid="{E8F643B9-BB68-47E5-8414-FF09142EAA13}"/>
    <cellStyle name="40% - Accent3 6 4" xfId="9620" xr:uid="{7109F531-DF29-438A-A192-14716A9BD4AA}"/>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D2596291-9874-4F31-943D-43CE0C4F555B}"/>
    <cellStyle name="40% - Accent3 7 2 3" xfId="12178" xr:uid="{12651BCD-606B-444B-8126-29B0919B907D}"/>
    <cellStyle name="40% - Accent3 7 3" xfId="5809" xr:uid="{00000000-0005-0000-0000-000099050000}"/>
    <cellStyle name="40% - Accent3 7 3 2" xfId="14251" xr:uid="{A0EC3CDA-F62B-4AB7-9624-4218ED3DF892}"/>
    <cellStyle name="40% - Accent3 7 4" xfId="10033" xr:uid="{0E8F2673-59D9-46EA-AD33-A92FEACFA157}"/>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631B5D88-60F9-49EB-B52E-F64D3B3A0806}"/>
    <cellStyle name="40% - Accent3 8 2 3" xfId="12591" xr:uid="{3B3D2D08-7CFE-431C-9D12-7813AAA24DA0}"/>
    <cellStyle name="40% - Accent3 8 3" xfId="6222" xr:uid="{00000000-0005-0000-0000-00009D050000}"/>
    <cellStyle name="40% - Accent3 8 3 2" xfId="14664" xr:uid="{EA00927C-0B4E-47F9-98E2-4768C38E4B50}"/>
    <cellStyle name="40% - Accent3 8 4" xfId="10446" xr:uid="{DE808B64-38C4-44CA-A6FE-A75E97AD13AC}"/>
    <cellStyle name="40% - Accent3 9" xfId="2328" xr:uid="{00000000-0005-0000-0000-00009E050000}"/>
    <cellStyle name="40% - Accent3 9 2" xfId="6635" xr:uid="{00000000-0005-0000-0000-00009F050000}"/>
    <cellStyle name="40% - Accent3 9 2 2" xfId="15077" xr:uid="{DB761803-2FD8-4CDC-9F25-27056F7E31C3}"/>
    <cellStyle name="40% - Accent3 9 3" xfId="10859" xr:uid="{786405E8-E582-45E2-A3AF-1D84267DD50C}"/>
    <cellStyle name="40% - Accent4" xfId="73" builtinId="43" customBuiltin="1"/>
    <cellStyle name="40% - Accent4 10" xfId="4577" xr:uid="{00000000-0005-0000-0000-0000A1050000}"/>
    <cellStyle name="40% - Accent4 10 2" xfId="13019" xr:uid="{B4D42FF3-34DE-4DD2-9730-5FB745A7A2F7}"/>
    <cellStyle name="40% - Accent4 11" xfId="8801" xr:uid="{0E3EA022-92CB-4DE7-89E5-B055F5A17475}"/>
    <cellStyle name="40% - Accent4 2" xfId="74" xr:uid="{00000000-0005-0000-0000-0000A2050000}"/>
    <cellStyle name="40% - Accent4 2 10" xfId="8802" xr:uid="{CC9FE17E-BFF5-4BB7-93FA-CAE3ADCBEF8B}"/>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083B807A-0C5E-478F-8FD6-362BB835C782}"/>
    <cellStyle name="40% - Accent4 2 2 2 2 2 3" xfId="11363" xr:uid="{4CCD45B8-BBCB-4E84-BE4C-9A9FCCBE326D}"/>
    <cellStyle name="40% - Accent4 2 2 2 2 3" xfId="4994" xr:uid="{00000000-0005-0000-0000-0000A8050000}"/>
    <cellStyle name="40% - Accent4 2 2 2 2 3 2" xfId="13436" xr:uid="{27B2DF0F-64BF-4ADF-99E7-749240167D3D}"/>
    <cellStyle name="40% - Accent4 2 2 2 2 4" xfId="9218" xr:uid="{F2C95049-B0D0-4B01-9F3B-3F91C734B1A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D54AD871-5634-49DC-BC36-556DEBC0A565}"/>
    <cellStyle name="40% - Accent4 2 2 2 3 2 3" xfId="11776" xr:uid="{3328C085-1EEA-4889-BBB9-1DEDC8ABD1DA}"/>
    <cellStyle name="40% - Accent4 2 2 2 3 3" xfId="5407" xr:uid="{00000000-0005-0000-0000-0000AC050000}"/>
    <cellStyle name="40% - Accent4 2 2 2 3 3 2" xfId="13849" xr:uid="{39FC62E2-F5FD-41D2-BA39-44AE83F4AEC9}"/>
    <cellStyle name="40% - Accent4 2 2 2 3 4" xfId="9631" xr:uid="{1D53567F-1258-4D8A-9D51-E9079C4D846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A571F229-ECCE-484F-85CC-FD4CB23AFE12}"/>
    <cellStyle name="40% - Accent4 2 2 2 4 2 3" xfId="12189" xr:uid="{97B52120-2127-4F5C-9616-3794CAFB035A}"/>
    <cellStyle name="40% - Accent4 2 2 2 4 3" xfId="5820" xr:uid="{00000000-0005-0000-0000-0000B0050000}"/>
    <cellStyle name="40% - Accent4 2 2 2 4 3 2" xfId="14262" xr:uid="{89BCCAA9-3A2A-4649-86CD-5624841A5B61}"/>
    <cellStyle name="40% - Accent4 2 2 2 4 4" xfId="10044" xr:uid="{77BAB7D3-B8B0-45C4-92A8-7522BFC126DA}"/>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41545671-94C3-414C-ABC6-CBBE0805A339}"/>
    <cellStyle name="40% - Accent4 2 2 2 5 2 3" xfId="12602" xr:uid="{CFA66F89-B23B-440B-9C46-873AF34DC802}"/>
    <cellStyle name="40% - Accent4 2 2 2 5 3" xfId="6233" xr:uid="{00000000-0005-0000-0000-0000B4050000}"/>
    <cellStyle name="40% - Accent4 2 2 2 5 3 2" xfId="14675" xr:uid="{F902DCAC-7CD0-42FE-80E1-2DE18D8AEA0B}"/>
    <cellStyle name="40% - Accent4 2 2 2 5 4" xfId="10457" xr:uid="{BE820C87-6782-432A-B58B-BEFD604C2569}"/>
    <cellStyle name="40% - Accent4 2 2 2 6" xfId="2339" xr:uid="{00000000-0005-0000-0000-0000B5050000}"/>
    <cellStyle name="40% - Accent4 2 2 2 6 2" xfId="6646" xr:uid="{00000000-0005-0000-0000-0000B6050000}"/>
    <cellStyle name="40% - Accent4 2 2 2 6 2 2" xfId="15088" xr:uid="{1B2E86F7-4603-4928-8195-8759AC4B221E}"/>
    <cellStyle name="40% - Accent4 2 2 2 6 3" xfId="10870" xr:uid="{01DAB585-A1F7-4F8F-9579-76DC4BD90E81}"/>
    <cellStyle name="40% - Accent4 2 2 2 7" xfId="4580" xr:uid="{00000000-0005-0000-0000-0000B7050000}"/>
    <cellStyle name="40% - Accent4 2 2 2 7 2" xfId="13022" xr:uid="{D67B8D81-335B-4E45-BABB-96D1D1350715}"/>
    <cellStyle name="40% - Accent4 2 2 2 8" xfId="8804" xr:uid="{F30467B1-CBDE-46E9-91C9-C2FBCDDCD46E}"/>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D0E5E594-9B53-4DC3-90C2-4BE2E1CC1598}"/>
    <cellStyle name="40% - Accent4 2 2 3 2 3" xfId="11362" xr:uid="{54D1E4E7-2555-4C70-B5C2-DA7154906B6D}"/>
    <cellStyle name="40% - Accent4 2 2 3 3" xfId="4993" xr:uid="{00000000-0005-0000-0000-0000BB050000}"/>
    <cellStyle name="40% - Accent4 2 2 3 3 2" xfId="13435" xr:uid="{6E08A122-F8E3-471A-A215-C29703532F7C}"/>
    <cellStyle name="40% - Accent4 2 2 3 4" xfId="9217" xr:uid="{1C21501D-EE88-4180-843B-1FE1F7BFC2F5}"/>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8D2E98C4-7B4E-4692-B045-BFEE137549F0}"/>
    <cellStyle name="40% - Accent4 2 2 4 2 3" xfId="11775" xr:uid="{FCE67012-2729-4569-BD53-6148684476FA}"/>
    <cellStyle name="40% - Accent4 2 2 4 3" xfId="5406" xr:uid="{00000000-0005-0000-0000-0000BF050000}"/>
    <cellStyle name="40% - Accent4 2 2 4 3 2" xfId="13848" xr:uid="{B762A52D-97D0-4794-AB65-D4FCF7053AD3}"/>
    <cellStyle name="40% - Accent4 2 2 4 4" xfId="9630" xr:uid="{34437F83-0051-4AEE-B33B-792C8A97670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EBC7A2FE-01CD-4A09-9CFD-F41330904599}"/>
    <cellStyle name="40% - Accent4 2 2 5 2 3" xfId="12188" xr:uid="{007005E1-1520-43A4-A2B3-F8BF4CD7452B}"/>
    <cellStyle name="40% - Accent4 2 2 5 3" xfId="5819" xr:uid="{00000000-0005-0000-0000-0000C3050000}"/>
    <cellStyle name="40% - Accent4 2 2 5 3 2" xfId="14261" xr:uid="{DC2D230B-D05B-4B4E-B212-045CA87C734C}"/>
    <cellStyle name="40% - Accent4 2 2 5 4" xfId="10043" xr:uid="{8AD7DB3C-0CCF-4C04-9C43-8EA36FF3CCC4}"/>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63D584C5-35B4-4D8D-97A6-33024A0E3D1E}"/>
    <cellStyle name="40% - Accent4 2 2 6 2 3" xfId="12601" xr:uid="{111213BF-FB39-4EDD-81A8-58FF5DE30178}"/>
    <cellStyle name="40% - Accent4 2 2 6 3" xfId="6232" xr:uid="{00000000-0005-0000-0000-0000C7050000}"/>
    <cellStyle name="40% - Accent4 2 2 6 3 2" xfId="14674" xr:uid="{271BF443-3367-4F3A-AAEE-E51EF7323897}"/>
    <cellStyle name="40% - Accent4 2 2 6 4" xfId="10456" xr:uid="{EA93A07E-D271-400C-986A-FB49F2BA5252}"/>
    <cellStyle name="40% - Accent4 2 2 7" xfId="2338" xr:uid="{00000000-0005-0000-0000-0000C8050000}"/>
    <cellStyle name="40% - Accent4 2 2 7 2" xfId="6645" xr:uid="{00000000-0005-0000-0000-0000C9050000}"/>
    <cellStyle name="40% - Accent4 2 2 7 2 2" xfId="15087" xr:uid="{85B070A8-EA97-4D2E-9050-E773FCFFFCFF}"/>
    <cellStyle name="40% - Accent4 2 2 7 3" xfId="10869" xr:uid="{9C015016-4A7D-4EB6-83BE-1AF3FEBDF9A3}"/>
    <cellStyle name="40% - Accent4 2 2 8" xfId="4579" xr:uid="{00000000-0005-0000-0000-0000CA050000}"/>
    <cellStyle name="40% - Accent4 2 2 8 2" xfId="13021" xr:uid="{03E5ECCD-E5BE-476C-A9D0-CEB5E95B99EE}"/>
    <cellStyle name="40% - Accent4 2 2 9" xfId="8803" xr:uid="{70C4C37A-5539-41A5-966E-489E5A8D73DC}"/>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67014CF4-C4FA-450E-87B6-1B972E74AF82}"/>
    <cellStyle name="40% - Accent4 2 3 2 2 3" xfId="11364" xr:uid="{54ED8E0F-C2BE-42B0-A80C-10EA5721680A}"/>
    <cellStyle name="40% - Accent4 2 3 2 3" xfId="4995" xr:uid="{00000000-0005-0000-0000-0000CF050000}"/>
    <cellStyle name="40% - Accent4 2 3 2 3 2" xfId="13437" xr:uid="{0E8FA224-B087-44E6-9814-B0D5E5313DDE}"/>
    <cellStyle name="40% - Accent4 2 3 2 4" xfId="9219" xr:uid="{A1485954-88D0-49DA-AA37-22EEBF5926E6}"/>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84036477-AA3B-4C4F-89A7-013411A87D1E}"/>
    <cellStyle name="40% - Accent4 2 3 3 2 3" xfId="11777" xr:uid="{D229D8AB-BF99-4B49-AFA6-4E47B03F2102}"/>
    <cellStyle name="40% - Accent4 2 3 3 3" xfId="5408" xr:uid="{00000000-0005-0000-0000-0000D3050000}"/>
    <cellStyle name="40% - Accent4 2 3 3 3 2" xfId="13850" xr:uid="{BDB09809-D7E4-458F-BC5C-2C307D7AFA57}"/>
    <cellStyle name="40% - Accent4 2 3 3 4" xfId="9632" xr:uid="{A057FDE2-6BEC-487E-AE4A-13CAC7304903}"/>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071CF9BB-036D-4DC7-BB87-276B1CC8E516}"/>
    <cellStyle name="40% - Accent4 2 3 4 2 3" xfId="12190" xr:uid="{41F520A7-1236-46C8-89AE-A4B4D4070C2C}"/>
    <cellStyle name="40% - Accent4 2 3 4 3" xfId="5821" xr:uid="{00000000-0005-0000-0000-0000D7050000}"/>
    <cellStyle name="40% - Accent4 2 3 4 3 2" xfId="14263" xr:uid="{1EF41F47-DA94-443C-BCF7-163650F36398}"/>
    <cellStyle name="40% - Accent4 2 3 4 4" xfId="10045" xr:uid="{B710C6BB-C50D-4F28-8035-6412B1309B86}"/>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1315FEE5-8208-44B8-A9A0-2DA17E140E32}"/>
    <cellStyle name="40% - Accent4 2 3 5 2 3" xfId="12603" xr:uid="{27CFCFDD-899C-4A29-A3BD-663415BA3EB6}"/>
    <cellStyle name="40% - Accent4 2 3 5 3" xfId="6234" xr:uid="{00000000-0005-0000-0000-0000DB050000}"/>
    <cellStyle name="40% - Accent4 2 3 5 3 2" xfId="14676" xr:uid="{AA3BDABE-D2CA-4ED4-920F-BAA5BC79759D}"/>
    <cellStyle name="40% - Accent4 2 3 5 4" xfId="10458" xr:uid="{A0AAA589-9339-42A7-B637-9FC41BE129D3}"/>
    <cellStyle name="40% - Accent4 2 3 6" xfId="2340" xr:uid="{00000000-0005-0000-0000-0000DC050000}"/>
    <cellStyle name="40% - Accent4 2 3 6 2" xfId="6647" xr:uid="{00000000-0005-0000-0000-0000DD050000}"/>
    <cellStyle name="40% - Accent4 2 3 6 2 2" xfId="15089" xr:uid="{163FACDA-C438-47CA-9D6A-287EC373B8BC}"/>
    <cellStyle name="40% - Accent4 2 3 6 3" xfId="10871" xr:uid="{C8BD2FBF-1B94-477E-B791-BF8CAD33D037}"/>
    <cellStyle name="40% - Accent4 2 3 7" xfId="4581" xr:uid="{00000000-0005-0000-0000-0000DE050000}"/>
    <cellStyle name="40% - Accent4 2 3 7 2" xfId="13023" xr:uid="{3EBB0EA8-17A1-4526-987B-34B94DECBA0B}"/>
    <cellStyle name="40% - Accent4 2 3 8" xfId="8805" xr:uid="{8DDC182D-3ADE-44C0-87C3-DFE394E88B6C}"/>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D2CACFD3-D7B7-45CC-81B5-06B976F15D95}"/>
    <cellStyle name="40% - Accent4 2 4 2 3" xfId="11361" xr:uid="{2796E130-31D1-4BDC-BC0F-AE5E772D2EEC}"/>
    <cellStyle name="40% - Accent4 2 4 3" xfId="4992" xr:uid="{00000000-0005-0000-0000-0000E2050000}"/>
    <cellStyle name="40% - Accent4 2 4 3 2" xfId="13434" xr:uid="{DA76E59F-F45E-485B-B8A6-0E5CA0A4F26C}"/>
    <cellStyle name="40% - Accent4 2 4 4" xfId="9216" xr:uid="{09D0D6AA-2F36-4CA5-8492-C0DF569E5724}"/>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4DD3FEDC-9068-4935-A1CA-5BC13F8B5913}"/>
    <cellStyle name="40% - Accent4 2 5 2 3" xfId="11774" xr:uid="{0620C588-BBF8-48C9-9D08-C8B021FC74F0}"/>
    <cellStyle name="40% - Accent4 2 5 3" xfId="5405" xr:uid="{00000000-0005-0000-0000-0000E6050000}"/>
    <cellStyle name="40% - Accent4 2 5 3 2" xfId="13847" xr:uid="{C3F81C85-7AE9-4910-9A5A-88E280BEBCE0}"/>
    <cellStyle name="40% - Accent4 2 5 4" xfId="9629" xr:uid="{71BEBBFA-F5FF-48BD-ADA0-F2F82E352E66}"/>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A8890596-4052-4F53-9377-8BB5FD4C1697}"/>
    <cellStyle name="40% - Accent4 2 6 2 3" xfId="12187" xr:uid="{68B9D9AE-37EF-461D-8CEF-78014439CF80}"/>
    <cellStyle name="40% - Accent4 2 6 3" xfId="5818" xr:uid="{00000000-0005-0000-0000-0000EA050000}"/>
    <cellStyle name="40% - Accent4 2 6 3 2" xfId="14260" xr:uid="{FC5437BE-9330-4779-8206-7689CC859115}"/>
    <cellStyle name="40% - Accent4 2 6 4" xfId="10042" xr:uid="{1A04E4D5-2304-4786-9456-22B259B1A658}"/>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E178F594-5E7A-4B5F-9B2C-E37FB037BCDF}"/>
    <cellStyle name="40% - Accent4 2 7 2 3" xfId="12600" xr:uid="{6E63E63E-FE81-4166-98F9-55FAFEA041B5}"/>
    <cellStyle name="40% - Accent4 2 7 3" xfId="6231" xr:uid="{00000000-0005-0000-0000-0000EE050000}"/>
    <cellStyle name="40% - Accent4 2 7 3 2" xfId="14673" xr:uid="{E2670506-5AE5-4BED-8246-54FD888A6AC6}"/>
    <cellStyle name="40% - Accent4 2 7 4" xfId="10455" xr:uid="{796C3332-D838-43A5-965F-A169425CACC3}"/>
    <cellStyle name="40% - Accent4 2 8" xfId="2337" xr:uid="{00000000-0005-0000-0000-0000EF050000}"/>
    <cellStyle name="40% - Accent4 2 8 2" xfId="6644" xr:uid="{00000000-0005-0000-0000-0000F0050000}"/>
    <cellStyle name="40% - Accent4 2 8 2 2" xfId="15086" xr:uid="{BC227C56-DE82-426C-BBD2-5DE25C712B01}"/>
    <cellStyle name="40% - Accent4 2 8 3" xfId="10868" xr:uid="{8BDC0DC1-80B5-42D1-A866-4454E3574F80}"/>
    <cellStyle name="40% - Accent4 2 9" xfId="4578" xr:uid="{00000000-0005-0000-0000-0000F1050000}"/>
    <cellStyle name="40% - Accent4 2 9 2" xfId="13020" xr:uid="{89A532AF-FA05-4F28-96AC-D2901FC7BF73}"/>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A14BE126-FB50-4733-99DD-7B5D9943E3FD}"/>
    <cellStyle name="40% - Accent4 3 2 2 2 3" xfId="11366" xr:uid="{3958AD16-3BF4-4B09-B0D4-5022D9101292}"/>
    <cellStyle name="40% - Accent4 3 2 2 3" xfId="4997" xr:uid="{00000000-0005-0000-0000-0000F7050000}"/>
    <cellStyle name="40% - Accent4 3 2 2 3 2" xfId="13439" xr:uid="{44F1E39E-EB01-4823-BB66-4ED344A768E1}"/>
    <cellStyle name="40% - Accent4 3 2 2 4" xfId="9221" xr:uid="{5D982EEF-AEBF-44FD-9DDE-0EBAF7FA3485}"/>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888A9359-F03A-4306-9791-51F10E2649FF}"/>
    <cellStyle name="40% - Accent4 3 2 3 2 3" xfId="11779" xr:uid="{C6786F96-06B3-4327-AC83-6B293593E0DA}"/>
    <cellStyle name="40% - Accent4 3 2 3 3" xfId="5410" xr:uid="{00000000-0005-0000-0000-0000FB050000}"/>
    <cellStyle name="40% - Accent4 3 2 3 3 2" xfId="13852" xr:uid="{54B6860C-7AFA-471E-A39A-2C5EC679725F}"/>
    <cellStyle name="40% - Accent4 3 2 3 4" xfId="9634" xr:uid="{92F0AAC7-0DF8-49BE-BE60-B23D617E7398}"/>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8F4BBADA-DBC6-4AC9-9616-C620BFB68C03}"/>
    <cellStyle name="40% - Accent4 3 2 4 2 3" xfId="12192" xr:uid="{587E264A-61D3-476F-BA6C-C1D4AB135F84}"/>
    <cellStyle name="40% - Accent4 3 2 4 3" xfId="5823" xr:uid="{00000000-0005-0000-0000-0000FF050000}"/>
    <cellStyle name="40% - Accent4 3 2 4 3 2" xfId="14265" xr:uid="{51DFF10D-55E0-4286-83E8-D7B8A967FDB8}"/>
    <cellStyle name="40% - Accent4 3 2 4 4" xfId="10047" xr:uid="{65AC61E0-D16D-4BFD-A5B8-2029ACF89800}"/>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B0640033-3547-457A-8333-CC52AD1A6166}"/>
    <cellStyle name="40% - Accent4 3 2 5 2 3" xfId="12605" xr:uid="{C788E914-C324-4479-806A-935F111E39AD}"/>
    <cellStyle name="40% - Accent4 3 2 5 3" xfId="6236" xr:uid="{00000000-0005-0000-0000-000003060000}"/>
    <cellStyle name="40% - Accent4 3 2 5 3 2" xfId="14678" xr:uid="{6E55F35C-318A-407D-86F0-E85F98A66DD0}"/>
    <cellStyle name="40% - Accent4 3 2 5 4" xfId="10460" xr:uid="{8B7AD393-57B6-4709-BDEA-EBD0F1963322}"/>
    <cellStyle name="40% - Accent4 3 2 6" xfId="2342" xr:uid="{00000000-0005-0000-0000-000004060000}"/>
    <cellStyle name="40% - Accent4 3 2 6 2" xfId="6649" xr:uid="{00000000-0005-0000-0000-000005060000}"/>
    <cellStyle name="40% - Accent4 3 2 6 2 2" xfId="15091" xr:uid="{F73DC993-312D-4CEE-9EA0-A18F72802DDC}"/>
    <cellStyle name="40% - Accent4 3 2 6 3" xfId="10873" xr:uid="{692EBB77-3062-45CF-86C0-FCA00365BD2D}"/>
    <cellStyle name="40% - Accent4 3 2 7" xfId="4583" xr:uid="{00000000-0005-0000-0000-000006060000}"/>
    <cellStyle name="40% - Accent4 3 2 7 2" xfId="13025" xr:uid="{AD31ED82-F971-4917-A010-E48BE6D84280}"/>
    <cellStyle name="40% - Accent4 3 2 8" xfId="8807" xr:uid="{0D1A22C5-171B-4BE6-80BA-3AD5301E4C7B}"/>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CBD1EFB1-F457-4748-8727-AD5C665E15CC}"/>
    <cellStyle name="40% - Accent4 3 3 2 3" xfId="11365" xr:uid="{8A1FC8A2-4F94-4966-835E-663D68CB798E}"/>
    <cellStyle name="40% - Accent4 3 3 3" xfId="4996" xr:uid="{00000000-0005-0000-0000-00000A060000}"/>
    <cellStyle name="40% - Accent4 3 3 3 2" xfId="13438" xr:uid="{A30CA011-5007-40E8-AAA3-B0F59F990CFF}"/>
    <cellStyle name="40% - Accent4 3 3 4" xfId="9220" xr:uid="{5111BD67-434E-421D-9DF1-14D3D1E38ED4}"/>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8EEAB618-5A30-4F57-9B9F-AC2D403B3F63}"/>
    <cellStyle name="40% - Accent4 3 4 2 3" xfId="11778" xr:uid="{EE74C244-CFA6-4292-B727-7D3A91D168A3}"/>
    <cellStyle name="40% - Accent4 3 4 3" xfId="5409" xr:uid="{00000000-0005-0000-0000-00000E060000}"/>
    <cellStyle name="40% - Accent4 3 4 3 2" xfId="13851" xr:uid="{2EFCFED9-034D-47F8-83A3-792206B940BD}"/>
    <cellStyle name="40% - Accent4 3 4 4" xfId="9633" xr:uid="{E7677B44-C265-4F4C-9CDC-E81653C05AEF}"/>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3BC7064A-A63A-4FF1-B6C1-7F0D8E3FB117}"/>
    <cellStyle name="40% - Accent4 3 5 2 3" xfId="12191" xr:uid="{2EAB6DBF-E98F-4551-8FC9-42A4EF7F9E69}"/>
    <cellStyle name="40% - Accent4 3 5 3" xfId="5822" xr:uid="{00000000-0005-0000-0000-000012060000}"/>
    <cellStyle name="40% - Accent4 3 5 3 2" xfId="14264" xr:uid="{07A4F1E9-5A09-464D-8441-97ACA04C720E}"/>
    <cellStyle name="40% - Accent4 3 5 4" xfId="10046" xr:uid="{82817AB1-C303-462D-8C3C-D894C1E95090}"/>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F7107FDD-5BCF-47B3-86EB-AC0FD8969C1D}"/>
    <cellStyle name="40% - Accent4 3 6 2 3" xfId="12604" xr:uid="{E84849C5-CFF0-4868-AA77-FFF50A30ACB4}"/>
    <cellStyle name="40% - Accent4 3 6 3" xfId="6235" xr:uid="{00000000-0005-0000-0000-000016060000}"/>
    <cellStyle name="40% - Accent4 3 6 3 2" xfId="14677" xr:uid="{72678F79-FF2E-4EA1-AE06-CB1A231D85AD}"/>
    <cellStyle name="40% - Accent4 3 6 4" xfId="10459" xr:uid="{7A678046-2892-4EE2-9C73-7E2C471FE68B}"/>
    <cellStyle name="40% - Accent4 3 7" xfId="2341" xr:uid="{00000000-0005-0000-0000-000017060000}"/>
    <cellStyle name="40% - Accent4 3 7 2" xfId="6648" xr:uid="{00000000-0005-0000-0000-000018060000}"/>
    <cellStyle name="40% - Accent4 3 7 2 2" xfId="15090" xr:uid="{CDA6E864-32D1-4225-907B-F52F5EDA65C5}"/>
    <cellStyle name="40% - Accent4 3 7 3" xfId="10872" xr:uid="{C4BDCD9B-21EF-470E-9782-4798ED4EE34F}"/>
    <cellStyle name="40% - Accent4 3 8" xfId="4582" xr:uid="{00000000-0005-0000-0000-000019060000}"/>
    <cellStyle name="40% - Accent4 3 8 2" xfId="13024" xr:uid="{1A813FFD-045F-464E-BDD3-D622B5ABB64A}"/>
    <cellStyle name="40% - Accent4 3 9" xfId="8806" xr:uid="{576FA7DE-2F6C-4B3F-9197-F2668F7D09E5}"/>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AE9E27E7-B08C-487D-A1DC-E4C0541851EF}"/>
    <cellStyle name="40% - Accent4 4 2 2 3" xfId="11367" xr:uid="{B387849F-E3F6-4805-9BE2-485EFA099D22}"/>
    <cellStyle name="40% - Accent4 4 2 3" xfId="4998" xr:uid="{00000000-0005-0000-0000-00001E060000}"/>
    <cellStyle name="40% - Accent4 4 2 3 2" xfId="13440" xr:uid="{21EEE5D3-8BF2-4EB9-AEB2-48119C6754D1}"/>
    <cellStyle name="40% - Accent4 4 2 4" xfId="9222" xr:uid="{70F58708-BD0D-4AF1-A830-C62439EB241A}"/>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66C286AD-CC20-4BD6-8583-9007C2BCA4D2}"/>
    <cellStyle name="40% - Accent4 4 3 2 3" xfId="11780" xr:uid="{306A4FF0-7047-4B90-B811-E0CD64FD6EF9}"/>
    <cellStyle name="40% - Accent4 4 3 3" xfId="5411" xr:uid="{00000000-0005-0000-0000-000022060000}"/>
    <cellStyle name="40% - Accent4 4 3 3 2" xfId="13853" xr:uid="{3859E3CF-5FEF-4967-8322-7718A3380432}"/>
    <cellStyle name="40% - Accent4 4 3 4" xfId="9635" xr:uid="{B192FAFE-0532-4B8F-9C86-746DF98ABDAC}"/>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83973C89-FA0C-4B51-8B83-77F998700D0D}"/>
    <cellStyle name="40% - Accent4 4 4 2 3" xfId="12193" xr:uid="{9BF69771-0A05-4DA7-8376-CF8AFFF173E0}"/>
    <cellStyle name="40% - Accent4 4 4 3" xfId="5824" xr:uid="{00000000-0005-0000-0000-000026060000}"/>
    <cellStyle name="40% - Accent4 4 4 3 2" xfId="14266" xr:uid="{D5EADD6F-5E92-4790-BDC9-C4937CADF0FF}"/>
    <cellStyle name="40% - Accent4 4 4 4" xfId="10048" xr:uid="{5F24A465-2A3C-40C1-8498-7E978A253406}"/>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A0C55F10-D364-46EF-B647-1A9C80737150}"/>
    <cellStyle name="40% - Accent4 4 5 2 3" xfId="12606" xr:uid="{5E735C67-0EB0-4230-85DD-EBFA2A8C9977}"/>
    <cellStyle name="40% - Accent4 4 5 3" xfId="6237" xr:uid="{00000000-0005-0000-0000-00002A060000}"/>
    <cellStyle name="40% - Accent4 4 5 3 2" xfId="14679" xr:uid="{722E3DD7-0D44-4DCD-9324-BF45CC0A3EEC}"/>
    <cellStyle name="40% - Accent4 4 5 4" xfId="10461" xr:uid="{5ECD50DE-E728-409B-BEEE-14DEB7FF0132}"/>
    <cellStyle name="40% - Accent4 4 6" xfId="2343" xr:uid="{00000000-0005-0000-0000-00002B060000}"/>
    <cellStyle name="40% - Accent4 4 6 2" xfId="6650" xr:uid="{00000000-0005-0000-0000-00002C060000}"/>
    <cellStyle name="40% - Accent4 4 6 2 2" xfId="15092" xr:uid="{C11289E5-6052-468C-98E5-C317E4496F52}"/>
    <cellStyle name="40% - Accent4 4 6 3" xfId="10874" xr:uid="{0B80DA3C-B070-4EFD-85CE-AD3D1C4BDAD7}"/>
    <cellStyle name="40% - Accent4 4 7" xfId="4584" xr:uid="{00000000-0005-0000-0000-00002D060000}"/>
    <cellStyle name="40% - Accent4 4 7 2" xfId="13026" xr:uid="{D38A13C4-B1EA-4C15-8A59-3C32CF24F73F}"/>
    <cellStyle name="40% - Accent4 4 8" xfId="8808" xr:uid="{84C67992-9B50-40B5-967F-2A4E5276A631}"/>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6FEA8DE5-4272-4205-825E-C7A1C3422716}"/>
    <cellStyle name="40% - Accent4 5 2 3" xfId="11360" xr:uid="{D7DD8833-F232-4F7C-B4E5-746D173FDE43}"/>
    <cellStyle name="40% - Accent4 5 3" xfId="4991" xr:uid="{00000000-0005-0000-0000-000031060000}"/>
    <cellStyle name="40% - Accent4 5 3 2" xfId="13433" xr:uid="{DA8C6E88-CE9E-4265-BF7E-B6A873201E80}"/>
    <cellStyle name="40% - Accent4 5 4" xfId="9215" xr:uid="{8BB521F4-4A05-4FB0-B6C9-F588984C6617}"/>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DC181DD7-BF5F-479B-AB51-459C99B60376}"/>
    <cellStyle name="40% - Accent4 6 2 3" xfId="11773" xr:uid="{36F091BE-8271-4487-9602-0B800B41592D}"/>
    <cellStyle name="40% - Accent4 6 3" xfId="5404" xr:uid="{00000000-0005-0000-0000-000035060000}"/>
    <cellStyle name="40% - Accent4 6 3 2" xfId="13846" xr:uid="{68E3950B-778B-4F11-A6D0-5133E5AAD0C1}"/>
    <cellStyle name="40% - Accent4 6 4" xfId="9628" xr:uid="{C2AD163E-2757-43BB-AD66-E8B4B3165211}"/>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AB21F303-1163-4514-AAC4-F2BF6E00A2F9}"/>
    <cellStyle name="40% - Accent4 7 2 3" xfId="12186" xr:uid="{3C46FC20-2121-4231-96A6-FBBC4B8E7516}"/>
    <cellStyle name="40% - Accent4 7 3" xfId="5817" xr:uid="{00000000-0005-0000-0000-000039060000}"/>
    <cellStyle name="40% - Accent4 7 3 2" xfId="14259" xr:uid="{6AA2E685-9771-4231-B101-09E78205579C}"/>
    <cellStyle name="40% - Accent4 7 4" xfId="10041" xr:uid="{EDD64B11-720A-4BE7-A2C7-035ECF9487B3}"/>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7AA3B6AD-9FDA-4A1E-B26B-DE14BDF8E64D}"/>
    <cellStyle name="40% - Accent4 8 2 3" xfId="12599" xr:uid="{28B7A1E2-4013-4212-960B-6B14787F4D09}"/>
    <cellStyle name="40% - Accent4 8 3" xfId="6230" xr:uid="{00000000-0005-0000-0000-00003D060000}"/>
    <cellStyle name="40% - Accent4 8 3 2" xfId="14672" xr:uid="{3C0D12D3-6E13-4A66-8BCA-3A44780FC728}"/>
    <cellStyle name="40% - Accent4 8 4" xfId="10454" xr:uid="{9D79A302-AC68-43C8-A09A-9CE3D952311D}"/>
    <cellStyle name="40% - Accent4 9" xfId="2336" xr:uid="{00000000-0005-0000-0000-00003E060000}"/>
    <cellStyle name="40% - Accent4 9 2" xfId="6643" xr:uid="{00000000-0005-0000-0000-00003F060000}"/>
    <cellStyle name="40% - Accent4 9 2 2" xfId="15085" xr:uid="{D571D457-E937-4339-B316-8D5A3344DDC9}"/>
    <cellStyle name="40% - Accent4 9 3" xfId="10867" xr:uid="{536CA638-169A-4A08-89AA-D91704CEBEB4}"/>
    <cellStyle name="40% - Accent5" xfId="81" builtinId="47" customBuiltin="1"/>
    <cellStyle name="40% - Accent5 10" xfId="4585" xr:uid="{00000000-0005-0000-0000-000041060000}"/>
    <cellStyle name="40% - Accent5 10 2" xfId="13027" xr:uid="{9A8C4BA9-EB8C-4F3D-9344-DE3467CBC4E5}"/>
    <cellStyle name="40% - Accent5 11" xfId="8809" xr:uid="{6E4F1749-E384-444B-A921-DD6C726FFC55}"/>
    <cellStyle name="40% - Accent5 2" xfId="82" xr:uid="{00000000-0005-0000-0000-000042060000}"/>
    <cellStyle name="40% - Accent5 2 10" xfId="8810" xr:uid="{E97275D9-0289-44B1-B484-2250E59F5EA4}"/>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CA7CD297-2AA6-4F66-BAF2-B0DC8B90FAF7}"/>
    <cellStyle name="40% - Accent5 2 2 2 2 2 3" xfId="11371" xr:uid="{C705D2DF-D46A-4937-8730-DB96C96E535E}"/>
    <cellStyle name="40% - Accent5 2 2 2 2 3" xfId="5002" xr:uid="{00000000-0005-0000-0000-000048060000}"/>
    <cellStyle name="40% - Accent5 2 2 2 2 3 2" xfId="13444" xr:uid="{8E39F1DB-2F6F-4E02-AB28-6A8EF02DDF5E}"/>
    <cellStyle name="40% - Accent5 2 2 2 2 4" xfId="9226" xr:uid="{459317C7-5686-47A6-8D82-9EB1872F80BA}"/>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A23CCEE8-81B8-43C0-AB31-E771C8DAD2E8}"/>
    <cellStyle name="40% - Accent5 2 2 2 3 2 3" xfId="11784" xr:uid="{86C2A35D-D287-4004-AB35-9D4604F82C37}"/>
    <cellStyle name="40% - Accent5 2 2 2 3 3" xfId="5415" xr:uid="{00000000-0005-0000-0000-00004C060000}"/>
    <cellStyle name="40% - Accent5 2 2 2 3 3 2" xfId="13857" xr:uid="{6D16A8F0-B604-4218-B4BE-C6697B6A0784}"/>
    <cellStyle name="40% - Accent5 2 2 2 3 4" xfId="9639" xr:uid="{29BDDFB8-27DE-4C5F-99AC-E586B0B5552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21D6F5C2-8717-40CE-BCB4-7D9D62363072}"/>
    <cellStyle name="40% - Accent5 2 2 2 4 2 3" xfId="12197" xr:uid="{F24C35D8-4754-491A-BD4C-55AD603E5ADB}"/>
    <cellStyle name="40% - Accent5 2 2 2 4 3" xfId="5828" xr:uid="{00000000-0005-0000-0000-000050060000}"/>
    <cellStyle name="40% - Accent5 2 2 2 4 3 2" xfId="14270" xr:uid="{E6AD9065-12B5-4863-AF11-01855261C60D}"/>
    <cellStyle name="40% - Accent5 2 2 2 4 4" xfId="10052" xr:uid="{6F53D6FF-F904-4334-AE20-7A6B8E973D7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AA4C9F5A-0C2A-43DB-A26F-8ABC2252CE5D}"/>
    <cellStyle name="40% - Accent5 2 2 2 5 2 3" xfId="12610" xr:uid="{CF89A9DB-BC74-4ABF-93A6-B5702862888E}"/>
    <cellStyle name="40% - Accent5 2 2 2 5 3" xfId="6241" xr:uid="{00000000-0005-0000-0000-000054060000}"/>
    <cellStyle name="40% - Accent5 2 2 2 5 3 2" xfId="14683" xr:uid="{619C2A35-1E71-445E-A8DC-C9F84BECBD5D}"/>
    <cellStyle name="40% - Accent5 2 2 2 5 4" xfId="10465" xr:uid="{AAE931AE-E340-42C7-89B6-A7EDB2F6C198}"/>
    <cellStyle name="40% - Accent5 2 2 2 6" xfId="2347" xr:uid="{00000000-0005-0000-0000-000055060000}"/>
    <cellStyle name="40% - Accent5 2 2 2 6 2" xfId="6654" xr:uid="{00000000-0005-0000-0000-000056060000}"/>
    <cellStyle name="40% - Accent5 2 2 2 6 2 2" xfId="15096" xr:uid="{CDA38040-1E36-4F48-8016-AD80510E7F04}"/>
    <cellStyle name="40% - Accent5 2 2 2 6 3" xfId="10878" xr:uid="{82E6C631-A5C2-493B-93E4-9C7F0E5D0AC7}"/>
    <cellStyle name="40% - Accent5 2 2 2 7" xfId="4588" xr:uid="{00000000-0005-0000-0000-000057060000}"/>
    <cellStyle name="40% - Accent5 2 2 2 7 2" xfId="13030" xr:uid="{3ADB54B3-9A93-4E29-8F30-32B3894CF1B8}"/>
    <cellStyle name="40% - Accent5 2 2 2 8" xfId="8812" xr:uid="{77FC3D7F-FC95-4FE0-A776-46CB6B1D2941}"/>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B08B577D-4527-4F24-B250-97C136B9C2EA}"/>
    <cellStyle name="40% - Accent5 2 2 3 2 3" xfId="11370" xr:uid="{18D3AEBD-51BD-4C31-8CD0-A6742B6F6A97}"/>
    <cellStyle name="40% - Accent5 2 2 3 3" xfId="5001" xr:uid="{00000000-0005-0000-0000-00005B060000}"/>
    <cellStyle name="40% - Accent5 2 2 3 3 2" xfId="13443" xr:uid="{9E1C6A56-11F1-47E8-8C8F-7638A1D5E880}"/>
    <cellStyle name="40% - Accent5 2 2 3 4" xfId="9225" xr:uid="{8139487C-778C-4D9E-81E9-CDE5AE49AF73}"/>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BCFCBA04-8136-42C7-87C7-59DFDF7899FC}"/>
    <cellStyle name="40% - Accent5 2 2 4 2 3" xfId="11783" xr:uid="{CA837FD9-D12C-49A0-BACD-EE27888BC6A0}"/>
    <cellStyle name="40% - Accent5 2 2 4 3" xfId="5414" xr:uid="{00000000-0005-0000-0000-00005F060000}"/>
    <cellStyle name="40% - Accent5 2 2 4 3 2" xfId="13856" xr:uid="{4621D6D8-5A1D-4887-A7F5-A70BFC3AEA0C}"/>
    <cellStyle name="40% - Accent5 2 2 4 4" xfId="9638" xr:uid="{909D3A9F-9F29-4678-9B4E-FE3A0BA82602}"/>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78EE5472-838A-4C7A-86C3-5D167E005B65}"/>
    <cellStyle name="40% - Accent5 2 2 5 2 3" xfId="12196" xr:uid="{9DC5972A-CAFE-41DA-B518-D1B679BBBE84}"/>
    <cellStyle name="40% - Accent5 2 2 5 3" xfId="5827" xr:uid="{00000000-0005-0000-0000-000063060000}"/>
    <cellStyle name="40% - Accent5 2 2 5 3 2" xfId="14269" xr:uid="{8AFE2557-F265-447E-AC82-2B407FBA43DA}"/>
    <cellStyle name="40% - Accent5 2 2 5 4" xfId="10051" xr:uid="{2B20F22D-46D6-44D6-8D67-A6C66A47D63B}"/>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8CE4ABBE-BE56-4217-A416-FE178506702D}"/>
    <cellStyle name="40% - Accent5 2 2 6 2 3" xfId="12609" xr:uid="{84C74E31-77D6-4F3B-AE8D-0EDF98ADEC48}"/>
    <cellStyle name="40% - Accent5 2 2 6 3" xfId="6240" xr:uid="{00000000-0005-0000-0000-000067060000}"/>
    <cellStyle name="40% - Accent5 2 2 6 3 2" xfId="14682" xr:uid="{12C90316-CB7C-45F4-83F5-69D20A53A2C7}"/>
    <cellStyle name="40% - Accent5 2 2 6 4" xfId="10464" xr:uid="{0E520CF6-EA34-4ECB-9E91-CAD7D584B891}"/>
    <cellStyle name="40% - Accent5 2 2 7" xfId="2346" xr:uid="{00000000-0005-0000-0000-000068060000}"/>
    <cellStyle name="40% - Accent5 2 2 7 2" xfId="6653" xr:uid="{00000000-0005-0000-0000-000069060000}"/>
    <cellStyle name="40% - Accent5 2 2 7 2 2" xfId="15095" xr:uid="{5071B59E-B6BC-4041-B1AA-5DAB8281072C}"/>
    <cellStyle name="40% - Accent5 2 2 7 3" xfId="10877" xr:uid="{B0C83F60-F767-4396-8A8E-9331E2C1ABF0}"/>
    <cellStyle name="40% - Accent5 2 2 8" xfId="4587" xr:uid="{00000000-0005-0000-0000-00006A060000}"/>
    <cellStyle name="40% - Accent5 2 2 8 2" xfId="13029" xr:uid="{E3608330-EAAF-4BB6-9645-C63F59066357}"/>
    <cellStyle name="40% - Accent5 2 2 9" xfId="8811" xr:uid="{BA15250F-3CE8-4830-912B-0BA810282EA8}"/>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D1365C33-5208-4C40-9BDE-9E058B309919}"/>
    <cellStyle name="40% - Accent5 2 3 2 2 3" xfId="11372" xr:uid="{E510B297-65DF-41C7-88E1-5EF3492E7463}"/>
    <cellStyle name="40% - Accent5 2 3 2 3" xfId="5003" xr:uid="{00000000-0005-0000-0000-00006F060000}"/>
    <cellStyle name="40% - Accent5 2 3 2 3 2" xfId="13445" xr:uid="{4FF73958-D693-4917-9C1C-99EBC7595705}"/>
    <cellStyle name="40% - Accent5 2 3 2 4" xfId="9227" xr:uid="{11A3E266-2BE2-4E66-89D4-C839E1CC703D}"/>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086712F5-5E0A-436D-880A-5CD9A5912386}"/>
    <cellStyle name="40% - Accent5 2 3 3 2 3" xfId="11785" xr:uid="{973588E9-2ECF-48F1-BB25-98CBEDC3FE0D}"/>
    <cellStyle name="40% - Accent5 2 3 3 3" xfId="5416" xr:uid="{00000000-0005-0000-0000-000073060000}"/>
    <cellStyle name="40% - Accent5 2 3 3 3 2" xfId="13858" xr:uid="{30E70645-994B-4A1F-A622-9C5D5DD6BA5A}"/>
    <cellStyle name="40% - Accent5 2 3 3 4" xfId="9640" xr:uid="{B284C465-9235-48A3-A7A0-FEB868ACBF72}"/>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8E36F1CA-6119-41E3-B7F1-A17051275621}"/>
    <cellStyle name="40% - Accent5 2 3 4 2 3" xfId="12198" xr:uid="{FDE5FC09-FA95-49E4-BE66-0A97A1E3329F}"/>
    <cellStyle name="40% - Accent5 2 3 4 3" xfId="5829" xr:uid="{00000000-0005-0000-0000-000077060000}"/>
    <cellStyle name="40% - Accent5 2 3 4 3 2" xfId="14271" xr:uid="{48250356-162F-4428-B920-3C44189F00EB}"/>
    <cellStyle name="40% - Accent5 2 3 4 4" xfId="10053" xr:uid="{4A30BDF6-2C18-44BF-AD5F-C46259B43CA9}"/>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DE3E824E-BD5F-4727-A6B4-251A1FF899A4}"/>
    <cellStyle name="40% - Accent5 2 3 5 2 3" xfId="12611" xr:uid="{B2D70F12-1F2A-4460-A06F-AF4BA38FD1C2}"/>
    <cellStyle name="40% - Accent5 2 3 5 3" xfId="6242" xr:uid="{00000000-0005-0000-0000-00007B060000}"/>
    <cellStyle name="40% - Accent5 2 3 5 3 2" xfId="14684" xr:uid="{25BD7179-6D4C-44EC-917E-C5046FD32187}"/>
    <cellStyle name="40% - Accent5 2 3 5 4" xfId="10466" xr:uid="{195288CA-ED2E-4A52-9833-70FC0D792174}"/>
    <cellStyle name="40% - Accent5 2 3 6" xfId="2348" xr:uid="{00000000-0005-0000-0000-00007C060000}"/>
    <cellStyle name="40% - Accent5 2 3 6 2" xfId="6655" xr:uid="{00000000-0005-0000-0000-00007D060000}"/>
    <cellStyle name="40% - Accent5 2 3 6 2 2" xfId="15097" xr:uid="{9612047D-2EA2-4223-A7E5-5459173166B3}"/>
    <cellStyle name="40% - Accent5 2 3 6 3" xfId="10879" xr:uid="{750BA931-3443-49FF-95DC-56464B8CAE5D}"/>
    <cellStyle name="40% - Accent5 2 3 7" xfId="4589" xr:uid="{00000000-0005-0000-0000-00007E060000}"/>
    <cellStyle name="40% - Accent5 2 3 7 2" xfId="13031" xr:uid="{7851A77D-4315-4FA3-BD2B-4A2E76117CBD}"/>
    <cellStyle name="40% - Accent5 2 3 8" xfId="8813" xr:uid="{DBAEDBF8-8170-44CD-B3C9-C0AC9D95B4F8}"/>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1501681E-6024-418E-9B06-3770B5BE80D3}"/>
    <cellStyle name="40% - Accent5 2 4 2 3" xfId="11369" xr:uid="{A7958EDC-F613-4392-AA51-5E3CFF66688D}"/>
    <cellStyle name="40% - Accent5 2 4 3" xfId="5000" xr:uid="{00000000-0005-0000-0000-000082060000}"/>
    <cellStyle name="40% - Accent5 2 4 3 2" xfId="13442" xr:uid="{C2011777-6400-40B9-B8E9-E22BCFB9408C}"/>
    <cellStyle name="40% - Accent5 2 4 4" xfId="9224" xr:uid="{1AE1CE29-B47F-4CF0-B4ED-0A1D5829F8C8}"/>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408E0597-8A44-42D3-A708-6D56E17EBA1B}"/>
    <cellStyle name="40% - Accent5 2 5 2 3" xfId="11782" xr:uid="{FD2D2403-BCDA-4277-92C6-B794E3C19F91}"/>
    <cellStyle name="40% - Accent5 2 5 3" xfId="5413" xr:uid="{00000000-0005-0000-0000-000086060000}"/>
    <cellStyle name="40% - Accent5 2 5 3 2" xfId="13855" xr:uid="{16965EAD-0E09-4D88-9989-88F8879925A3}"/>
    <cellStyle name="40% - Accent5 2 5 4" xfId="9637" xr:uid="{168AF874-D5D4-43E3-996C-208F1938D0E9}"/>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ED0EDDCA-2629-4DB2-87FE-D22A59BBDD92}"/>
    <cellStyle name="40% - Accent5 2 6 2 3" xfId="12195" xr:uid="{F9704B5F-69C6-47B2-97F7-5E1228865F99}"/>
    <cellStyle name="40% - Accent5 2 6 3" xfId="5826" xr:uid="{00000000-0005-0000-0000-00008A060000}"/>
    <cellStyle name="40% - Accent5 2 6 3 2" xfId="14268" xr:uid="{A50BA43D-3DCB-4258-835A-3A2140610F5B}"/>
    <cellStyle name="40% - Accent5 2 6 4" xfId="10050" xr:uid="{2339BE6B-AA27-4842-A94C-278B56DB16ED}"/>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123034BA-FB8D-4F5E-B4FA-E1651C8BD232}"/>
    <cellStyle name="40% - Accent5 2 7 2 3" xfId="12608" xr:uid="{10D240B0-2F3E-4F4B-8AC3-47997BAA1943}"/>
    <cellStyle name="40% - Accent5 2 7 3" xfId="6239" xr:uid="{00000000-0005-0000-0000-00008E060000}"/>
    <cellStyle name="40% - Accent5 2 7 3 2" xfId="14681" xr:uid="{2F5F01EF-20AA-4232-8718-2600C9ACAC53}"/>
    <cellStyle name="40% - Accent5 2 7 4" xfId="10463" xr:uid="{92606305-4C0D-4121-A449-DECC9922A1B3}"/>
    <cellStyle name="40% - Accent5 2 8" xfId="2345" xr:uid="{00000000-0005-0000-0000-00008F060000}"/>
    <cellStyle name="40% - Accent5 2 8 2" xfId="6652" xr:uid="{00000000-0005-0000-0000-000090060000}"/>
    <cellStyle name="40% - Accent5 2 8 2 2" xfId="15094" xr:uid="{98C6AE90-685B-4EAC-AE00-D1258C8FDBFF}"/>
    <cellStyle name="40% - Accent5 2 8 3" xfId="10876" xr:uid="{2B67D60A-09E3-4A7E-99E1-5D42CBF494F2}"/>
    <cellStyle name="40% - Accent5 2 9" xfId="4586" xr:uid="{00000000-0005-0000-0000-000091060000}"/>
    <cellStyle name="40% - Accent5 2 9 2" xfId="13028" xr:uid="{EA7F9CE6-A93D-425D-8990-C6DBD14E05DF}"/>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9116D173-BB24-43DA-AA6B-FAA00A5D91C6}"/>
    <cellStyle name="40% - Accent5 3 2 2 2 3" xfId="11374" xr:uid="{04D67A64-3A84-4ACF-859A-E34D1A95AD9B}"/>
    <cellStyle name="40% - Accent5 3 2 2 3" xfId="5005" xr:uid="{00000000-0005-0000-0000-000097060000}"/>
    <cellStyle name="40% - Accent5 3 2 2 3 2" xfId="13447" xr:uid="{635FD0E1-6862-45DB-AB79-F566BAA335BD}"/>
    <cellStyle name="40% - Accent5 3 2 2 4" xfId="9229" xr:uid="{DF2424BC-4397-4D1F-B2C3-BB01619EEA19}"/>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B38B9BDD-2830-44CD-BC28-E35174BA1696}"/>
    <cellStyle name="40% - Accent5 3 2 3 2 3" xfId="11787" xr:uid="{8B51FAE3-DE6A-4FDE-9AE8-E202F4FDE2F4}"/>
    <cellStyle name="40% - Accent5 3 2 3 3" xfId="5418" xr:uid="{00000000-0005-0000-0000-00009B060000}"/>
    <cellStyle name="40% - Accent5 3 2 3 3 2" xfId="13860" xr:uid="{111136DD-E367-4B99-9018-07CE9039A8F5}"/>
    <cellStyle name="40% - Accent5 3 2 3 4" xfId="9642" xr:uid="{8999C1A7-5FE4-43D7-B0FD-2F6E9A3C079A}"/>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DF9BC801-7116-42A2-B385-8C0EA486C641}"/>
    <cellStyle name="40% - Accent5 3 2 4 2 3" xfId="12200" xr:uid="{793EFB30-5797-4577-87A1-241393D754AB}"/>
    <cellStyle name="40% - Accent5 3 2 4 3" xfId="5831" xr:uid="{00000000-0005-0000-0000-00009F060000}"/>
    <cellStyle name="40% - Accent5 3 2 4 3 2" xfId="14273" xr:uid="{AD4B9ECC-FA81-46BA-8B4D-9B1963A2F4B8}"/>
    <cellStyle name="40% - Accent5 3 2 4 4" xfId="10055" xr:uid="{95019903-D828-4ADE-8140-80AFEA2BBB61}"/>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E6BADAD4-A500-4ACF-9541-66535A9412D5}"/>
    <cellStyle name="40% - Accent5 3 2 5 2 3" xfId="12613" xr:uid="{318F2397-FA3D-4E0F-B185-84B9DAF115B5}"/>
    <cellStyle name="40% - Accent5 3 2 5 3" xfId="6244" xr:uid="{00000000-0005-0000-0000-0000A3060000}"/>
    <cellStyle name="40% - Accent5 3 2 5 3 2" xfId="14686" xr:uid="{4A6D63FA-0392-4B63-980B-5DC571A4E2F1}"/>
    <cellStyle name="40% - Accent5 3 2 5 4" xfId="10468" xr:uid="{C734F94B-20B6-47AE-99AF-665F23AE25C6}"/>
    <cellStyle name="40% - Accent5 3 2 6" xfId="2350" xr:uid="{00000000-0005-0000-0000-0000A4060000}"/>
    <cellStyle name="40% - Accent5 3 2 6 2" xfId="6657" xr:uid="{00000000-0005-0000-0000-0000A5060000}"/>
    <cellStyle name="40% - Accent5 3 2 6 2 2" xfId="15099" xr:uid="{E91AD198-2545-41CC-9397-09683B5BDFCA}"/>
    <cellStyle name="40% - Accent5 3 2 6 3" xfId="10881" xr:uid="{4D65B098-3C76-43BE-BC65-CBF853911266}"/>
    <cellStyle name="40% - Accent5 3 2 7" xfId="4591" xr:uid="{00000000-0005-0000-0000-0000A6060000}"/>
    <cellStyle name="40% - Accent5 3 2 7 2" xfId="13033" xr:uid="{75DDAC82-EA1C-42D3-B07F-4E032CC1E735}"/>
    <cellStyle name="40% - Accent5 3 2 8" xfId="8815" xr:uid="{938D387C-A7A8-44C6-B448-1455148BD255}"/>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450C27BC-A94E-4115-A70F-07F27374CBBB}"/>
    <cellStyle name="40% - Accent5 3 3 2 3" xfId="11373" xr:uid="{F6CFF566-D83B-4B91-9929-991BC7D51E7D}"/>
    <cellStyle name="40% - Accent5 3 3 3" xfId="5004" xr:uid="{00000000-0005-0000-0000-0000AA060000}"/>
    <cellStyle name="40% - Accent5 3 3 3 2" xfId="13446" xr:uid="{7F8C7C02-8905-4A45-9D72-1E7BA411B3A6}"/>
    <cellStyle name="40% - Accent5 3 3 4" xfId="9228" xr:uid="{D52D23EA-E7F9-4679-9C26-FB1A27A6C706}"/>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D56F0CB8-3933-4067-91B3-533C1DF7F246}"/>
    <cellStyle name="40% - Accent5 3 4 2 3" xfId="11786" xr:uid="{FBBF4EE8-2CC5-428B-83B9-90DD894C8AAA}"/>
    <cellStyle name="40% - Accent5 3 4 3" xfId="5417" xr:uid="{00000000-0005-0000-0000-0000AE060000}"/>
    <cellStyle name="40% - Accent5 3 4 3 2" xfId="13859" xr:uid="{9A90087C-C4C4-4B5E-B4AA-84F26C43D472}"/>
    <cellStyle name="40% - Accent5 3 4 4" xfId="9641" xr:uid="{7CF31C56-F553-407D-922C-4C4F47080462}"/>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358F45F0-3AE4-4397-B298-D6BF7B01C7CE}"/>
    <cellStyle name="40% - Accent5 3 5 2 3" xfId="12199" xr:uid="{850A2DFA-8C33-4F88-BE68-32302906413F}"/>
    <cellStyle name="40% - Accent5 3 5 3" xfId="5830" xr:uid="{00000000-0005-0000-0000-0000B2060000}"/>
    <cellStyle name="40% - Accent5 3 5 3 2" xfId="14272" xr:uid="{8F74FB9A-CD4A-4EE9-91C4-42F6B552431C}"/>
    <cellStyle name="40% - Accent5 3 5 4" xfId="10054" xr:uid="{9F3D100C-1EAC-4536-B6B4-CC85A8F5220D}"/>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7B996C5D-6D41-4EF9-B520-0AF9DC8D5AEF}"/>
    <cellStyle name="40% - Accent5 3 6 2 3" xfId="12612" xr:uid="{CB5222DC-22E4-43BC-B248-10ED981F514A}"/>
    <cellStyle name="40% - Accent5 3 6 3" xfId="6243" xr:uid="{00000000-0005-0000-0000-0000B6060000}"/>
    <cellStyle name="40% - Accent5 3 6 3 2" xfId="14685" xr:uid="{8B35436F-CEE9-4A11-9003-F2BAFB21EFD0}"/>
    <cellStyle name="40% - Accent5 3 6 4" xfId="10467" xr:uid="{4263D6B4-3BB1-414F-963C-C0810317FD80}"/>
    <cellStyle name="40% - Accent5 3 7" xfId="2349" xr:uid="{00000000-0005-0000-0000-0000B7060000}"/>
    <cellStyle name="40% - Accent5 3 7 2" xfId="6656" xr:uid="{00000000-0005-0000-0000-0000B8060000}"/>
    <cellStyle name="40% - Accent5 3 7 2 2" xfId="15098" xr:uid="{9FCB29D3-3C27-44B8-9F07-52918485CD04}"/>
    <cellStyle name="40% - Accent5 3 7 3" xfId="10880" xr:uid="{BB1AA5A4-65FF-4E50-ACF4-A9A60E43B2FE}"/>
    <cellStyle name="40% - Accent5 3 8" xfId="4590" xr:uid="{00000000-0005-0000-0000-0000B9060000}"/>
    <cellStyle name="40% - Accent5 3 8 2" xfId="13032" xr:uid="{8CF3FFCA-D2B0-4C15-847F-1F12D3E1C203}"/>
    <cellStyle name="40% - Accent5 3 9" xfId="8814" xr:uid="{CEB9CA44-279C-48BD-8DFD-18E1D4C07868}"/>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B806F047-0C15-493F-8B12-46F160A03E70}"/>
    <cellStyle name="40% - Accent5 4 2 2 3" xfId="11375" xr:uid="{49BDD818-97DC-4287-AAA9-3802B20833C6}"/>
    <cellStyle name="40% - Accent5 4 2 3" xfId="5006" xr:uid="{00000000-0005-0000-0000-0000BE060000}"/>
    <cellStyle name="40% - Accent5 4 2 3 2" xfId="13448" xr:uid="{0A918CF1-F87D-40AD-9B8F-F5BC84318E5F}"/>
    <cellStyle name="40% - Accent5 4 2 4" xfId="9230" xr:uid="{0CD5EC3F-EFDD-42F4-BC3A-EEE7E29B69A4}"/>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D6F9D10C-66D7-4196-8169-93E0B8E643DF}"/>
    <cellStyle name="40% - Accent5 4 3 2 3" xfId="11788" xr:uid="{21AF6CD4-F66B-45C2-9139-B4CA91472D9A}"/>
    <cellStyle name="40% - Accent5 4 3 3" xfId="5419" xr:uid="{00000000-0005-0000-0000-0000C2060000}"/>
    <cellStyle name="40% - Accent5 4 3 3 2" xfId="13861" xr:uid="{B8C826A8-6F6E-4198-9F87-25DFCAC1909A}"/>
    <cellStyle name="40% - Accent5 4 3 4" xfId="9643" xr:uid="{D6E85E51-4BEA-485B-A631-014F36753CAC}"/>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CA4735E3-8039-4679-B3E4-B905E08EFCB4}"/>
    <cellStyle name="40% - Accent5 4 4 2 3" xfId="12201" xr:uid="{872CD06F-40CB-4309-B73C-82FCDE384DED}"/>
    <cellStyle name="40% - Accent5 4 4 3" xfId="5832" xr:uid="{00000000-0005-0000-0000-0000C6060000}"/>
    <cellStyle name="40% - Accent5 4 4 3 2" xfId="14274" xr:uid="{8B5E166F-1F46-44E8-B1B3-5C15EFB37476}"/>
    <cellStyle name="40% - Accent5 4 4 4" xfId="10056" xr:uid="{C8DD0025-15CD-45BB-967E-C829B631D76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817DF951-5F91-41A5-ACAA-F4D18DAF048C}"/>
    <cellStyle name="40% - Accent5 4 5 2 3" xfId="12614" xr:uid="{619F5BA4-C336-4EA3-B365-AF9BDCF22E8D}"/>
    <cellStyle name="40% - Accent5 4 5 3" xfId="6245" xr:uid="{00000000-0005-0000-0000-0000CA060000}"/>
    <cellStyle name="40% - Accent5 4 5 3 2" xfId="14687" xr:uid="{E202B29F-4CF2-4AD1-9509-741978F36231}"/>
    <cellStyle name="40% - Accent5 4 5 4" xfId="10469" xr:uid="{819EA782-6A57-435B-B153-525F171EE1B8}"/>
    <cellStyle name="40% - Accent5 4 6" xfId="2351" xr:uid="{00000000-0005-0000-0000-0000CB060000}"/>
    <cellStyle name="40% - Accent5 4 6 2" xfId="6658" xr:uid="{00000000-0005-0000-0000-0000CC060000}"/>
    <cellStyle name="40% - Accent5 4 6 2 2" xfId="15100" xr:uid="{72B188D2-CFA0-46B1-9FE5-47EF2B964B5D}"/>
    <cellStyle name="40% - Accent5 4 6 3" xfId="10882" xr:uid="{E8811A5B-0002-4D28-9BD9-64CB39DB4AE9}"/>
    <cellStyle name="40% - Accent5 4 7" xfId="4592" xr:uid="{00000000-0005-0000-0000-0000CD060000}"/>
    <cellStyle name="40% - Accent5 4 7 2" xfId="13034" xr:uid="{A57B3E32-7A58-47C2-9C9A-B5467BE41C57}"/>
    <cellStyle name="40% - Accent5 4 8" xfId="8816" xr:uid="{C3E24F7B-91A3-4062-B859-3B46103C9083}"/>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694B6E62-4CD4-45B6-8EEB-8E8A6E346519}"/>
    <cellStyle name="40% - Accent5 5 2 3" xfId="11368" xr:uid="{92BA4F64-7102-48EE-B797-C492D76B0C2E}"/>
    <cellStyle name="40% - Accent5 5 3" xfId="4999" xr:uid="{00000000-0005-0000-0000-0000D1060000}"/>
    <cellStyle name="40% - Accent5 5 3 2" xfId="13441" xr:uid="{81BE1034-818B-4268-9BFA-9EA4A5422E17}"/>
    <cellStyle name="40% - Accent5 5 4" xfId="9223" xr:uid="{57D59CE5-BCAE-41AD-8629-52FB7F82B8E4}"/>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43436E35-AA31-4866-AD11-96DD4294A524}"/>
    <cellStyle name="40% - Accent5 6 2 3" xfId="11781" xr:uid="{E10F6242-531B-4D9F-88D0-083200B1521A}"/>
    <cellStyle name="40% - Accent5 6 3" xfId="5412" xr:uid="{00000000-0005-0000-0000-0000D5060000}"/>
    <cellStyle name="40% - Accent5 6 3 2" xfId="13854" xr:uid="{771D8C5F-9CB8-4A57-9166-FBF416622173}"/>
    <cellStyle name="40% - Accent5 6 4" xfId="9636" xr:uid="{7FE936D5-BFA4-4472-B8BA-42DDA350CB66}"/>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C119E525-B3BE-4034-8AE9-15569FF8713C}"/>
    <cellStyle name="40% - Accent5 7 2 3" xfId="12194" xr:uid="{C98B349B-C8F8-445A-A598-860EFA778872}"/>
    <cellStyle name="40% - Accent5 7 3" xfId="5825" xr:uid="{00000000-0005-0000-0000-0000D9060000}"/>
    <cellStyle name="40% - Accent5 7 3 2" xfId="14267" xr:uid="{20F30BF9-EDCA-46BE-9740-46429900B783}"/>
    <cellStyle name="40% - Accent5 7 4" xfId="10049" xr:uid="{F0FE642F-D20C-484A-BA3E-8AA2C5D6C200}"/>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00DB52CB-18D5-42CC-86C2-F096846F7D8C}"/>
    <cellStyle name="40% - Accent5 8 2 3" xfId="12607" xr:uid="{BCF4BF97-8DB1-4E46-891D-96BD4D90B3DB}"/>
    <cellStyle name="40% - Accent5 8 3" xfId="6238" xr:uid="{00000000-0005-0000-0000-0000DD060000}"/>
    <cellStyle name="40% - Accent5 8 3 2" xfId="14680" xr:uid="{CA745564-EC9D-41A9-BEE2-E9B8AA00A2F4}"/>
    <cellStyle name="40% - Accent5 8 4" xfId="10462" xr:uid="{68C6510A-732C-419D-AF47-4D0E2CFC8C4A}"/>
    <cellStyle name="40% - Accent5 9" xfId="2344" xr:uid="{00000000-0005-0000-0000-0000DE060000}"/>
    <cellStyle name="40% - Accent5 9 2" xfId="6651" xr:uid="{00000000-0005-0000-0000-0000DF060000}"/>
    <cellStyle name="40% - Accent5 9 2 2" xfId="15093" xr:uid="{CB6BCB91-D77B-44ED-83DC-505AB8F0A6EC}"/>
    <cellStyle name="40% - Accent5 9 3" xfId="10875" xr:uid="{F9FB2C7A-93F9-4B22-873B-64D4E8B08273}"/>
    <cellStyle name="40% - Accent6" xfId="89" builtinId="51" customBuiltin="1"/>
    <cellStyle name="40% - Accent6 10" xfId="4593" xr:uid="{00000000-0005-0000-0000-0000E1060000}"/>
    <cellStyle name="40% - Accent6 10 2" xfId="13035" xr:uid="{96062883-88E1-4807-AA88-2F1AFFEE8504}"/>
    <cellStyle name="40% - Accent6 11" xfId="8817" xr:uid="{132C867C-1236-40C0-BE02-9D697B2D9CB3}"/>
    <cellStyle name="40% - Accent6 2" xfId="90" xr:uid="{00000000-0005-0000-0000-0000E2060000}"/>
    <cellStyle name="40% - Accent6 2 10" xfId="8818" xr:uid="{4BF17887-C95E-459F-83D5-9E46E53FC0B7}"/>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5D3A626-E469-49C0-B0FE-BDA87905AFBC}"/>
    <cellStyle name="40% - Accent6 2 2 2 2 2 3" xfId="11379" xr:uid="{2697F8E6-80B1-4B4F-822C-DB6030D32E6C}"/>
    <cellStyle name="40% - Accent6 2 2 2 2 3" xfId="5010" xr:uid="{00000000-0005-0000-0000-0000E8060000}"/>
    <cellStyle name="40% - Accent6 2 2 2 2 3 2" xfId="13452" xr:uid="{9DF1168C-52F5-455C-8357-DA28D6C0E1BC}"/>
    <cellStyle name="40% - Accent6 2 2 2 2 4" xfId="9234" xr:uid="{B055D6C3-329D-4360-9A28-066AE1D9FD42}"/>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8DEB1DE2-D558-49C8-BBB0-3976D036F885}"/>
    <cellStyle name="40% - Accent6 2 2 2 3 2 3" xfId="11792" xr:uid="{4EC6344B-6C1E-48E3-9CCB-289F6B7FC6BD}"/>
    <cellStyle name="40% - Accent6 2 2 2 3 3" xfId="5423" xr:uid="{00000000-0005-0000-0000-0000EC060000}"/>
    <cellStyle name="40% - Accent6 2 2 2 3 3 2" xfId="13865" xr:uid="{BF9C0854-0B0A-4153-B2E5-21A45C58D7DE}"/>
    <cellStyle name="40% - Accent6 2 2 2 3 4" xfId="9647" xr:uid="{232A4175-E0A3-4FB9-B59F-220DDE1B6DD9}"/>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BD1216A0-DB16-45B9-AFD5-E485FD109061}"/>
    <cellStyle name="40% - Accent6 2 2 2 4 2 3" xfId="12205" xr:uid="{1C03D57A-A48F-49F5-A60A-97D4FA2111D0}"/>
    <cellStyle name="40% - Accent6 2 2 2 4 3" xfId="5836" xr:uid="{00000000-0005-0000-0000-0000F0060000}"/>
    <cellStyle name="40% - Accent6 2 2 2 4 3 2" xfId="14278" xr:uid="{0795AA66-1638-4D72-88E8-0698271A1053}"/>
    <cellStyle name="40% - Accent6 2 2 2 4 4" xfId="10060" xr:uid="{E052E2A3-8EFB-4187-B634-D5C173EE68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CD9AEC17-2290-4152-B01B-7AB3F0BDC4B3}"/>
    <cellStyle name="40% - Accent6 2 2 2 5 2 3" xfId="12618" xr:uid="{2E4E54B9-2759-4E9E-893F-0DE39887BDFC}"/>
    <cellStyle name="40% - Accent6 2 2 2 5 3" xfId="6249" xr:uid="{00000000-0005-0000-0000-0000F4060000}"/>
    <cellStyle name="40% - Accent6 2 2 2 5 3 2" xfId="14691" xr:uid="{A906CE20-0CBA-4BD0-9D47-48C063B3AE3A}"/>
    <cellStyle name="40% - Accent6 2 2 2 5 4" xfId="10473" xr:uid="{42B39FA1-80F8-4C9D-8D2D-6D0DD4AF8BEB}"/>
    <cellStyle name="40% - Accent6 2 2 2 6" xfId="2355" xr:uid="{00000000-0005-0000-0000-0000F5060000}"/>
    <cellStyle name="40% - Accent6 2 2 2 6 2" xfId="6662" xr:uid="{00000000-0005-0000-0000-0000F6060000}"/>
    <cellStyle name="40% - Accent6 2 2 2 6 2 2" xfId="15104" xr:uid="{1C36E953-0864-4016-A229-F9C8C5800CBC}"/>
    <cellStyle name="40% - Accent6 2 2 2 6 3" xfId="10886" xr:uid="{7A63A195-3D3E-46DE-9DE5-96F8BB8E73CA}"/>
    <cellStyle name="40% - Accent6 2 2 2 7" xfId="4596" xr:uid="{00000000-0005-0000-0000-0000F7060000}"/>
    <cellStyle name="40% - Accent6 2 2 2 7 2" xfId="13038" xr:uid="{AAB815CA-E304-4B01-AF3A-2D2B664A837F}"/>
    <cellStyle name="40% - Accent6 2 2 2 8" xfId="8820" xr:uid="{DAAD5CD8-A85D-401C-A54D-B963AE93E9E5}"/>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47E088D5-D03E-4F6B-9F6A-7A3B43D4EB15}"/>
    <cellStyle name="40% - Accent6 2 2 3 2 3" xfId="11378" xr:uid="{BEE3998B-F284-4113-B6CE-1DCD390465D9}"/>
    <cellStyle name="40% - Accent6 2 2 3 3" xfId="5009" xr:uid="{00000000-0005-0000-0000-0000FB060000}"/>
    <cellStyle name="40% - Accent6 2 2 3 3 2" xfId="13451" xr:uid="{01014564-C0F2-46A3-B9C2-AC5A31431F64}"/>
    <cellStyle name="40% - Accent6 2 2 3 4" xfId="9233" xr:uid="{2398B4FC-2942-48FD-9704-B9187A39A849}"/>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F6AD413B-5423-479A-B952-3430A5593806}"/>
    <cellStyle name="40% - Accent6 2 2 4 2 3" xfId="11791" xr:uid="{6748C6D5-BCF1-489D-B857-8FBF2216DB63}"/>
    <cellStyle name="40% - Accent6 2 2 4 3" xfId="5422" xr:uid="{00000000-0005-0000-0000-0000FF060000}"/>
    <cellStyle name="40% - Accent6 2 2 4 3 2" xfId="13864" xr:uid="{62C1C100-FAA8-4BDE-AF87-4E8D61403661}"/>
    <cellStyle name="40% - Accent6 2 2 4 4" xfId="9646" xr:uid="{93F5D10F-C778-4A67-A2CD-87893F8C5753}"/>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B4C53E4F-1B72-4DF7-8700-EEAEA07F5B3F}"/>
    <cellStyle name="40% - Accent6 2 2 5 2 3" xfId="12204" xr:uid="{70E4025C-E8AA-4D92-B7D0-AC465AC8DCDA}"/>
    <cellStyle name="40% - Accent6 2 2 5 3" xfId="5835" xr:uid="{00000000-0005-0000-0000-000003070000}"/>
    <cellStyle name="40% - Accent6 2 2 5 3 2" xfId="14277" xr:uid="{37D0660C-4430-4C69-A1FA-406F461F6553}"/>
    <cellStyle name="40% - Accent6 2 2 5 4" xfId="10059" xr:uid="{F2AA8A54-A98A-4CC2-B862-2B3AE2FA2A8C}"/>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FFFEFA68-06D8-490E-98FF-F2544FC8B427}"/>
    <cellStyle name="40% - Accent6 2 2 6 2 3" xfId="12617" xr:uid="{8AFB01AB-E66F-4254-A56D-DAD68D494FB8}"/>
    <cellStyle name="40% - Accent6 2 2 6 3" xfId="6248" xr:uid="{00000000-0005-0000-0000-000007070000}"/>
    <cellStyle name="40% - Accent6 2 2 6 3 2" xfId="14690" xr:uid="{FF5B0561-CA78-4654-A696-2F6359946DD3}"/>
    <cellStyle name="40% - Accent6 2 2 6 4" xfId="10472" xr:uid="{9B4B0E51-1CEB-42B0-A14D-64F49864CDA9}"/>
    <cellStyle name="40% - Accent6 2 2 7" xfId="2354" xr:uid="{00000000-0005-0000-0000-000008070000}"/>
    <cellStyle name="40% - Accent6 2 2 7 2" xfId="6661" xr:uid="{00000000-0005-0000-0000-000009070000}"/>
    <cellStyle name="40% - Accent6 2 2 7 2 2" xfId="15103" xr:uid="{B3C0B40A-545D-4BDD-BC21-E1928F81DF5E}"/>
    <cellStyle name="40% - Accent6 2 2 7 3" xfId="10885" xr:uid="{074E3E18-3759-4DC0-8C60-26541CA5DE89}"/>
    <cellStyle name="40% - Accent6 2 2 8" xfId="4595" xr:uid="{00000000-0005-0000-0000-00000A070000}"/>
    <cellStyle name="40% - Accent6 2 2 8 2" xfId="13037" xr:uid="{D501D188-17C8-4532-976A-DC0377CCB6DB}"/>
    <cellStyle name="40% - Accent6 2 2 9" xfId="8819" xr:uid="{A6924CB8-33A7-4849-9F96-4B99D5055D19}"/>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F246D60F-2AA6-4698-A76E-C950768B0FF4}"/>
    <cellStyle name="40% - Accent6 2 3 2 2 3" xfId="11380" xr:uid="{27CA69AF-2EDB-41FB-A202-79C5A6148ACC}"/>
    <cellStyle name="40% - Accent6 2 3 2 3" xfId="5011" xr:uid="{00000000-0005-0000-0000-00000F070000}"/>
    <cellStyle name="40% - Accent6 2 3 2 3 2" xfId="13453" xr:uid="{2F040B29-AFF2-4122-A741-897242ACBB76}"/>
    <cellStyle name="40% - Accent6 2 3 2 4" xfId="9235" xr:uid="{1CD40EC4-260F-4D0A-B7CD-4147DC8B87CF}"/>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47E5252C-E0FA-4BA1-B38E-0936968DA34B}"/>
    <cellStyle name="40% - Accent6 2 3 3 2 3" xfId="11793" xr:uid="{374E5E48-4541-4A31-9324-C37762CB2202}"/>
    <cellStyle name="40% - Accent6 2 3 3 3" xfId="5424" xr:uid="{00000000-0005-0000-0000-000013070000}"/>
    <cellStyle name="40% - Accent6 2 3 3 3 2" xfId="13866" xr:uid="{53C1895B-3046-404B-951D-B50447E9E7E3}"/>
    <cellStyle name="40% - Accent6 2 3 3 4" xfId="9648" xr:uid="{744F8357-BDFB-448D-BD83-BD7073CE9582}"/>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B8F2D8C0-6278-4EC1-8904-D42A47E7F062}"/>
    <cellStyle name="40% - Accent6 2 3 4 2 3" xfId="12206" xr:uid="{A48FEF32-2AF8-4CF8-9600-F4D456C36A50}"/>
    <cellStyle name="40% - Accent6 2 3 4 3" xfId="5837" xr:uid="{00000000-0005-0000-0000-000017070000}"/>
    <cellStyle name="40% - Accent6 2 3 4 3 2" xfId="14279" xr:uid="{16D034E1-E260-4A28-A452-C1075D311095}"/>
    <cellStyle name="40% - Accent6 2 3 4 4" xfId="10061" xr:uid="{67FA1C06-E593-4192-988D-0FE31FB98A3F}"/>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D6E10100-6FCD-499D-95DF-A4FDA0A7B431}"/>
    <cellStyle name="40% - Accent6 2 3 5 2 3" xfId="12619" xr:uid="{5C756F5F-5072-44B0-942D-6E87A3F9AE86}"/>
    <cellStyle name="40% - Accent6 2 3 5 3" xfId="6250" xr:uid="{00000000-0005-0000-0000-00001B070000}"/>
    <cellStyle name="40% - Accent6 2 3 5 3 2" xfId="14692" xr:uid="{F657385F-D8C5-4F39-ABA5-6E49DBDA06C8}"/>
    <cellStyle name="40% - Accent6 2 3 5 4" xfId="10474" xr:uid="{5A78497C-4649-4F48-8824-FF9D28B9C07A}"/>
    <cellStyle name="40% - Accent6 2 3 6" xfId="2356" xr:uid="{00000000-0005-0000-0000-00001C070000}"/>
    <cellStyle name="40% - Accent6 2 3 6 2" xfId="6663" xr:uid="{00000000-0005-0000-0000-00001D070000}"/>
    <cellStyle name="40% - Accent6 2 3 6 2 2" xfId="15105" xr:uid="{A8FD82AB-4185-446B-BB61-933AC7881B9C}"/>
    <cellStyle name="40% - Accent6 2 3 6 3" xfId="10887" xr:uid="{FC26AB3C-FCB0-46FC-A628-3E9BBA05C857}"/>
    <cellStyle name="40% - Accent6 2 3 7" xfId="4597" xr:uid="{00000000-0005-0000-0000-00001E070000}"/>
    <cellStyle name="40% - Accent6 2 3 7 2" xfId="13039" xr:uid="{49996C10-480C-46FD-A7CE-824039E33707}"/>
    <cellStyle name="40% - Accent6 2 3 8" xfId="8821" xr:uid="{E02FB7F4-31DA-4847-BC38-4C7E7CA473D5}"/>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CB1184F0-97E2-4388-9EDB-C146860D9C15}"/>
    <cellStyle name="40% - Accent6 2 4 2 3" xfId="11377" xr:uid="{71777E9A-52F4-4A13-B536-5EFE8F977C89}"/>
    <cellStyle name="40% - Accent6 2 4 3" xfId="5008" xr:uid="{00000000-0005-0000-0000-000022070000}"/>
    <cellStyle name="40% - Accent6 2 4 3 2" xfId="13450" xr:uid="{E7479DEA-2289-404E-A3ED-43D0CC4A38EB}"/>
    <cellStyle name="40% - Accent6 2 4 4" xfId="9232" xr:uid="{134395D7-6BF3-4ECD-84D6-D17191C00F05}"/>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997ABB99-C99E-4E7D-A769-A0F093FFF266}"/>
    <cellStyle name="40% - Accent6 2 5 2 3" xfId="11790" xr:uid="{E4D402DC-6BE2-428D-9319-9995404E9F4E}"/>
    <cellStyle name="40% - Accent6 2 5 3" xfId="5421" xr:uid="{00000000-0005-0000-0000-000026070000}"/>
    <cellStyle name="40% - Accent6 2 5 3 2" xfId="13863" xr:uid="{32F62391-B5BF-4BE6-B8B1-A072FD5C720B}"/>
    <cellStyle name="40% - Accent6 2 5 4" xfId="9645" xr:uid="{11F6CAEE-BF17-4B8F-97E6-6CB9AE42A73E}"/>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5F706314-9086-4B76-AD6A-068D152DEF3F}"/>
    <cellStyle name="40% - Accent6 2 6 2 3" xfId="12203" xr:uid="{F0E12B3F-E0AE-4680-A122-CA3CE2104685}"/>
    <cellStyle name="40% - Accent6 2 6 3" xfId="5834" xr:uid="{00000000-0005-0000-0000-00002A070000}"/>
    <cellStyle name="40% - Accent6 2 6 3 2" xfId="14276" xr:uid="{9317CDDA-AAC8-4629-BC06-BB133C74CDC5}"/>
    <cellStyle name="40% - Accent6 2 6 4" xfId="10058" xr:uid="{49FF4C1F-FCD3-47A4-ABE6-B3E7EB08C4B9}"/>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D73B8310-2CE1-4675-95EB-A06616B24646}"/>
    <cellStyle name="40% - Accent6 2 7 2 3" xfId="12616" xr:uid="{06344A0C-BE2F-4092-BD9A-A0DD4F9753E1}"/>
    <cellStyle name="40% - Accent6 2 7 3" xfId="6247" xr:uid="{00000000-0005-0000-0000-00002E070000}"/>
    <cellStyle name="40% - Accent6 2 7 3 2" xfId="14689" xr:uid="{687FBF44-4258-4E09-A2D5-56CB1E3B555B}"/>
    <cellStyle name="40% - Accent6 2 7 4" xfId="10471" xr:uid="{8EC55E1E-862E-4360-8BB0-B60FE4C1F69C}"/>
    <cellStyle name="40% - Accent6 2 8" xfId="2353" xr:uid="{00000000-0005-0000-0000-00002F070000}"/>
    <cellStyle name="40% - Accent6 2 8 2" xfId="6660" xr:uid="{00000000-0005-0000-0000-000030070000}"/>
    <cellStyle name="40% - Accent6 2 8 2 2" xfId="15102" xr:uid="{97EE896C-C9D6-42C8-AC83-53D54BA1C83B}"/>
    <cellStyle name="40% - Accent6 2 8 3" xfId="10884" xr:uid="{FC072771-5C33-4D68-B6C8-6060D0C3E337}"/>
    <cellStyle name="40% - Accent6 2 9" xfId="4594" xr:uid="{00000000-0005-0000-0000-000031070000}"/>
    <cellStyle name="40% - Accent6 2 9 2" xfId="13036" xr:uid="{3516C0C0-C954-4B27-8EF4-793359C176C2}"/>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2DA917BC-51DC-4A1C-8A7B-AB7AC82FED8A}"/>
    <cellStyle name="40% - Accent6 3 2 2 2 3" xfId="11382" xr:uid="{71FDC364-C2D1-4E97-8799-957B650196E7}"/>
    <cellStyle name="40% - Accent6 3 2 2 3" xfId="5013" xr:uid="{00000000-0005-0000-0000-000037070000}"/>
    <cellStyle name="40% - Accent6 3 2 2 3 2" xfId="13455" xr:uid="{04AC10EE-EE47-4C3F-9CBD-D68742D37E7C}"/>
    <cellStyle name="40% - Accent6 3 2 2 4" xfId="9237" xr:uid="{51B74C10-FE0D-4D56-89DC-93BB3C2C5BD5}"/>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2431D373-973B-474C-8649-59680C3EF860}"/>
    <cellStyle name="40% - Accent6 3 2 3 2 3" xfId="11795" xr:uid="{02C2B06C-D256-49DD-A8FC-4DA143D2B611}"/>
    <cellStyle name="40% - Accent6 3 2 3 3" xfId="5426" xr:uid="{00000000-0005-0000-0000-00003B070000}"/>
    <cellStyle name="40% - Accent6 3 2 3 3 2" xfId="13868" xr:uid="{5E7C45D2-B848-4145-B110-B235142B4BCA}"/>
    <cellStyle name="40% - Accent6 3 2 3 4" xfId="9650" xr:uid="{CE45EC8E-528B-46DE-8584-44992A1B8D6F}"/>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40D1ABAF-0D91-4648-8D45-422B12D50D33}"/>
    <cellStyle name="40% - Accent6 3 2 4 2 3" xfId="12208" xr:uid="{FF7C7E31-329D-4225-85E4-467FD3229CA2}"/>
    <cellStyle name="40% - Accent6 3 2 4 3" xfId="5839" xr:uid="{00000000-0005-0000-0000-00003F070000}"/>
    <cellStyle name="40% - Accent6 3 2 4 3 2" xfId="14281" xr:uid="{81107609-9A09-4F57-BD51-A6F4BB96ADAF}"/>
    <cellStyle name="40% - Accent6 3 2 4 4" xfId="10063" xr:uid="{AE9924A7-0141-44D6-B25F-8E7E5F859F3A}"/>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992B8216-107C-409D-B11A-9E2A6A8A1028}"/>
    <cellStyle name="40% - Accent6 3 2 5 2 3" xfId="12621" xr:uid="{DC3AD613-B9D7-4A03-833F-B10F6987CB1F}"/>
    <cellStyle name="40% - Accent6 3 2 5 3" xfId="6252" xr:uid="{00000000-0005-0000-0000-000043070000}"/>
    <cellStyle name="40% - Accent6 3 2 5 3 2" xfId="14694" xr:uid="{54029E1B-A28F-4765-94B0-4C93B188924C}"/>
    <cellStyle name="40% - Accent6 3 2 5 4" xfId="10476" xr:uid="{8B20B9B5-C0EF-4D7B-84DA-5052056B2F4A}"/>
    <cellStyle name="40% - Accent6 3 2 6" xfId="2358" xr:uid="{00000000-0005-0000-0000-000044070000}"/>
    <cellStyle name="40% - Accent6 3 2 6 2" xfId="6665" xr:uid="{00000000-0005-0000-0000-000045070000}"/>
    <cellStyle name="40% - Accent6 3 2 6 2 2" xfId="15107" xr:uid="{D8131720-29AE-473A-84CF-EEE97A1BB36A}"/>
    <cellStyle name="40% - Accent6 3 2 6 3" xfId="10889" xr:uid="{AD442E44-E08A-4C7F-82D3-C637501874D3}"/>
    <cellStyle name="40% - Accent6 3 2 7" xfId="4599" xr:uid="{00000000-0005-0000-0000-000046070000}"/>
    <cellStyle name="40% - Accent6 3 2 7 2" xfId="13041" xr:uid="{53A62726-9C40-4526-BC11-4A1E8ED7EBBC}"/>
    <cellStyle name="40% - Accent6 3 2 8" xfId="8823" xr:uid="{A9C53C67-96FB-4EF9-903D-4DDDA7CD81D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1AA9DAEC-D6DA-4665-B400-E2F67F48B2D6}"/>
    <cellStyle name="40% - Accent6 3 3 2 3" xfId="11381" xr:uid="{80E622EF-E1D5-40AC-8934-26846DDA00C5}"/>
    <cellStyle name="40% - Accent6 3 3 3" xfId="5012" xr:uid="{00000000-0005-0000-0000-00004A070000}"/>
    <cellStyle name="40% - Accent6 3 3 3 2" xfId="13454" xr:uid="{F712400B-8666-415E-9B72-1012A5DDC115}"/>
    <cellStyle name="40% - Accent6 3 3 4" xfId="9236" xr:uid="{5953038D-85F5-43E5-82DC-A9712F64A1C4}"/>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269CFA57-2F60-42C4-8BA8-EF9BFB24FF53}"/>
    <cellStyle name="40% - Accent6 3 4 2 3" xfId="11794" xr:uid="{F3E90FFE-F6F9-4239-920D-6A66F3782179}"/>
    <cellStyle name="40% - Accent6 3 4 3" xfId="5425" xr:uid="{00000000-0005-0000-0000-00004E070000}"/>
    <cellStyle name="40% - Accent6 3 4 3 2" xfId="13867" xr:uid="{F8A5A31D-5644-41E2-8873-42B57788A5A0}"/>
    <cellStyle name="40% - Accent6 3 4 4" xfId="9649" xr:uid="{EB63D170-0C14-4BCC-BAB2-1964796DF149}"/>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B7D03643-8620-4913-AB9E-6D0760271CF9}"/>
    <cellStyle name="40% - Accent6 3 5 2 3" xfId="12207" xr:uid="{83409CC7-EC59-4BBF-8BF0-9D07DC978513}"/>
    <cellStyle name="40% - Accent6 3 5 3" xfId="5838" xr:uid="{00000000-0005-0000-0000-000052070000}"/>
    <cellStyle name="40% - Accent6 3 5 3 2" xfId="14280" xr:uid="{591EE38E-0B1E-4C23-92A9-F9A1781BF57E}"/>
    <cellStyle name="40% - Accent6 3 5 4" xfId="10062" xr:uid="{2F707495-B1C3-4A6A-B49E-DFAC8304B0E4}"/>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B14E9265-5BE6-43AC-96C6-D59626BEA7EA}"/>
    <cellStyle name="40% - Accent6 3 6 2 3" xfId="12620" xr:uid="{96D54BF3-9215-4FD6-B4F7-81C0780A4F72}"/>
    <cellStyle name="40% - Accent6 3 6 3" xfId="6251" xr:uid="{00000000-0005-0000-0000-000056070000}"/>
    <cellStyle name="40% - Accent6 3 6 3 2" xfId="14693" xr:uid="{75A2B4B5-8F60-4CDA-BC44-5C4B826FCA62}"/>
    <cellStyle name="40% - Accent6 3 6 4" xfId="10475" xr:uid="{C87DDAD0-9610-4319-8A7E-7070594A647B}"/>
    <cellStyle name="40% - Accent6 3 7" xfId="2357" xr:uid="{00000000-0005-0000-0000-000057070000}"/>
    <cellStyle name="40% - Accent6 3 7 2" xfId="6664" xr:uid="{00000000-0005-0000-0000-000058070000}"/>
    <cellStyle name="40% - Accent6 3 7 2 2" xfId="15106" xr:uid="{D49CA86B-A805-4DE3-A80F-493581C9A9EE}"/>
    <cellStyle name="40% - Accent6 3 7 3" xfId="10888" xr:uid="{0C887830-AB30-44EF-BF3A-C1360DB8C324}"/>
    <cellStyle name="40% - Accent6 3 8" xfId="4598" xr:uid="{00000000-0005-0000-0000-000059070000}"/>
    <cellStyle name="40% - Accent6 3 8 2" xfId="13040" xr:uid="{CC063049-93B4-46C1-9F73-D2B8C54FBF19}"/>
    <cellStyle name="40% - Accent6 3 9" xfId="8822" xr:uid="{71479D68-7D04-4B2D-9FF2-9831CD1C7F88}"/>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7CE5AEA9-33C6-4ADB-B908-DDBCB7C6E4AC}"/>
    <cellStyle name="40% - Accent6 4 2 2 3" xfId="11383" xr:uid="{CE390857-F6EB-49D8-9F4F-C43AF2FFE686}"/>
    <cellStyle name="40% - Accent6 4 2 3" xfId="5014" xr:uid="{00000000-0005-0000-0000-00005E070000}"/>
    <cellStyle name="40% - Accent6 4 2 3 2" xfId="13456" xr:uid="{3DD1F932-DFB1-4DD6-8E84-084CE32EB4E3}"/>
    <cellStyle name="40% - Accent6 4 2 4" xfId="9238" xr:uid="{5E0FC376-C82C-43F9-B96E-FDB92E334F08}"/>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822D8B65-64CD-4495-9346-FDE1F1C22374}"/>
    <cellStyle name="40% - Accent6 4 3 2 3" xfId="11796" xr:uid="{DDACDE24-3F48-4767-836E-C0A3C2901A63}"/>
    <cellStyle name="40% - Accent6 4 3 3" xfId="5427" xr:uid="{00000000-0005-0000-0000-000062070000}"/>
    <cellStyle name="40% - Accent6 4 3 3 2" xfId="13869" xr:uid="{E0EB81FF-082D-4C0E-879D-B26042681F40}"/>
    <cellStyle name="40% - Accent6 4 3 4" xfId="9651" xr:uid="{02849746-7314-4E2B-B8C7-5698CFC0742D}"/>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913898ED-AF61-4D0D-AD75-07DEE7CD4DC4}"/>
    <cellStyle name="40% - Accent6 4 4 2 3" xfId="12209" xr:uid="{5C5E0D96-3E84-4D4B-8022-EF569CE7D878}"/>
    <cellStyle name="40% - Accent6 4 4 3" xfId="5840" xr:uid="{00000000-0005-0000-0000-000066070000}"/>
    <cellStyle name="40% - Accent6 4 4 3 2" xfId="14282" xr:uid="{DEB373A4-32A4-4CD6-8B94-D6E59C478E07}"/>
    <cellStyle name="40% - Accent6 4 4 4" xfId="10064" xr:uid="{A413F594-B76B-4367-9A08-AF4377C4BF68}"/>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05BF28EF-19E3-4AE5-91B5-42040AD1C240}"/>
    <cellStyle name="40% - Accent6 4 5 2 3" xfId="12622" xr:uid="{B952210E-0F0A-470D-A894-E34FCBC0C341}"/>
    <cellStyle name="40% - Accent6 4 5 3" xfId="6253" xr:uid="{00000000-0005-0000-0000-00006A070000}"/>
    <cellStyle name="40% - Accent6 4 5 3 2" xfId="14695" xr:uid="{01240C8B-94E4-42EF-8906-904BBF2331BC}"/>
    <cellStyle name="40% - Accent6 4 5 4" xfId="10477" xr:uid="{ABECC93B-7F5F-40B8-8EF8-3DCD080D1100}"/>
    <cellStyle name="40% - Accent6 4 6" xfId="2359" xr:uid="{00000000-0005-0000-0000-00006B070000}"/>
    <cellStyle name="40% - Accent6 4 6 2" xfId="6666" xr:uid="{00000000-0005-0000-0000-00006C070000}"/>
    <cellStyle name="40% - Accent6 4 6 2 2" xfId="15108" xr:uid="{B0DA9D0E-96F8-4129-9243-76F33FFA95C0}"/>
    <cellStyle name="40% - Accent6 4 6 3" xfId="10890" xr:uid="{AFD96039-F8E7-4D03-900F-935972AFA8CA}"/>
    <cellStyle name="40% - Accent6 4 7" xfId="4600" xr:uid="{00000000-0005-0000-0000-00006D070000}"/>
    <cellStyle name="40% - Accent6 4 7 2" xfId="13042" xr:uid="{0A22C3BD-9B05-4F95-A322-4BF4314DCF35}"/>
    <cellStyle name="40% - Accent6 4 8" xfId="8824" xr:uid="{B64E3E32-8A88-455A-B5D0-72542EA18F92}"/>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AA8004FE-F614-4DB1-B208-06240FAA61BC}"/>
    <cellStyle name="40% - Accent6 5 2 3" xfId="11376" xr:uid="{149D998B-5A58-44D3-A67A-48BB11B7DA39}"/>
    <cellStyle name="40% - Accent6 5 3" xfId="5007" xr:uid="{00000000-0005-0000-0000-000071070000}"/>
    <cellStyle name="40% - Accent6 5 3 2" xfId="13449" xr:uid="{EAD80322-28B5-4B52-9E6F-6E21EAE99561}"/>
    <cellStyle name="40% - Accent6 5 4" xfId="9231" xr:uid="{FBECD068-F9B8-4B5D-8BC1-130CCB2BAFF6}"/>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683646FF-C249-42F8-A773-7F97BDC54AF1}"/>
    <cellStyle name="40% - Accent6 6 2 3" xfId="11789" xr:uid="{28CC6BD6-DDAD-46C7-832E-EC4E42B079DD}"/>
    <cellStyle name="40% - Accent6 6 3" xfId="5420" xr:uid="{00000000-0005-0000-0000-000075070000}"/>
    <cellStyle name="40% - Accent6 6 3 2" xfId="13862" xr:uid="{76A6F893-37AB-47E0-8176-CED10CF78774}"/>
    <cellStyle name="40% - Accent6 6 4" xfId="9644" xr:uid="{1615BF7F-62E9-4D8E-A1AD-F61B9F0F2293}"/>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971F9F2E-0F6F-4DC6-BD47-DB43132A696F}"/>
    <cellStyle name="40% - Accent6 7 2 3" xfId="12202" xr:uid="{BEFD09B4-1C5E-4F94-92FD-73157D9D061F}"/>
    <cellStyle name="40% - Accent6 7 3" xfId="5833" xr:uid="{00000000-0005-0000-0000-000079070000}"/>
    <cellStyle name="40% - Accent6 7 3 2" xfId="14275" xr:uid="{064DAA2B-2A79-40BD-B620-49C2197E23E7}"/>
    <cellStyle name="40% - Accent6 7 4" xfId="10057" xr:uid="{ED316F6C-1F29-433E-B82C-D20C48ABC8D9}"/>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22A0B367-5E61-4908-ABB2-4248E8FFBA61}"/>
    <cellStyle name="40% - Accent6 8 2 3" xfId="12615" xr:uid="{9ED8CD93-6B2C-4FF0-B375-5218B49E8FF1}"/>
    <cellStyle name="40% - Accent6 8 3" xfId="6246" xr:uid="{00000000-0005-0000-0000-00007D070000}"/>
    <cellStyle name="40% - Accent6 8 3 2" xfId="14688" xr:uid="{C8FBB87A-7F80-4B56-BF88-B36356BDA69E}"/>
    <cellStyle name="40% - Accent6 8 4" xfId="10470" xr:uid="{181A7C0C-8A6C-4814-83F4-8C0BF9FCCEDA}"/>
    <cellStyle name="40% - Accent6 9" xfId="2352" xr:uid="{00000000-0005-0000-0000-00007E070000}"/>
    <cellStyle name="40% - Accent6 9 2" xfId="6659" xr:uid="{00000000-0005-0000-0000-00007F070000}"/>
    <cellStyle name="40% - Accent6 9 2 2" xfId="15101" xr:uid="{7255DB14-7833-4156-B4C2-4CD2BA9E2B56}"/>
    <cellStyle name="40% - Accent6 9 3" xfId="10883" xr:uid="{5BD2B5F0-8B0F-4893-94A7-569B160734C3}"/>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D4186C9E-AFD8-44C3-82C7-7E5C7E4BEBC6}"/>
    <cellStyle name="Comma 4 2 2 2 10 3" xfId="11208" xr:uid="{E0838DDC-1EC4-423C-AEEB-BD1593973243}"/>
    <cellStyle name="Comma 4 2 2 2 11" xfId="4601" xr:uid="{00000000-0005-0000-0000-0000A3070000}"/>
    <cellStyle name="Comma 4 2 2 2 11 2" xfId="13043" xr:uid="{A0990281-451C-46A2-9232-335C2D94D619}"/>
    <cellStyle name="Comma 4 2 2 2 12" xfId="8825" xr:uid="{8923D221-C494-40BE-823B-42E9EEBC912E}"/>
    <cellStyle name="Comma 4 2 2 2 2" xfId="129" xr:uid="{00000000-0005-0000-0000-0000A4070000}"/>
    <cellStyle name="Comma 4 2 2 2 2 10" xfId="4602" xr:uid="{00000000-0005-0000-0000-0000A5070000}"/>
    <cellStyle name="Comma 4 2 2 2 2 10 2" xfId="13044" xr:uid="{99C22A74-6007-4F1B-BCB5-F1AF759538AC}"/>
    <cellStyle name="Comma 4 2 2 2 2 11" xfId="8826" xr:uid="{62BB1340-EAA5-4EB1-A175-C253A031D487}"/>
    <cellStyle name="Comma 4 2 2 2 2 2" xfId="130" xr:uid="{00000000-0005-0000-0000-0000A6070000}"/>
    <cellStyle name="Comma 4 2 2 2 2 2 10" xfId="8827" xr:uid="{3C1E7E60-37C7-4E21-A554-22F81E9B93CB}"/>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43CEE9E4-DB59-4307-9A65-00BF7B0B25D6}"/>
    <cellStyle name="Comma 4 2 2 2 2 2 2 2 3" xfId="11386" xr:uid="{728E5E14-5073-4516-A0BF-B422681ED5F9}"/>
    <cellStyle name="Comma 4 2 2 2 2 2 2 3" xfId="5017" xr:uid="{00000000-0005-0000-0000-0000AA070000}"/>
    <cellStyle name="Comma 4 2 2 2 2 2 2 3 2" xfId="13459" xr:uid="{59965500-F77E-443E-9042-C504858F5566}"/>
    <cellStyle name="Comma 4 2 2 2 2 2 2 4" xfId="9241" xr:uid="{A8E53B43-3E34-4623-A782-8B3382D66E1A}"/>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6BA1B78E-3A3C-46DF-8733-19B6370B3F03}"/>
    <cellStyle name="Comma 4 2 2 2 2 2 3 2 3" xfId="11799" xr:uid="{C0990CAB-6CC6-417E-BC05-0E99CB109C99}"/>
    <cellStyle name="Comma 4 2 2 2 2 2 3 3" xfId="5430" xr:uid="{00000000-0005-0000-0000-0000AE070000}"/>
    <cellStyle name="Comma 4 2 2 2 2 2 3 3 2" xfId="13872" xr:uid="{6E2B4A07-2A58-4E4E-BEAB-346CB4A66692}"/>
    <cellStyle name="Comma 4 2 2 2 2 2 3 4" xfId="9654" xr:uid="{8C636EC4-6F6C-47B4-B133-E9FC521C0A72}"/>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6D1FC848-D1EF-40AE-9817-8EFBEF43BDC6}"/>
    <cellStyle name="Comma 4 2 2 2 2 2 4 2 3" xfId="12212" xr:uid="{A01ABF22-FD70-4251-9E68-87C806DA6D22}"/>
    <cellStyle name="Comma 4 2 2 2 2 2 4 3" xfId="5843" xr:uid="{00000000-0005-0000-0000-0000B2070000}"/>
    <cellStyle name="Comma 4 2 2 2 2 2 4 3 2" xfId="14285" xr:uid="{EBA7864D-E03D-4265-8932-784F1AD72723}"/>
    <cellStyle name="Comma 4 2 2 2 2 2 4 4" xfId="10067" xr:uid="{FC9EC673-AB75-4735-A855-F0DF2A8133A2}"/>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99D7DCAF-0391-459C-ABFE-88093169D437}"/>
    <cellStyle name="Comma 4 2 2 2 2 2 5 2 3" xfId="12625" xr:uid="{641A541C-4634-4FA0-B27A-CD2B343376F2}"/>
    <cellStyle name="Comma 4 2 2 2 2 2 5 3" xfId="6256" xr:uid="{00000000-0005-0000-0000-0000B6070000}"/>
    <cellStyle name="Comma 4 2 2 2 2 2 5 3 2" xfId="14698" xr:uid="{8F338A61-9FF5-43BB-A063-B2B5567ED94F}"/>
    <cellStyle name="Comma 4 2 2 2 2 2 5 4" xfId="10480" xr:uid="{B7367F4F-91F0-40B9-9635-926ED6B39900}"/>
    <cellStyle name="Comma 4 2 2 2 2 2 6" xfId="2384" xr:uid="{00000000-0005-0000-0000-0000B7070000}"/>
    <cellStyle name="Comma 4 2 2 2 2 2 6 2" xfId="6669" xr:uid="{00000000-0005-0000-0000-0000B8070000}"/>
    <cellStyle name="Comma 4 2 2 2 2 2 6 2 2" xfId="15111" xr:uid="{AE1CA13F-B010-435A-BDBE-20C42E766867}"/>
    <cellStyle name="Comma 4 2 2 2 2 2 6 3" xfId="10893" xr:uid="{AC14B099-220C-498F-AA67-17A69D8FB2AE}"/>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EDCCF701-91DB-46F5-985E-B105924EBEEB}"/>
    <cellStyle name="Comma 4 2 2 2 2 2 8 3" xfId="11210" xr:uid="{B66AE3ED-FB87-450A-A247-0BD54AAEBE01}"/>
    <cellStyle name="Comma 4 2 2 2 2 2 9" xfId="4603" xr:uid="{00000000-0005-0000-0000-0000BC070000}"/>
    <cellStyle name="Comma 4 2 2 2 2 2 9 2" xfId="13045" xr:uid="{BCB136C9-2A84-4028-8009-05554438D6F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95277562-61A3-4877-932B-807F2F8F43BB}"/>
    <cellStyle name="Comma 4 2 2 2 2 3 2 3" xfId="11385" xr:uid="{FEA980D6-EA73-4205-8E0E-258CDB87809C}"/>
    <cellStyle name="Comma 4 2 2 2 2 3 3" xfId="5016" xr:uid="{00000000-0005-0000-0000-0000C0070000}"/>
    <cellStyle name="Comma 4 2 2 2 2 3 3 2" xfId="13458" xr:uid="{D18978CB-D57F-4D1B-894F-731C965F99E9}"/>
    <cellStyle name="Comma 4 2 2 2 2 3 4" xfId="9240" xr:uid="{D59D525C-DC78-4AB6-992F-E40C20672FA9}"/>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F2C192EA-730C-40DE-B712-A8601872F45F}"/>
    <cellStyle name="Comma 4 2 2 2 2 4 2 3" xfId="11798" xr:uid="{E2DA1000-BA5F-480D-B13C-4B1435DD3CC2}"/>
    <cellStyle name="Comma 4 2 2 2 2 4 3" xfId="5429" xr:uid="{00000000-0005-0000-0000-0000C4070000}"/>
    <cellStyle name="Comma 4 2 2 2 2 4 3 2" xfId="13871" xr:uid="{EF7DDA56-2EC6-4030-A082-D16DAFD98FD8}"/>
    <cellStyle name="Comma 4 2 2 2 2 4 4" xfId="9653" xr:uid="{D63CC2F9-7366-42A9-9B54-10EF967134C6}"/>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3B6DBCBE-FC76-454D-AD6C-6BAB91833857}"/>
    <cellStyle name="Comma 4 2 2 2 2 5 2 3" xfId="12211" xr:uid="{75D407DA-762F-400E-A8F4-D6B6A58EB454}"/>
    <cellStyle name="Comma 4 2 2 2 2 5 3" xfId="5842" xr:uid="{00000000-0005-0000-0000-0000C8070000}"/>
    <cellStyle name="Comma 4 2 2 2 2 5 3 2" xfId="14284" xr:uid="{9DD20719-809D-4E77-9D66-73B16694C170}"/>
    <cellStyle name="Comma 4 2 2 2 2 5 4" xfId="10066" xr:uid="{186F68CC-6F9F-4493-9AA2-A91BA9ECD9A3}"/>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0832EBDF-5536-4A59-9BB1-8BD663811451}"/>
    <cellStyle name="Comma 4 2 2 2 2 6 2 3" xfId="12624" xr:uid="{6E5B1131-40EC-4629-9CE8-E4F6E8C59CBD}"/>
    <cellStyle name="Comma 4 2 2 2 2 6 3" xfId="6255" xr:uid="{00000000-0005-0000-0000-0000CC070000}"/>
    <cellStyle name="Comma 4 2 2 2 2 6 3 2" xfId="14697" xr:uid="{CE7939F6-B715-4A4E-93DE-399D86923AFB}"/>
    <cellStyle name="Comma 4 2 2 2 2 6 4" xfId="10479" xr:uid="{276AED78-4D5E-41B5-91E8-7D4E5631AFBB}"/>
    <cellStyle name="Comma 4 2 2 2 2 7" xfId="2383" xr:uid="{00000000-0005-0000-0000-0000CD070000}"/>
    <cellStyle name="Comma 4 2 2 2 2 7 2" xfId="6668" xr:uid="{00000000-0005-0000-0000-0000CE070000}"/>
    <cellStyle name="Comma 4 2 2 2 2 7 2 2" xfId="15110" xr:uid="{B4389EAA-7173-41D3-8481-01792696D5BD}"/>
    <cellStyle name="Comma 4 2 2 2 2 7 3" xfId="10892" xr:uid="{9741B317-7A4D-4A66-B02D-255063CFF4F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CA2478F8-F6D5-47D3-A0DC-A49013406ADE}"/>
    <cellStyle name="Comma 4 2 2 2 2 9 3" xfId="11209" xr:uid="{C357C43B-1446-429D-8048-0DF4C9736C34}"/>
    <cellStyle name="Comma 4 2 2 2 3" xfId="131" xr:uid="{00000000-0005-0000-0000-0000D2070000}"/>
    <cellStyle name="Comma 4 2 2 2 3 10" xfId="8828" xr:uid="{4455A04B-A7C9-40A6-B499-5F6B30F55AB3}"/>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A4FAD57C-7FC3-4010-BA97-9FF0F708A40A}"/>
    <cellStyle name="Comma 4 2 2 2 3 2 2 3" xfId="11387" xr:uid="{5C32D494-A069-41AE-BCA5-169288AE18F5}"/>
    <cellStyle name="Comma 4 2 2 2 3 2 3" xfId="5018" xr:uid="{00000000-0005-0000-0000-0000D6070000}"/>
    <cellStyle name="Comma 4 2 2 2 3 2 3 2" xfId="13460" xr:uid="{D337DE03-62DD-4EC3-872D-9A6BE369D96F}"/>
    <cellStyle name="Comma 4 2 2 2 3 2 4" xfId="9242" xr:uid="{6432A683-52F3-48A0-9CF7-059E95653233}"/>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DF9DD1DB-B01E-47BC-A757-82CFAB3DBFD7}"/>
    <cellStyle name="Comma 4 2 2 2 3 3 2 3" xfId="11800" xr:uid="{8AD11CE2-5BDD-46F1-8F7A-DA2A9EAD6686}"/>
    <cellStyle name="Comma 4 2 2 2 3 3 3" xfId="5431" xr:uid="{00000000-0005-0000-0000-0000DA070000}"/>
    <cellStyle name="Comma 4 2 2 2 3 3 3 2" xfId="13873" xr:uid="{5B3819F7-621E-4EA9-8438-F1887D41915A}"/>
    <cellStyle name="Comma 4 2 2 2 3 3 4" xfId="9655" xr:uid="{E971E8B0-05AF-49A6-A8D9-F402C694E91C}"/>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2A599ADA-ECF5-41CF-BA38-EBE7EAD1923B}"/>
    <cellStyle name="Comma 4 2 2 2 3 4 2 3" xfId="12213" xr:uid="{E0A2F44D-F92D-439F-8D5A-F588F7D0ED13}"/>
    <cellStyle name="Comma 4 2 2 2 3 4 3" xfId="5844" xr:uid="{00000000-0005-0000-0000-0000DE070000}"/>
    <cellStyle name="Comma 4 2 2 2 3 4 3 2" xfId="14286" xr:uid="{CC01DFF9-FA68-47C2-8E44-0C69F1BA9158}"/>
    <cellStyle name="Comma 4 2 2 2 3 4 4" xfId="10068" xr:uid="{0CE79038-7BAB-4D96-9B9F-D06DD1204DF1}"/>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D4887DE6-78ED-48D5-98CB-7F11AF643D09}"/>
    <cellStyle name="Comma 4 2 2 2 3 5 2 3" xfId="12626" xr:uid="{1C48171C-CCB8-410D-8E67-892271998E30}"/>
    <cellStyle name="Comma 4 2 2 2 3 5 3" xfId="6257" xr:uid="{00000000-0005-0000-0000-0000E2070000}"/>
    <cellStyle name="Comma 4 2 2 2 3 5 3 2" xfId="14699" xr:uid="{592C68B2-B934-428B-8C08-FCD030B11265}"/>
    <cellStyle name="Comma 4 2 2 2 3 5 4" xfId="10481" xr:uid="{543FE4E9-13BB-439A-A637-7D026348C5B2}"/>
    <cellStyle name="Comma 4 2 2 2 3 6" xfId="2385" xr:uid="{00000000-0005-0000-0000-0000E3070000}"/>
    <cellStyle name="Comma 4 2 2 2 3 6 2" xfId="6670" xr:uid="{00000000-0005-0000-0000-0000E4070000}"/>
    <cellStyle name="Comma 4 2 2 2 3 6 2 2" xfId="15112" xr:uid="{55F8E72A-C1EB-44D3-B3E4-08C2BDB2269E}"/>
    <cellStyle name="Comma 4 2 2 2 3 6 3" xfId="10894" xr:uid="{B95A6616-5D68-47DA-B845-89F5759CA08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E15B518A-2D6A-49C2-8904-02B297D8512F}"/>
    <cellStyle name="Comma 4 2 2 2 3 8 3" xfId="11211" xr:uid="{143FDFA7-2090-4D22-997F-08C1AE5FD324}"/>
    <cellStyle name="Comma 4 2 2 2 3 9" xfId="4604" xr:uid="{00000000-0005-0000-0000-0000E8070000}"/>
    <cellStyle name="Comma 4 2 2 2 3 9 2" xfId="13046" xr:uid="{46A56D20-78CA-486F-8F8A-0CDB78ECFB0B}"/>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88EC8A38-CD28-4520-AD02-045B2C0A9553}"/>
    <cellStyle name="Comma 4 2 2 2 4 2 3" xfId="11384" xr:uid="{5ED5EB4E-19F0-495E-B78D-0690D752FEDE}"/>
    <cellStyle name="Comma 4 2 2 2 4 3" xfId="5015" xr:uid="{00000000-0005-0000-0000-0000EC070000}"/>
    <cellStyle name="Comma 4 2 2 2 4 3 2" xfId="13457" xr:uid="{A8227741-9757-4B20-8765-5CB3E8915B3D}"/>
    <cellStyle name="Comma 4 2 2 2 4 4" xfId="9239" xr:uid="{5A227394-09F5-422E-9D09-CAF7E5E3D0C4}"/>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7111F28A-98EE-4503-893E-06DA881445D6}"/>
    <cellStyle name="Comma 4 2 2 2 5 2 3" xfId="11797" xr:uid="{98BFF0CE-A03C-4620-AF22-62BB181934A7}"/>
    <cellStyle name="Comma 4 2 2 2 5 3" xfId="5428" xr:uid="{00000000-0005-0000-0000-0000F0070000}"/>
    <cellStyle name="Comma 4 2 2 2 5 3 2" xfId="13870" xr:uid="{E7B2AC53-4859-4691-BEEC-E89DA25B8EF0}"/>
    <cellStyle name="Comma 4 2 2 2 5 4" xfId="9652" xr:uid="{03D86ACF-7559-4818-991D-1E7BC874CF36}"/>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4D83DD55-7A64-43D9-B6F9-F2D05456E2D2}"/>
    <cellStyle name="Comma 4 2 2 2 6 2 3" xfId="12210" xr:uid="{095B0902-E45C-425F-B65E-32DD5C63D25F}"/>
    <cellStyle name="Comma 4 2 2 2 6 3" xfId="5841" xr:uid="{00000000-0005-0000-0000-0000F4070000}"/>
    <cellStyle name="Comma 4 2 2 2 6 3 2" xfId="14283" xr:uid="{B4180986-1875-4275-AAA6-B09E78DB29B4}"/>
    <cellStyle name="Comma 4 2 2 2 6 4" xfId="10065" xr:uid="{9E76FD8A-9BBC-4133-9CE0-AD3CEB9699A9}"/>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384663B1-B6D2-4DA9-B848-17877C915445}"/>
    <cellStyle name="Comma 4 2 2 2 7 2 3" xfId="12623" xr:uid="{34623744-F860-4F4F-B13C-D96541077156}"/>
    <cellStyle name="Comma 4 2 2 2 7 3" xfId="6254" xr:uid="{00000000-0005-0000-0000-0000F8070000}"/>
    <cellStyle name="Comma 4 2 2 2 7 3 2" xfId="14696" xr:uid="{7706AB98-3D49-4197-9217-13B4E84A43FC}"/>
    <cellStyle name="Comma 4 2 2 2 7 4" xfId="10478" xr:uid="{1A8641DF-4328-48A6-9664-3729A212F41E}"/>
    <cellStyle name="Comma 4 2 2 2 8" xfId="2382" xr:uid="{00000000-0005-0000-0000-0000F9070000}"/>
    <cellStyle name="Comma 4 2 2 2 8 2" xfId="6667" xr:uid="{00000000-0005-0000-0000-0000FA070000}"/>
    <cellStyle name="Comma 4 2 2 2 8 2 2" xfId="15109" xr:uid="{9729CE03-0920-4BE1-A9FF-B11652641AA2}"/>
    <cellStyle name="Comma 4 2 2 2 8 3" xfId="10891" xr:uid="{7400BE05-79A6-4ACD-8F3A-76A806CFFAEE}"/>
    <cellStyle name="Comma 4 2 2 2 9" xfId="2381" xr:uid="{00000000-0005-0000-0000-0000FB070000}"/>
    <cellStyle name="Comma 4 2 2 3" xfId="132" xr:uid="{00000000-0005-0000-0000-0000FC070000}"/>
    <cellStyle name="Comma 4 2 2 3 10" xfId="4605" xr:uid="{00000000-0005-0000-0000-0000FD070000}"/>
    <cellStyle name="Comma 4 2 2 3 10 2" xfId="13047" xr:uid="{9D493FF3-5479-47F5-ADF9-FE9A0F6BA15C}"/>
    <cellStyle name="Comma 4 2 2 3 11" xfId="8829" xr:uid="{E9070373-6DFD-4C33-8ACD-C4F99A18C7A3}"/>
    <cellStyle name="Comma 4 2 2 3 2" xfId="133" xr:uid="{00000000-0005-0000-0000-0000FE070000}"/>
    <cellStyle name="Comma 4 2 2 3 2 10" xfId="8830" xr:uid="{43DDE39C-7BB5-4BA5-9DFF-AC3A3F8FF21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797C03BB-9413-4DEE-A664-453C2A8A308A}"/>
    <cellStyle name="Comma 4 2 2 3 2 2 2 3" xfId="11389" xr:uid="{755F275B-B41D-4BA4-9108-AC1CF1034725}"/>
    <cellStyle name="Comma 4 2 2 3 2 2 3" xfId="5020" xr:uid="{00000000-0005-0000-0000-000002080000}"/>
    <cellStyle name="Comma 4 2 2 3 2 2 3 2" xfId="13462" xr:uid="{169E6292-289B-4634-A3A4-982E1ACFA8B7}"/>
    <cellStyle name="Comma 4 2 2 3 2 2 4" xfId="9244" xr:uid="{7EFCE84B-D3CC-4CD5-B26B-FCDE47695FDF}"/>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7B2380E0-23F2-469A-AD30-DA9E879583FB}"/>
    <cellStyle name="Comma 4 2 2 3 2 3 2 3" xfId="11802" xr:uid="{84163374-B6B4-43AC-B399-B2484C2299F6}"/>
    <cellStyle name="Comma 4 2 2 3 2 3 3" xfId="5433" xr:uid="{00000000-0005-0000-0000-000006080000}"/>
    <cellStyle name="Comma 4 2 2 3 2 3 3 2" xfId="13875" xr:uid="{3938CDA6-80C6-4E43-961B-96BB2A00E2A1}"/>
    <cellStyle name="Comma 4 2 2 3 2 3 4" xfId="9657" xr:uid="{F1865AC9-27E8-486A-8CC4-03E130B7675E}"/>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2721461F-45B6-45F8-894C-2BBC313CB490}"/>
    <cellStyle name="Comma 4 2 2 3 2 4 2 3" xfId="12215" xr:uid="{B93D4FDA-82CA-4973-8800-66DD3BA479D8}"/>
    <cellStyle name="Comma 4 2 2 3 2 4 3" xfId="5846" xr:uid="{00000000-0005-0000-0000-00000A080000}"/>
    <cellStyle name="Comma 4 2 2 3 2 4 3 2" xfId="14288" xr:uid="{713FC14F-9B92-4751-A848-B6EE764ED85D}"/>
    <cellStyle name="Comma 4 2 2 3 2 4 4" xfId="10070" xr:uid="{C021FD31-D37C-46EE-B81F-58340E02D5E3}"/>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4D735BEC-027B-4D9E-B388-C7137D7F0E90}"/>
    <cellStyle name="Comma 4 2 2 3 2 5 2 3" xfId="12628" xr:uid="{1C8DDE7F-6FEA-4821-BD21-FDD899CD2CFE}"/>
    <cellStyle name="Comma 4 2 2 3 2 5 3" xfId="6259" xr:uid="{00000000-0005-0000-0000-00000E080000}"/>
    <cellStyle name="Comma 4 2 2 3 2 5 3 2" xfId="14701" xr:uid="{AFBB0FC7-1420-4E10-A197-7A5994FF83E3}"/>
    <cellStyle name="Comma 4 2 2 3 2 5 4" xfId="10483" xr:uid="{B89C611F-DA0B-496F-AF80-C351A6CB74B0}"/>
    <cellStyle name="Comma 4 2 2 3 2 6" xfId="2387" xr:uid="{00000000-0005-0000-0000-00000F080000}"/>
    <cellStyle name="Comma 4 2 2 3 2 6 2" xfId="6672" xr:uid="{00000000-0005-0000-0000-000010080000}"/>
    <cellStyle name="Comma 4 2 2 3 2 6 2 2" xfId="15114" xr:uid="{D96B38B4-D3E8-4C4F-9073-81C2BF10ED13}"/>
    <cellStyle name="Comma 4 2 2 3 2 6 3" xfId="10896" xr:uid="{03693A44-CA53-4B94-9233-9233D061E0DD}"/>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3D39FCBA-AEFB-4038-9551-0870802EACCD}"/>
    <cellStyle name="Comma 4 2 2 3 2 8 3" xfId="11213" xr:uid="{1AF1D971-D45A-4D1A-A1BD-EE05E1200047}"/>
    <cellStyle name="Comma 4 2 2 3 2 9" xfId="4606" xr:uid="{00000000-0005-0000-0000-000014080000}"/>
    <cellStyle name="Comma 4 2 2 3 2 9 2" xfId="13048" xr:uid="{48852C43-D12B-4808-9B9B-2146D29F77FE}"/>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0B13CC32-82A4-445F-8C60-85C44807915A}"/>
    <cellStyle name="Comma 4 2 2 3 3 2 3" xfId="11388" xr:uid="{ADB67A33-CA03-495A-AA1F-8AD1CCBEF09C}"/>
    <cellStyle name="Comma 4 2 2 3 3 3" xfId="5019" xr:uid="{00000000-0005-0000-0000-000018080000}"/>
    <cellStyle name="Comma 4 2 2 3 3 3 2" xfId="13461" xr:uid="{05D30198-3F4D-4A6D-9EAF-0918C109DE8E}"/>
    <cellStyle name="Comma 4 2 2 3 3 4" xfId="9243" xr:uid="{44161EA4-6507-4EE6-A3BD-D5EC24A38054}"/>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9B6A4228-9FCD-4657-98B5-F9D80D8D7E9A}"/>
    <cellStyle name="Comma 4 2 2 3 4 2 3" xfId="11801" xr:uid="{256F82A9-3FF2-4FC8-9AB4-CDB9E9B5AF4F}"/>
    <cellStyle name="Comma 4 2 2 3 4 3" xfId="5432" xr:uid="{00000000-0005-0000-0000-00001C080000}"/>
    <cellStyle name="Comma 4 2 2 3 4 3 2" xfId="13874" xr:uid="{A7013A35-FE40-4C0B-8333-7B86F7F218DD}"/>
    <cellStyle name="Comma 4 2 2 3 4 4" xfId="9656" xr:uid="{1FCC1968-3180-485E-9349-7B5A1008B20F}"/>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BCBDDE42-37E4-4A1D-88EF-4B30ACC2AEB6}"/>
    <cellStyle name="Comma 4 2 2 3 5 2 3" xfId="12214" xr:uid="{E4BD437F-0F05-4703-A50E-D9DA863A1FDF}"/>
    <cellStyle name="Comma 4 2 2 3 5 3" xfId="5845" xr:uid="{00000000-0005-0000-0000-000020080000}"/>
    <cellStyle name="Comma 4 2 2 3 5 3 2" xfId="14287" xr:uid="{E7B7FBD3-7CA9-4691-8C14-1B4306565E99}"/>
    <cellStyle name="Comma 4 2 2 3 5 4" xfId="10069" xr:uid="{181668C6-CBCA-4602-95DD-9EE912D71396}"/>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BAEA6C53-D7BA-4F93-B2A8-F34226B91752}"/>
    <cellStyle name="Comma 4 2 2 3 6 2 3" xfId="12627" xr:uid="{5365B8FD-74E3-416A-80E2-896C5977CE01}"/>
    <cellStyle name="Comma 4 2 2 3 6 3" xfId="6258" xr:uid="{00000000-0005-0000-0000-000024080000}"/>
    <cellStyle name="Comma 4 2 2 3 6 3 2" xfId="14700" xr:uid="{AE02657E-4345-4A5E-A821-152A1C331EFC}"/>
    <cellStyle name="Comma 4 2 2 3 6 4" xfId="10482" xr:uid="{7DF2F123-0AD0-4493-A9EE-6E10B64F0151}"/>
    <cellStyle name="Comma 4 2 2 3 7" xfId="2386" xr:uid="{00000000-0005-0000-0000-000025080000}"/>
    <cellStyle name="Comma 4 2 2 3 7 2" xfId="6671" xr:uid="{00000000-0005-0000-0000-000026080000}"/>
    <cellStyle name="Comma 4 2 2 3 7 2 2" xfId="15113" xr:uid="{AC5000F6-B247-4C7C-8959-F2AA941CA12A}"/>
    <cellStyle name="Comma 4 2 2 3 7 3" xfId="10895" xr:uid="{6DEC3643-D773-43DB-A0EB-8AF7ED25E9D8}"/>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F2749DDB-6F53-4EDE-B118-4238D661CD08}"/>
    <cellStyle name="Comma 4 2 2 3 9 3" xfId="11212" xr:uid="{66C0D1EB-0EBC-4B02-93BF-6F10220725A9}"/>
    <cellStyle name="Comma 4 2 2 4" xfId="134" xr:uid="{00000000-0005-0000-0000-00002A080000}"/>
    <cellStyle name="Comma 4 2 2 4 10" xfId="8831" xr:uid="{33BB1322-616C-4E0A-9AE8-CBD5CD1DF949}"/>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72DC2794-EF91-4635-A993-E042C677A4CA}"/>
    <cellStyle name="Comma 4 2 2 4 2 2 3" xfId="11390" xr:uid="{6F7D9CDE-BA08-40E9-B71C-9416D0EC54A5}"/>
    <cellStyle name="Comma 4 2 2 4 2 3" xfId="5021" xr:uid="{00000000-0005-0000-0000-00002E080000}"/>
    <cellStyle name="Comma 4 2 2 4 2 3 2" xfId="13463" xr:uid="{5C680356-FFAF-4D57-A321-3F02646440FE}"/>
    <cellStyle name="Comma 4 2 2 4 2 4" xfId="9245" xr:uid="{CDC14389-11BA-4133-A414-7FBA7B13DF57}"/>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645BF29B-B3D2-4E0A-B84C-F1EFB4A3043F}"/>
    <cellStyle name="Comma 4 2 2 4 3 2 3" xfId="11803" xr:uid="{76EBEF0F-7E17-4D7D-8A3E-87832A4B7321}"/>
    <cellStyle name="Comma 4 2 2 4 3 3" xfId="5434" xr:uid="{00000000-0005-0000-0000-000032080000}"/>
    <cellStyle name="Comma 4 2 2 4 3 3 2" xfId="13876" xr:uid="{907D0568-83BA-4364-89D6-B4EE2D9F4B0C}"/>
    <cellStyle name="Comma 4 2 2 4 3 4" xfId="9658" xr:uid="{3B0974BD-5E6D-4F2E-8959-346AFBD07690}"/>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E6E627B8-4772-474E-8986-9E7162B7D4E2}"/>
    <cellStyle name="Comma 4 2 2 4 4 2 3" xfId="12216" xr:uid="{C7D50C26-D86E-49F0-B3F7-5C2C050F5A22}"/>
    <cellStyle name="Comma 4 2 2 4 4 3" xfId="5847" xr:uid="{00000000-0005-0000-0000-000036080000}"/>
    <cellStyle name="Comma 4 2 2 4 4 3 2" xfId="14289" xr:uid="{7A8049CB-4EE8-4C30-A7F9-3A60025D5C64}"/>
    <cellStyle name="Comma 4 2 2 4 4 4" xfId="10071" xr:uid="{DE2B8A67-AAC8-49A4-9C89-91BAA7237EC9}"/>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2272C3C3-9AF7-4EEA-BF0B-E2C039A32BBB}"/>
    <cellStyle name="Comma 4 2 2 4 5 2 3" xfId="12629" xr:uid="{DDED9968-080B-41A3-964D-858308310FB2}"/>
    <cellStyle name="Comma 4 2 2 4 5 3" xfId="6260" xr:uid="{00000000-0005-0000-0000-00003A080000}"/>
    <cellStyle name="Comma 4 2 2 4 5 3 2" xfId="14702" xr:uid="{8F525484-920B-4261-9D75-E32F78668B92}"/>
    <cellStyle name="Comma 4 2 2 4 5 4" xfId="10484" xr:uid="{4F7C0DBA-A33C-49ED-A5E9-8CCFEE6C0F0E}"/>
    <cellStyle name="Comma 4 2 2 4 6" xfId="2388" xr:uid="{00000000-0005-0000-0000-00003B080000}"/>
    <cellStyle name="Comma 4 2 2 4 6 2" xfId="6673" xr:uid="{00000000-0005-0000-0000-00003C080000}"/>
    <cellStyle name="Comma 4 2 2 4 6 2 2" xfId="15115" xr:uid="{B8A0D2B3-CB98-4949-BFD7-2A83A5D307AA}"/>
    <cellStyle name="Comma 4 2 2 4 6 3" xfId="10897" xr:uid="{B4B173EC-D8CF-44C1-8C74-F868DC6E4208}"/>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A9FF3227-B734-4078-A946-FBA153E23C26}"/>
    <cellStyle name="Comma 4 2 2 4 8 3" xfId="11214" xr:uid="{84567A1B-8477-4A59-BDCF-F24BC88C2A58}"/>
    <cellStyle name="Comma 4 2 2 4 9" xfId="4607" xr:uid="{00000000-0005-0000-0000-000040080000}"/>
    <cellStyle name="Comma 4 2 2 4 9 2" xfId="13049" xr:uid="{1C2AF3FF-C97B-49A8-9D07-334AC7324868}"/>
    <cellStyle name="Comma 4 2 2 5" xfId="135" xr:uid="{00000000-0005-0000-0000-000041080000}"/>
    <cellStyle name="Comma 4 2 2 5 10" xfId="8832" xr:uid="{363B09F7-2A50-4FF6-BEDA-C38E4458D370}"/>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865825B8-F6B4-4271-B38E-4455417391C6}"/>
    <cellStyle name="Comma 4 2 2 5 2 2 3" xfId="11391" xr:uid="{15927563-6215-4823-8CDB-78F1EC7DAE29}"/>
    <cellStyle name="Comma 4 2 2 5 2 3" xfId="5022" xr:uid="{00000000-0005-0000-0000-000045080000}"/>
    <cellStyle name="Comma 4 2 2 5 2 3 2" xfId="13464" xr:uid="{B4B7364F-FF7C-4474-A85F-E562775CD0C2}"/>
    <cellStyle name="Comma 4 2 2 5 2 4" xfId="9246" xr:uid="{09A4559C-DE20-416D-A2FC-22C4E181C46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BD8B159A-62F5-4382-ADB8-A2A77F39ECAD}"/>
    <cellStyle name="Comma 4 2 2 5 3 2 3" xfId="11804" xr:uid="{81CAFB27-2AEB-4C22-A291-31AF8C3F7965}"/>
    <cellStyle name="Comma 4 2 2 5 3 3" xfId="5435" xr:uid="{00000000-0005-0000-0000-000049080000}"/>
    <cellStyle name="Comma 4 2 2 5 3 3 2" xfId="13877" xr:uid="{11876BB0-2BC3-486C-BFD0-5024BA1EE61C}"/>
    <cellStyle name="Comma 4 2 2 5 3 4" xfId="9659" xr:uid="{6C9198A7-1D81-4C54-85BA-B8F60E108992}"/>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EF0A359B-8195-413C-940F-7FCE7709ABFB}"/>
    <cellStyle name="Comma 4 2 2 5 4 2 3" xfId="12217" xr:uid="{2F3C8B39-7674-4B9B-B8EC-D065C44C0445}"/>
    <cellStyle name="Comma 4 2 2 5 4 3" xfId="5848" xr:uid="{00000000-0005-0000-0000-00004D080000}"/>
    <cellStyle name="Comma 4 2 2 5 4 3 2" xfId="14290" xr:uid="{3122D3AF-669A-4C7A-A59C-45B63D1EE78D}"/>
    <cellStyle name="Comma 4 2 2 5 4 4" xfId="10072" xr:uid="{B6B69F7E-55CE-4F27-9B07-84DB06B0F76F}"/>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F3CEB88B-3BB3-4B46-9759-027E6FF576B2}"/>
    <cellStyle name="Comma 4 2 2 5 5 2 3" xfId="12630" xr:uid="{AFE2A3D2-C371-4038-A5C3-7D19768E8AE5}"/>
    <cellStyle name="Comma 4 2 2 5 5 3" xfId="6261" xr:uid="{00000000-0005-0000-0000-000051080000}"/>
    <cellStyle name="Comma 4 2 2 5 5 3 2" xfId="14703" xr:uid="{9CDA9439-784F-4C4A-B7B5-D6216C390EA0}"/>
    <cellStyle name="Comma 4 2 2 5 5 4" xfId="10485" xr:uid="{37C002C8-A1AB-4C60-9B01-776C446703D1}"/>
    <cellStyle name="Comma 4 2 2 5 6" xfId="2389" xr:uid="{00000000-0005-0000-0000-000052080000}"/>
    <cellStyle name="Comma 4 2 2 5 6 2" xfId="6674" xr:uid="{00000000-0005-0000-0000-000053080000}"/>
    <cellStyle name="Comma 4 2 2 5 6 2 2" xfId="15116" xr:uid="{96EBA3EB-282B-4E17-A602-1ED40CD3AB44}"/>
    <cellStyle name="Comma 4 2 2 5 6 3" xfId="10898" xr:uid="{F5A70C1B-B82E-49E7-B223-6EA420BAD206}"/>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804F035A-9301-45DB-A9C6-04DDE4327F92}"/>
    <cellStyle name="Comma 4 2 2 5 8 3" xfId="11215" xr:uid="{903FA40C-E56D-4338-BF27-A6F642CAF3B2}"/>
    <cellStyle name="Comma 4 2 2 5 9" xfId="4608" xr:uid="{00000000-0005-0000-0000-000057080000}"/>
    <cellStyle name="Comma 4 2 2 5 9 2" xfId="13050" xr:uid="{8B0BBE52-918E-4A1F-AEBB-658D7D540611}"/>
    <cellStyle name="Comma 4 2 3" xfId="136" xr:uid="{00000000-0005-0000-0000-000058080000}"/>
    <cellStyle name="Comma 4 2 3 10" xfId="2768" xr:uid="{00000000-0005-0000-0000-000059080000}"/>
    <cellStyle name="Comma 4 2 3 10 2" xfId="6992" xr:uid="{00000000-0005-0000-0000-00005A080000}"/>
    <cellStyle name="Comma 4 2 3 10 2 2" xfId="15434" xr:uid="{FD19077E-A1F5-4237-BAAF-5A228B79D067}"/>
    <cellStyle name="Comma 4 2 3 10 3" xfId="11216" xr:uid="{C0DCFB40-A9ED-45E7-924A-591E3312D34E}"/>
    <cellStyle name="Comma 4 2 3 11" xfId="4609" xr:uid="{00000000-0005-0000-0000-00005B080000}"/>
    <cellStyle name="Comma 4 2 3 11 2" xfId="13051" xr:uid="{6B49902A-D26D-4F1E-AFF4-144F2211D80D}"/>
    <cellStyle name="Comma 4 2 3 12" xfId="8833" xr:uid="{9F39F76F-88A2-439E-980A-35690B71DCB0}"/>
    <cellStyle name="Comma 4 2 3 2" xfId="137" xr:uid="{00000000-0005-0000-0000-00005C080000}"/>
    <cellStyle name="Comma 4 2 3 2 10" xfId="4610" xr:uid="{00000000-0005-0000-0000-00005D080000}"/>
    <cellStyle name="Comma 4 2 3 2 10 2" xfId="13052" xr:uid="{2D67BB76-5D56-44AC-B992-885675BE95E7}"/>
    <cellStyle name="Comma 4 2 3 2 11" xfId="8834" xr:uid="{13BD3F51-89C7-40FD-A37C-4A7B18B59CD8}"/>
    <cellStyle name="Comma 4 2 3 2 2" xfId="138" xr:uid="{00000000-0005-0000-0000-00005E080000}"/>
    <cellStyle name="Comma 4 2 3 2 2 10" xfId="8835" xr:uid="{DB7630B5-2C83-4099-8397-70530FD6467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F15B375F-9D54-4C92-A071-F18416433F1F}"/>
    <cellStyle name="Comma 4 2 3 2 2 2 2 3" xfId="11394" xr:uid="{FAD6773F-8D8A-412B-B2EE-D8BDE6D810B1}"/>
    <cellStyle name="Comma 4 2 3 2 2 2 3" xfId="5025" xr:uid="{00000000-0005-0000-0000-000062080000}"/>
    <cellStyle name="Comma 4 2 3 2 2 2 3 2" xfId="13467" xr:uid="{393A2DE8-2E23-49F4-9020-6A9B4B690DE8}"/>
    <cellStyle name="Comma 4 2 3 2 2 2 4" xfId="9249" xr:uid="{57DEF62B-36C9-4305-9961-1FA6BFF06CAD}"/>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F7F0F351-71CD-41D4-BE38-88EDFA4E9A7F}"/>
    <cellStyle name="Comma 4 2 3 2 2 3 2 3" xfId="11807" xr:uid="{1366BF5F-618B-49FE-8DE7-292DAF3B0EEF}"/>
    <cellStyle name="Comma 4 2 3 2 2 3 3" xfId="5438" xr:uid="{00000000-0005-0000-0000-000066080000}"/>
    <cellStyle name="Comma 4 2 3 2 2 3 3 2" xfId="13880" xr:uid="{E2DB683F-AD30-446C-80C0-04FB8C0E679A}"/>
    <cellStyle name="Comma 4 2 3 2 2 3 4" xfId="9662" xr:uid="{A2F91E01-9CE4-4D03-95B9-19222B4CD281}"/>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2D89BE7D-09D4-4425-AB16-7F6606092DD1}"/>
    <cellStyle name="Comma 4 2 3 2 2 4 2 3" xfId="12220" xr:uid="{F04EECF3-1239-4D7C-B10D-95080959B951}"/>
    <cellStyle name="Comma 4 2 3 2 2 4 3" xfId="5851" xr:uid="{00000000-0005-0000-0000-00006A080000}"/>
    <cellStyle name="Comma 4 2 3 2 2 4 3 2" xfId="14293" xr:uid="{55B31199-9B10-461F-9351-204CC159F7F8}"/>
    <cellStyle name="Comma 4 2 3 2 2 4 4" xfId="10075" xr:uid="{9395F253-FA64-46EA-A9CB-0511CADBB1E3}"/>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9DDEABBD-0710-4D67-A5A1-0C8DEB0A251C}"/>
    <cellStyle name="Comma 4 2 3 2 2 5 2 3" xfId="12633" xr:uid="{A9726362-B68D-44A1-A84C-70F1EDD7A5C0}"/>
    <cellStyle name="Comma 4 2 3 2 2 5 3" xfId="6264" xr:uid="{00000000-0005-0000-0000-00006E080000}"/>
    <cellStyle name="Comma 4 2 3 2 2 5 3 2" xfId="14706" xr:uid="{B41769BD-DA56-4D6E-BD77-19293986D220}"/>
    <cellStyle name="Comma 4 2 3 2 2 5 4" xfId="10488" xr:uid="{F98C8672-9899-4CC4-8554-E3980E2C47D5}"/>
    <cellStyle name="Comma 4 2 3 2 2 6" xfId="2392" xr:uid="{00000000-0005-0000-0000-00006F080000}"/>
    <cellStyle name="Comma 4 2 3 2 2 6 2" xfId="6677" xr:uid="{00000000-0005-0000-0000-000070080000}"/>
    <cellStyle name="Comma 4 2 3 2 2 6 2 2" xfId="15119" xr:uid="{B9B9A6FE-00BF-4528-B5DD-CC9F20250E15}"/>
    <cellStyle name="Comma 4 2 3 2 2 6 3" xfId="10901" xr:uid="{04A0E5C2-54E0-4773-8F89-A7DA4FB025F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D5E23396-7928-4359-8201-9DC63F70ACCE}"/>
    <cellStyle name="Comma 4 2 3 2 2 8 3" xfId="11218" xr:uid="{20BCD7A1-D794-4E2A-9191-7D9E1BC75C31}"/>
    <cellStyle name="Comma 4 2 3 2 2 9" xfId="4611" xr:uid="{00000000-0005-0000-0000-000074080000}"/>
    <cellStyle name="Comma 4 2 3 2 2 9 2" xfId="13053" xr:uid="{F04164E8-FC18-4608-BA50-24FFCC939BE6}"/>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CDCDBB11-4074-4B39-9EE0-458D15847CA6}"/>
    <cellStyle name="Comma 4 2 3 2 3 2 3" xfId="11393" xr:uid="{E025C4C0-1756-4BF8-8AF7-5E488196C9F7}"/>
    <cellStyle name="Comma 4 2 3 2 3 3" xfId="5024" xr:uid="{00000000-0005-0000-0000-000078080000}"/>
    <cellStyle name="Comma 4 2 3 2 3 3 2" xfId="13466" xr:uid="{2BED8E50-A641-48F5-8368-14A85D794752}"/>
    <cellStyle name="Comma 4 2 3 2 3 4" xfId="9248" xr:uid="{8ED26567-10B3-46A7-B34D-BC166E03074B}"/>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FB20E776-38A4-43E0-8569-581595A02192}"/>
    <cellStyle name="Comma 4 2 3 2 4 2 3" xfId="11806" xr:uid="{8BC41F07-E0B8-41BF-9A5E-B0A3FBBE93F6}"/>
    <cellStyle name="Comma 4 2 3 2 4 3" xfId="5437" xr:uid="{00000000-0005-0000-0000-00007C080000}"/>
    <cellStyle name="Comma 4 2 3 2 4 3 2" xfId="13879" xr:uid="{D9D52731-0CEC-4D78-AC82-03B331A6702A}"/>
    <cellStyle name="Comma 4 2 3 2 4 4" xfId="9661" xr:uid="{68DE45CE-9449-4A2E-A7D2-B489536BA5A8}"/>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55711C18-581A-4223-84A6-0CA639A10751}"/>
    <cellStyle name="Comma 4 2 3 2 5 2 3" xfId="12219" xr:uid="{2312581E-9CC5-43FE-A3FC-F0B84046518B}"/>
    <cellStyle name="Comma 4 2 3 2 5 3" xfId="5850" xr:uid="{00000000-0005-0000-0000-000080080000}"/>
    <cellStyle name="Comma 4 2 3 2 5 3 2" xfId="14292" xr:uid="{E0385848-E863-4850-A14A-A463A4918C25}"/>
    <cellStyle name="Comma 4 2 3 2 5 4" xfId="10074" xr:uid="{5428AA9D-ED9F-405F-B5A0-29EDD13784CB}"/>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4BB8F16F-6C2C-43BA-BAAD-F0E1054C5B9E}"/>
    <cellStyle name="Comma 4 2 3 2 6 2 3" xfId="12632" xr:uid="{74373ED4-BBA4-46A7-A69F-1DA44285AB4E}"/>
    <cellStyle name="Comma 4 2 3 2 6 3" xfId="6263" xr:uid="{00000000-0005-0000-0000-000084080000}"/>
    <cellStyle name="Comma 4 2 3 2 6 3 2" xfId="14705" xr:uid="{8742DE68-55A3-4902-AAF4-28CF8F5AF142}"/>
    <cellStyle name="Comma 4 2 3 2 6 4" xfId="10487" xr:uid="{9B1DFF68-DF3B-4081-896B-AC68D0BD41CA}"/>
    <cellStyle name="Comma 4 2 3 2 7" xfId="2391" xr:uid="{00000000-0005-0000-0000-000085080000}"/>
    <cellStyle name="Comma 4 2 3 2 7 2" xfId="6676" xr:uid="{00000000-0005-0000-0000-000086080000}"/>
    <cellStyle name="Comma 4 2 3 2 7 2 2" xfId="15118" xr:uid="{7CFD195B-2571-46DF-8D07-A96A40421221}"/>
    <cellStyle name="Comma 4 2 3 2 7 3" xfId="10900" xr:uid="{6E26203B-47BD-4D0D-8520-34DE76A9FA05}"/>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D4CB6F7B-BA09-4AC4-B65B-C5D54B9E4CB7}"/>
    <cellStyle name="Comma 4 2 3 2 9 3" xfId="11217" xr:uid="{F7E715E9-A7D8-4A7A-AFE9-74DF73819884}"/>
    <cellStyle name="Comma 4 2 3 3" xfId="139" xr:uid="{00000000-0005-0000-0000-00008A080000}"/>
    <cellStyle name="Comma 4 2 3 3 10" xfId="8836" xr:uid="{81018ED6-28D3-427E-B060-37FDFA5182B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4F041ED0-F291-485C-85D3-00CD3269FD63}"/>
    <cellStyle name="Comma 4 2 3 3 2 2 3" xfId="11395" xr:uid="{A7A054F7-973B-4F8F-B770-A127B1A9F872}"/>
    <cellStyle name="Comma 4 2 3 3 2 3" xfId="5026" xr:uid="{00000000-0005-0000-0000-00008E080000}"/>
    <cellStyle name="Comma 4 2 3 3 2 3 2" xfId="13468" xr:uid="{EAC5333B-63FC-41DA-BA45-4B684EA11A32}"/>
    <cellStyle name="Comma 4 2 3 3 2 4" xfId="9250" xr:uid="{4DF44773-8C7B-4E6B-A908-15C5C32A1C3E}"/>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C75B764E-D05A-41F9-8DDC-87A15E2F1E12}"/>
    <cellStyle name="Comma 4 2 3 3 3 2 3" xfId="11808" xr:uid="{0F8F5A7B-48FA-46A6-B2B1-C7A278E53877}"/>
    <cellStyle name="Comma 4 2 3 3 3 3" xfId="5439" xr:uid="{00000000-0005-0000-0000-000092080000}"/>
    <cellStyle name="Comma 4 2 3 3 3 3 2" xfId="13881" xr:uid="{C416B785-360E-461C-BA09-AA3F1A32FCB0}"/>
    <cellStyle name="Comma 4 2 3 3 3 4" xfId="9663" xr:uid="{631A7B00-3FD3-4FB1-A70E-CFDF363A9759}"/>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CAC53111-9E91-4117-B6DF-E3B8B1324A69}"/>
    <cellStyle name="Comma 4 2 3 3 4 2 3" xfId="12221" xr:uid="{EEBD1874-E60D-46B5-AEA5-0B5FE05FF841}"/>
    <cellStyle name="Comma 4 2 3 3 4 3" xfId="5852" xr:uid="{00000000-0005-0000-0000-000096080000}"/>
    <cellStyle name="Comma 4 2 3 3 4 3 2" xfId="14294" xr:uid="{38E156B0-7E54-4A9A-AC25-BEA066ED40CE}"/>
    <cellStyle name="Comma 4 2 3 3 4 4" xfId="10076" xr:uid="{0D1A676A-5046-4865-877E-3FB74402BD39}"/>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BE847D24-0660-44A4-84F1-DF880BB34F0D}"/>
    <cellStyle name="Comma 4 2 3 3 5 2 3" xfId="12634" xr:uid="{B98DEBEA-6EED-4F7B-A00C-FC64EA1A925A}"/>
    <cellStyle name="Comma 4 2 3 3 5 3" xfId="6265" xr:uid="{00000000-0005-0000-0000-00009A080000}"/>
    <cellStyle name="Comma 4 2 3 3 5 3 2" xfId="14707" xr:uid="{E0B52645-AA6C-44F2-9B4E-1BFEDD5C452B}"/>
    <cellStyle name="Comma 4 2 3 3 5 4" xfId="10489" xr:uid="{7FC2638A-01E1-44F3-8864-5AF3F63C3E5D}"/>
    <cellStyle name="Comma 4 2 3 3 6" xfId="2393" xr:uid="{00000000-0005-0000-0000-00009B080000}"/>
    <cellStyle name="Comma 4 2 3 3 6 2" xfId="6678" xr:uid="{00000000-0005-0000-0000-00009C080000}"/>
    <cellStyle name="Comma 4 2 3 3 6 2 2" xfId="15120" xr:uid="{F36030A2-6478-4369-8E19-C9B9AB3BD76D}"/>
    <cellStyle name="Comma 4 2 3 3 6 3" xfId="10902" xr:uid="{6938AE02-F830-4172-9C01-EF044A83B82A}"/>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68439EB1-EA7D-4B8F-8378-4378437A2EE5}"/>
    <cellStyle name="Comma 4 2 3 3 8 3" xfId="11219" xr:uid="{2E601009-2408-411B-AAB6-9A177E11C43C}"/>
    <cellStyle name="Comma 4 2 3 3 9" xfId="4612" xr:uid="{00000000-0005-0000-0000-0000A0080000}"/>
    <cellStyle name="Comma 4 2 3 3 9 2" xfId="13054" xr:uid="{BCC0D692-750A-41A7-BABD-39A43B3F1289}"/>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87985525-14CD-4E82-B469-7DC3BDA392FD}"/>
    <cellStyle name="Comma 4 2 3 4 2 3" xfId="11392" xr:uid="{5E277259-C2B8-42B4-9BFA-0B29B30328C2}"/>
    <cellStyle name="Comma 4 2 3 4 3" xfId="5023" xr:uid="{00000000-0005-0000-0000-0000A4080000}"/>
    <cellStyle name="Comma 4 2 3 4 3 2" xfId="13465" xr:uid="{D319276E-35A2-4E75-9E4B-141EBF37BBD1}"/>
    <cellStyle name="Comma 4 2 3 4 4" xfId="9247" xr:uid="{A5837814-16CE-4A2D-BF29-B0003022C10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07F42777-ACAF-44E8-81D7-F613671273A1}"/>
    <cellStyle name="Comma 4 2 3 5 2 3" xfId="11805" xr:uid="{8AA83C76-BDFF-41A0-8747-AD4E3D317F9B}"/>
    <cellStyle name="Comma 4 2 3 5 3" xfId="5436" xr:uid="{00000000-0005-0000-0000-0000A8080000}"/>
    <cellStyle name="Comma 4 2 3 5 3 2" xfId="13878" xr:uid="{60BC46E2-DAA6-44C9-80C4-BA7BB1358997}"/>
    <cellStyle name="Comma 4 2 3 5 4" xfId="9660" xr:uid="{5AB6EC22-3AB3-45E3-A89F-CD1FD89A515E}"/>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FED6B281-09A9-463D-8020-6DD59B7C4CF1}"/>
    <cellStyle name="Comma 4 2 3 6 2 3" xfId="12218" xr:uid="{B4500821-264D-4992-8872-57728B28B8A7}"/>
    <cellStyle name="Comma 4 2 3 6 3" xfId="5849" xr:uid="{00000000-0005-0000-0000-0000AC080000}"/>
    <cellStyle name="Comma 4 2 3 6 3 2" xfId="14291" xr:uid="{F122569C-EB26-4FEA-A652-F279C481BE2D}"/>
    <cellStyle name="Comma 4 2 3 6 4" xfId="10073" xr:uid="{3410BD40-E968-4293-A5B6-BD1C8198D6FB}"/>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608F45A2-EC3E-49BE-9A23-E8A46C035ECF}"/>
    <cellStyle name="Comma 4 2 3 7 2 3" xfId="12631" xr:uid="{E55CA7FA-65DE-45DE-BC72-AAF8C34C265C}"/>
    <cellStyle name="Comma 4 2 3 7 3" xfId="6262" xr:uid="{00000000-0005-0000-0000-0000B0080000}"/>
    <cellStyle name="Comma 4 2 3 7 3 2" xfId="14704" xr:uid="{6E8C185F-408A-4E82-91AF-2D1098C51993}"/>
    <cellStyle name="Comma 4 2 3 7 4" xfId="10486" xr:uid="{ADAC8166-DF9E-4535-924B-7450E7D0970C}"/>
    <cellStyle name="Comma 4 2 3 8" xfId="2390" xr:uid="{00000000-0005-0000-0000-0000B1080000}"/>
    <cellStyle name="Comma 4 2 3 8 2" xfId="6675" xr:uid="{00000000-0005-0000-0000-0000B2080000}"/>
    <cellStyle name="Comma 4 2 3 8 2 2" xfId="15117" xr:uid="{70EFA87F-CBAA-4492-AB43-D9F5949EFE14}"/>
    <cellStyle name="Comma 4 2 3 8 3" xfId="10899" xr:uid="{0BBD53E9-E433-4C09-A216-58CEBDAB458E}"/>
    <cellStyle name="Comma 4 2 3 9" xfId="2373" xr:uid="{00000000-0005-0000-0000-0000B3080000}"/>
    <cellStyle name="Comma 4 2 4" xfId="140" xr:uid="{00000000-0005-0000-0000-0000B4080000}"/>
    <cellStyle name="Comma 4 2 4 10" xfId="4613" xr:uid="{00000000-0005-0000-0000-0000B5080000}"/>
    <cellStyle name="Comma 4 2 4 10 2" xfId="13055" xr:uid="{0A0A268F-F904-44B0-9B53-E8367C03F8AA}"/>
    <cellStyle name="Comma 4 2 4 11" xfId="8837" xr:uid="{B335004C-EA10-4D68-B912-87B522898E50}"/>
    <cellStyle name="Comma 4 2 4 2" xfId="141" xr:uid="{00000000-0005-0000-0000-0000B6080000}"/>
    <cellStyle name="Comma 4 2 4 2 10" xfId="8838" xr:uid="{E990B49D-FFF6-4DC9-9097-E6A013471A9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84B79423-5753-45C4-8CA8-31712CEB64DD}"/>
    <cellStyle name="Comma 4 2 4 2 2 2 3" xfId="11397" xr:uid="{6BD2E6C9-C373-4033-B14C-8971DC1730D0}"/>
    <cellStyle name="Comma 4 2 4 2 2 3" xfId="5028" xr:uid="{00000000-0005-0000-0000-0000BA080000}"/>
    <cellStyle name="Comma 4 2 4 2 2 3 2" xfId="13470" xr:uid="{5E482FA6-9A34-4F79-9F3C-6BBFA70DEC30}"/>
    <cellStyle name="Comma 4 2 4 2 2 4" xfId="9252" xr:uid="{9248A15B-53B2-42F0-8845-ACC442AD4691}"/>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55F68CF7-7F09-496D-9AC8-ACB30F766E6B}"/>
    <cellStyle name="Comma 4 2 4 2 3 2 3" xfId="11810" xr:uid="{DE1D8458-631A-46B9-BE2C-84D5EA6F6CA4}"/>
    <cellStyle name="Comma 4 2 4 2 3 3" xfId="5441" xr:uid="{00000000-0005-0000-0000-0000BE080000}"/>
    <cellStyle name="Comma 4 2 4 2 3 3 2" xfId="13883" xr:uid="{B353F30F-6828-40F8-B483-A414196421B0}"/>
    <cellStyle name="Comma 4 2 4 2 3 4" xfId="9665" xr:uid="{45790547-6C5E-48D2-BA26-4ED3B9C19F3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95F9F8EB-66EA-433E-9856-3ABD75A8D652}"/>
    <cellStyle name="Comma 4 2 4 2 4 2 3" xfId="12223" xr:uid="{DFC40BA9-AD17-4DA8-AD77-04BF413F3311}"/>
    <cellStyle name="Comma 4 2 4 2 4 3" xfId="5854" xr:uid="{00000000-0005-0000-0000-0000C2080000}"/>
    <cellStyle name="Comma 4 2 4 2 4 3 2" xfId="14296" xr:uid="{2595A86B-3467-4865-BF40-B6976FF623CD}"/>
    <cellStyle name="Comma 4 2 4 2 4 4" xfId="10078" xr:uid="{3144FF53-19EB-40D1-B9EF-4C333419BFBF}"/>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582A9E78-CFD4-4D2F-BD10-A7AD2AD81B35}"/>
    <cellStyle name="Comma 4 2 4 2 5 2 3" xfId="12636" xr:uid="{D2AC7B04-1500-4F5C-A645-045DF66B31CD}"/>
    <cellStyle name="Comma 4 2 4 2 5 3" xfId="6267" xr:uid="{00000000-0005-0000-0000-0000C6080000}"/>
    <cellStyle name="Comma 4 2 4 2 5 3 2" xfId="14709" xr:uid="{53E63826-9131-46AB-A76C-AC39624CAEBD}"/>
    <cellStyle name="Comma 4 2 4 2 5 4" xfId="10491" xr:uid="{DD783B5A-7B4F-497B-8F0C-4FDEDC32FB64}"/>
    <cellStyle name="Comma 4 2 4 2 6" xfId="2395" xr:uid="{00000000-0005-0000-0000-0000C7080000}"/>
    <cellStyle name="Comma 4 2 4 2 6 2" xfId="6680" xr:uid="{00000000-0005-0000-0000-0000C8080000}"/>
    <cellStyle name="Comma 4 2 4 2 6 2 2" xfId="15122" xr:uid="{8B27D576-1CD0-4388-87E6-99D27E3942A8}"/>
    <cellStyle name="Comma 4 2 4 2 6 3" xfId="10904" xr:uid="{49A6F6AB-CF3E-4704-9823-CEEA73B11E1B}"/>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54FAA88B-78F8-418A-9329-FF58D6550CAF}"/>
    <cellStyle name="Comma 4 2 4 2 8 3" xfId="11221" xr:uid="{B042F7D6-EAA6-4C2B-8510-B8F562591583}"/>
    <cellStyle name="Comma 4 2 4 2 9" xfId="4614" xr:uid="{00000000-0005-0000-0000-0000CC080000}"/>
    <cellStyle name="Comma 4 2 4 2 9 2" xfId="13056" xr:uid="{92AABD4B-3555-433D-A7D8-DDB11E0AD3CD}"/>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CCC68EFB-EAB7-462B-A1C9-05632D1184E5}"/>
    <cellStyle name="Comma 4 2 4 3 2 3" xfId="11396" xr:uid="{342EF8E7-5488-466A-803E-150EAFA656E1}"/>
    <cellStyle name="Comma 4 2 4 3 3" xfId="5027" xr:uid="{00000000-0005-0000-0000-0000D0080000}"/>
    <cellStyle name="Comma 4 2 4 3 3 2" xfId="13469" xr:uid="{135E014F-1088-412B-B2D1-17F091B09ACE}"/>
    <cellStyle name="Comma 4 2 4 3 4" xfId="9251" xr:uid="{10CDDB74-6753-43E9-99BA-E1A0B584653B}"/>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BBCE31CB-4BEC-4A9A-9880-A694D3016C00}"/>
    <cellStyle name="Comma 4 2 4 4 2 3" xfId="11809" xr:uid="{06DFC595-C559-45ED-B8AA-3DA10FAE538F}"/>
    <cellStyle name="Comma 4 2 4 4 3" xfId="5440" xr:uid="{00000000-0005-0000-0000-0000D4080000}"/>
    <cellStyle name="Comma 4 2 4 4 3 2" xfId="13882" xr:uid="{A0178920-4C2D-4CA3-BFAA-207D0D6F5C9A}"/>
    <cellStyle name="Comma 4 2 4 4 4" xfId="9664" xr:uid="{D2D723FC-87DB-4369-87D6-5F1E00F8A773}"/>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19AFC1BC-C4A8-4122-88B3-9896EE201381}"/>
    <cellStyle name="Comma 4 2 4 5 2 3" xfId="12222" xr:uid="{C7254866-A9AF-457F-B34A-BED45DEDC150}"/>
    <cellStyle name="Comma 4 2 4 5 3" xfId="5853" xr:uid="{00000000-0005-0000-0000-0000D8080000}"/>
    <cellStyle name="Comma 4 2 4 5 3 2" xfId="14295" xr:uid="{DB265D94-DEA9-4E46-A583-7B32F2E75134}"/>
    <cellStyle name="Comma 4 2 4 5 4" xfId="10077" xr:uid="{80F5D758-879B-4AEB-9B58-A27EFC4E51A5}"/>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4BD6FE1B-691E-4D4F-AE08-763460F09D77}"/>
    <cellStyle name="Comma 4 2 4 6 2 3" xfId="12635" xr:uid="{677E525C-00A0-43B0-AFF8-1ACE9E4BCD7E}"/>
    <cellStyle name="Comma 4 2 4 6 3" xfId="6266" xr:uid="{00000000-0005-0000-0000-0000DC080000}"/>
    <cellStyle name="Comma 4 2 4 6 3 2" xfId="14708" xr:uid="{07167AFA-ECE8-491C-9BFF-F8364EAED0B5}"/>
    <cellStyle name="Comma 4 2 4 6 4" xfId="10490" xr:uid="{0E90F242-1C90-452C-AE29-320F30DC1BF0}"/>
    <cellStyle name="Comma 4 2 4 7" xfId="2394" xr:uid="{00000000-0005-0000-0000-0000DD080000}"/>
    <cellStyle name="Comma 4 2 4 7 2" xfId="6679" xr:uid="{00000000-0005-0000-0000-0000DE080000}"/>
    <cellStyle name="Comma 4 2 4 7 2 2" xfId="15121" xr:uid="{32B53596-1DFA-4548-897C-A9064FB73641}"/>
    <cellStyle name="Comma 4 2 4 7 3" xfId="10903" xr:uid="{6194F068-BB34-4090-B7A7-96A06591E394}"/>
    <cellStyle name="Comma 4 2 4 8" xfId="2369" xr:uid="{00000000-0005-0000-0000-0000DF080000}"/>
    <cellStyle name="Comma 4 2 4 9" xfId="2772" xr:uid="{00000000-0005-0000-0000-0000E0080000}"/>
    <cellStyle name="Comma 4 2 4 9 2" xfId="6996" xr:uid="{00000000-0005-0000-0000-0000E1080000}"/>
    <cellStyle name="Comma 4 2 4 9 2 2" xfId="15438" xr:uid="{2BDD388F-0EED-44B5-BF36-82C7A4B6851C}"/>
    <cellStyle name="Comma 4 2 4 9 3" xfId="11220" xr:uid="{5D1CA0A3-0682-4D8A-93AC-68316997C30C}"/>
    <cellStyle name="Comma 4 2 5" xfId="142" xr:uid="{00000000-0005-0000-0000-0000E2080000}"/>
    <cellStyle name="Comma 4 2 5 10" xfId="8839" xr:uid="{4CBB8E90-DC4E-4B15-A29A-79FC15016F9C}"/>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E685AF33-7B0D-4CC9-8526-0B8A65D9B48C}"/>
    <cellStyle name="Comma 4 2 5 2 2 3" xfId="11398" xr:uid="{7B5CA3C0-0458-4DE3-A609-70C2E45C1B49}"/>
    <cellStyle name="Comma 4 2 5 2 3" xfId="5029" xr:uid="{00000000-0005-0000-0000-0000E6080000}"/>
    <cellStyle name="Comma 4 2 5 2 3 2" xfId="13471" xr:uid="{F03B6670-5916-417B-937F-E67A560BC94E}"/>
    <cellStyle name="Comma 4 2 5 2 4" xfId="9253" xr:uid="{D868702F-CC1E-4665-8C39-2D3388FE2DDE}"/>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19F0C03C-ABC1-4DD2-ABE6-025B990FFB52}"/>
    <cellStyle name="Comma 4 2 5 3 2 3" xfId="11811" xr:uid="{7FF45D40-1D84-469A-BDB8-1C122A51A328}"/>
    <cellStyle name="Comma 4 2 5 3 3" xfId="5442" xr:uid="{00000000-0005-0000-0000-0000EA080000}"/>
    <cellStyle name="Comma 4 2 5 3 3 2" xfId="13884" xr:uid="{C9A3D10E-D565-4192-A673-379829533AB1}"/>
    <cellStyle name="Comma 4 2 5 3 4" xfId="9666" xr:uid="{EDF42569-741C-4051-8F69-408E027094B5}"/>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A1499206-BCA5-4905-B285-5317692E5B45}"/>
    <cellStyle name="Comma 4 2 5 4 2 3" xfId="12224" xr:uid="{E868C10B-2B04-48F8-8C7F-E0F285E81C9C}"/>
    <cellStyle name="Comma 4 2 5 4 3" xfId="5855" xr:uid="{00000000-0005-0000-0000-0000EE080000}"/>
    <cellStyle name="Comma 4 2 5 4 3 2" xfId="14297" xr:uid="{BEEE0739-1F4F-4CDD-858A-028AF1C17F76}"/>
    <cellStyle name="Comma 4 2 5 4 4" xfId="10079" xr:uid="{0D4000B6-0130-49CF-AF3B-E3F4C4F71A0E}"/>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1297B6E4-0C7E-46E3-AC6C-246E950FD213}"/>
    <cellStyle name="Comma 4 2 5 5 2 3" xfId="12637" xr:uid="{DAEAC66C-1B22-4B4B-A230-6FD6C91033DF}"/>
    <cellStyle name="Comma 4 2 5 5 3" xfId="6268" xr:uid="{00000000-0005-0000-0000-0000F2080000}"/>
    <cellStyle name="Comma 4 2 5 5 3 2" xfId="14710" xr:uid="{96BC8000-3061-4AB8-8BE7-76A97B5650BD}"/>
    <cellStyle name="Comma 4 2 5 5 4" xfId="10492" xr:uid="{848BF340-C7F5-40CD-A7D1-E413A5F64782}"/>
    <cellStyle name="Comma 4 2 5 6" xfId="2396" xr:uid="{00000000-0005-0000-0000-0000F3080000}"/>
    <cellStyle name="Comma 4 2 5 6 2" xfId="6681" xr:uid="{00000000-0005-0000-0000-0000F4080000}"/>
    <cellStyle name="Comma 4 2 5 6 2 2" xfId="15123" xr:uid="{91851CD0-6659-4975-A355-3B7BFE61D8C6}"/>
    <cellStyle name="Comma 4 2 5 6 3" xfId="10905" xr:uid="{A4AAF3AF-AF9A-4EA4-8D6B-424AEE76BAD5}"/>
    <cellStyle name="Comma 4 2 5 7" xfId="2367" xr:uid="{00000000-0005-0000-0000-0000F5080000}"/>
    <cellStyle name="Comma 4 2 5 8" xfId="2774" xr:uid="{00000000-0005-0000-0000-0000F6080000}"/>
    <cellStyle name="Comma 4 2 5 8 2" xfId="6998" xr:uid="{00000000-0005-0000-0000-0000F7080000}"/>
    <cellStyle name="Comma 4 2 5 8 2 2" xfId="15440" xr:uid="{28B5A7C0-5084-48C5-B24E-AEE53CC3C82C}"/>
    <cellStyle name="Comma 4 2 5 8 3" xfId="11222" xr:uid="{85E27E5C-F41B-4F03-B2A8-B38DAF166176}"/>
    <cellStyle name="Comma 4 2 5 9" xfId="4615" xr:uid="{00000000-0005-0000-0000-0000F8080000}"/>
    <cellStyle name="Comma 4 2 5 9 2" xfId="13057" xr:uid="{9D1C47EF-B1F5-41B3-BCF5-73E20122D527}"/>
    <cellStyle name="Comma 4 2 6" xfId="143" xr:uid="{00000000-0005-0000-0000-0000F9080000}"/>
    <cellStyle name="Comma 4 2 6 10" xfId="8840" xr:uid="{A6DA35B3-8822-4323-96CF-B3A832DB0C26}"/>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66A9A77A-5EE1-41B5-85BC-2D95FA5069D9}"/>
    <cellStyle name="Comma 4 2 6 2 2 3" xfId="11399" xr:uid="{E3741E42-DBDF-4677-AC33-AAAD92AE452C}"/>
    <cellStyle name="Comma 4 2 6 2 3" xfId="5030" xr:uid="{00000000-0005-0000-0000-0000FD080000}"/>
    <cellStyle name="Comma 4 2 6 2 3 2" xfId="13472" xr:uid="{48B089DE-88F0-4D28-B591-09D3AB301D14}"/>
    <cellStyle name="Comma 4 2 6 2 4" xfId="9254" xr:uid="{FEFAC63F-9479-4A31-9542-84F4AD95C414}"/>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2DA1D57E-C1EA-49CE-80A4-62D30761E998}"/>
    <cellStyle name="Comma 4 2 6 3 2 3" xfId="11812" xr:uid="{3CAF9F51-8823-4AA5-8534-56654013B6DC}"/>
    <cellStyle name="Comma 4 2 6 3 3" xfId="5443" xr:uid="{00000000-0005-0000-0000-000001090000}"/>
    <cellStyle name="Comma 4 2 6 3 3 2" xfId="13885" xr:uid="{B5F03107-B509-4991-AA8D-530BBD9020E8}"/>
    <cellStyle name="Comma 4 2 6 3 4" xfId="9667" xr:uid="{8C0C0861-B0D1-4F10-9D9D-8D727E29E8BF}"/>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D7B2C801-33E3-43B2-9C0D-540110DB14A9}"/>
    <cellStyle name="Comma 4 2 6 4 2 3" xfId="12225" xr:uid="{07F2DBDE-72ED-496E-86C0-F652D792D5DA}"/>
    <cellStyle name="Comma 4 2 6 4 3" xfId="5856" xr:uid="{00000000-0005-0000-0000-000005090000}"/>
    <cellStyle name="Comma 4 2 6 4 3 2" xfId="14298" xr:uid="{0578265D-CDBE-4080-95CD-F13200DE13C7}"/>
    <cellStyle name="Comma 4 2 6 4 4" xfId="10080" xr:uid="{F11DE3E2-B8D6-40A0-846C-2F0FA4B949F0}"/>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12001FFB-634B-4B87-9974-1B86B9C9FCD5}"/>
    <cellStyle name="Comma 4 2 6 5 2 3" xfId="12638" xr:uid="{EFB573C9-F1C6-4DFA-8B14-15342388D8FE}"/>
    <cellStyle name="Comma 4 2 6 5 3" xfId="6269" xr:uid="{00000000-0005-0000-0000-000009090000}"/>
    <cellStyle name="Comma 4 2 6 5 3 2" xfId="14711" xr:uid="{14DB2C70-1D96-4F66-B966-0A9746E95822}"/>
    <cellStyle name="Comma 4 2 6 5 4" xfId="10493" xr:uid="{D0EAE6B8-48CB-49CD-ABE0-25A02F445C26}"/>
    <cellStyle name="Comma 4 2 6 6" xfId="2397" xr:uid="{00000000-0005-0000-0000-00000A090000}"/>
    <cellStyle name="Comma 4 2 6 6 2" xfId="6682" xr:uid="{00000000-0005-0000-0000-00000B090000}"/>
    <cellStyle name="Comma 4 2 6 6 2 2" xfId="15124" xr:uid="{6F4A251C-5546-4B77-8CDB-2BC2CB953AAA}"/>
    <cellStyle name="Comma 4 2 6 6 3" xfId="10906" xr:uid="{53455F66-41F8-4B0C-BC7F-F82E049BDFB4}"/>
    <cellStyle name="Comma 4 2 6 7" xfId="2366" xr:uid="{00000000-0005-0000-0000-00000C090000}"/>
    <cellStyle name="Comma 4 2 6 8" xfId="2775" xr:uid="{00000000-0005-0000-0000-00000D090000}"/>
    <cellStyle name="Comma 4 2 6 8 2" xfId="6999" xr:uid="{00000000-0005-0000-0000-00000E090000}"/>
    <cellStyle name="Comma 4 2 6 8 2 2" xfId="15441" xr:uid="{9D01EE1A-BF58-457B-848B-2AEA33A69097}"/>
    <cellStyle name="Comma 4 2 6 8 3" xfId="11223" xr:uid="{BFB183C8-E9A7-4AAF-8E79-E076BB427E53}"/>
    <cellStyle name="Comma 4 2 6 9" xfId="4616" xr:uid="{00000000-0005-0000-0000-00000F090000}"/>
    <cellStyle name="Comma 4 2 6 9 2" xfId="13058" xr:uid="{9C8E29F3-C742-455C-BC42-30F3661E34EC}"/>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38042E18-D212-4345-A6CE-966AC0B9CA51}"/>
    <cellStyle name="Comma 4 3 2 10 3" xfId="11224" xr:uid="{0EFF27A5-FC05-4A74-B577-388E3E4C535F}"/>
    <cellStyle name="Comma 4 3 2 11" xfId="4617" xr:uid="{00000000-0005-0000-0000-000014090000}"/>
    <cellStyle name="Comma 4 3 2 11 2" xfId="13059" xr:uid="{9C00ABC1-D343-4066-B692-89BD7F971C5D}"/>
    <cellStyle name="Comma 4 3 2 12" xfId="8841" xr:uid="{85B300B6-48D6-4A2A-81EB-230BA682DC32}"/>
    <cellStyle name="Comma 4 3 2 2" xfId="146" xr:uid="{00000000-0005-0000-0000-000015090000}"/>
    <cellStyle name="Comma 4 3 2 2 10" xfId="4618" xr:uid="{00000000-0005-0000-0000-000016090000}"/>
    <cellStyle name="Comma 4 3 2 2 10 2" xfId="13060" xr:uid="{A06D4EF4-5343-441F-81B7-10DEFFE35153}"/>
    <cellStyle name="Comma 4 3 2 2 11" xfId="8842" xr:uid="{2FD8EF8C-C37D-4DA1-8EBD-0CCA5829C7BA}"/>
    <cellStyle name="Comma 4 3 2 2 2" xfId="147" xr:uid="{00000000-0005-0000-0000-000017090000}"/>
    <cellStyle name="Comma 4 3 2 2 2 10" xfId="8843" xr:uid="{EEC5A327-41A7-4258-ACF2-17F22E3C0AB4}"/>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D8AA42C5-FDB4-4D57-AABE-3992184F8ACB}"/>
    <cellStyle name="Comma 4 3 2 2 2 2 2 3" xfId="11402" xr:uid="{78353349-EDC2-415A-B071-2F13E1CED709}"/>
    <cellStyle name="Comma 4 3 2 2 2 2 3" xfId="5033" xr:uid="{00000000-0005-0000-0000-00001B090000}"/>
    <cellStyle name="Comma 4 3 2 2 2 2 3 2" xfId="13475" xr:uid="{210D6DB5-E13D-4966-9C17-F07EFA305C4C}"/>
    <cellStyle name="Comma 4 3 2 2 2 2 4" xfId="9257" xr:uid="{E7D10CE6-CA66-4F80-9531-4F6E7EF3449E}"/>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9E7AE24F-9561-43A3-B809-91A965A06CCC}"/>
    <cellStyle name="Comma 4 3 2 2 2 3 2 3" xfId="11815" xr:uid="{8A347ACF-FB91-49F0-9A3F-578B7C44E281}"/>
    <cellStyle name="Comma 4 3 2 2 2 3 3" xfId="5446" xr:uid="{00000000-0005-0000-0000-00001F090000}"/>
    <cellStyle name="Comma 4 3 2 2 2 3 3 2" xfId="13888" xr:uid="{36C9E40F-6ABD-4284-8604-C9B1DED2D4EE}"/>
    <cellStyle name="Comma 4 3 2 2 2 3 4" xfId="9670" xr:uid="{C29E34DB-0FCE-43E5-BF22-09C9E95FA51B}"/>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8F714154-108B-4823-A87D-542C67B74CE5}"/>
    <cellStyle name="Comma 4 3 2 2 2 4 2 3" xfId="12228" xr:uid="{56C3865C-9DC3-4971-9B00-77692681DF10}"/>
    <cellStyle name="Comma 4 3 2 2 2 4 3" xfId="5859" xr:uid="{00000000-0005-0000-0000-000023090000}"/>
    <cellStyle name="Comma 4 3 2 2 2 4 3 2" xfId="14301" xr:uid="{D301D2C3-4EFD-41BE-9608-55767124F345}"/>
    <cellStyle name="Comma 4 3 2 2 2 4 4" xfId="10083" xr:uid="{5C3A722F-C8E2-4BE7-89DE-4F360A445214}"/>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5CEA9BD7-FD7D-4AE5-8B49-4A32C886E15A}"/>
    <cellStyle name="Comma 4 3 2 2 2 5 2 3" xfId="12641" xr:uid="{DD58D59E-5FCE-40AE-97F6-1E2E361173C0}"/>
    <cellStyle name="Comma 4 3 2 2 2 5 3" xfId="6272" xr:uid="{00000000-0005-0000-0000-000027090000}"/>
    <cellStyle name="Comma 4 3 2 2 2 5 3 2" xfId="14714" xr:uid="{380AA9CB-C555-4FB0-B6CC-A0BBA1BE0269}"/>
    <cellStyle name="Comma 4 3 2 2 2 5 4" xfId="10496" xr:uid="{82F24832-557A-4EF1-9ABB-82FCCCB67C7F}"/>
    <cellStyle name="Comma 4 3 2 2 2 6" xfId="2400" xr:uid="{00000000-0005-0000-0000-000028090000}"/>
    <cellStyle name="Comma 4 3 2 2 2 6 2" xfId="6685" xr:uid="{00000000-0005-0000-0000-000029090000}"/>
    <cellStyle name="Comma 4 3 2 2 2 6 2 2" xfId="15127" xr:uid="{966E1BCB-D033-4E77-9193-50BCCC08DAF7}"/>
    <cellStyle name="Comma 4 3 2 2 2 6 3" xfId="10909" xr:uid="{EBEB0026-90BD-462E-BD32-E439C8736DE0}"/>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91C6BA65-3914-4B35-9664-6F5E5BE221D5}"/>
    <cellStyle name="Comma 4 3 2 2 2 8 3" xfId="11226" xr:uid="{CA84FDC6-5E1A-4A32-952F-C988E638A185}"/>
    <cellStyle name="Comma 4 3 2 2 2 9" xfId="4619" xr:uid="{00000000-0005-0000-0000-00002D090000}"/>
    <cellStyle name="Comma 4 3 2 2 2 9 2" xfId="13061" xr:uid="{4AFC46CF-1B67-45D8-9E25-A5C099E3EAE8}"/>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AAE0E13A-B5A0-432B-BE4C-FF2BF5A31C00}"/>
    <cellStyle name="Comma 4 3 2 2 3 2 3" xfId="11401" xr:uid="{954F38FB-46B4-4D6B-B16E-7C0F338B4266}"/>
    <cellStyle name="Comma 4 3 2 2 3 3" xfId="5032" xr:uid="{00000000-0005-0000-0000-000031090000}"/>
    <cellStyle name="Comma 4 3 2 2 3 3 2" xfId="13474" xr:uid="{CE7503E5-24BB-4018-814D-E99446E95CD1}"/>
    <cellStyle name="Comma 4 3 2 2 3 4" xfId="9256" xr:uid="{F8941DF8-5F43-4F80-ADB6-63AD5874EDD8}"/>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5E37AF3F-E2A7-4430-8F31-39845483A12F}"/>
    <cellStyle name="Comma 4 3 2 2 4 2 3" xfId="11814" xr:uid="{67B0A8A2-5CCD-4931-B1C8-DCEB5C72E034}"/>
    <cellStyle name="Comma 4 3 2 2 4 3" xfId="5445" xr:uid="{00000000-0005-0000-0000-000035090000}"/>
    <cellStyle name="Comma 4 3 2 2 4 3 2" xfId="13887" xr:uid="{92F1708B-D818-4F3D-8C98-8AD633837BCF}"/>
    <cellStyle name="Comma 4 3 2 2 4 4" xfId="9669" xr:uid="{F3CE937E-E34B-4BBB-92A5-6E92D490D6AB}"/>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5E02E171-9A73-47C0-9BB0-A8B43B24A60C}"/>
    <cellStyle name="Comma 4 3 2 2 5 2 3" xfId="12227" xr:uid="{A24E8023-0E0C-48CB-9077-0494FCC9D27E}"/>
    <cellStyle name="Comma 4 3 2 2 5 3" xfId="5858" xr:uid="{00000000-0005-0000-0000-000039090000}"/>
    <cellStyle name="Comma 4 3 2 2 5 3 2" xfId="14300" xr:uid="{17BD1998-8D6D-4CA5-A1D0-A3E672D30956}"/>
    <cellStyle name="Comma 4 3 2 2 5 4" xfId="10082" xr:uid="{07A24963-8678-460A-9E96-D01C7EC9CA62}"/>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91357493-41F4-4530-8C0E-5B18F026A500}"/>
    <cellStyle name="Comma 4 3 2 2 6 2 3" xfId="12640" xr:uid="{F19FC54F-8673-4DC2-8E2D-A90FD1E84A25}"/>
    <cellStyle name="Comma 4 3 2 2 6 3" xfId="6271" xr:uid="{00000000-0005-0000-0000-00003D090000}"/>
    <cellStyle name="Comma 4 3 2 2 6 3 2" xfId="14713" xr:uid="{7EE74F30-B3FB-461A-B4E0-B7332D789177}"/>
    <cellStyle name="Comma 4 3 2 2 6 4" xfId="10495" xr:uid="{3EA70C26-1031-41C5-A211-FE9AA97C6C29}"/>
    <cellStyle name="Comma 4 3 2 2 7" xfId="2399" xr:uid="{00000000-0005-0000-0000-00003E090000}"/>
    <cellStyle name="Comma 4 3 2 2 7 2" xfId="6684" xr:uid="{00000000-0005-0000-0000-00003F090000}"/>
    <cellStyle name="Comma 4 3 2 2 7 2 2" xfId="15126" xr:uid="{7F22D6CB-AD66-4A6D-AAD1-869DE777B60D}"/>
    <cellStyle name="Comma 4 3 2 2 7 3" xfId="10908" xr:uid="{2ABCC527-769C-44BF-95A3-3AEE65A80047}"/>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AB1B75D3-FA1E-4B35-AA65-772892E729A2}"/>
    <cellStyle name="Comma 4 3 2 2 9 3" xfId="11225" xr:uid="{0860F9E4-D483-44AF-AB91-5D62E84BEE32}"/>
    <cellStyle name="Comma 4 3 2 3" xfId="148" xr:uid="{00000000-0005-0000-0000-000043090000}"/>
    <cellStyle name="Comma 4 3 2 3 10" xfId="8844" xr:uid="{F4144F8E-D7B4-49EA-B3A3-AD18680CE428}"/>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96462262-E816-48C4-894A-1F7AF246BDA1}"/>
    <cellStyle name="Comma 4 3 2 3 2 2 3" xfId="11403" xr:uid="{F6EF10B7-BB5B-4156-99EC-A38C34F21D7A}"/>
    <cellStyle name="Comma 4 3 2 3 2 3" xfId="5034" xr:uid="{00000000-0005-0000-0000-000047090000}"/>
    <cellStyle name="Comma 4 3 2 3 2 3 2" xfId="13476" xr:uid="{169003AA-89EB-478C-9ED4-4A72987C8AA2}"/>
    <cellStyle name="Comma 4 3 2 3 2 4" xfId="9258" xr:uid="{288CC5D0-A70E-4B69-A81C-41FFDDC7BDB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C80346E1-E332-48D5-9EFF-4D4542565C99}"/>
    <cellStyle name="Comma 4 3 2 3 3 2 3" xfId="11816" xr:uid="{CE52251E-F8C5-4191-98CC-378D39D8CF0B}"/>
    <cellStyle name="Comma 4 3 2 3 3 3" xfId="5447" xr:uid="{00000000-0005-0000-0000-00004B090000}"/>
    <cellStyle name="Comma 4 3 2 3 3 3 2" xfId="13889" xr:uid="{79FCD20C-6242-471B-AB76-C99A1699A1DB}"/>
    <cellStyle name="Comma 4 3 2 3 3 4" xfId="9671" xr:uid="{6E35A4E4-7A5B-4CAB-9023-5E4C4D20515D}"/>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DD427B32-CA7F-4634-8F70-89E26227BB34}"/>
    <cellStyle name="Comma 4 3 2 3 4 2 3" xfId="12229" xr:uid="{D51B05A7-80A5-49B0-AFCB-C7355AC35D37}"/>
    <cellStyle name="Comma 4 3 2 3 4 3" xfId="5860" xr:uid="{00000000-0005-0000-0000-00004F090000}"/>
    <cellStyle name="Comma 4 3 2 3 4 3 2" xfId="14302" xr:uid="{31D29DBA-67A3-4B8E-B243-68E92B770308}"/>
    <cellStyle name="Comma 4 3 2 3 4 4" xfId="10084" xr:uid="{806CAACC-6EEE-4DE8-A252-F3B7928060A6}"/>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011EC715-32C6-46C1-8B1A-93C531A99DB6}"/>
    <cellStyle name="Comma 4 3 2 3 5 2 3" xfId="12642" xr:uid="{7B471F62-C773-474B-9231-041BF4587ED5}"/>
    <cellStyle name="Comma 4 3 2 3 5 3" xfId="6273" xr:uid="{00000000-0005-0000-0000-000053090000}"/>
    <cellStyle name="Comma 4 3 2 3 5 3 2" xfId="14715" xr:uid="{FE9A17D3-7BAD-465D-AEF1-0180F52213AC}"/>
    <cellStyle name="Comma 4 3 2 3 5 4" xfId="10497" xr:uid="{C8F2C761-6823-417F-900E-327B64B56BDD}"/>
    <cellStyle name="Comma 4 3 2 3 6" xfId="2401" xr:uid="{00000000-0005-0000-0000-000054090000}"/>
    <cellStyle name="Comma 4 3 2 3 6 2" xfId="6686" xr:uid="{00000000-0005-0000-0000-000055090000}"/>
    <cellStyle name="Comma 4 3 2 3 6 2 2" xfId="15128" xr:uid="{E1EB31AD-B6EC-47D2-8824-B1CD39AA1DA7}"/>
    <cellStyle name="Comma 4 3 2 3 6 3" xfId="10910" xr:uid="{3013A249-EFE1-48EC-9EE1-40DE90A3F1AE}"/>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2A2C560-644B-44CB-8866-7EE54545DC29}"/>
    <cellStyle name="Comma 4 3 2 3 8 3" xfId="11227" xr:uid="{7B632FEC-75E1-41D1-8519-0C8AA3F0C908}"/>
    <cellStyle name="Comma 4 3 2 3 9" xfId="4620" xr:uid="{00000000-0005-0000-0000-000059090000}"/>
    <cellStyle name="Comma 4 3 2 3 9 2" xfId="13062" xr:uid="{B2EF2AE1-69B1-42AF-8C40-4896B19A0C73}"/>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1DA2A4FC-803D-460A-863C-DF786492DE59}"/>
    <cellStyle name="Comma 4 3 2 4 2 3" xfId="11400" xr:uid="{73A5D8EF-1410-4495-A9E1-FE38D7A66A67}"/>
    <cellStyle name="Comma 4 3 2 4 3" xfId="5031" xr:uid="{00000000-0005-0000-0000-00005D090000}"/>
    <cellStyle name="Comma 4 3 2 4 3 2" xfId="13473" xr:uid="{2B20D90B-9AF9-4AD8-98B2-7E906B9396A7}"/>
    <cellStyle name="Comma 4 3 2 4 4" xfId="9255" xr:uid="{CA963844-ED59-47D6-ACCA-22CB7F47C28B}"/>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7879DB92-555F-4BF1-B425-5EAFD957D617}"/>
    <cellStyle name="Comma 4 3 2 5 2 3" xfId="11813" xr:uid="{26F8F230-5F0C-4AA0-AC68-31B34CCC7C6A}"/>
    <cellStyle name="Comma 4 3 2 5 3" xfId="5444" xr:uid="{00000000-0005-0000-0000-000061090000}"/>
    <cellStyle name="Comma 4 3 2 5 3 2" xfId="13886" xr:uid="{AE861594-EC33-427A-9F01-499ADC241073}"/>
    <cellStyle name="Comma 4 3 2 5 4" xfId="9668" xr:uid="{577AF021-98A6-4722-9AFC-C70B3E7F0030}"/>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7DB7D38-E758-49B3-BEE9-61C682071729}"/>
    <cellStyle name="Comma 4 3 2 6 2 3" xfId="12226" xr:uid="{4A22458E-3E2F-4C96-9937-A83BF78E4F46}"/>
    <cellStyle name="Comma 4 3 2 6 3" xfId="5857" xr:uid="{00000000-0005-0000-0000-000065090000}"/>
    <cellStyle name="Comma 4 3 2 6 3 2" xfId="14299" xr:uid="{6EF32189-8CEB-406D-8604-22B3FF176896}"/>
    <cellStyle name="Comma 4 3 2 6 4" xfId="10081" xr:uid="{26435C62-F786-4CDD-AD4B-2E90559FE4C8}"/>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EAF7B5F3-3B84-4522-9E8C-A93548589E85}"/>
    <cellStyle name="Comma 4 3 2 7 2 3" xfId="12639" xr:uid="{77A62759-61D0-4478-A405-2FF040E4A672}"/>
    <cellStyle name="Comma 4 3 2 7 3" xfId="6270" xr:uid="{00000000-0005-0000-0000-000069090000}"/>
    <cellStyle name="Comma 4 3 2 7 3 2" xfId="14712" xr:uid="{F8E85227-3F00-4B07-BAFC-B61BFF093EF7}"/>
    <cellStyle name="Comma 4 3 2 7 4" xfId="10494" xr:uid="{12A77650-B481-4DD8-A99A-024161CCE9DA}"/>
    <cellStyle name="Comma 4 3 2 8" xfId="2398" xr:uid="{00000000-0005-0000-0000-00006A090000}"/>
    <cellStyle name="Comma 4 3 2 8 2" xfId="6683" xr:uid="{00000000-0005-0000-0000-00006B090000}"/>
    <cellStyle name="Comma 4 3 2 8 2 2" xfId="15125" xr:uid="{B1ED447F-6FBB-4BD8-89B0-0E9B43E65FAC}"/>
    <cellStyle name="Comma 4 3 2 8 3" xfId="10907" xr:uid="{E9D2EA41-2256-4D84-BF8B-9325A40BF9A1}"/>
    <cellStyle name="Comma 4 3 2 9" xfId="2365" xr:uid="{00000000-0005-0000-0000-00006C090000}"/>
    <cellStyle name="Comma 4 3 3" xfId="149" xr:uid="{00000000-0005-0000-0000-00006D090000}"/>
    <cellStyle name="Comma 4 3 3 10" xfId="4621" xr:uid="{00000000-0005-0000-0000-00006E090000}"/>
    <cellStyle name="Comma 4 3 3 10 2" xfId="13063" xr:uid="{33798E02-C2E9-4B7B-8F93-FC2D63D9ED4A}"/>
    <cellStyle name="Comma 4 3 3 11" xfId="8845" xr:uid="{C2C2101E-1393-4EC6-8349-6CA4F2C7C8AE}"/>
    <cellStyle name="Comma 4 3 3 2" xfId="150" xr:uid="{00000000-0005-0000-0000-00006F090000}"/>
    <cellStyle name="Comma 4 3 3 2 10" xfId="8846" xr:uid="{50E249DC-6E2D-4A5A-B6E9-E4BFF0437412}"/>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B77C8B12-CB04-417D-9D3B-776E6A531744}"/>
    <cellStyle name="Comma 4 3 3 2 2 2 3" xfId="11405" xr:uid="{ADAE16D2-AE88-43FE-A0A0-D794C007A123}"/>
    <cellStyle name="Comma 4 3 3 2 2 3" xfId="5036" xr:uid="{00000000-0005-0000-0000-000073090000}"/>
    <cellStyle name="Comma 4 3 3 2 2 3 2" xfId="13478" xr:uid="{656F9616-11C4-4859-89FE-C5FE03AB0556}"/>
    <cellStyle name="Comma 4 3 3 2 2 4" xfId="9260" xr:uid="{4DA215B0-F283-4AC0-AC01-4B0A4EDAEB58}"/>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F0A52370-74F8-466D-BBE3-BC6ADE5044A5}"/>
    <cellStyle name="Comma 4 3 3 2 3 2 3" xfId="11818" xr:uid="{436B0A13-57F4-41BF-81E4-4EEA8A23074D}"/>
    <cellStyle name="Comma 4 3 3 2 3 3" xfId="5449" xr:uid="{00000000-0005-0000-0000-000077090000}"/>
    <cellStyle name="Comma 4 3 3 2 3 3 2" xfId="13891" xr:uid="{76B8175F-A094-45E7-875E-E7C9D31DFE0C}"/>
    <cellStyle name="Comma 4 3 3 2 3 4" xfId="9673" xr:uid="{46C290B9-C7A9-4795-953A-D438AD8A23DC}"/>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09F0C832-FA23-4B32-8447-C501407B3F7E}"/>
    <cellStyle name="Comma 4 3 3 2 4 2 3" xfId="12231" xr:uid="{4876DAFE-5584-448C-9E1C-455CCFFC4535}"/>
    <cellStyle name="Comma 4 3 3 2 4 3" xfId="5862" xr:uid="{00000000-0005-0000-0000-00007B090000}"/>
    <cellStyle name="Comma 4 3 3 2 4 3 2" xfId="14304" xr:uid="{BE04DC5A-9139-4DC4-BB95-60B7EAC9D46E}"/>
    <cellStyle name="Comma 4 3 3 2 4 4" xfId="10086" xr:uid="{F613DEF8-2181-4938-BED0-91440E3277BB}"/>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4D476124-E5A3-4CB6-B9DE-A4AB79853766}"/>
    <cellStyle name="Comma 4 3 3 2 5 2 3" xfId="12644" xr:uid="{4DAC3A5D-45D9-424B-B594-5E8E715B82CE}"/>
    <cellStyle name="Comma 4 3 3 2 5 3" xfId="6275" xr:uid="{00000000-0005-0000-0000-00007F090000}"/>
    <cellStyle name="Comma 4 3 3 2 5 3 2" xfId="14717" xr:uid="{7AA56681-6C20-4625-8484-2062424E8A8E}"/>
    <cellStyle name="Comma 4 3 3 2 5 4" xfId="10499" xr:uid="{F8611EB1-3491-4B39-A056-A06D3411114D}"/>
    <cellStyle name="Comma 4 3 3 2 6" xfId="2403" xr:uid="{00000000-0005-0000-0000-000080090000}"/>
    <cellStyle name="Comma 4 3 3 2 6 2" xfId="6688" xr:uid="{00000000-0005-0000-0000-000081090000}"/>
    <cellStyle name="Comma 4 3 3 2 6 2 2" xfId="15130" xr:uid="{8EAB70A3-B76B-4952-938C-6EA38F9C5A7E}"/>
    <cellStyle name="Comma 4 3 3 2 6 3" xfId="10912" xr:uid="{F80DADD2-17F3-4166-89B3-26B7489D3D76}"/>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B698923E-9184-47C4-B1AF-9E19DAA0CC0D}"/>
    <cellStyle name="Comma 4 3 3 2 8 3" xfId="11229" xr:uid="{F1042315-1895-4B55-9E58-99A7BC1C71CB}"/>
    <cellStyle name="Comma 4 3 3 2 9" xfId="4622" xr:uid="{00000000-0005-0000-0000-000085090000}"/>
    <cellStyle name="Comma 4 3 3 2 9 2" xfId="13064" xr:uid="{BCFD4966-88DF-45B7-8DC2-283503A0B940}"/>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70A6FDBE-7684-4299-B7E4-F607B473E09E}"/>
    <cellStyle name="Comma 4 3 3 3 2 3" xfId="11404" xr:uid="{B0640412-8DE3-4D81-A1CE-07BA83650278}"/>
    <cellStyle name="Comma 4 3 3 3 3" xfId="5035" xr:uid="{00000000-0005-0000-0000-000089090000}"/>
    <cellStyle name="Comma 4 3 3 3 3 2" xfId="13477" xr:uid="{461D17E7-6567-4E58-A547-A3E77B932EFA}"/>
    <cellStyle name="Comma 4 3 3 3 4" xfId="9259" xr:uid="{185412E8-DF15-48E4-8962-A4C9EE7B3FBA}"/>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F97B3D2B-1861-4D9A-BBD4-8F38D430FB51}"/>
    <cellStyle name="Comma 4 3 3 4 2 3" xfId="11817" xr:uid="{45A34DD7-AA09-48E0-9C78-8A80D2AEEC34}"/>
    <cellStyle name="Comma 4 3 3 4 3" xfId="5448" xr:uid="{00000000-0005-0000-0000-00008D090000}"/>
    <cellStyle name="Comma 4 3 3 4 3 2" xfId="13890" xr:uid="{5FDFE29C-8056-4DBE-964B-FAEFF2BDAAF8}"/>
    <cellStyle name="Comma 4 3 3 4 4" xfId="9672" xr:uid="{C7A00882-1DA1-4276-8CCD-7E853DBC108D}"/>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BA9EAC27-3201-48D7-97F3-14F46CA137A7}"/>
    <cellStyle name="Comma 4 3 3 5 2 3" xfId="12230" xr:uid="{698964BC-EB00-41C8-B7AB-1A56E0F1224E}"/>
    <cellStyle name="Comma 4 3 3 5 3" xfId="5861" xr:uid="{00000000-0005-0000-0000-000091090000}"/>
    <cellStyle name="Comma 4 3 3 5 3 2" xfId="14303" xr:uid="{BBDB6F62-A71A-48FC-84E0-3C9EE4BB1071}"/>
    <cellStyle name="Comma 4 3 3 5 4" xfId="10085" xr:uid="{5A66C6E9-2A51-42D2-B2BC-8DF5964A58E5}"/>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7A78B4E6-2913-4CEE-ABA5-932E511CD5CE}"/>
    <cellStyle name="Comma 4 3 3 6 2 3" xfId="12643" xr:uid="{96516A80-433A-4677-A254-25AFB041B6E8}"/>
    <cellStyle name="Comma 4 3 3 6 3" xfId="6274" xr:uid="{00000000-0005-0000-0000-000095090000}"/>
    <cellStyle name="Comma 4 3 3 6 3 2" xfId="14716" xr:uid="{193062A0-23E0-428C-8D2F-AA2BFF186C71}"/>
    <cellStyle name="Comma 4 3 3 6 4" xfId="10498" xr:uid="{ED0D2F46-AB94-4630-85DE-FEC73E10781E}"/>
    <cellStyle name="Comma 4 3 3 7" xfId="2402" xr:uid="{00000000-0005-0000-0000-000096090000}"/>
    <cellStyle name="Comma 4 3 3 7 2" xfId="6687" xr:uid="{00000000-0005-0000-0000-000097090000}"/>
    <cellStyle name="Comma 4 3 3 7 2 2" xfId="15129" xr:uid="{B8090322-AFC0-4967-8F3D-E68C69B5BBF8}"/>
    <cellStyle name="Comma 4 3 3 7 3" xfId="10911" xr:uid="{F786730F-E00A-4121-9991-B6CD0CCB4541}"/>
    <cellStyle name="Comma 4 3 3 8" xfId="2361" xr:uid="{00000000-0005-0000-0000-000098090000}"/>
    <cellStyle name="Comma 4 3 3 9" xfId="2780" xr:uid="{00000000-0005-0000-0000-000099090000}"/>
    <cellStyle name="Comma 4 3 3 9 2" xfId="7004" xr:uid="{00000000-0005-0000-0000-00009A090000}"/>
    <cellStyle name="Comma 4 3 3 9 2 2" xfId="15446" xr:uid="{CFB26895-4A85-49CB-A955-5638AAC9553B}"/>
    <cellStyle name="Comma 4 3 3 9 3" xfId="11228" xr:uid="{A44B1F20-CC44-42D9-B614-0A268F80092A}"/>
    <cellStyle name="Comma 4 3 4" xfId="151" xr:uid="{00000000-0005-0000-0000-00009B090000}"/>
    <cellStyle name="Comma 4 3 4 10" xfId="8847" xr:uid="{9F581A67-8954-49AA-BCEC-CD2A59064FDC}"/>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A793B1D2-9DBA-4D07-B95D-4C2DD4974C6A}"/>
    <cellStyle name="Comma 4 3 4 2 2 3" xfId="11406" xr:uid="{2DF3CD29-7C4B-4D91-84C4-6503A5069036}"/>
    <cellStyle name="Comma 4 3 4 2 3" xfId="5037" xr:uid="{00000000-0005-0000-0000-00009F090000}"/>
    <cellStyle name="Comma 4 3 4 2 3 2" xfId="13479" xr:uid="{9AAED84C-F677-4842-89E5-2AA49DBBE7E2}"/>
    <cellStyle name="Comma 4 3 4 2 4" xfId="9261" xr:uid="{36DA0FB4-601D-4058-8CAA-60A6F1B8F585}"/>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BA6A60C2-9C8D-438E-AF36-6AB1A41C95A6}"/>
    <cellStyle name="Comma 4 3 4 3 2 3" xfId="11819" xr:uid="{67398073-8284-489E-9A14-93398ECFEF6F}"/>
    <cellStyle name="Comma 4 3 4 3 3" xfId="5450" xr:uid="{00000000-0005-0000-0000-0000A3090000}"/>
    <cellStyle name="Comma 4 3 4 3 3 2" xfId="13892" xr:uid="{CBF3869C-3564-4B2F-A1CB-20248253C2A8}"/>
    <cellStyle name="Comma 4 3 4 3 4" xfId="9674" xr:uid="{71D73321-70B1-43B7-8F35-25D3DA274EE8}"/>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95563580-549D-429B-8A0F-3D8323F79FA3}"/>
    <cellStyle name="Comma 4 3 4 4 2 3" xfId="12232" xr:uid="{A1621C78-B71A-40BA-8201-6EC108CD4C95}"/>
    <cellStyle name="Comma 4 3 4 4 3" xfId="5863" xr:uid="{00000000-0005-0000-0000-0000A7090000}"/>
    <cellStyle name="Comma 4 3 4 4 3 2" xfId="14305" xr:uid="{76B721AE-8E26-4FBD-8B75-208469B7AF1E}"/>
    <cellStyle name="Comma 4 3 4 4 4" xfId="10087" xr:uid="{1E1B6CC3-E4AF-46E7-AC18-6E4C5210EF86}"/>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FDDCE912-BE25-4C55-B90B-245182B16602}"/>
    <cellStyle name="Comma 4 3 4 5 2 3" xfId="12645" xr:uid="{EF3F21ED-9519-4382-A077-D37919CB1D6E}"/>
    <cellStyle name="Comma 4 3 4 5 3" xfId="6276" xr:uid="{00000000-0005-0000-0000-0000AB090000}"/>
    <cellStyle name="Comma 4 3 4 5 3 2" xfId="14718" xr:uid="{9C0D07FE-1E63-41D4-B6E8-E2C35E1DB32D}"/>
    <cellStyle name="Comma 4 3 4 5 4" xfId="10500" xr:uid="{255D8B65-F375-459E-81B9-D9A82AFBA8D3}"/>
    <cellStyle name="Comma 4 3 4 6" xfId="2404" xr:uid="{00000000-0005-0000-0000-0000AC090000}"/>
    <cellStyle name="Comma 4 3 4 6 2" xfId="6689" xr:uid="{00000000-0005-0000-0000-0000AD090000}"/>
    <cellStyle name="Comma 4 3 4 6 2 2" xfId="15131" xr:uid="{C38AA8EA-9BCD-4D9E-85F7-144B2785255C}"/>
    <cellStyle name="Comma 4 3 4 6 3" xfId="10913" xr:uid="{CBA7E223-331A-455A-80B2-5678BC741BD1}"/>
    <cellStyle name="Comma 4 3 4 7" xfId="2700" xr:uid="{00000000-0005-0000-0000-0000AE090000}"/>
    <cellStyle name="Comma 4 3 4 8" xfId="2782" xr:uid="{00000000-0005-0000-0000-0000AF090000}"/>
    <cellStyle name="Comma 4 3 4 8 2" xfId="7006" xr:uid="{00000000-0005-0000-0000-0000B0090000}"/>
    <cellStyle name="Comma 4 3 4 8 2 2" xfId="15448" xr:uid="{8828FA5A-5ABE-4F4A-916C-D1DE409A4962}"/>
    <cellStyle name="Comma 4 3 4 8 3" xfId="11230" xr:uid="{A2F641F4-9DEC-4873-B154-17D4B16CE35B}"/>
    <cellStyle name="Comma 4 3 4 9" xfId="4623" xr:uid="{00000000-0005-0000-0000-0000B1090000}"/>
    <cellStyle name="Comma 4 3 4 9 2" xfId="13065" xr:uid="{DC35AD9C-F8D5-41A7-BB25-3E5C377C9EA2}"/>
    <cellStyle name="Comma 4 3 5" xfId="152" xr:uid="{00000000-0005-0000-0000-0000B2090000}"/>
    <cellStyle name="Comma 4 3 5 10" xfId="8848" xr:uid="{9C2EBD56-117C-4573-B543-3990E644FA78}"/>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F7DA6F34-0C64-4CB8-B315-D414F38BAE9E}"/>
    <cellStyle name="Comma 4 3 5 2 2 3" xfId="11407" xr:uid="{B7925F8B-E1C1-48A6-9CB5-4D85BDA279C2}"/>
    <cellStyle name="Comma 4 3 5 2 3" xfId="5038" xr:uid="{00000000-0005-0000-0000-0000B6090000}"/>
    <cellStyle name="Comma 4 3 5 2 3 2" xfId="13480" xr:uid="{6E62E804-B115-4BDD-842C-8DD95CE60AB5}"/>
    <cellStyle name="Comma 4 3 5 2 4" xfId="9262" xr:uid="{B7435C2C-8A2A-4B76-AE7E-E78FD1DE6CCE}"/>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2EA87BD8-3566-4B67-80F4-7A42116B0083}"/>
    <cellStyle name="Comma 4 3 5 3 2 3" xfId="11820" xr:uid="{0DF45A59-3911-4BD4-95D7-072E8EABA01C}"/>
    <cellStyle name="Comma 4 3 5 3 3" xfId="5451" xr:uid="{00000000-0005-0000-0000-0000BA090000}"/>
    <cellStyle name="Comma 4 3 5 3 3 2" xfId="13893" xr:uid="{5542A305-02D3-4135-9A57-004681F137CE}"/>
    <cellStyle name="Comma 4 3 5 3 4" xfId="9675" xr:uid="{D8CFE69E-0EA4-4E83-B557-4AC72593B5F3}"/>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8254F980-5F1B-4117-84EC-A2ACBEA498D7}"/>
    <cellStyle name="Comma 4 3 5 4 2 3" xfId="12233" xr:uid="{0766CC4F-F235-4DB4-8806-C7E5752C9A0E}"/>
    <cellStyle name="Comma 4 3 5 4 3" xfId="5864" xr:uid="{00000000-0005-0000-0000-0000BE090000}"/>
    <cellStyle name="Comma 4 3 5 4 3 2" xfId="14306" xr:uid="{F92F3AD2-09B7-40CB-BD8E-FCDD2851DAB7}"/>
    <cellStyle name="Comma 4 3 5 4 4" xfId="10088" xr:uid="{00471DFE-CC02-498E-86E1-F2EEF609414B}"/>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531A32F4-9A94-45D4-9C17-553AC3F5B2AB}"/>
    <cellStyle name="Comma 4 3 5 5 2 3" xfId="12646" xr:uid="{C5822CF4-E0CC-4ABE-855C-F8C3EA86634C}"/>
    <cellStyle name="Comma 4 3 5 5 3" xfId="6277" xr:uid="{00000000-0005-0000-0000-0000C2090000}"/>
    <cellStyle name="Comma 4 3 5 5 3 2" xfId="14719" xr:uid="{D9768267-82A8-4BF0-A3A6-E014FCA621DB}"/>
    <cellStyle name="Comma 4 3 5 5 4" xfId="10501" xr:uid="{15713B93-9619-4338-ADBE-C8E5E96A9565}"/>
    <cellStyle name="Comma 4 3 5 6" xfId="2405" xr:uid="{00000000-0005-0000-0000-0000C3090000}"/>
    <cellStyle name="Comma 4 3 5 6 2" xfId="6690" xr:uid="{00000000-0005-0000-0000-0000C4090000}"/>
    <cellStyle name="Comma 4 3 5 6 2 2" xfId="15132" xr:uid="{F57A05A3-5C70-4670-9171-B9E367F59254}"/>
    <cellStyle name="Comma 4 3 5 6 3" xfId="10914" xr:uid="{1EE4C05F-8E3A-4C6D-9F17-75995FBA2F86}"/>
    <cellStyle name="Comma 4 3 5 7" xfId="2701" xr:uid="{00000000-0005-0000-0000-0000C5090000}"/>
    <cellStyle name="Comma 4 3 5 8" xfId="2783" xr:uid="{00000000-0005-0000-0000-0000C6090000}"/>
    <cellStyle name="Comma 4 3 5 8 2" xfId="7007" xr:uid="{00000000-0005-0000-0000-0000C7090000}"/>
    <cellStyle name="Comma 4 3 5 8 2 2" xfId="15449" xr:uid="{30B2FFAE-9F75-42D0-A610-2ED446E66891}"/>
    <cellStyle name="Comma 4 3 5 8 3" xfId="11231" xr:uid="{B98D82E4-84F5-4ACE-A644-FAAA815D340F}"/>
    <cellStyle name="Comma 4 3 5 9" xfId="4624" xr:uid="{00000000-0005-0000-0000-0000C8090000}"/>
    <cellStyle name="Comma 4 3 5 9 2" xfId="13066" xr:uid="{D35C83E4-3838-41D5-897A-2B549B9976E9}"/>
    <cellStyle name="Comma 4 4" xfId="153" xr:uid="{00000000-0005-0000-0000-0000C9090000}"/>
    <cellStyle name="Comma 4 4 10" xfId="2784" xr:uid="{00000000-0005-0000-0000-0000CA090000}"/>
    <cellStyle name="Comma 4 4 10 2" xfId="7008" xr:uid="{00000000-0005-0000-0000-0000CB090000}"/>
    <cellStyle name="Comma 4 4 10 2 2" xfId="15450" xr:uid="{77690AAC-CE7E-4597-AFA5-15282720AE66}"/>
    <cellStyle name="Comma 4 4 10 3" xfId="11232" xr:uid="{EF4EBC1B-4DF8-4217-9174-0D11E847177A}"/>
    <cellStyle name="Comma 4 4 11" xfId="4625" xr:uid="{00000000-0005-0000-0000-0000CC090000}"/>
    <cellStyle name="Comma 4 4 11 2" xfId="13067" xr:uid="{79CCCBC2-041A-4E89-81E5-984DDBE180CE}"/>
    <cellStyle name="Comma 4 4 12" xfId="8849" xr:uid="{12B44505-EA53-4A2C-8412-5F1C8D47B10C}"/>
    <cellStyle name="Comma 4 4 2" xfId="154" xr:uid="{00000000-0005-0000-0000-0000CD090000}"/>
    <cellStyle name="Comma 4 4 2 10" xfId="4626" xr:uid="{00000000-0005-0000-0000-0000CE090000}"/>
    <cellStyle name="Comma 4 4 2 10 2" xfId="13068" xr:uid="{9DF00297-A186-4F5D-AF81-E80FB033C1D2}"/>
    <cellStyle name="Comma 4 4 2 11" xfId="8850" xr:uid="{A70B9C07-5257-44ED-9D20-3038CCFB3A35}"/>
    <cellStyle name="Comma 4 4 2 2" xfId="155" xr:uid="{00000000-0005-0000-0000-0000CF090000}"/>
    <cellStyle name="Comma 4 4 2 2 10" xfId="8851" xr:uid="{0679581E-0AF6-4462-BFA4-37C9AA1815CF}"/>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75A546EC-5D59-44E1-B4BF-F4FFBBC13E9D}"/>
    <cellStyle name="Comma 4 4 2 2 2 2 3" xfId="11410" xr:uid="{AC782C0E-7B7F-4D8D-84D9-8233D76C7947}"/>
    <cellStyle name="Comma 4 4 2 2 2 3" xfId="5041" xr:uid="{00000000-0005-0000-0000-0000D3090000}"/>
    <cellStyle name="Comma 4 4 2 2 2 3 2" xfId="13483" xr:uid="{AFA0FAD2-33EA-4904-9EFF-EC2A7979E04A}"/>
    <cellStyle name="Comma 4 4 2 2 2 4" xfId="9265" xr:uid="{498A4BC9-8A96-4F6B-8373-81D28165F843}"/>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9B7B47A1-E3BA-49CB-A1B1-8DE0A1E92AF2}"/>
    <cellStyle name="Comma 4 4 2 2 3 2 3" xfId="11823" xr:uid="{EAA7E197-FE96-4550-BF79-D65D3D15BD23}"/>
    <cellStyle name="Comma 4 4 2 2 3 3" xfId="5454" xr:uid="{00000000-0005-0000-0000-0000D7090000}"/>
    <cellStyle name="Comma 4 4 2 2 3 3 2" xfId="13896" xr:uid="{2482E66B-97F5-4164-8A05-55CDF58F4C22}"/>
    <cellStyle name="Comma 4 4 2 2 3 4" xfId="9678" xr:uid="{E2EB6358-B02F-4DBD-895A-6B4184A9165B}"/>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9078272C-1C91-4672-ADA3-FAAF6E636ED6}"/>
    <cellStyle name="Comma 4 4 2 2 4 2 3" xfId="12236" xr:uid="{0152B3F7-0D00-4637-852C-21847CE160DB}"/>
    <cellStyle name="Comma 4 4 2 2 4 3" xfId="5867" xr:uid="{00000000-0005-0000-0000-0000DB090000}"/>
    <cellStyle name="Comma 4 4 2 2 4 3 2" xfId="14309" xr:uid="{C7AEC502-6F00-477F-9092-F23DE4E2E96A}"/>
    <cellStyle name="Comma 4 4 2 2 4 4" xfId="10091" xr:uid="{515D7D83-C689-4422-B37D-6CE589DAE458}"/>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919FFC0A-D87D-45BC-93F9-FBC2A37AB416}"/>
    <cellStyle name="Comma 4 4 2 2 5 2 3" xfId="12649" xr:uid="{3015957D-80DD-44E6-9119-486EC139AA2F}"/>
    <cellStyle name="Comma 4 4 2 2 5 3" xfId="6280" xr:uid="{00000000-0005-0000-0000-0000DF090000}"/>
    <cellStyle name="Comma 4 4 2 2 5 3 2" xfId="14722" xr:uid="{549DCD87-C6DD-48FE-ABD5-EBC06081D19A}"/>
    <cellStyle name="Comma 4 4 2 2 5 4" xfId="10504" xr:uid="{24CF1C04-554F-44FA-A61F-D205A2000D2F}"/>
    <cellStyle name="Comma 4 4 2 2 6" xfId="2408" xr:uid="{00000000-0005-0000-0000-0000E0090000}"/>
    <cellStyle name="Comma 4 4 2 2 6 2" xfId="6693" xr:uid="{00000000-0005-0000-0000-0000E1090000}"/>
    <cellStyle name="Comma 4 4 2 2 6 2 2" xfId="15135" xr:uid="{BDA293B0-FD51-4990-B3A9-9B40E141E3A3}"/>
    <cellStyle name="Comma 4 4 2 2 6 3" xfId="10917" xr:uid="{BFD1BE16-3E74-4814-B2DE-44402C80D467}"/>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B514B148-1745-4C72-BA58-8DA472AD65C9}"/>
    <cellStyle name="Comma 4 4 2 2 8 3" xfId="11234" xr:uid="{DA2E940C-545E-496D-A52A-B784D903913D}"/>
    <cellStyle name="Comma 4 4 2 2 9" xfId="4627" xr:uid="{00000000-0005-0000-0000-0000E5090000}"/>
    <cellStyle name="Comma 4 4 2 2 9 2" xfId="13069" xr:uid="{92B75CB8-8639-4A1A-9D4B-99BFB4D5D79A}"/>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702E071E-9443-4146-831B-D5E29F2E9078}"/>
    <cellStyle name="Comma 4 4 2 3 2 3" xfId="11409" xr:uid="{3B2A55DC-69DD-4E58-8EE5-DFDFC0A92B72}"/>
    <cellStyle name="Comma 4 4 2 3 3" xfId="5040" xr:uid="{00000000-0005-0000-0000-0000E9090000}"/>
    <cellStyle name="Comma 4 4 2 3 3 2" xfId="13482" xr:uid="{6B18543C-DEC5-421E-8CDC-942CEA8C608E}"/>
    <cellStyle name="Comma 4 4 2 3 4" xfId="9264" xr:uid="{23FA2537-D14D-4C81-BB33-02A77A961EB1}"/>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DFDCA502-6D59-4937-AF78-E9BDEE352704}"/>
    <cellStyle name="Comma 4 4 2 4 2 3" xfId="11822" xr:uid="{AEA5079C-3F7B-4392-ABEC-478D0CF2BE68}"/>
    <cellStyle name="Comma 4 4 2 4 3" xfId="5453" xr:uid="{00000000-0005-0000-0000-0000ED090000}"/>
    <cellStyle name="Comma 4 4 2 4 3 2" xfId="13895" xr:uid="{3BAB195D-0FD7-4739-BA85-B072E80B671A}"/>
    <cellStyle name="Comma 4 4 2 4 4" xfId="9677" xr:uid="{8E76954D-B482-47B1-8A82-04BF15FDD48A}"/>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42B128C5-9BC2-43E5-A108-99AE9E0D8E0B}"/>
    <cellStyle name="Comma 4 4 2 5 2 3" xfId="12235" xr:uid="{784D3981-6815-4B5A-91CD-A7319BDEBD70}"/>
    <cellStyle name="Comma 4 4 2 5 3" xfId="5866" xr:uid="{00000000-0005-0000-0000-0000F1090000}"/>
    <cellStyle name="Comma 4 4 2 5 3 2" xfId="14308" xr:uid="{3701092A-3ABD-490E-9F02-268AA14F7CB3}"/>
    <cellStyle name="Comma 4 4 2 5 4" xfId="10090" xr:uid="{E0A2B3D0-A1BF-4B49-A12A-CC312BFF0568}"/>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DCD496C2-63E6-49CD-B26D-D966BE3169BC}"/>
    <cellStyle name="Comma 4 4 2 6 2 3" xfId="12648" xr:uid="{65E312B5-4695-4A6C-8393-D81F14363292}"/>
    <cellStyle name="Comma 4 4 2 6 3" xfId="6279" xr:uid="{00000000-0005-0000-0000-0000F5090000}"/>
    <cellStyle name="Comma 4 4 2 6 3 2" xfId="14721" xr:uid="{7B569230-F77B-47B0-B4C8-E611BAF69F33}"/>
    <cellStyle name="Comma 4 4 2 6 4" xfId="10503" xr:uid="{02EA17F4-BA2E-48F6-A277-0D67B2A96203}"/>
    <cellStyle name="Comma 4 4 2 7" xfId="2407" xr:uid="{00000000-0005-0000-0000-0000F6090000}"/>
    <cellStyle name="Comma 4 4 2 7 2" xfId="6692" xr:uid="{00000000-0005-0000-0000-0000F7090000}"/>
    <cellStyle name="Comma 4 4 2 7 2 2" xfId="15134" xr:uid="{0E96482B-971C-48A2-B5FD-5974C72E9B96}"/>
    <cellStyle name="Comma 4 4 2 7 3" xfId="10916" xr:uid="{EA087345-B252-48C9-B1FE-68388C51CD5E}"/>
    <cellStyle name="Comma 4 4 2 8" xfId="2703" xr:uid="{00000000-0005-0000-0000-0000F8090000}"/>
    <cellStyle name="Comma 4 4 2 9" xfId="2785" xr:uid="{00000000-0005-0000-0000-0000F9090000}"/>
    <cellStyle name="Comma 4 4 2 9 2" xfId="7009" xr:uid="{00000000-0005-0000-0000-0000FA090000}"/>
    <cellStyle name="Comma 4 4 2 9 2 2" xfId="15451" xr:uid="{4A186381-DEB4-4FF1-A0C3-2E202DDD4A55}"/>
    <cellStyle name="Comma 4 4 2 9 3" xfId="11233" xr:uid="{4FA3CEB5-EA08-42B9-A9CD-6E459AC36BE7}"/>
    <cellStyle name="Comma 4 4 3" xfId="156" xr:uid="{00000000-0005-0000-0000-0000FB090000}"/>
    <cellStyle name="Comma 4 4 3 10" xfId="8852" xr:uid="{B72588CF-46D1-40D4-AA7C-C6C584EABFB7}"/>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2D95332B-C207-44B2-88AE-56AFC94E60F0}"/>
    <cellStyle name="Comma 4 4 3 2 2 3" xfId="11411" xr:uid="{5000F1E2-9BB5-4A9E-9BE2-A113E1C09F3C}"/>
    <cellStyle name="Comma 4 4 3 2 3" xfId="5042" xr:uid="{00000000-0005-0000-0000-0000FF090000}"/>
    <cellStyle name="Comma 4 4 3 2 3 2" xfId="13484" xr:uid="{F340ECDE-73BF-46B0-9D55-566620542349}"/>
    <cellStyle name="Comma 4 4 3 2 4" xfId="9266" xr:uid="{2C2BEB70-9078-444F-878D-0E5CD895F781}"/>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36EC407F-A28B-41A8-AAD8-FF0C946DF6F4}"/>
    <cellStyle name="Comma 4 4 3 3 2 3" xfId="11824" xr:uid="{03CF1576-8B66-447A-AE05-9C04F5ED3752}"/>
    <cellStyle name="Comma 4 4 3 3 3" xfId="5455" xr:uid="{00000000-0005-0000-0000-0000030A0000}"/>
    <cellStyle name="Comma 4 4 3 3 3 2" xfId="13897" xr:uid="{8713F1F8-525F-4812-BB4A-694B3F580253}"/>
    <cellStyle name="Comma 4 4 3 3 4" xfId="9679" xr:uid="{6B2E31B0-F038-45A6-B4EA-620B54E856A7}"/>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B7BBCED7-5640-4E15-948D-08B0EE6E4AD4}"/>
    <cellStyle name="Comma 4 4 3 4 2 3" xfId="12237" xr:uid="{7F6E5BC2-CB21-4228-83D1-31027556CFF2}"/>
    <cellStyle name="Comma 4 4 3 4 3" xfId="5868" xr:uid="{00000000-0005-0000-0000-0000070A0000}"/>
    <cellStyle name="Comma 4 4 3 4 3 2" xfId="14310" xr:uid="{99179AD4-1D9D-4925-B212-FEDBB5395A50}"/>
    <cellStyle name="Comma 4 4 3 4 4" xfId="10092" xr:uid="{E7CCD16E-7342-4E8D-BDA9-B98494B95EEF}"/>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F8CDD1EC-5D88-4D27-ADBD-E77EA694D125}"/>
    <cellStyle name="Comma 4 4 3 5 2 3" xfId="12650" xr:uid="{C7F4480C-1543-4B95-8BCA-FCFC4789E903}"/>
    <cellStyle name="Comma 4 4 3 5 3" xfId="6281" xr:uid="{00000000-0005-0000-0000-00000B0A0000}"/>
    <cellStyle name="Comma 4 4 3 5 3 2" xfId="14723" xr:uid="{29A084EC-0B3D-4136-8BA2-E446E8FFA626}"/>
    <cellStyle name="Comma 4 4 3 5 4" xfId="10505" xr:uid="{8D5FC4DF-F35B-4AAF-8DD6-942651342266}"/>
    <cellStyle name="Comma 4 4 3 6" xfId="2409" xr:uid="{00000000-0005-0000-0000-00000C0A0000}"/>
    <cellStyle name="Comma 4 4 3 6 2" xfId="6694" xr:uid="{00000000-0005-0000-0000-00000D0A0000}"/>
    <cellStyle name="Comma 4 4 3 6 2 2" xfId="15136" xr:uid="{AF2F4626-5C34-4DA4-9695-836C6608C4F8}"/>
    <cellStyle name="Comma 4 4 3 6 3" xfId="10918" xr:uid="{98BF6614-6110-4C22-95B2-218DAF961BA7}"/>
    <cellStyle name="Comma 4 4 3 7" xfId="2705" xr:uid="{00000000-0005-0000-0000-00000E0A0000}"/>
    <cellStyle name="Comma 4 4 3 8" xfId="2787" xr:uid="{00000000-0005-0000-0000-00000F0A0000}"/>
    <cellStyle name="Comma 4 4 3 8 2" xfId="7011" xr:uid="{00000000-0005-0000-0000-0000100A0000}"/>
    <cellStyle name="Comma 4 4 3 8 2 2" xfId="15453" xr:uid="{890CF488-4B59-4EAE-882C-35A739E62CB1}"/>
    <cellStyle name="Comma 4 4 3 8 3" xfId="11235" xr:uid="{3B088981-06DB-49E4-B3F5-2EF25C1114F5}"/>
    <cellStyle name="Comma 4 4 3 9" xfId="4628" xr:uid="{00000000-0005-0000-0000-0000110A0000}"/>
    <cellStyle name="Comma 4 4 3 9 2" xfId="13070" xr:uid="{0E16365F-6ED9-4D06-AF53-8354F601B87C}"/>
    <cellStyle name="Comma 4 4 4" xfId="690" xr:uid="{00000000-0005-0000-0000-0000120A0000}"/>
    <cellStyle name="Comma 4 4 4 2" xfId="2961" xr:uid="{00000000-0005-0000-0000-0000130A0000}"/>
    <cellStyle name="Comma 4 4 4 2 2" xfId="7184" xr:uid="{00000000-0005-0000-0000-0000140A0000}"/>
    <cellStyle name="Comma 4 4 4 2 2 2" xfId="15626" xr:uid="{CE490A31-F689-4A10-8037-7F3EEE22A80A}"/>
    <cellStyle name="Comma 4 4 4 2 3" xfId="11408" xr:uid="{3A0C4CCB-C00A-479F-A6F0-B2FA085C1DF5}"/>
    <cellStyle name="Comma 4 4 4 3" xfId="5039" xr:uid="{00000000-0005-0000-0000-0000150A0000}"/>
    <cellStyle name="Comma 4 4 4 3 2" xfId="13481" xr:uid="{47F18619-9280-4BAB-9E2B-662CEF6B8560}"/>
    <cellStyle name="Comma 4 4 4 4" xfId="9263" xr:uid="{8A980D14-9C06-4371-8C60-06FDED1EEC8E}"/>
    <cellStyle name="Comma 4 4 5" xfId="1143" xr:uid="{00000000-0005-0000-0000-0000160A0000}"/>
    <cellStyle name="Comma 4 4 5 2" xfId="3374" xr:uid="{00000000-0005-0000-0000-0000170A0000}"/>
    <cellStyle name="Comma 4 4 5 2 2" xfId="7597" xr:uid="{00000000-0005-0000-0000-0000180A0000}"/>
    <cellStyle name="Comma 4 4 5 2 2 2" xfId="16039" xr:uid="{90200859-3DDC-42A3-B7F1-8C9868D37BF7}"/>
    <cellStyle name="Comma 4 4 5 2 3" xfId="11821" xr:uid="{9AA9E897-772B-41E9-BC77-050CB74D98FD}"/>
    <cellStyle name="Comma 4 4 5 3" xfId="5452" xr:uid="{00000000-0005-0000-0000-0000190A0000}"/>
    <cellStyle name="Comma 4 4 5 3 2" xfId="13894" xr:uid="{DF3D6030-4A85-4525-B7B5-1E63F53FEDC0}"/>
    <cellStyle name="Comma 4 4 5 4" xfId="9676" xr:uid="{549C20D8-12BB-4506-A11D-F2F4188F4729}"/>
    <cellStyle name="Comma 4 4 6" xfId="1557" xr:uid="{00000000-0005-0000-0000-00001A0A0000}"/>
    <cellStyle name="Comma 4 4 6 2" xfId="3787" xr:uid="{00000000-0005-0000-0000-00001B0A0000}"/>
    <cellStyle name="Comma 4 4 6 2 2" xfId="8010" xr:uid="{00000000-0005-0000-0000-00001C0A0000}"/>
    <cellStyle name="Comma 4 4 6 2 2 2" xfId="16452" xr:uid="{2562CC22-D8EA-4C67-91E6-75B59CEC88F3}"/>
    <cellStyle name="Comma 4 4 6 2 3" xfId="12234" xr:uid="{CA89AFA2-87D5-4715-89F2-5CD35570FD64}"/>
    <cellStyle name="Comma 4 4 6 3" xfId="5865" xr:uid="{00000000-0005-0000-0000-00001D0A0000}"/>
    <cellStyle name="Comma 4 4 6 3 2" xfId="14307" xr:uid="{ECABB140-3ED6-4C86-9D21-413AA142D89F}"/>
    <cellStyle name="Comma 4 4 6 4" xfId="10089" xr:uid="{EE1A288C-D800-40DD-B006-73C7B077A383}"/>
    <cellStyle name="Comma 4 4 7" xfId="1971" xr:uid="{00000000-0005-0000-0000-00001E0A0000}"/>
    <cellStyle name="Comma 4 4 7 2" xfId="4200" xr:uid="{00000000-0005-0000-0000-00001F0A0000}"/>
    <cellStyle name="Comma 4 4 7 2 2" xfId="8423" xr:uid="{00000000-0005-0000-0000-0000200A0000}"/>
    <cellStyle name="Comma 4 4 7 2 2 2" xfId="16865" xr:uid="{64935BEA-4D70-4AC3-AE0E-4CB5C83C7338}"/>
    <cellStyle name="Comma 4 4 7 2 3" xfId="12647" xr:uid="{6360959B-DC9C-4BE4-B1C9-E88D179A98B0}"/>
    <cellStyle name="Comma 4 4 7 3" xfId="6278" xr:uid="{00000000-0005-0000-0000-0000210A0000}"/>
    <cellStyle name="Comma 4 4 7 3 2" xfId="14720" xr:uid="{413094C0-1AD5-420E-978D-7D70DD161E71}"/>
    <cellStyle name="Comma 4 4 7 4" xfId="10502" xr:uid="{93391F36-F6B8-4895-895D-F20B4CB93372}"/>
    <cellStyle name="Comma 4 4 8" xfId="2406" xr:uid="{00000000-0005-0000-0000-0000220A0000}"/>
    <cellStyle name="Comma 4 4 8 2" xfId="6691" xr:uid="{00000000-0005-0000-0000-0000230A0000}"/>
    <cellStyle name="Comma 4 4 8 2 2" xfId="15133" xr:uid="{390E59ED-6FE1-4AA3-884A-560176E7DC65}"/>
    <cellStyle name="Comma 4 4 8 3" xfId="10915" xr:uid="{B93B4174-6791-40AD-A7D8-9695DB12DD3F}"/>
    <cellStyle name="Comma 4 4 9" xfId="2702" xr:uid="{00000000-0005-0000-0000-0000240A0000}"/>
    <cellStyle name="Comma 4 5" xfId="157" xr:uid="{00000000-0005-0000-0000-0000250A0000}"/>
    <cellStyle name="Comma 4 5 10" xfId="4629" xr:uid="{00000000-0005-0000-0000-0000260A0000}"/>
    <cellStyle name="Comma 4 5 10 2" xfId="13071" xr:uid="{3A7AD3A6-B4AD-4648-9AE1-B2ECF0EDE39D}"/>
    <cellStyle name="Comma 4 5 11" xfId="8853" xr:uid="{0402CA3A-03A1-42C3-94CF-52F0EBBF622D}"/>
    <cellStyle name="Comma 4 5 2" xfId="158" xr:uid="{00000000-0005-0000-0000-0000270A0000}"/>
    <cellStyle name="Comma 4 5 2 10" xfId="8854" xr:uid="{9BCFDDE8-7137-4036-8F8B-9DD622225ACA}"/>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316A08D9-30EC-47E3-A6B9-C9A51A4EFFC2}"/>
    <cellStyle name="Comma 4 5 2 2 2 3" xfId="11413" xr:uid="{F6CA0CC1-8341-42B7-B948-322BAE27DC54}"/>
    <cellStyle name="Comma 4 5 2 2 3" xfId="5044" xr:uid="{00000000-0005-0000-0000-00002B0A0000}"/>
    <cellStyle name="Comma 4 5 2 2 3 2" xfId="13486" xr:uid="{631B4CFE-E639-4F72-AE48-A211F2DB8CE7}"/>
    <cellStyle name="Comma 4 5 2 2 4" xfId="9268" xr:uid="{1F0E68EF-A91F-4A87-A94C-1A8526BBF37A}"/>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84C28924-A822-45B6-8ED2-4DA443ADB52A}"/>
    <cellStyle name="Comma 4 5 2 3 2 3" xfId="11826" xr:uid="{D5A915CE-1D3D-4874-88C4-FA75F210EF6B}"/>
    <cellStyle name="Comma 4 5 2 3 3" xfId="5457" xr:uid="{00000000-0005-0000-0000-00002F0A0000}"/>
    <cellStyle name="Comma 4 5 2 3 3 2" xfId="13899" xr:uid="{169731CA-CF30-4338-B583-EE7B5D05AAC3}"/>
    <cellStyle name="Comma 4 5 2 3 4" xfId="9681" xr:uid="{05A6A685-C092-4E29-A8D0-882410D23B9E}"/>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3EEFBAAA-42B6-4185-8D0B-C6E47C0B49A7}"/>
    <cellStyle name="Comma 4 5 2 4 2 3" xfId="12239" xr:uid="{C54C12DA-A2FE-4766-91FC-C1F24C49258F}"/>
    <cellStyle name="Comma 4 5 2 4 3" xfId="5870" xr:uid="{00000000-0005-0000-0000-0000330A0000}"/>
    <cellStyle name="Comma 4 5 2 4 3 2" xfId="14312" xr:uid="{6DD578DE-E4C4-4CB4-AF80-1C0AC2DE7571}"/>
    <cellStyle name="Comma 4 5 2 4 4" xfId="10094" xr:uid="{2F1FCE6B-2A09-4426-8D12-147195AA6E71}"/>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E916741D-2EF1-4635-98F9-E12DEA4ABEBB}"/>
    <cellStyle name="Comma 4 5 2 5 2 3" xfId="12652" xr:uid="{9013EB1E-DE71-4B36-B5D8-E3027E2837DE}"/>
    <cellStyle name="Comma 4 5 2 5 3" xfId="6283" xr:uid="{00000000-0005-0000-0000-0000370A0000}"/>
    <cellStyle name="Comma 4 5 2 5 3 2" xfId="14725" xr:uid="{54EC851F-2559-4293-98D0-9FAB91526C88}"/>
    <cellStyle name="Comma 4 5 2 5 4" xfId="10507" xr:uid="{4151BC14-77DC-4953-99AF-0993110B583C}"/>
    <cellStyle name="Comma 4 5 2 6" xfId="2411" xr:uid="{00000000-0005-0000-0000-0000380A0000}"/>
    <cellStyle name="Comma 4 5 2 6 2" xfId="6696" xr:uid="{00000000-0005-0000-0000-0000390A0000}"/>
    <cellStyle name="Comma 4 5 2 6 2 2" xfId="15138" xr:uid="{7DB7D45B-77F0-44DB-A45E-3A0FA3AAF35D}"/>
    <cellStyle name="Comma 4 5 2 6 3" xfId="10920" xr:uid="{5A064B8C-C018-4D00-9CA0-4047422B3DB3}"/>
    <cellStyle name="Comma 4 5 2 7" xfId="2707" xr:uid="{00000000-0005-0000-0000-00003A0A0000}"/>
    <cellStyle name="Comma 4 5 2 8" xfId="2789" xr:uid="{00000000-0005-0000-0000-00003B0A0000}"/>
    <cellStyle name="Comma 4 5 2 8 2" xfId="7013" xr:uid="{00000000-0005-0000-0000-00003C0A0000}"/>
    <cellStyle name="Comma 4 5 2 8 2 2" xfId="15455" xr:uid="{A98EBB33-3B5D-4101-8ACC-C2439802FCED}"/>
    <cellStyle name="Comma 4 5 2 8 3" xfId="11237" xr:uid="{5E821F58-2714-4821-9226-A688D75E8522}"/>
    <cellStyle name="Comma 4 5 2 9" xfId="4630" xr:uid="{00000000-0005-0000-0000-00003D0A0000}"/>
    <cellStyle name="Comma 4 5 2 9 2" xfId="13072" xr:uid="{32F3157F-582E-4D2E-9366-F481B3F32F83}"/>
    <cellStyle name="Comma 4 5 3" xfId="694" xr:uid="{00000000-0005-0000-0000-00003E0A0000}"/>
    <cellStyle name="Comma 4 5 3 2" xfId="2965" xr:uid="{00000000-0005-0000-0000-00003F0A0000}"/>
    <cellStyle name="Comma 4 5 3 2 2" xfId="7188" xr:uid="{00000000-0005-0000-0000-0000400A0000}"/>
    <cellStyle name="Comma 4 5 3 2 2 2" xfId="15630" xr:uid="{9FAA076D-5BB0-4AAA-A6C8-DEA592D36E0A}"/>
    <cellStyle name="Comma 4 5 3 2 3" xfId="11412" xr:uid="{FFF4195B-0BEA-4564-9464-3D1387E99C52}"/>
    <cellStyle name="Comma 4 5 3 3" xfId="5043" xr:uid="{00000000-0005-0000-0000-0000410A0000}"/>
    <cellStyle name="Comma 4 5 3 3 2" xfId="13485" xr:uid="{81F7E374-C6E4-4CF5-B6EE-37B6F24CA484}"/>
    <cellStyle name="Comma 4 5 3 4" xfId="9267" xr:uid="{4FA596E6-19D5-4958-94E1-1AF179170965}"/>
    <cellStyle name="Comma 4 5 4" xfId="1147" xr:uid="{00000000-0005-0000-0000-0000420A0000}"/>
    <cellStyle name="Comma 4 5 4 2" xfId="3378" xr:uid="{00000000-0005-0000-0000-0000430A0000}"/>
    <cellStyle name="Comma 4 5 4 2 2" xfId="7601" xr:uid="{00000000-0005-0000-0000-0000440A0000}"/>
    <cellStyle name="Comma 4 5 4 2 2 2" xfId="16043" xr:uid="{89AEA5FD-97C6-4152-857F-3BFDB039F161}"/>
    <cellStyle name="Comma 4 5 4 2 3" xfId="11825" xr:uid="{1D26CE8D-123F-4D2A-A62B-0FD2E7133C55}"/>
    <cellStyle name="Comma 4 5 4 3" xfId="5456" xr:uid="{00000000-0005-0000-0000-0000450A0000}"/>
    <cellStyle name="Comma 4 5 4 3 2" xfId="13898" xr:uid="{19931F10-8E04-450C-8D1D-EF31A963B6AC}"/>
    <cellStyle name="Comma 4 5 4 4" xfId="9680" xr:uid="{B915F8EE-AD81-4024-A818-AEE1FEBB3145}"/>
    <cellStyle name="Comma 4 5 5" xfId="1561" xr:uid="{00000000-0005-0000-0000-0000460A0000}"/>
    <cellStyle name="Comma 4 5 5 2" xfId="3791" xr:uid="{00000000-0005-0000-0000-0000470A0000}"/>
    <cellStyle name="Comma 4 5 5 2 2" xfId="8014" xr:uid="{00000000-0005-0000-0000-0000480A0000}"/>
    <cellStyle name="Comma 4 5 5 2 2 2" xfId="16456" xr:uid="{1047C0A9-49E4-46E7-B4E2-33DCD734F3AF}"/>
    <cellStyle name="Comma 4 5 5 2 3" xfId="12238" xr:uid="{1FEC50E8-1637-43A9-909D-60748B7F8260}"/>
    <cellStyle name="Comma 4 5 5 3" xfId="5869" xr:uid="{00000000-0005-0000-0000-0000490A0000}"/>
    <cellStyle name="Comma 4 5 5 3 2" xfId="14311" xr:uid="{C69DBE9B-26B6-487E-9C82-9A5D7DC03696}"/>
    <cellStyle name="Comma 4 5 5 4" xfId="10093" xr:uid="{663C5508-8D53-4C10-83E9-3274488335BB}"/>
    <cellStyle name="Comma 4 5 6" xfId="1975" xr:uid="{00000000-0005-0000-0000-00004A0A0000}"/>
    <cellStyle name="Comma 4 5 6 2" xfId="4204" xr:uid="{00000000-0005-0000-0000-00004B0A0000}"/>
    <cellStyle name="Comma 4 5 6 2 2" xfId="8427" xr:uid="{00000000-0005-0000-0000-00004C0A0000}"/>
    <cellStyle name="Comma 4 5 6 2 2 2" xfId="16869" xr:uid="{8DEA46FB-2E72-49FC-986F-41ECC818DB18}"/>
    <cellStyle name="Comma 4 5 6 2 3" xfId="12651" xr:uid="{7F08CF03-D623-4792-8FDF-43A8391A9B91}"/>
    <cellStyle name="Comma 4 5 6 3" xfId="6282" xr:uid="{00000000-0005-0000-0000-00004D0A0000}"/>
    <cellStyle name="Comma 4 5 6 3 2" xfId="14724" xr:uid="{1D262DE8-E8EF-491A-9EA2-338AA9D1D9AD}"/>
    <cellStyle name="Comma 4 5 6 4" xfId="10506" xr:uid="{E247F7A1-64D0-478F-8873-7BD03E1D7FBD}"/>
    <cellStyle name="Comma 4 5 7" xfId="2410" xr:uid="{00000000-0005-0000-0000-00004E0A0000}"/>
    <cellStyle name="Comma 4 5 7 2" xfId="6695" xr:uid="{00000000-0005-0000-0000-00004F0A0000}"/>
    <cellStyle name="Comma 4 5 7 2 2" xfId="15137" xr:uid="{2D588B64-ABC3-454E-BE37-2115D92B8F46}"/>
    <cellStyle name="Comma 4 5 7 3" xfId="10919" xr:uid="{ABD88FAA-1990-4FB6-AF9E-136CDBBEC424}"/>
    <cellStyle name="Comma 4 5 8" xfId="2706" xr:uid="{00000000-0005-0000-0000-0000500A0000}"/>
    <cellStyle name="Comma 4 5 9" xfId="2788" xr:uid="{00000000-0005-0000-0000-0000510A0000}"/>
    <cellStyle name="Comma 4 5 9 2" xfId="7012" xr:uid="{00000000-0005-0000-0000-0000520A0000}"/>
    <cellStyle name="Comma 4 5 9 2 2" xfId="15454" xr:uid="{FFB359F1-05A5-4E36-89C8-A2DB74103AD2}"/>
    <cellStyle name="Comma 4 5 9 3" xfId="11236" xr:uid="{B2BEFEF7-0BE2-411C-B118-BEEB5DE6718F}"/>
    <cellStyle name="Comma 4 6" xfId="159" xr:uid="{00000000-0005-0000-0000-0000530A0000}"/>
    <cellStyle name="Comma 4 6 10" xfId="8855" xr:uid="{9412B005-4E45-4C88-90EB-8630764688DD}"/>
    <cellStyle name="Comma 4 6 2" xfId="696" xr:uid="{00000000-0005-0000-0000-0000540A0000}"/>
    <cellStyle name="Comma 4 6 2 2" xfId="2967" xr:uid="{00000000-0005-0000-0000-0000550A0000}"/>
    <cellStyle name="Comma 4 6 2 2 2" xfId="7190" xr:uid="{00000000-0005-0000-0000-0000560A0000}"/>
    <cellStyle name="Comma 4 6 2 2 2 2" xfId="15632" xr:uid="{DE9A8DE8-FB09-4840-B8E0-7377393D8DE9}"/>
    <cellStyle name="Comma 4 6 2 2 3" xfId="11414" xr:uid="{FC93D29A-59E0-49F6-A2DD-26A386CC1E2E}"/>
    <cellStyle name="Comma 4 6 2 3" xfId="5045" xr:uid="{00000000-0005-0000-0000-0000570A0000}"/>
    <cellStyle name="Comma 4 6 2 3 2" xfId="13487" xr:uid="{2240721C-5D58-4A0B-A1B1-4ECFC7878E4E}"/>
    <cellStyle name="Comma 4 6 2 4" xfId="9269" xr:uid="{60DFC4D4-77CC-4071-AA2B-CA90368D7D6E}"/>
    <cellStyle name="Comma 4 6 3" xfId="1149" xr:uid="{00000000-0005-0000-0000-0000580A0000}"/>
    <cellStyle name="Comma 4 6 3 2" xfId="3380" xr:uid="{00000000-0005-0000-0000-0000590A0000}"/>
    <cellStyle name="Comma 4 6 3 2 2" xfId="7603" xr:uid="{00000000-0005-0000-0000-00005A0A0000}"/>
    <cellStyle name="Comma 4 6 3 2 2 2" xfId="16045" xr:uid="{07FDB137-3C1E-4F50-84CD-977B51BB8EB3}"/>
    <cellStyle name="Comma 4 6 3 2 3" xfId="11827" xr:uid="{7B8C04DB-80F2-469E-8C9F-3C89ADFB0C87}"/>
    <cellStyle name="Comma 4 6 3 3" xfId="5458" xr:uid="{00000000-0005-0000-0000-00005B0A0000}"/>
    <cellStyle name="Comma 4 6 3 3 2" xfId="13900" xr:uid="{D6195425-CDF6-4A99-B3F8-CC64AA6715AA}"/>
    <cellStyle name="Comma 4 6 3 4" xfId="9682" xr:uid="{0FB5627C-AF5C-4841-A53E-77153AE9E784}"/>
    <cellStyle name="Comma 4 6 4" xfId="1563" xr:uid="{00000000-0005-0000-0000-00005C0A0000}"/>
    <cellStyle name="Comma 4 6 4 2" xfId="3793" xr:uid="{00000000-0005-0000-0000-00005D0A0000}"/>
    <cellStyle name="Comma 4 6 4 2 2" xfId="8016" xr:uid="{00000000-0005-0000-0000-00005E0A0000}"/>
    <cellStyle name="Comma 4 6 4 2 2 2" xfId="16458" xr:uid="{DAA17BA0-E54E-4F32-ACDB-B4EAADB7460D}"/>
    <cellStyle name="Comma 4 6 4 2 3" xfId="12240" xr:uid="{3A74B01F-8DF9-4D8A-AB48-79AB36ECE7C0}"/>
    <cellStyle name="Comma 4 6 4 3" xfId="5871" xr:uid="{00000000-0005-0000-0000-00005F0A0000}"/>
    <cellStyle name="Comma 4 6 4 3 2" xfId="14313" xr:uid="{4D70992B-4289-46AA-B130-FABAFA61F70E}"/>
    <cellStyle name="Comma 4 6 4 4" xfId="10095" xr:uid="{3AC816E6-6AA4-493A-9696-E89AEDFE3978}"/>
    <cellStyle name="Comma 4 6 5" xfId="1977" xr:uid="{00000000-0005-0000-0000-0000600A0000}"/>
    <cellStyle name="Comma 4 6 5 2" xfId="4206" xr:uid="{00000000-0005-0000-0000-0000610A0000}"/>
    <cellStyle name="Comma 4 6 5 2 2" xfId="8429" xr:uid="{00000000-0005-0000-0000-0000620A0000}"/>
    <cellStyle name="Comma 4 6 5 2 2 2" xfId="16871" xr:uid="{C8986A83-A272-4C26-AF18-62D1D8188E3A}"/>
    <cellStyle name="Comma 4 6 5 2 3" xfId="12653" xr:uid="{AD7CCD78-C34F-4EC3-9934-89C9C36BE3FA}"/>
    <cellStyle name="Comma 4 6 5 3" xfId="6284" xr:uid="{00000000-0005-0000-0000-0000630A0000}"/>
    <cellStyle name="Comma 4 6 5 3 2" xfId="14726" xr:uid="{44239696-03FF-4C0C-B534-87A4AAA6C99D}"/>
    <cellStyle name="Comma 4 6 5 4" xfId="10508" xr:uid="{B8675B65-82BF-4B20-BEDD-49DB59CEA202}"/>
    <cellStyle name="Comma 4 6 6" xfId="2412" xr:uid="{00000000-0005-0000-0000-0000640A0000}"/>
    <cellStyle name="Comma 4 6 6 2" xfId="6697" xr:uid="{00000000-0005-0000-0000-0000650A0000}"/>
    <cellStyle name="Comma 4 6 6 2 2" xfId="15139" xr:uid="{48F47DFE-EE5F-4018-973B-8F380D0FDB66}"/>
    <cellStyle name="Comma 4 6 6 3" xfId="10921" xr:uid="{ADE7EB23-7066-4EB3-B031-381E6440F47F}"/>
    <cellStyle name="Comma 4 6 7" xfId="2708" xr:uid="{00000000-0005-0000-0000-0000660A0000}"/>
    <cellStyle name="Comma 4 6 8" xfId="2790" xr:uid="{00000000-0005-0000-0000-0000670A0000}"/>
    <cellStyle name="Comma 4 6 8 2" xfId="7014" xr:uid="{00000000-0005-0000-0000-0000680A0000}"/>
    <cellStyle name="Comma 4 6 8 2 2" xfId="15456" xr:uid="{AF470ED3-8195-4A19-A5CF-2F547836EA72}"/>
    <cellStyle name="Comma 4 6 8 3" xfId="11238" xr:uid="{2564BE82-A753-42C1-9BD1-07E7BB92170A}"/>
    <cellStyle name="Comma 4 6 9" xfId="4631" xr:uid="{00000000-0005-0000-0000-0000690A0000}"/>
    <cellStyle name="Comma 4 6 9 2" xfId="13073" xr:uid="{DFC3107F-46F2-4CEE-A94B-60B6811F9CC1}"/>
    <cellStyle name="Comma 4 7" xfId="160" xr:uid="{00000000-0005-0000-0000-00006A0A0000}"/>
    <cellStyle name="Comma 4 7 10" xfId="8856" xr:uid="{6A73F10C-8F24-4F26-9720-00AA33D2F8DD}"/>
    <cellStyle name="Comma 4 7 2" xfId="697" xr:uid="{00000000-0005-0000-0000-00006B0A0000}"/>
    <cellStyle name="Comma 4 7 2 2" xfId="2968" xr:uid="{00000000-0005-0000-0000-00006C0A0000}"/>
    <cellStyle name="Comma 4 7 2 2 2" xfId="7191" xr:uid="{00000000-0005-0000-0000-00006D0A0000}"/>
    <cellStyle name="Comma 4 7 2 2 2 2" xfId="15633" xr:uid="{D12C95D7-A7E1-40F3-B412-0100E5D2EDA3}"/>
    <cellStyle name="Comma 4 7 2 2 3" xfId="11415" xr:uid="{35CBBBC9-29FB-4FCC-AFE8-6991782DA4FA}"/>
    <cellStyle name="Comma 4 7 2 3" xfId="5046" xr:uid="{00000000-0005-0000-0000-00006E0A0000}"/>
    <cellStyle name="Comma 4 7 2 3 2" xfId="13488" xr:uid="{50AE4880-BD8D-4012-ACF2-B2C4A75BDA7F}"/>
    <cellStyle name="Comma 4 7 2 4" xfId="9270" xr:uid="{DAADFA19-3659-4473-9B0E-3EB44A1A2599}"/>
    <cellStyle name="Comma 4 7 3" xfId="1150" xr:uid="{00000000-0005-0000-0000-00006F0A0000}"/>
    <cellStyle name="Comma 4 7 3 2" xfId="3381" xr:uid="{00000000-0005-0000-0000-0000700A0000}"/>
    <cellStyle name="Comma 4 7 3 2 2" xfId="7604" xr:uid="{00000000-0005-0000-0000-0000710A0000}"/>
    <cellStyle name="Comma 4 7 3 2 2 2" xfId="16046" xr:uid="{D840028F-ADFE-49B9-A7B3-58B0699299D4}"/>
    <cellStyle name="Comma 4 7 3 2 3" xfId="11828" xr:uid="{48365B6B-E2FC-401A-904D-CDBDFA187BB7}"/>
    <cellStyle name="Comma 4 7 3 3" xfId="5459" xr:uid="{00000000-0005-0000-0000-0000720A0000}"/>
    <cellStyle name="Comma 4 7 3 3 2" xfId="13901" xr:uid="{D59A0860-8AD5-4EC7-AB6F-D6B96A336C8A}"/>
    <cellStyle name="Comma 4 7 3 4" xfId="9683" xr:uid="{18F59897-49DB-4339-A497-A060DBF8EF0E}"/>
    <cellStyle name="Comma 4 7 4" xfId="1564" xr:uid="{00000000-0005-0000-0000-0000730A0000}"/>
    <cellStyle name="Comma 4 7 4 2" xfId="3794" xr:uid="{00000000-0005-0000-0000-0000740A0000}"/>
    <cellStyle name="Comma 4 7 4 2 2" xfId="8017" xr:uid="{00000000-0005-0000-0000-0000750A0000}"/>
    <cellStyle name="Comma 4 7 4 2 2 2" xfId="16459" xr:uid="{C0D08FBC-EF64-417B-9BFB-D670E339DDFE}"/>
    <cellStyle name="Comma 4 7 4 2 3" xfId="12241" xr:uid="{38A592C3-C523-4C8B-95FD-9879E264CE86}"/>
    <cellStyle name="Comma 4 7 4 3" xfId="5872" xr:uid="{00000000-0005-0000-0000-0000760A0000}"/>
    <cellStyle name="Comma 4 7 4 3 2" xfId="14314" xr:uid="{CFA869B6-C7C8-44BF-BD4B-F9E8C7CE8011}"/>
    <cellStyle name="Comma 4 7 4 4" xfId="10096" xr:uid="{83B147B5-92DC-465A-A098-631B594D5654}"/>
    <cellStyle name="Comma 4 7 5" xfId="1978" xr:uid="{00000000-0005-0000-0000-0000770A0000}"/>
    <cellStyle name="Comma 4 7 5 2" xfId="4207" xr:uid="{00000000-0005-0000-0000-0000780A0000}"/>
    <cellStyle name="Comma 4 7 5 2 2" xfId="8430" xr:uid="{00000000-0005-0000-0000-0000790A0000}"/>
    <cellStyle name="Comma 4 7 5 2 2 2" xfId="16872" xr:uid="{4C0538E5-75CA-40AA-BA1E-9F630C694E3C}"/>
    <cellStyle name="Comma 4 7 5 2 3" xfId="12654" xr:uid="{5CF8A52D-48AD-429A-9F55-5CA71D81A273}"/>
    <cellStyle name="Comma 4 7 5 3" xfId="6285" xr:uid="{00000000-0005-0000-0000-00007A0A0000}"/>
    <cellStyle name="Comma 4 7 5 3 2" xfId="14727" xr:uid="{5F42A985-8589-4FDE-943C-9838A8B0D67F}"/>
    <cellStyle name="Comma 4 7 5 4" xfId="10509" xr:uid="{4125F20A-BB0B-4D0B-A57D-5A4193B0A8BC}"/>
    <cellStyle name="Comma 4 7 6" xfId="2413" xr:uid="{00000000-0005-0000-0000-00007B0A0000}"/>
    <cellStyle name="Comma 4 7 6 2" xfId="6698" xr:uid="{00000000-0005-0000-0000-00007C0A0000}"/>
    <cellStyle name="Comma 4 7 6 2 2" xfId="15140" xr:uid="{3D139274-4BCD-4AB7-A57C-90C44B927E11}"/>
    <cellStyle name="Comma 4 7 6 3" xfId="10922" xr:uid="{9A9D3002-4DCB-4D17-9074-E89EE3199C92}"/>
    <cellStyle name="Comma 4 7 7" xfId="2709" xr:uid="{00000000-0005-0000-0000-00007D0A0000}"/>
    <cellStyle name="Comma 4 7 8" xfId="2791" xr:uid="{00000000-0005-0000-0000-00007E0A0000}"/>
    <cellStyle name="Comma 4 7 8 2" xfId="7015" xr:uid="{00000000-0005-0000-0000-00007F0A0000}"/>
    <cellStyle name="Comma 4 7 8 2 2" xfId="15457" xr:uid="{E5A7F2EC-0697-4950-9167-800BCECCF03D}"/>
    <cellStyle name="Comma 4 7 8 3" xfId="11239" xr:uid="{7DEE91B1-AC17-47D6-B093-582966F8E008}"/>
    <cellStyle name="Comma 4 7 9" xfId="4632" xr:uid="{00000000-0005-0000-0000-0000800A0000}"/>
    <cellStyle name="Comma 4 7 9 2" xfId="13074" xr:uid="{C520BB31-48A8-4B26-AC16-61702440089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9A4A4127-12F3-4BD9-8B2E-F2314D783313}"/>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ABFBE0B0-2239-48F8-9BF2-6723E03408E7}"/>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44E8A4E8-D52F-401C-B5C4-3B40D4D926A5}"/>
    <cellStyle name="Currency 14 3 2 3" xfId="17165" xr:uid="{5F17FFC3-1460-404A-9115-AF180B783579}"/>
    <cellStyle name="Currency 14 3 3" xfId="17162" xr:uid="{B37B6EA0-3B91-46B6-AD92-81B61519F20F}"/>
    <cellStyle name="Currency 14 4" xfId="12945" xr:uid="{18090404-F4D1-4139-BED2-6FF6EDCBC77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A8E25944-C15E-4589-8AB5-7D5460AE2A2E}"/>
    <cellStyle name="Currency 3 2 2 10 3" xfId="11240" xr:uid="{C924C9ED-B82F-47AB-A7F0-BB199F6E970B}"/>
    <cellStyle name="Currency 3 2 2 11" xfId="4633" xr:uid="{00000000-0005-0000-0000-0000A50A0000}"/>
    <cellStyle name="Currency 3 2 2 11 2" xfId="13075" xr:uid="{041DE518-0D76-40FE-AFE5-4D74F3BB4D9C}"/>
    <cellStyle name="Currency 3 2 2 12" xfId="8857" xr:uid="{59843B28-8978-4A91-9D4F-A8A3975C08DB}"/>
    <cellStyle name="Currency 3 2 2 2" xfId="179" xr:uid="{00000000-0005-0000-0000-0000A60A0000}"/>
    <cellStyle name="Currency 3 2 2 2 10" xfId="4634" xr:uid="{00000000-0005-0000-0000-0000A70A0000}"/>
    <cellStyle name="Currency 3 2 2 2 10 2" xfId="13076" xr:uid="{DDBA650E-0177-484C-AC83-D6347C435C35}"/>
    <cellStyle name="Currency 3 2 2 2 11" xfId="8858" xr:uid="{E9F300F8-5EE5-4B58-973A-D91FC8362DD9}"/>
    <cellStyle name="Currency 3 2 2 2 2" xfId="180" xr:uid="{00000000-0005-0000-0000-0000A80A0000}"/>
    <cellStyle name="Currency 3 2 2 2 2 10" xfId="8859" xr:uid="{F9CE16B3-0117-44CE-AE29-F7805E9B7139}"/>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DC012BCB-7299-43DA-A29F-3AAF24CDD6E8}"/>
    <cellStyle name="Currency 3 2 2 2 2 2 2 3" xfId="11418" xr:uid="{E52E5101-7478-4586-96B4-53C9D289A357}"/>
    <cellStyle name="Currency 3 2 2 2 2 2 3" xfId="5049" xr:uid="{00000000-0005-0000-0000-0000AC0A0000}"/>
    <cellStyle name="Currency 3 2 2 2 2 2 3 2" xfId="13491" xr:uid="{C907ECFA-98C3-4902-9F8A-26AACFCB399E}"/>
    <cellStyle name="Currency 3 2 2 2 2 2 4" xfId="9273" xr:uid="{9DC03AF2-1AE5-4303-BD20-53707AFE1B85}"/>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B24260B7-937D-4730-BC3B-F2667D877521}"/>
    <cellStyle name="Currency 3 2 2 2 2 3 2 3" xfId="11831" xr:uid="{9B02895C-FC0F-4B15-B8FA-3FEE9C16477D}"/>
    <cellStyle name="Currency 3 2 2 2 2 3 3" xfId="5462" xr:uid="{00000000-0005-0000-0000-0000B00A0000}"/>
    <cellStyle name="Currency 3 2 2 2 2 3 3 2" xfId="13904" xr:uid="{31D930E0-5F42-490A-981C-03FB2B713BC5}"/>
    <cellStyle name="Currency 3 2 2 2 2 3 4" xfId="9686" xr:uid="{391133FB-3B57-49CC-8241-C1195D526BB9}"/>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A29477C7-CD8B-4FA7-8439-BEDB2EFEFD55}"/>
    <cellStyle name="Currency 3 2 2 2 2 4 2 3" xfId="12244" xr:uid="{D22BA22F-48ED-4753-B0F8-DB5A980FA027}"/>
    <cellStyle name="Currency 3 2 2 2 2 4 3" xfId="5875" xr:uid="{00000000-0005-0000-0000-0000B40A0000}"/>
    <cellStyle name="Currency 3 2 2 2 2 4 3 2" xfId="14317" xr:uid="{6925109A-AB21-4CFA-BB96-CE3AF74F6A99}"/>
    <cellStyle name="Currency 3 2 2 2 2 4 4" xfId="10099" xr:uid="{A2D9814E-D156-4211-909E-3630C7F7D791}"/>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CA59EDCD-AD48-479B-99D6-7471EEB44D2F}"/>
    <cellStyle name="Currency 3 2 2 2 2 5 2 3" xfId="12657" xr:uid="{E96AE8B0-B071-43E9-AF6B-CB3CC3817209}"/>
    <cellStyle name="Currency 3 2 2 2 2 5 3" xfId="6288" xr:uid="{00000000-0005-0000-0000-0000B80A0000}"/>
    <cellStyle name="Currency 3 2 2 2 2 5 3 2" xfId="14730" xr:uid="{5B3E1904-BA2B-4C40-AF16-197921DAE679}"/>
    <cellStyle name="Currency 3 2 2 2 2 5 4" xfId="10512" xr:uid="{8DA4F715-A209-416E-8CF2-0F3F2715FDF0}"/>
    <cellStyle name="Currency 3 2 2 2 2 6" xfId="2416" xr:uid="{00000000-0005-0000-0000-0000B90A0000}"/>
    <cellStyle name="Currency 3 2 2 2 2 6 2" xfId="6701" xr:uid="{00000000-0005-0000-0000-0000BA0A0000}"/>
    <cellStyle name="Currency 3 2 2 2 2 6 2 2" xfId="15143" xr:uid="{2290FC13-6775-4CCF-937E-FCB0660191DE}"/>
    <cellStyle name="Currency 3 2 2 2 2 6 3" xfId="10925" xr:uid="{143AADB5-3D46-4F7D-8283-C2A9D2905C4A}"/>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43AAEA62-8B8E-4BBE-BA03-B83D7B1B873C}"/>
    <cellStyle name="Currency 3 2 2 2 2 8 3" xfId="11242" xr:uid="{87442967-AE85-43D1-A524-832D5C941DA6}"/>
    <cellStyle name="Currency 3 2 2 2 2 9" xfId="4635" xr:uid="{00000000-0005-0000-0000-0000BE0A0000}"/>
    <cellStyle name="Currency 3 2 2 2 2 9 2" xfId="13077" xr:uid="{AD7C2967-6155-4A06-A9D6-BA31370FA9E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065C2068-5825-4E6F-8801-AE87E30BD9E0}"/>
    <cellStyle name="Currency 3 2 2 2 3 2 3" xfId="11417" xr:uid="{CBA88F30-C402-4820-8F5F-10219F9F43FD}"/>
    <cellStyle name="Currency 3 2 2 2 3 3" xfId="5048" xr:uid="{00000000-0005-0000-0000-0000C20A0000}"/>
    <cellStyle name="Currency 3 2 2 2 3 3 2" xfId="13490" xr:uid="{16889D06-E7EA-4AC0-B963-9A052332541E}"/>
    <cellStyle name="Currency 3 2 2 2 3 4" xfId="9272" xr:uid="{88D42CEC-3B44-479C-ACE7-7EFBD5DAEAD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400C8A60-32A8-412B-8CA0-96A3A5070FE5}"/>
    <cellStyle name="Currency 3 2 2 2 4 2 3" xfId="11830" xr:uid="{471944E9-4E94-49BA-B544-9AD4D7F9457E}"/>
    <cellStyle name="Currency 3 2 2 2 4 3" xfId="5461" xr:uid="{00000000-0005-0000-0000-0000C60A0000}"/>
    <cellStyle name="Currency 3 2 2 2 4 3 2" xfId="13903" xr:uid="{5C08C35E-324A-4A7C-B0BF-ECF4D46A841C}"/>
    <cellStyle name="Currency 3 2 2 2 4 4" xfId="9685" xr:uid="{61F43316-1243-4DF3-8B46-E241D9F1C4F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0A6F914B-D9D4-4C55-A531-56483A7A2FC8}"/>
    <cellStyle name="Currency 3 2 2 2 5 2 3" xfId="12243" xr:uid="{8BD98AB4-9F87-4D9B-8AC7-998538AB5912}"/>
    <cellStyle name="Currency 3 2 2 2 5 3" xfId="5874" xr:uid="{00000000-0005-0000-0000-0000CA0A0000}"/>
    <cellStyle name="Currency 3 2 2 2 5 3 2" xfId="14316" xr:uid="{F7B6A3C4-097F-4641-A975-BABBE0CF9697}"/>
    <cellStyle name="Currency 3 2 2 2 5 4" xfId="10098" xr:uid="{A3A96154-85D4-490B-B3A7-319E6D22A0A8}"/>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F38F3CFC-96B5-4D00-B301-E3A58F073CF4}"/>
    <cellStyle name="Currency 3 2 2 2 6 2 3" xfId="12656" xr:uid="{1B344625-5011-4249-832D-239E7A4E6283}"/>
    <cellStyle name="Currency 3 2 2 2 6 3" xfId="6287" xr:uid="{00000000-0005-0000-0000-0000CE0A0000}"/>
    <cellStyle name="Currency 3 2 2 2 6 3 2" xfId="14729" xr:uid="{0667228E-8735-436F-B27B-57FB6DD22B50}"/>
    <cellStyle name="Currency 3 2 2 2 6 4" xfId="10511" xr:uid="{F46C9018-F781-4051-B826-923CB91A8747}"/>
    <cellStyle name="Currency 3 2 2 2 7" xfId="2415" xr:uid="{00000000-0005-0000-0000-0000CF0A0000}"/>
    <cellStyle name="Currency 3 2 2 2 7 2" xfId="6700" xr:uid="{00000000-0005-0000-0000-0000D00A0000}"/>
    <cellStyle name="Currency 3 2 2 2 7 2 2" xfId="15142" xr:uid="{6B5BB329-BBC1-4BB7-85EE-08B71BD909EA}"/>
    <cellStyle name="Currency 3 2 2 2 7 3" xfId="10924" xr:uid="{B3664B57-34CC-4992-ACB6-0CABC852FE8E}"/>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EE0A00C4-1F01-46F5-AF5C-8603F3E883E5}"/>
    <cellStyle name="Currency 3 2 2 2 9 3" xfId="11241" xr:uid="{30223609-FB18-4A7A-8929-AC616D2B7DE4}"/>
    <cellStyle name="Currency 3 2 2 3" xfId="181" xr:uid="{00000000-0005-0000-0000-0000D40A0000}"/>
    <cellStyle name="Currency 3 2 2 3 10" xfId="8860" xr:uid="{636592F2-4C2B-42D8-B2D0-C8F35F5D0D5E}"/>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8D212FA2-6659-462F-A507-04956467DDDB}"/>
    <cellStyle name="Currency 3 2 2 3 2 2 3" xfId="11419" xr:uid="{C1AB0F34-AF23-4971-AF9F-B63EA9E4CBCC}"/>
    <cellStyle name="Currency 3 2 2 3 2 3" xfId="5050" xr:uid="{00000000-0005-0000-0000-0000D80A0000}"/>
    <cellStyle name="Currency 3 2 2 3 2 3 2" xfId="13492" xr:uid="{3149A3C5-B503-4CBC-9BAE-C4E309E8E80C}"/>
    <cellStyle name="Currency 3 2 2 3 2 4" xfId="9274" xr:uid="{B0C2F9F6-692B-492B-8908-5FA6C799616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19B62CDB-3A6C-4CFC-A6B4-82255A770C40}"/>
    <cellStyle name="Currency 3 2 2 3 3 2 3" xfId="11832" xr:uid="{3B4C4EAA-7930-42FD-940A-C4E7688554F1}"/>
    <cellStyle name="Currency 3 2 2 3 3 3" xfId="5463" xr:uid="{00000000-0005-0000-0000-0000DC0A0000}"/>
    <cellStyle name="Currency 3 2 2 3 3 3 2" xfId="13905" xr:uid="{428543AC-E371-4B0C-BFEF-C10DB71CF0BF}"/>
    <cellStyle name="Currency 3 2 2 3 3 4" xfId="9687" xr:uid="{896CBF41-012B-42D0-BEAE-D195A65A9D7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F54217BA-506A-4335-B3C7-D9B4E721FA0E}"/>
    <cellStyle name="Currency 3 2 2 3 4 2 3" xfId="12245" xr:uid="{7B6D6BDA-C610-4035-BF69-3FE73996B451}"/>
    <cellStyle name="Currency 3 2 2 3 4 3" xfId="5876" xr:uid="{00000000-0005-0000-0000-0000E00A0000}"/>
    <cellStyle name="Currency 3 2 2 3 4 3 2" xfId="14318" xr:uid="{91CB2CC0-B74E-4C76-BEAB-8FEC30003119}"/>
    <cellStyle name="Currency 3 2 2 3 4 4" xfId="10100" xr:uid="{2B0265D0-EB10-4FE0-BEB7-193E20FAEA7B}"/>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03405B05-D539-48F6-8A3E-AC37CC3606E1}"/>
    <cellStyle name="Currency 3 2 2 3 5 2 3" xfId="12658" xr:uid="{8170C070-FCFE-4D78-B866-0C78ABB3EB73}"/>
    <cellStyle name="Currency 3 2 2 3 5 3" xfId="6289" xr:uid="{00000000-0005-0000-0000-0000E40A0000}"/>
    <cellStyle name="Currency 3 2 2 3 5 3 2" xfId="14731" xr:uid="{02B84FAB-83F2-4AD2-B63A-D70235B5CC9B}"/>
    <cellStyle name="Currency 3 2 2 3 5 4" xfId="10513" xr:uid="{18336263-8B06-4BC8-9DDD-691FE9995DF1}"/>
    <cellStyle name="Currency 3 2 2 3 6" xfId="2417" xr:uid="{00000000-0005-0000-0000-0000E50A0000}"/>
    <cellStyle name="Currency 3 2 2 3 6 2" xfId="6702" xr:uid="{00000000-0005-0000-0000-0000E60A0000}"/>
    <cellStyle name="Currency 3 2 2 3 6 2 2" xfId="15144" xr:uid="{7F4721B3-318E-4577-A701-D111ACF83F3F}"/>
    <cellStyle name="Currency 3 2 2 3 6 3" xfId="10926" xr:uid="{3A11640F-D3BC-44B0-8B49-ECE6091669C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4EA4956A-61CC-4F20-966D-FA3AE27E5A23}"/>
    <cellStyle name="Currency 3 2 2 3 8 3" xfId="11243" xr:uid="{178747F9-5540-422E-A089-0FE36CBB8B16}"/>
    <cellStyle name="Currency 3 2 2 3 9" xfId="4636" xr:uid="{00000000-0005-0000-0000-0000EA0A0000}"/>
    <cellStyle name="Currency 3 2 2 3 9 2" xfId="13078" xr:uid="{FF2951F8-0A59-4382-8AF3-8EF9E376377B}"/>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A292CED-F10F-4365-B432-3D310614E601}"/>
    <cellStyle name="Currency 3 2 2 4 2 3" xfId="11416" xr:uid="{2F15CEBE-1ED1-43E3-9050-FA58FA2AD5B9}"/>
    <cellStyle name="Currency 3 2 2 4 3" xfId="5047" xr:uid="{00000000-0005-0000-0000-0000EE0A0000}"/>
    <cellStyle name="Currency 3 2 2 4 3 2" xfId="13489" xr:uid="{645496F6-6E2D-49F0-BE46-DC9B5B5A4E32}"/>
    <cellStyle name="Currency 3 2 2 4 4" xfId="9271" xr:uid="{25750E25-8DDD-406D-BE81-EDBF81458503}"/>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A6182A27-A0B0-43FE-A473-98CF9EEEA246}"/>
    <cellStyle name="Currency 3 2 2 5 2 3" xfId="11829" xr:uid="{2DB74D24-4E15-452E-943C-05946E9B66AC}"/>
    <cellStyle name="Currency 3 2 2 5 3" xfId="5460" xr:uid="{00000000-0005-0000-0000-0000F20A0000}"/>
    <cellStyle name="Currency 3 2 2 5 3 2" xfId="13902" xr:uid="{20BCE561-5A77-4E97-8D7D-40EAF3F78E01}"/>
    <cellStyle name="Currency 3 2 2 5 4" xfId="9684" xr:uid="{A8F02788-0EA3-4FD7-9901-9EC43E46716A}"/>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78D66E9D-A4B7-41CE-B940-136493EFAEA5}"/>
    <cellStyle name="Currency 3 2 2 6 2 3" xfId="12242" xr:uid="{C6A40A6C-99E5-424B-91AD-139F46F3CFD6}"/>
    <cellStyle name="Currency 3 2 2 6 3" xfId="5873" xr:uid="{00000000-0005-0000-0000-0000F60A0000}"/>
    <cellStyle name="Currency 3 2 2 6 3 2" xfId="14315" xr:uid="{8410A578-4715-4BAB-B250-1CED3BAC960A}"/>
    <cellStyle name="Currency 3 2 2 6 4" xfId="10097" xr:uid="{52F7DF1B-AE77-45AB-B447-2F642770879F}"/>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C7FA0762-391F-4537-B4C3-5C1A28832E82}"/>
    <cellStyle name="Currency 3 2 2 7 2 3" xfId="12655" xr:uid="{7F00290B-9FCB-48DC-9B65-CD91688F15B4}"/>
    <cellStyle name="Currency 3 2 2 7 3" xfId="6286" xr:uid="{00000000-0005-0000-0000-0000FA0A0000}"/>
    <cellStyle name="Currency 3 2 2 7 3 2" xfId="14728" xr:uid="{2302BF1F-E140-4ABC-BF23-199D5ABE8132}"/>
    <cellStyle name="Currency 3 2 2 7 4" xfId="10510" xr:uid="{42D6039E-A0BD-4C10-B18F-25C0B8764484}"/>
    <cellStyle name="Currency 3 2 2 8" xfId="2414" xr:uid="{00000000-0005-0000-0000-0000FB0A0000}"/>
    <cellStyle name="Currency 3 2 2 8 2" xfId="6699" xr:uid="{00000000-0005-0000-0000-0000FC0A0000}"/>
    <cellStyle name="Currency 3 2 2 8 2 2" xfId="15141" xr:uid="{41B6E7A4-790A-4585-BEBE-F41863D32A02}"/>
    <cellStyle name="Currency 3 2 2 8 3" xfId="10923" xr:uid="{58C3107E-9BBA-4C35-A644-57FE4721E0E4}"/>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0B62FF08-6094-47E0-B2A0-7C4E26F93002}"/>
    <cellStyle name="Currency 3 2 3 11" xfId="8861" xr:uid="{A2EE5F5E-0A1A-47FB-ABB5-B65373F41773}"/>
    <cellStyle name="Currency 3 2 3 2" xfId="183" xr:uid="{00000000-0005-0000-0000-0000000B0000}"/>
    <cellStyle name="Currency 3 2 3 2 10" xfId="8862" xr:uid="{CEA1AEB6-B654-44DB-B02A-603DDEB8AA7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E4ADCD24-8821-4AB7-B949-14097720B618}"/>
    <cellStyle name="Currency 3 2 3 2 2 2 3" xfId="11421" xr:uid="{FB9F5C4A-466F-4108-B5FF-CE8F87C73551}"/>
    <cellStyle name="Currency 3 2 3 2 2 3" xfId="5052" xr:uid="{00000000-0005-0000-0000-0000040B0000}"/>
    <cellStyle name="Currency 3 2 3 2 2 3 2" xfId="13494" xr:uid="{79C7A1E9-FD25-4618-858D-428AA6008AB8}"/>
    <cellStyle name="Currency 3 2 3 2 2 4" xfId="9276" xr:uid="{18FCF66F-4B87-4EFC-9D5B-0DE17FFB0145}"/>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D615F2D2-B2D8-4579-BAA3-CB6F508A7D95}"/>
    <cellStyle name="Currency 3 2 3 2 3 2 3" xfId="11834" xr:uid="{2F1353B8-4157-4B84-9DC8-F73603B97F62}"/>
    <cellStyle name="Currency 3 2 3 2 3 3" xfId="5465" xr:uid="{00000000-0005-0000-0000-0000080B0000}"/>
    <cellStyle name="Currency 3 2 3 2 3 3 2" xfId="13907" xr:uid="{0850703B-D886-48A5-8CCD-2B153A547171}"/>
    <cellStyle name="Currency 3 2 3 2 3 4" xfId="9689" xr:uid="{65432F63-E83C-436E-B777-C5218A6EA008}"/>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B3CF6C4A-9934-4148-844F-FD389A3FB262}"/>
    <cellStyle name="Currency 3 2 3 2 4 2 3" xfId="12247" xr:uid="{3DC12120-8170-48C8-A8B5-39F2CA2A997C}"/>
    <cellStyle name="Currency 3 2 3 2 4 3" xfId="5878" xr:uid="{00000000-0005-0000-0000-00000C0B0000}"/>
    <cellStyle name="Currency 3 2 3 2 4 3 2" xfId="14320" xr:uid="{1D83EF29-D3AD-498D-8EA9-7E16144A1C6D}"/>
    <cellStyle name="Currency 3 2 3 2 4 4" xfId="10102" xr:uid="{5EEEC99F-7FD1-4A0B-B762-F727E930131F}"/>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6E78940D-DC90-486D-AAEB-8D96349AC2E0}"/>
    <cellStyle name="Currency 3 2 3 2 5 2 3" xfId="12660" xr:uid="{4BB4E7F8-8CCE-4B7E-9E34-391A25107E9D}"/>
    <cellStyle name="Currency 3 2 3 2 5 3" xfId="6291" xr:uid="{00000000-0005-0000-0000-0000100B0000}"/>
    <cellStyle name="Currency 3 2 3 2 5 3 2" xfId="14733" xr:uid="{A772742C-DE02-4629-9C2E-E626C540D68A}"/>
    <cellStyle name="Currency 3 2 3 2 5 4" xfId="10515" xr:uid="{61244288-5A2D-48A5-9C61-943ED3CBA9D4}"/>
    <cellStyle name="Currency 3 2 3 2 6" xfId="2419" xr:uid="{00000000-0005-0000-0000-0000110B0000}"/>
    <cellStyle name="Currency 3 2 3 2 6 2" xfId="6704" xr:uid="{00000000-0005-0000-0000-0000120B0000}"/>
    <cellStyle name="Currency 3 2 3 2 6 2 2" xfId="15146" xr:uid="{41B8A13A-7161-47CB-B7E1-7E5007572F9B}"/>
    <cellStyle name="Currency 3 2 3 2 6 3" xfId="10928" xr:uid="{82A49A5D-6092-4815-BDFD-E9884DBEC6D6}"/>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6A0C9B43-4B9D-4EC1-8376-9FBAAE927806}"/>
    <cellStyle name="Currency 3 2 3 2 8 3" xfId="11245" xr:uid="{A0E06720-8D9A-4108-9FA8-6E945E00893D}"/>
    <cellStyle name="Currency 3 2 3 2 9" xfId="4638" xr:uid="{00000000-0005-0000-0000-0000160B0000}"/>
    <cellStyle name="Currency 3 2 3 2 9 2" xfId="13080" xr:uid="{234F6BAB-84BA-4551-8BB0-0C00F1D41039}"/>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BD8E0576-2D2C-494C-BFC6-9DE267AF717A}"/>
    <cellStyle name="Currency 3 2 3 3 2 3" xfId="11420" xr:uid="{593FADAA-2BC7-4432-9BFC-913D410D88CD}"/>
    <cellStyle name="Currency 3 2 3 3 3" xfId="5051" xr:uid="{00000000-0005-0000-0000-00001A0B0000}"/>
    <cellStyle name="Currency 3 2 3 3 3 2" xfId="13493" xr:uid="{2AB898FB-A884-4D42-AA46-75761ECAE9C3}"/>
    <cellStyle name="Currency 3 2 3 3 4" xfId="9275" xr:uid="{342FA45A-43F7-462C-8BA9-58631DCA2725}"/>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FCB3A82F-E582-45DB-8479-AFF30FEEBEE7}"/>
    <cellStyle name="Currency 3 2 3 4 2 3" xfId="11833" xr:uid="{E205EA91-69A8-406B-8404-5E853BE04E5D}"/>
    <cellStyle name="Currency 3 2 3 4 3" xfId="5464" xr:uid="{00000000-0005-0000-0000-00001E0B0000}"/>
    <cellStyle name="Currency 3 2 3 4 3 2" xfId="13906" xr:uid="{DA737074-6E1F-4AC9-9750-D69898E289B1}"/>
    <cellStyle name="Currency 3 2 3 4 4" xfId="9688" xr:uid="{1782556B-CBE1-43EC-9010-ECF7DC262CA7}"/>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23DBD705-23E9-4A95-BE19-33209BFADE2C}"/>
    <cellStyle name="Currency 3 2 3 5 2 3" xfId="12246" xr:uid="{1728BCDC-F752-46C0-B63B-DEA742B42737}"/>
    <cellStyle name="Currency 3 2 3 5 3" xfId="5877" xr:uid="{00000000-0005-0000-0000-0000220B0000}"/>
    <cellStyle name="Currency 3 2 3 5 3 2" xfId="14319" xr:uid="{8988A220-DD94-4972-A88B-2D2BE94292D9}"/>
    <cellStyle name="Currency 3 2 3 5 4" xfId="10101" xr:uid="{8EC3F0CF-CF7F-45EB-83FB-8D89E44361B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4F332D07-48C0-45FE-84CF-5A9533C4F20C}"/>
    <cellStyle name="Currency 3 2 3 6 2 3" xfId="12659" xr:uid="{6F8C2111-FABE-440D-BFB3-772FF72E8D03}"/>
    <cellStyle name="Currency 3 2 3 6 3" xfId="6290" xr:uid="{00000000-0005-0000-0000-0000260B0000}"/>
    <cellStyle name="Currency 3 2 3 6 3 2" xfId="14732" xr:uid="{BFF0C1E9-BC8E-44EB-8EF7-6B831B203929}"/>
    <cellStyle name="Currency 3 2 3 6 4" xfId="10514" xr:uid="{D8A7FA11-7769-4F22-AA8F-756BAFADC36B}"/>
    <cellStyle name="Currency 3 2 3 7" xfId="2418" xr:uid="{00000000-0005-0000-0000-0000270B0000}"/>
    <cellStyle name="Currency 3 2 3 7 2" xfId="6703" xr:uid="{00000000-0005-0000-0000-0000280B0000}"/>
    <cellStyle name="Currency 3 2 3 7 2 2" xfId="15145" xr:uid="{99141EC2-702B-48DF-B595-7E1B1B6D54A5}"/>
    <cellStyle name="Currency 3 2 3 7 3" xfId="10927" xr:uid="{BD9F8F10-8F87-48C1-971F-F063B59CD2DD}"/>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016B3E70-C93F-460E-ACC7-F7097DE0B821}"/>
    <cellStyle name="Currency 3 2 3 9 3" xfId="11244" xr:uid="{4238B194-1E48-4720-882A-1BF1BC33239E}"/>
    <cellStyle name="Currency 3 2 4" xfId="184" xr:uid="{00000000-0005-0000-0000-00002C0B0000}"/>
    <cellStyle name="Currency 3 2 4 10" xfId="8863" xr:uid="{66CFF2E7-8D08-4254-81A7-545E978C5A9B}"/>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C30613F5-E0C9-4312-B7B3-7E01FD7DEE3D}"/>
    <cellStyle name="Currency 3 2 4 2 2 3" xfId="11422" xr:uid="{15C4121E-06DC-4538-98BE-3012DB506E45}"/>
    <cellStyle name="Currency 3 2 4 2 3" xfId="5053" xr:uid="{00000000-0005-0000-0000-0000300B0000}"/>
    <cellStyle name="Currency 3 2 4 2 3 2" xfId="13495" xr:uid="{4DA5DA7A-633B-4375-ABB7-6852CB1CE72F}"/>
    <cellStyle name="Currency 3 2 4 2 4" xfId="9277" xr:uid="{BEFBE5E0-4FE1-478E-B29F-5FC198A64AC7}"/>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2A2389A1-3667-43DB-81B0-C50C1B4221BC}"/>
    <cellStyle name="Currency 3 2 4 3 2 3" xfId="11835" xr:uid="{1F6CB3A6-67E5-4F41-8C72-7D7FDEC0C653}"/>
    <cellStyle name="Currency 3 2 4 3 3" xfId="5466" xr:uid="{00000000-0005-0000-0000-0000340B0000}"/>
    <cellStyle name="Currency 3 2 4 3 3 2" xfId="13908" xr:uid="{75FD81F6-499D-48B3-8142-20D20B30C4A4}"/>
    <cellStyle name="Currency 3 2 4 3 4" xfId="9690" xr:uid="{A566D5DE-06DC-40AB-8C6E-AE44541413D5}"/>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B99FEB8F-4FE8-44CF-A3A2-D2642388897D}"/>
    <cellStyle name="Currency 3 2 4 4 2 3" xfId="12248" xr:uid="{43425ED6-0D33-4856-91BC-DAB190C84F13}"/>
    <cellStyle name="Currency 3 2 4 4 3" xfId="5879" xr:uid="{00000000-0005-0000-0000-0000380B0000}"/>
    <cellStyle name="Currency 3 2 4 4 3 2" xfId="14321" xr:uid="{0B32785F-BB65-4DAF-896E-169D1C5E45D5}"/>
    <cellStyle name="Currency 3 2 4 4 4" xfId="10103" xr:uid="{E8702CFF-5080-41F4-A1DB-2B57975D925E}"/>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425235E6-877A-4268-BB38-2F95308CFBCE}"/>
    <cellStyle name="Currency 3 2 4 5 2 3" xfId="12661" xr:uid="{45B174BF-D2DF-4D91-96BE-CB685B3B7D18}"/>
    <cellStyle name="Currency 3 2 4 5 3" xfId="6292" xr:uid="{00000000-0005-0000-0000-00003C0B0000}"/>
    <cellStyle name="Currency 3 2 4 5 3 2" xfId="14734" xr:uid="{157B51D4-0090-4AC1-88E0-1C5B93FC5BDE}"/>
    <cellStyle name="Currency 3 2 4 5 4" xfId="10516" xr:uid="{7D5657A5-BF1A-4539-8218-391362686232}"/>
    <cellStyle name="Currency 3 2 4 6" xfId="2420" xr:uid="{00000000-0005-0000-0000-00003D0B0000}"/>
    <cellStyle name="Currency 3 2 4 6 2" xfId="6705" xr:uid="{00000000-0005-0000-0000-00003E0B0000}"/>
    <cellStyle name="Currency 3 2 4 6 2 2" xfId="15147" xr:uid="{B64DDD7A-2D80-49CB-BC25-4F0A6F39B54B}"/>
    <cellStyle name="Currency 3 2 4 6 3" xfId="10929" xr:uid="{9E0E9713-C2AC-4C7A-9BA7-F447A7DF7C5E}"/>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0976481F-6A62-4AFE-85BF-AB155C01B378}"/>
    <cellStyle name="Currency 3 2 4 8 3" xfId="11246" xr:uid="{22515713-2229-44F0-9BA8-0B0F3EE6C92E}"/>
    <cellStyle name="Currency 3 2 4 9" xfId="4639" xr:uid="{00000000-0005-0000-0000-0000420B0000}"/>
    <cellStyle name="Currency 3 2 4 9 2" xfId="13081" xr:uid="{52AD3D69-56BD-4A4B-9B33-367EEC65F404}"/>
    <cellStyle name="Currency 3 2 5" xfId="185" xr:uid="{00000000-0005-0000-0000-0000430B0000}"/>
    <cellStyle name="Currency 3 2 5 10" xfId="8864" xr:uid="{EF1C9A77-0129-425D-A32F-95E876BC6571}"/>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4D98BA5D-7892-4037-9769-C0BFA5DA7B97}"/>
    <cellStyle name="Currency 3 2 5 2 2 3" xfId="11423" xr:uid="{2D518E0B-F850-4F7B-A4DE-BF689FB31752}"/>
    <cellStyle name="Currency 3 2 5 2 3" xfId="5054" xr:uid="{00000000-0005-0000-0000-0000470B0000}"/>
    <cellStyle name="Currency 3 2 5 2 3 2" xfId="13496" xr:uid="{7F3DCF09-E268-455B-81FE-AB5623AAD490}"/>
    <cellStyle name="Currency 3 2 5 2 4" xfId="9278" xr:uid="{F5C48F0B-6E08-472F-AD83-D9345F95FB8A}"/>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7DCCA95F-B85A-4BFA-AFDF-255396D4F3F7}"/>
    <cellStyle name="Currency 3 2 5 3 2 3" xfId="11836" xr:uid="{9E9A4CF7-064A-4C88-B8F8-5D2A6F280F9F}"/>
    <cellStyle name="Currency 3 2 5 3 3" xfId="5467" xr:uid="{00000000-0005-0000-0000-00004B0B0000}"/>
    <cellStyle name="Currency 3 2 5 3 3 2" xfId="13909" xr:uid="{F2A76308-4851-4D36-9BED-C9DB4E437F9F}"/>
    <cellStyle name="Currency 3 2 5 3 4" xfId="9691" xr:uid="{D0D1DFD9-A667-4257-B14A-7BD2F820CB25}"/>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11CC746D-AFAE-4500-9796-EC00302F3ADD}"/>
    <cellStyle name="Currency 3 2 5 4 2 3" xfId="12249" xr:uid="{AA3FFFC9-A62D-4904-A642-568BFEEF7C3E}"/>
    <cellStyle name="Currency 3 2 5 4 3" xfId="5880" xr:uid="{00000000-0005-0000-0000-00004F0B0000}"/>
    <cellStyle name="Currency 3 2 5 4 3 2" xfId="14322" xr:uid="{65499F92-860F-444D-B3F9-CA443A04524C}"/>
    <cellStyle name="Currency 3 2 5 4 4" xfId="10104" xr:uid="{FD71EB8A-BC04-45E5-B5FC-51B81262EDD6}"/>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B4BDFDE2-0320-441A-B097-E38D355023B5}"/>
    <cellStyle name="Currency 3 2 5 5 2 3" xfId="12662" xr:uid="{D264D164-05DB-42CB-AEF8-FF841F91ADE5}"/>
    <cellStyle name="Currency 3 2 5 5 3" xfId="6293" xr:uid="{00000000-0005-0000-0000-0000530B0000}"/>
    <cellStyle name="Currency 3 2 5 5 3 2" xfId="14735" xr:uid="{F0B4470F-C62E-4A71-9FB2-4EC1349B5763}"/>
    <cellStyle name="Currency 3 2 5 5 4" xfId="10517" xr:uid="{933D9041-215F-4156-A8B3-C56BC493971F}"/>
    <cellStyle name="Currency 3 2 5 6" xfId="2421" xr:uid="{00000000-0005-0000-0000-0000540B0000}"/>
    <cellStyle name="Currency 3 2 5 6 2" xfId="6706" xr:uid="{00000000-0005-0000-0000-0000550B0000}"/>
    <cellStyle name="Currency 3 2 5 6 2 2" xfId="15148" xr:uid="{5CF4C99F-9BBB-4035-B8B8-CA1E7BE023EE}"/>
    <cellStyle name="Currency 3 2 5 6 3" xfId="10930" xr:uid="{1D32FDB9-898B-43BF-B001-9540CEE372C3}"/>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42CB8BF5-8294-4B9C-8DF5-174AE2751B9D}"/>
    <cellStyle name="Currency 3 2 5 8 3" xfId="11247" xr:uid="{2F21186E-45B7-44E2-B1AF-3CB89074F8CA}"/>
    <cellStyle name="Currency 3 2 5 9" xfId="4640" xr:uid="{00000000-0005-0000-0000-0000590B0000}"/>
    <cellStyle name="Currency 3 2 5 9 2" xfId="13082" xr:uid="{5718A657-C1F2-4FA4-8DD6-032894CD0AC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45837325-20CA-44CF-8A93-A960779655CF}"/>
    <cellStyle name="Currency 5 2 2 2 10 3" xfId="11248" xr:uid="{5831584E-09F6-42B1-A93E-34592052D41D}"/>
    <cellStyle name="Currency 5 2 2 2 11" xfId="4641" xr:uid="{00000000-0005-0000-0000-00006C0B0000}"/>
    <cellStyle name="Currency 5 2 2 2 11 2" xfId="13083" xr:uid="{7DA29F9B-8E25-42FE-BE41-B7993DC69CF2}"/>
    <cellStyle name="Currency 5 2 2 2 12" xfId="8865" xr:uid="{4977D247-C7FE-4087-B24F-030AB38743D3}"/>
    <cellStyle name="Currency 5 2 2 2 2" xfId="197" xr:uid="{00000000-0005-0000-0000-00006D0B0000}"/>
    <cellStyle name="Currency 5 2 2 2 2 10" xfId="4642" xr:uid="{00000000-0005-0000-0000-00006E0B0000}"/>
    <cellStyle name="Currency 5 2 2 2 2 10 2" xfId="13084" xr:uid="{4C9D5B06-A559-469A-99D5-E910D04B2BB3}"/>
    <cellStyle name="Currency 5 2 2 2 2 11" xfId="8866" xr:uid="{4D03369E-62E8-40FF-BF02-6ADD81607E46}"/>
    <cellStyle name="Currency 5 2 2 2 2 2" xfId="198" xr:uid="{00000000-0005-0000-0000-00006F0B0000}"/>
    <cellStyle name="Currency 5 2 2 2 2 2 10" xfId="8867" xr:uid="{90C9EC95-E6DD-43D6-A0ED-74BC33072EB5}"/>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756F8F2D-CE07-4571-A908-AC0DBED746F1}"/>
    <cellStyle name="Currency 5 2 2 2 2 2 2 2 3" xfId="11426" xr:uid="{AF0BB5E3-B572-4BB5-A144-E052D78FFDE2}"/>
    <cellStyle name="Currency 5 2 2 2 2 2 2 3" xfId="5057" xr:uid="{00000000-0005-0000-0000-0000730B0000}"/>
    <cellStyle name="Currency 5 2 2 2 2 2 2 3 2" xfId="13499" xr:uid="{346B7079-39D6-4F32-8D09-225CD3984914}"/>
    <cellStyle name="Currency 5 2 2 2 2 2 2 4" xfId="9281" xr:uid="{3D21BDF8-B28D-4252-BFBA-C40378CC211B}"/>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B8509610-1F04-4BF3-974D-87FFC5E57BF8}"/>
    <cellStyle name="Currency 5 2 2 2 2 2 3 2 3" xfId="11839" xr:uid="{B7B4C282-DAB4-438C-9170-282BD5F9C630}"/>
    <cellStyle name="Currency 5 2 2 2 2 2 3 3" xfId="5470" xr:uid="{00000000-0005-0000-0000-0000770B0000}"/>
    <cellStyle name="Currency 5 2 2 2 2 2 3 3 2" xfId="13912" xr:uid="{1A2EAD0D-6A38-4D43-BE4A-806189B2EA1D}"/>
    <cellStyle name="Currency 5 2 2 2 2 2 3 4" xfId="9694" xr:uid="{D336A7F6-C240-49ED-979E-C384739F358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F4869C24-539D-400C-90BF-98163A43B3E8}"/>
    <cellStyle name="Currency 5 2 2 2 2 2 4 2 3" xfId="12252" xr:uid="{04B7CCFA-C9DB-42AD-A5FE-22D123546C38}"/>
    <cellStyle name="Currency 5 2 2 2 2 2 4 3" xfId="5883" xr:uid="{00000000-0005-0000-0000-00007B0B0000}"/>
    <cellStyle name="Currency 5 2 2 2 2 2 4 3 2" xfId="14325" xr:uid="{F98D7604-CFE2-4E4A-B74C-A8CFEFB17291}"/>
    <cellStyle name="Currency 5 2 2 2 2 2 4 4" xfId="10107" xr:uid="{32259657-39F5-4759-8FE3-563288E1A99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A68B0798-CD0F-4AB1-A896-DD8DC903157D}"/>
    <cellStyle name="Currency 5 2 2 2 2 2 5 2 3" xfId="12665" xr:uid="{0BD54592-90A6-48C2-B8B2-1216263E9B4F}"/>
    <cellStyle name="Currency 5 2 2 2 2 2 5 3" xfId="6296" xr:uid="{00000000-0005-0000-0000-00007F0B0000}"/>
    <cellStyle name="Currency 5 2 2 2 2 2 5 3 2" xfId="14738" xr:uid="{1E8D54E0-5815-45EB-B10A-58020C5CC528}"/>
    <cellStyle name="Currency 5 2 2 2 2 2 5 4" xfId="10520" xr:uid="{2A5839AF-AFB0-413B-8A85-E3C9AC70B898}"/>
    <cellStyle name="Currency 5 2 2 2 2 2 6" xfId="2424" xr:uid="{00000000-0005-0000-0000-0000800B0000}"/>
    <cellStyle name="Currency 5 2 2 2 2 2 6 2" xfId="6709" xr:uid="{00000000-0005-0000-0000-0000810B0000}"/>
    <cellStyle name="Currency 5 2 2 2 2 2 6 2 2" xfId="15151" xr:uid="{7515F379-16B8-4256-ABB8-CD30B0017829}"/>
    <cellStyle name="Currency 5 2 2 2 2 2 6 3" xfId="10933" xr:uid="{C7DB4D78-94A9-4AED-9725-04A0E23F622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54C78A6A-791C-4AC3-9C8E-63246FF20FA1}"/>
    <cellStyle name="Currency 5 2 2 2 2 2 8 3" xfId="11250" xr:uid="{5977B344-E696-41D0-AEC4-577079D2998B}"/>
    <cellStyle name="Currency 5 2 2 2 2 2 9" xfId="4643" xr:uid="{00000000-0005-0000-0000-0000850B0000}"/>
    <cellStyle name="Currency 5 2 2 2 2 2 9 2" xfId="13085" xr:uid="{E2433841-720C-4D44-B3B7-8BD739CD7957}"/>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1484271E-94C0-40BE-A529-6E101D5A7B7F}"/>
    <cellStyle name="Currency 5 2 2 2 2 3 2 3" xfId="11425" xr:uid="{DAE8F555-0E35-40A8-8CC1-70379FDE6181}"/>
    <cellStyle name="Currency 5 2 2 2 2 3 3" xfId="5056" xr:uid="{00000000-0005-0000-0000-0000890B0000}"/>
    <cellStyle name="Currency 5 2 2 2 2 3 3 2" xfId="13498" xr:uid="{4EF5F95C-622D-482F-86F9-715AA849127C}"/>
    <cellStyle name="Currency 5 2 2 2 2 3 4" xfId="9280" xr:uid="{134571EF-0A26-4617-ACB8-37B0ED88A848}"/>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7F0E8765-6DE6-4A51-9664-17D2EF3BBC59}"/>
    <cellStyle name="Currency 5 2 2 2 2 4 2 3" xfId="11838" xr:uid="{02D88C6B-C842-4A72-A37E-DE07B72E01A6}"/>
    <cellStyle name="Currency 5 2 2 2 2 4 3" xfId="5469" xr:uid="{00000000-0005-0000-0000-00008D0B0000}"/>
    <cellStyle name="Currency 5 2 2 2 2 4 3 2" xfId="13911" xr:uid="{DB1111F6-54C6-42B6-AAD4-73CBF8C628A9}"/>
    <cellStyle name="Currency 5 2 2 2 2 4 4" xfId="9693" xr:uid="{C87E262C-A1EE-4A7D-BB26-67712643852C}"/>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0EB29AD1-E7F9-4FFE-8CE6-39E5B1B68A8A}"/>
    <cellStyle name="Currency 5 2 2 2 2 5 2 3" xfId="12251" xr:uid="{6D6E18BE-1177-4C4F-A73D-4E220DCCBDA6}"/>
    <cellStyle name="Currency 5 2 2 2 2 5 3" xfId="5882" xr:uid="{00000000-0005-0000-0000-0000910B0000}"/>
    <cellStyle name="Currency 5 2 2 2 2 5 3 2" xfId="14324" xr:uid="{78C836CA-DC8D-4C0E-B24D-7F85D9D76373}"/>
    <cellStyle name="Currency 5 2 2 2 2 5 4" xfId="10106" xr:uid="{237B9C22-07A6-4610-A6DA-6A88FC05615E}"/>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599B34A1-12D2-4DF6-B81C-A50F37046689}"/>
    <cellStyle name="Currency 5 2 2 2 2 6 2 3" xfId="12664" xr:uid="{3DAC0AAF-C508-403C-8BFE-6D8F80BDE846}"/>
    <cellStyle name="Currency 5 2 2 2 2 6 3" xfId="6295" xr:uid="{00000000-0005-0000-0000-0000950B0000}"/>
    <cellStyle name="Currency 5 2 2 2 2 6 3 2" xfId="14737" xr:uid="{B9B0C368-81CC-414D-834F-5C1F43C65FC9}"/>
    <cellStyle name="Currency 5 2 2 2 2 6 4" xfId="10519" xr:uid="{0104D1EB-54B2-4261-B4B9-94A0FE2DC858}"/>
    <cellStyle name="Currency 5 2 2 2 2 7" xfId="2423" xr:uid="{00000000-0005-0000-0000-0000960B0000}"/>
    <cellStyle name="Currency 5 2 2 2 2 7 2" xfId="6708" xr:uid="{00000000-0005-0000-0000-0000970B0000}"/>
    <cellStyle name="Currency 5 2 2 2 2 7 2 2" xfId="15150" xr:uid="{095DA1A0-F2DE-46BC-9E90-76B830B758D9}"/>
    <cellStyle name="Currency 5 2 2 2 2 7 3" xfId="10932" xr:uid="{928C68B1-0A2F-4D0E-8828-CB7E9E47AAA3}"/>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7593DD80-BC51-4677-BAC7-6FFC88278845}"/>
    <cellStyle name="Currency 5 2 2 2 2 9 3" xfId="11249" xr:uid="{61329E07-0DB6-45B3-B520-B202871137E1}"/>
    <cellStyle name="Currency 5 2 2 2 3" xfId="199" xr:uid="{00000000-0005-0000-0000-00009B0B0000}"/>
    <cellStyle name="Currency 5 2 2 2 3 10" xfId="8868" xr:uid="{D9C6A5B0-5F85-43F7-A82E-1280A1DF3721}"/>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B69071C0-7D3B-4AFB-8CD2-10C55C4F147D}"/>
    <cellStyle name="Currency 5 2 2 2 3 2 2 3" xfId="11427" xr:uid="{635351ED-18D6-45FE-8672-437005FCEB02}"/>
    <cellStyle name="Currency 5 2 2 2 3 2 3" xfId="5058" xr:uid="{00000000-0005-0000-0000-00009F0B0000}"/>
    <cellStyle name="Currency 5 2 2 2 3 2 3 2" xfId="13500" xr:uid="{9CF7D313-8A6E-41A9-B034-756F5E5E19F0}"/>
    <cellStyle name="Currency 5 2 2 2 3 2 4" xfId="9282" xr:uid="{64572ECB-5035-4884-9248-CABDE1DBD92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20CD28BF-9576-49CD-A562-91ADB8778181}"/>
    <cellStyle name="Currency 5 2 2 2 3 3 2 3" xfId="11840" xr:uid="{D6BD3E46-E8CC-4CF8-93E5-11C891F431A0}"/>
    <cellStyle name="Currency 5 2 2 2 3 3 3" xfId="5471" xr:uid="{00000000-0005-0000-0000-0000A30B0000}"/>
    <cellStyle name="Currency 5 2 2 2 3 3 3 2" xfId="13913" xr:uid="{56F0F8E6-C365-4B49-9A02-BD19B60FAFC6}"/>
    <cellStyle name="Currency 5 2 2 2 3 3 4" xfId="9695" xr:uid="{82DE64C2-30A6-4AF7-93A4-19594088C5F4}"/>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9341E72F-AE34-4C52-B122-338994628AAB}"/>
    <cellStyle name="Currency 5 2 2 2 3 4 2 3" xfId="12253" xr:uid="{A793B6E5-8C6E-477A-A4AC-EE169671D4CF}"/>
    <cellStyle name="Currency 5 2 2 2 3 4 3" xfId="5884" xr:uid="{00000000-0005-0000-0000-0000A70B0000}"/>
    <cellStyle name="Currency 5 2 2 2 3 4 3 2" xfId="14326" xr:uid="{2AD94FEC-E371-4D52-9CE1-FF431383D2CF}"/>
    <cellStyle name="Currency 5 2 2 2 3 4 4" xfId="10108" xr:uid="{AF39E744-95B8-42CA-81AE-EA3F16F7526D}"/>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F30CE602-826C-4ABC-A147-07E765D3B6EA}"/>
    <cellStyle name="Currency 5 2 2 2 3 5 2 3" xfId="12666" xr:uid="{51C62F40-1E9C-4FE0-85FC-ACA75D85A529}"/>
    <cellStyle name="Currency 5 2 2 2 3 5 3" xfId="6297" xr:uid="{00000000-0005-0000-0000-0000AB0B0000}"/>
    <cellStyle name="Currency 5 2 2 2 3 5 3 2" xfId="14739" xr:uid="{F96FE169-4C81-4D9B-AE48-D777AAD6B2E6}"/>
    <cellStyle name="Currency 5 2 2 2 3 5 4" xfId="10521" xr:uid="{F399550A-A29C-4ACA-A3A3-D9EB93086252}"/>
    <cellStyle name="Currency 5 2 2 2 3 6" xfId="2425" xr:uid="{00000000-0005-0000-0000-0000AC0B0000}"/>
    <cellStyle name="Currency 5 2 2 2 3 6 2" xfId="6710" xr:uid="{00000000-0005-0000-0000-0000AD0B0000}"/>
    <cellStyle name="Currency 5 2 2 2 3 6 2 2" xfId="15152" xr:uid="{57C146C1-05AF-4E85-A8EE-AE3755529E77}"/>
    <cellStyle name="Currency 5 2 2 2 3 6 3" xfId="10934" xr:uid="{90F15D1A-296E-44D4-99BF-81B4C763738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963BDEB1-2B32-4EEB-846E-9CA5DDED698E}"/>
    <cellStyle name="Currency 5 2 2 2 3 8 3" xfId="11251" xr:uid="{8E4D5873-94E1-4681-AEAA-B61178888667}"/>
    <cellStyle name="Currency 5 2 2 2 3 9" xfId="4644" xr:uid="{00000000-0005-0000-0000-0000B10B0000}"/>
    <cellStyle name="Currency 5 2 2 2 3 9 2" xfId="13086" xr:uid="{BA448ACA-E313-4B9F-BB31-D75B51E4D426}"/>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E803BCA4-EC0F-4C78-8B87-BFD6061497EF}"/>
    <cellStyle name="Currency 5 2 2 2 4 2 3" xfId="11424" xr:uid="{8FFA4818-2C1F-437A-A77B-FE41EB83D6F4}"/>
    <cellStyle name="Currency 5 2 2 2 4 3" xfId="5055" xr:uid="{00000000-0005-0000-0000-0000B50B0000}"/>
    <cellStyle name="Currency 5 2 2 2 4 3 2" xfId="13497" xr:uid="{D81D8A7F-5DFC-4196-82E5-2D50C689B344}"/>
    <cellStyle name="Currency 5 2 2 2 4 4" xfId="9279" xr:uid="{FD5920BC-A84F-4CFE-9718-08099FDE26B9}"/>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D44B61EA-EC4A-446C-82A2-5A857F5137E9}"/>
    <cellStyle name="Currency 5 2 2 2 5 2 3" xfId="11837" xr:uid="{FB5D826D-A13F-49AA-A688-F7ABACA377B3}"/>
    <cellStyle name="Currency 5 2 2 2 5 3" xfId="5468" xr:uid="{00000000-0005-0000-0000-0000B90B0000}"/>
    <cellStyle name="Currency 5 2 2 2 5 3 2" xfId="13910" xr:uid="{1F80976E-7B55-4FEB-B436-B3A8BBB8E662}"/>
    <cellStyle name="Currency 5 2 2 2 5 4" xfId="9692" xr:uid="{1BB87726-2EE9-4E7C-8426-2B2DE25888EE}"/>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39AA3109-3124-40F4-956C-9B022E06A3DA}"/>
    <cellStyle name="Currency 5 2 2 2 6 2 3" xfId="12250" xr:uid="{C18A7A45-05F6-4C7D-9977-1516CDE383E1}"/>
    <cellStyle name="Currency 5 2 2 2 6 3" xfId="5881" xr:uid="{00000000-0005-0000-0000-0000BD0B0000}"/>
    <cellStyle name="Currency 5 2 2 2 6 3 2" xfId="14323" xr:uid="{98994EB8-4058-44F2-BA2C-7AF9EBDB7FEC}"/>
    <cellStyle name="Currency 5 2 2 2 6 4" xfId="10105" xr:uid="{26699CE2-9A9B-4A29-BA2D-8006E457853D}"/>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9CC618A0-1260-4E5C-93A8-FD4113233424}"/>
    <cellStyle name="Currency 5 2 2 2 7 2 3" xfId="12663" xr:uid="{9A9D2A93-01AA-44A2-97B6-412C9AB72FCD}"/>
    <cellStyle name="Currency 5 2 2 2 7 3" xfId="6294" xr:uid="{00000000-0005-0000-0000-0000C10B0000}"/>
    <cellStyle name="Currency 5 2 2 2 7 3 2" xfId="14736" xr:uid="{DBDAB728-527B-4998-991B-CF911AD28C7D}"/>
    <cellStyle name="Currency 5 2 2 2 7 4" xfId="10518" xr:uid="{0704B691-DD0C-4E40-B0B7-34F9F3AB5FF0}"/>
    <cellStyle name="Currency 5 2 2 2 8" xfId="2422" xr:uid="{00000000-0005-0000-0000-0000C20B0000}"/>
    <cellStyle name="Currency 5 2 2 2 8 2" xfId="6707" xr:uid="{00000000-0005-0000-0000-0000C30B0000}"/>
    <cellStyle name="Currency 5 2 2 2 8 2 2" xfId="15149" xr:uid="{A7D4F4C5-039A-42A3-8EB1-712F19AC4D5D}"/>
    <cellStyle name="Currency 5 2 2 2 8 3" xfId="10931" xr:uid="{F5DED1FC-7794-4A37-823E-59B0FB5B5B42}"/>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B24D8DD8-A074-4ED0-839C-EBA30D35739E}"/>
    <cellStyle name="Currency 5 2 2 3 11" xfId="8869" xr:uid="{9FE038C2-5155-4BCB-AD2E-7EE61B10DFF7}"/>
    <cellStyle name="Currency 5 2 2 3 2" xfId="201" xr:uid="{00000000-0005-0000-0000-0000C70B0000}"/>
    <cellStyle name="Currency 5 2 2 3 2 10" xfId="8870" xr:uid="{7D6D9AFC-C1CC-4B2B-B41A-2DF6B76510F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1D79CBAE-3506-4485-A28B-816D4DB9CD0C}"/>
    <cellStyle name="Currency 5 2 2 3 2 2 2 3" xfId="11429" xr:uid="{93B7E42A-12C0-4737-88A7-55CDB64CE06C}"/>
    <cellStyle name="Currency 5 2 2 3 2 2 3" xfId="5060" xr:uid="{00000000-0005-0000-0000-0000CB0B0000}"/>
    <cellStyle name="Currency 5 2 2 3 2 2 3 2" xfId="13502" xr:uid="{456AF91E-2474-4CC9-9FAF-313C1A630D68}"/>
    <cellStyle name="Currency 5 2 2 3 2 2 4" xfId="9284" xr:uid="{2498E5AD-A441-447A-A2ED-776A5C45B753}"/>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4C12063C-5517-4FBD-AAC9-E2B0B5B0B473}"/>
    <cellStyle name="Currency 5 2 2 3 2 3 2 3" xfId="11842" xr:uid="{07E596DD-BEBB-468E-B5B1-1764DC30A9A0}"/>
    <cellStyle name="Currency 5 2 2 3 2 3 3" xfId="5473" xr:uid="{00000000-0005-0000-0000-0000CF0B0000}"/>
    <cellStyle name="Currency 5 2 2 3 2 3 3 2" xfId="13915" xr:uid="{2D31AD31-2C9E-486B-92AA-9B2DC567D973}"/>
    <cellStyle name="Currency 5 2 2 3 2 3 4" xfId="9697" xr:uid="{6764D49B-694F-4442-A4DF-E5F441ECF267}"/>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2B6B3E67-913B-44B7-8D0F-E6377E00D66A}"/>
    <cellStyle name="Currency 5 2 2 3 2 4 2 3" xfId="12255" xr:uid="{9090474F-CF22-4348-9C0B-AA4EDCE0EF85}"/>
    <cellStyle name="Currency 5 2 2 3 2 4 3" xfId="5886" xr:uid="{00000000-0005-0000-0000-0000D30B0000}"/>
    <cellStyle name="Currency 5 2 2 3 2 4 3 2" xfId="14328" xr:uid="{F7DD10D2-7435-4AF8-88A5-65724A403246}"/>
    <cellStyle name="Currency 5 2 2 3 2 4 4" xfId="10110" xr:uid="{3CBF54A8-56A7-44DD-9016-75A0D6DEDD35}"/>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D54135E9-ED88-4637-AAB3-9F02868D73F5}"/>
    <cellStyle name="Currency 5 2 2 3 2 5 2 3" xfId="12668" xr:uid="{3AAF6AB1-A67B-4D0A-AFEA-E29A1E0DB067}"/>
    <cellStyle name="Currency 5 2 2 3 2 5 3" xfId="6299" xr:uid="{00000000-0005-0000-0000-0000D70B0000}"/>
    <cellStyle name="Currency 5 2 2 3 2 5 3 2" xfId="14741" xr:uid="{6BD27DD6-8D40-49B8-A3B0-56F7B27B5F6A}"/>
    <cellStyle name="Currency 5 2 2 3 2 5 4" xfId="10523" xr:uid="{8482F743-6F20-45B2-88EE-F56893B75A96}"/>
    <cellStyle name="Currency 5 2 2 3 2 6" xfId="2427" xr:uid="{00000000-0005-0000-0000-0000D80B0000}"/>
    <cellStyle name="Currency 5 2 2 3 2 6 2" xfId="6712" xr:uid="{00000000-0005-0000-0000-0000D90B0000}"/>
    <cellStyle name="Currency 5 2 2 3 2 6 2 2" xfId="15154" xr:uid="{84CDE370-EC72-4780-A87B-7A3DB68A4A41}"/>
    <cellStyle name="Currency 5 2 2 3 2 6 3" xfId="10936" xr:uid="{55612468-B3E2-4A86-84A2-77337AB8238A}"/>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8A6E6410-F51F-41D1-B2F8-0C5CF29B13DC}"/>
    <cellStyle name="Currency 5 2 2 3 2 8 3" xfId="11253" xr:uid="{9AE3999D-5267-4946-80EE-7C1D61142578}"/>
    <cellStyle name="Currency 5 2 2 3 2 9" xfId="4646" xr:uid="{00000000-0005-0000-0000-0000DD0B0000}"/>
    <cellStyle name="Currency 5 2 2 3 2 9 2" xfId="13088" xr:uid="{13C6AC23-30FA-4A17-94A2-30AE789ECF73}"/>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1F1CB2BD-ACF3-4A32-96BD-5B239131F1DE}"/>
    <cellStyle name="Currency 5 2 2 3 3 2 3" xfId="11428" xr:uid="{56F909F3-7E42-4A7D-B872-5E25CDA12315}"/>
    <cellStyle name="Currency 5 2 2 3 3 3" xfId="5059" xr:uid="{00000000-0005-0000-0000-0000E10B0000}"/>
    <cellStyle name="Currency 5 2 2 3 3 3 2" xfId="13501" xr:uid="{63985A65-DDCA-40A0-AC28-AEC2D2AE2555}"/>
    <cellStyle name="Currency 5 2 2 3 3 4" xfId="9283" xr:uid="{F271C98F-F178-4983-9FFA-5D9F3E63EE2D}"/>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3648B0ED-F895-40D0-8686-6EF71C9B6765}"/>
    <cellStyle name="Currency 5 2 2 3 4 2 3" xfId="11841" xr:uid="{6847B5A1-6C85-4A89-9E80-2446EA2CFC8A}"/>
    <cellStyle name="Currency 5 2 2 3 4 3" xfId="5472" xr:uid="{00000000-0005-0000-0000-0000E50B0000}"/>
    <cellStyle name="Currency 5 2 2 3 4 3 2" xfId="13914" xr:uid="{ED72B179-CF09-4AA9-87B1-9E7D04AFD7DC}"/>
    <cellStyle name="Currency 5 2 2 3 4 4" xfId="9696" xr:uid="{08B660E1-D729-445D-9657-D2DCCC01E06F}"/>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DDE5CA53-5AED-451E-A99E-0D701EF2A684}"/>
    <cellStyle name="Currency 5 2 2 3 5 2 3" xfId="12254" xr:uid="{DF3AC52E-1B52-4D8B-95E1-41BFE0BF6B22}"/>
    <cellStyle name="Currency 5 2 2 3 5 3" xfId="5885" xr:uid="{00000000-0005-0000-0000-0000E90B0000}"/>
    <cellStyle name="Currency 5 2 2 3 5 3 2" xfId="14327" xr:uid="{B6D4B8AC-3CDF-4558-8514-3B3F971FEAE8}"/>
    <cellStyle name="Currency 5 2 2 3 5 4" xfId="10109" xr:uid="{CA4468D0-1329-4BA0-B9CE-A95670DA9683}"/>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5255EBB1-C55D-49F1-87A2-064ECA25DAC4}"/>
    <cellStyle name="Currency 5 2 2 3 6 2 3" xfId="12667" xr:uid="{5D84F7F0-F5EA-4A14-B197-E1F5ABA2483C}"/>
    <cellStyle name="Currency 5 2 2 3 6 3" xfId="6298" xr:uid="{00000000-0005-0000-0000-0000ED0B0000}"/>
    <cellStyle name="Currency 5 2 2 3 6 3 2" xfId="14740" xr:uid="{C9D11D24-EBC9-4FB8-91E2-0E229367D558}"/>
    <cellStyle name="Currency 5 2 2 3 6 4" xfId="10522" xr:uid="{31A0900A-9339-4365-8BBB-3D78C3A1672D}"/>
    <cellStyle name="Currency 5 2 2 3 7" xfId="2426" xr:uid="{00000000-0005-0000-0000-0000EE0B0000}"/>
    <cellStyle name="Currency 5 2 2 3 7 2" xfId="6711" xr:uid="{00000000-0005-0000-0000-0000EF0B0000}"/>
    <cellStyle name="Currency 5 2 2 3 7 2 2" xfId="15153" xr:uid="{8E7A0446-BBE5-4424-80C3-1B1A9C1D2BB6}"/>
    <cellStyle name="Currency 5 2 2 3 7 3" xfId="10935" xr:uid="{D4734C20-2554-411E-B65B-BD8250512AD4}"/>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25788654-A299-4E18-A021-B726E87F3C83}"/>
    <cellStyle name="Currency 5 2 2 3 9 3" xfId="11252" xr:uid="{12BD0582-8407-46CD-83C5-DFA7F4B299C5}"/>
    <cellStyle name="Currency 5 2 2 4" xfId="202" xr:uid="{00000000-0005-0000-0000-0000F30B0000}"/>
    <cellStyle name="Currency 5 2 2 4 10" xfId="8871" xr:uid="{DAFD1A23-FB88-402F-AF95-6B888202C99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01AB6E0E-B642-451F-BD4E-0C4D77800D5E}"/>
    <cellStyle name="Currency 5 2 2 4 2 2 3" xfId="11430" xr:uid="{0B36A9D7-A3D5-4389-958B-C868C02C4E98}"/>
    <cellStyle name="Currency 5 2 2 4 2 3" xfId="5061" xr:uid="{00000000-0005-0000-0000-0000F70B0000}"/>
    <cellStyle name="Currency 5 2 2 4 2 3 2" xfId="13503" xr:uid="{E6E5F435-2278-407B-8F26-9FA2A8160CDD}"/>
    <cellStyle name="Currency 5 2 2 4 2 4" xfId="9285" xr:uid="{4ABE72C4-B9EF-4C7E-BBD8-EA0D79815B0B}"/>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8CCEEED9-FDF4-4A3D-939A-5C0D48EB6278}"/>
    <cellStyle name="Currency 5 2 2 4 3 2 3" xfId="11843" xr:uid="{39B47360-53C2-4CE1-B310-1B58A0FD664C}"/>
    <cellStyle name="Currency 5 2 2 4 3 3" xfId="5474" xr:uid="{00000000-0005-0000-0000-0000FB0B0000}"/>
    <cellStyle name="Currency 5 2 2 4 3 3 2" xfId="13916" xr:uid="{811041B5-B684-4219-80D7-77D4137B5FE7}"/>
    <cellStyle name="Currency 5 2 2 4 3 4" xfId="9698" xr:uid="{AC9051C4-69E2-421B-9B9C-F8D58BCCBBFE}"/>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35E376D3-E287-4E47-8BC7-F2CB3BADCA98}"/>
    <cellStyle name="Currency 5 2 2 4 4 2 3" xfId="12256" xr:uid="{5776F041-731F-4783-A7BA-5D2C0163BF6E}"/>
    <cellStyle name="Currency 5 2 2 4 4 3" xfId="5887" xr:uid="{00000000-0005-0000-0000-0000FF0B0000}"/>
    <cellStyle name="Currency 5 2 2 4 4 3 2" xfId="14329" xr:uid="{B6426E13-A4A7-466E-9C43-C77784DD1070}"/>
    <cellStyle name="Currency 5 2 2 4 4 4" xfId="10111" xr:uid="{AEFE194B-D29D-42FF-9B5B-8EDC81322D5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917F8C73-252F-492E-B84F-6F7A5844F2A1}"/>
    <cellStyle name="Currency 5 2 2 4 5 2 3" xfId="12669" xr:uid="{27F75B46-B5C2-43BE-885B-D34B269BD802}"/>
    <cellStyle name="Currency 5 2 2 4 5 3" xfId="6300" xr:uid="{00000000-0005-0000-0000-0000030C0000}"/>
    <cellStyle name="Currency 5 2 2 4 5 3 2" xfId="14742" xr:uid="{6123030F-751A-4133-9884-F2686CDFE5DA}"/>
    <cellStyle name="Currency 5 2 2 4 5 4" xfId="10524" xr:uid="{E1149743-C5D1-4778-AEC0-F266A3AAC582}"/>
    <cellStyle name="Currency 5 2 2 4 6" xfId="2428" xr:uid="{00000000-0005-0000-0000-0000040C0000}"/>
    <cellStyle name="Currency 5 2 2 4 6 2" xfId="6713" xr:uid="{00000000-0005-0000-0000-0000050C0000}"/>
    <cellStyle name="Currency 5 2 2 4 6 2 2" xfId="15155" xr:uid="{306D2AC3-F5C6-4D8F-A1E9-DAB9B31C400D}"/>
    <cellStyle name="Currency 5 2 2 4 6 3" xfId="10937" xr:uid="{EAA94DE1-02EE-47B8-9755-7A2C1619B221}"/>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841D364F-CEE8-4C7C-A288-22613049E693}"/>
    <cellStyle name="Currency 5 2 2 4 8 3" xfId="11254" xr:uid="{05FE16F2-1D36-458D-8E4D-7AA0FD872963}"/>
    <cellStyle name="Currency 5 2 2 4 9" xfId="4647" xr:uid="{00000000-0005-0000-0000-0000090C0000}"/>
    <cellStyle name="Currency 5 2 2 4 9 2" xfId="13089" xr:uid="{509B61D0-09E4-4314-8E98-CA9601DC1497}"/>
    <cellStyle name="Currency 5 2 2 5" xfId="203" xr:uid="{00000000-0005-0000-0000-00000A0C0000}"/>
    <cellStyle name="Currency 5 2 2 5 10" xfId="8872" xr:uid="{EF942896-65C4-4EB1-93A3-4E8B52C47D27}"/>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54BA0182-F608-4BCD-9751-ECA7808EE784}"/>
    <cellStyle name="Currency 5 2 2 5 2 2 3" xfId="11431" xr:uid="{D56F6AAC-D37A-47F5-B12C-59236A9BF1B9}"/>
    <cellStyle name="Currency 5 2 2 5 2 3" xfId="5062" xr:uid="{00000000-0005-0000-0000-00000E0C0000}"/>
    <cellStyle name="Currency 5 2 2 5 2 3 2" xfId="13504" xr:uid="{B30F286F-DA6E-4E44-9F48-EC4B906C4E51}"/>
    <cellStyle name="Currency 5 2 2 5 2 4" xfId="9286" xr:uid="{10A45B00-2A55-4212-99C8-960953267C5F}"/>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65A5D59E-3F81-4465-BE1B-92E7316A54FC}"/>
    <cellStyle name="Currency 5 2 2 5 3 2 3" xfId="11844" xr:uid="{88D96548-3C25-4599-BFB6-AFF81A4D1211}"/>
    <cellStyle name="Currency 5 2 2 5 3 3" xfId="5475" xr:uid="{00000000-0005-0000-0000-0000120C0000}"/>
    <cellStyle name="Currency 5 2 2 5 3 3 2" xfId="13917" xr:uid="{BD89D67E-200A-4B4F-A029-A2284792ECA3}"/>
    <cellStyle name="Currency 5 2 2 5 3 4" xfId="9699" xr:uid="{FC552F32-45F7-46C2-A28B-9A8FDAD8D29D}"/>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047790A5-D263-46FC-B71B-FF0AA35DF2B4}"/>
    <cellStyle name="Currency 5 2 2 5 4 2 3" xfId="12257" xr:uid="{00D7B89E-BBAF-46B8-AC3F-1F21A9AD571B}"/>
    <cellStyle name="Currency 5 2 2 5 4 3" xfId="5888" xr:uid="{00000000-0005-0000-0000-0000160C0000}"/>
    <cellStyle name="Currency 5 2 2 5 4 3 2" xfId="14330" xr:uid="{9F8DFBBE-7062-4DC7-A49E-D3CC87716E29}"/>
    <cellStyle name="Currency 5 2 2 5 4 4" xfId="10112" xr:uid="{166FC982-4786-43DA-A4A9-222806256C92}"/>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D50E1107-F306-4625-8C4B-39DB9C293413}"/>
    <cellStyle name="Currency 5 2 2 5 5 2 3" xfId="12670" xr:uid="{A646E396-FD7C-46B2-A969-EA28DBCDA05D}"/>
    <cellStyle name="Currency 5 2 2 5 5 3" xfId="6301" xr:uid="{00000000-0005-0000-0000-00001A0C0000}"/>
    <cellStyle name="Currency 5 2 2 5 5 3 2" xfId="14743" xr:uid="{3AEDDAC8-A271-40E5-ABA7-159BD8B5396C}"/>
    <cellStyle name="Currency 5 2 2 5 5 4" xfId="10525" xr:uid="{8A0646F6-B261-4F56-A7D1-043E1E856DC5}"/>
    <cellStyle name="Currency 5 2 2 5 6" xfId="2429" xr:uid="{00000000-0005-0000-0000-00001B0C0000}"/>
    <cellStyle name="Currency 5 2 2 5 6 2" xfId="6714" xr:uid="{00000000-0005-0000-0000-00001C0C0000}"/>
    <cellStyle name="Currency 5 2 2 5 6 2 2" xfId="15156" xr:uid="{399A4712-01BD-4185-8552-5A15AFB787E1}"/>
    <cellStyle name="Currency 5 2 2 5 6 3" xfId="10938" xr:uid="{A483E887-9018-4951-81AE-4C2ECCC7B7E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E1D724B0-301F-4153-B86E-01BC0CFCEC36}"/>
    <cellStyle name="Currency 5 2 2 5 8 3" xfId="11255" xr:uid="{E0CE4E45-9AA3-4286-85EB-137462F01F93}"/>
    <cellStyle name="Currency 5 2 2 5 9" xfId="4648" xr:uid="{00000000-0005-0000-0000-0000200C0000}"/>
    <cellStyle name="Currency 5 2 2 5 9 2" xfId="13090" xr:uid="{72A88156-708D-495F-860E-43DF43F6DF5F}"/>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C73094AD-0103-4827-BE84-8A758946815A}"/>
    <cellStyle name="Currency 5 2 4 11" xfId="8873" xr:uid="{ACBE5DB5-F847-4CF7-B917-82B9BB013160}"/>
    <cellStyle name="Currency 5 2 4 2" xfId="206" xr:uid="{00000000-0005-0000-0000-0000250C0000}"/>
    <cellStyle name="Currency 5 2 4 2 10" xfId="8874" xr:uid="{5D99DDB8-4CC2-44CF-927D-BCF08E3CECA9}"/>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E5DF82A8-2C46-42FD-A2BB-7A15A97D83F9}"/>
    <cellStyle name="Currency 5 2 4 2 2 2 3" xfId="11433" xr:uid="{2BEEE09F-393D-4C03-9DC2-4F1390EFAED8}"/>
    <cellStyle name="Currency 5 2 4 2 2 3" xfId="5064" xr:uid="{00000000-0005-0000-0000-0000290C0000}"/>
    <cellStyle name="Currency 5 2 4 2 2 3 2" xfId="13506" xr:uid="{4055DC9C-F986-4972-B194-9CD013D3EB77}"/>
    <cellStyle name="Currency 5 2 4 2 2 4" xfId="9288" xr:uid="{4D502954-DA44-4247-8458-EDB4BC1B86A8}"/>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E8E97DD2-6E6F-4B08-A077-CC8A5F8D8D37}"/>
    <cellStyle name="Currency 5 2 4 2 3 2 3" xfId="11846" xr:uid="{5F770A1E-9BE6-47DC-868B-922E9ED50E32}"/>
    <cellStyle name="Currency 5 2 4 2 3 3" xfId="5477" xr:uid="{00000000-0005-0000-0000-00002D0C0000}"/>
    <cellStyle name="Currency 5 2 4 2 3 3 2" xfId="13919" xr:uid="{F9BDEBA0-7584-49BC-AA58-FB68732A7BC8}"/>
    <cellStyle name="Currency 5 2 4 2 3 4" xfId="9701" xr:uid="{8A9D6A6A-3C56-46F2-9BD4-7D9B4237CE01}"/>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CE4A5B2E-DC1E-40DA-83D0-8C451A472D9A}"/>
    <cellStyle name="Currency 5 2 4 2 4 2 3" xfId="12259" xr:uid="{248CB252-1F38-4B0E-8CA2-FF4F0553691F}"/>
    <cellStyle name="Currency 5 2 4 2 4 3" xfId="5890" xr:uid="{00000000-0005-0000-0000-0000310C0000}"/>
    <cellStyle name="Currency 5 2 4 2 4 3 2" xfId="14332" xr:uid="{11C32CEA-40B6-449E-9224-25704090450E}"/>
    <cellStyle name="Currency 5 2 4 2 4 4" xfId="10114" xr:uid="{A5898245-20BF-4915-B40F-B1F3DD9BD0BF}"/>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97309AE2-6CE2-43AC-99FE-90A24D06C508}"/>
    <cellStyle name="Currency 5 2 4 2 5 2 3" xfId="12672" xr:uid="{BBE48EA1-8119-4A47-844F-095E5B6C1F13}"/>
    <cellStyle name="Currency 5 2 4 2 5 3" xfId="6303" xr:uid="{00000000-0005-0000-0000-0000350C0000}"/>
    <cellStyle name="Currency 5 2 4 2 5 3 2" xfId="14745" xr:uid="{FB650158-68CD-48A7-B189-98BE7EB04495}"/>
    <cellStyle name="Currency 5 2 4 2 5 4" xfId="10527" xr:uid="{648552E0-CC0F-4921-B848-A74ED0C7100C}"/>
    <cellStyle name="Currency 5 2 4 2 6" xfId="2431" xr:uid="{00000000-0005-0000-0000-0000360C0000}"/>
    <cellStyle name="Currency 5 2 4 2 6 2" xfId="6716" xr:uid="{00000000-0005-0000-0000-0000370C0000}"/>
    <cellStyle name="Currency 5 2 4 2 6 2 2" xfId="15158" xr:uid="{5D7C2DAB-2BAB-41AE-BFC5-F24A222313CF}"/>
    <cellStyle name="Currency 5 2 4 2 6 3" xfId="10940" xr:uid="{E6372254-C3E3-4F1C-B1D8-A3532E045EAF}"/>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832A472D-4AE4-4979-BDF0-469D7DB154FB}"/>
    <cellStyle name="Currency 5 2 4 2 8 3" xfId="11257" xr:uid="{1F85D6BB-B27A-412D-938C-7E54906C4B77}"/>
    <cellStyle name="Currency 5 2 4 2 9" xfId="4650" xr:uid="{00000000-0005-0000-0000-00003B0C0000}"/>
    <cellStyle name="Currency 5 2 4 2 9 2" xfId="13092" xr:uid="{CC3966CC-030B-4033-A8B0-7C677868A844}"/>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CB7496BA-6462-4B67-A432-A4A34B581CAE}"/>
    <cellStyle name="Currency 5 2 4 3 2 3" xfId="11432" xr:uid="{E8FB99A6-724D-4B51-B883-2269916AAA2E}"/>
    <cellStyle name="Currency 5 2 4 3 3" xfId="5063" xr:uid="{00000000-0005-0000-0000-00003F0C0000}"/>
    <cellStyle name="Currency 5 2 4 3 3 2" xfId="13505" xr:uid="{F1C8DBF2-B8D2-4B82-995E-8484D3800277}"/>
    <cellStyle name="Currency 5 2 4 3 4" xfId="9287" xr:uid="{5E3AC2C2-16FD-4B47-A0E8-92088F6D4709}"/>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03031371-0333-4167-B395-706B0BB1CFA9}"/>
    <cellStyle name="Currency 5 2 4 4 2 3" xfId="11845" xr:uid="{CED0CF44-7969-4273-8FB8-A3D492CEB68B}"/>
    <cellStyle name="Currency 5 2 4 4 3" xfId="5476" xr:uid="{00000000-0005-0000-0000-0000430C0000}"/>
    <cellStyle name="Currency 5 2 4 4 3 2" xfId="13918" xr:uid="{B86AE9A8-59B6-49DF-B981-71BF5D44EE96}"/>
    <cellStyle name="Currency 5 2 4 4 4" xfId="9700" xr:uid="{9682FB9A-B10D-40D0-A0BE-7826C56A0B98}"/>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6E1D966D-26CF-4BC4-A383-1A52C98A44F4}"/>
    <cellStyle name="Currency 5 2 4 5 2 3" xfId="12258" xr:uid="{B5B438FC-80A8-4D02-9A0A-52002C8E17EE}"/>
    <cellStyle name="Currency 5 2 4 5 3" xfId="5889" xr:uid="{00000000-0005-0000-0000-0000470C0000}"/>
    <cellStyle name="Currency 5 2 4 5 3 2" xfId="14331" xr:uid="{3C694F6D-BCA9-4179-A7E4-0473FE30B2D0}"/>
    <cellStyle name="Currency 5 2 4 5 4" xfId="10113" xr:uid="{1334EC35-5B02-4517-98D1-8B65413F1AC3}"/>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B947BEFA-2CED-4876-8499-919C5746332C}"/>
    <cellStyle name="Currency 5 2 4 6 2 3" xfId="12671" xr:uid="{FA4CF455-F0F9-4D18-A2B8-FD8E58F3DA94}"/>
    <cellStyle name="Currency 5 2 4 6 3" xfId="6302" xr:uid="{00000000-0005-0000-0000-00004B0C0000}"/>
    <cellStyle name="Currency 5 2 4 6 3 2" xfId="14744" xr:uid="{03700C17-B8B7-42C3-8E42-BE60DD357816}"/>
    <cellStyle name="Currency 5 2 4 6 4" xfId="10526" xr:uid="{74C49F8D-151E-43CC-B5AE-3FECFBF9E9FC}"/>
    <cellStyle name="Currency 5 2 4 7" xfId="2430" xr:uid="{00000000-0005-0000-0000-00004C0C0000}"/>
    <cellStyle name="Currency 5 2 4 7 2" xfId="6715" xr:uid="{00000000-0005-0000-0000-00004D0C0000}"/>
    <cellStyle name="Currency 5 2 4 7 2 2" xfId="15157" xr:uid="{1C5E3CDE-76C8-4A90-99BF-5E0FB2F32663}"/>
    <cellStyle name="Currency 5 2 4 7 3" xfId="10939" xr:uid="{6A29B7F1-31D4-4A90-B287-DC22C2CDE1A4}"/>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0E67BD7-2DEC-4270-A46D-3CDCBDADA377}"/>
    <cellStyle name="Currency 5 2 4 9 3" xfId="11256" xr:uid="{AACE6DD5-9CEF-49A0-9BDD-39C5F33B2082}"/>
    <cellStyle name="Currency 5 2 5" xfId="207" xr:uid="{00000000-0005-0000-0000-0000510C0000}"/>
    <cellStyle name="Currency 5 2 5 10" xfId="8875" xr:uid="{537EDD49-1E01-4357-B7F9-B838D78B8072}"/>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802B601E-E0E3-45B1-9867-00599CE73572}"/>
    <cellStyle name="Currency 5 2 5 2 2 3" xfId="11434" xr:uid="{C12D2DF9-45D9-4742-8128-ECEDAE06CF9F}"/>
    <cellStyle name="Currency 5 2 5 2 3" xfId="5065" xr:uid="{00000000-0005-0000-0000-0000550C0000}"/>
    <cellStyle name="Currency 5 2 5 2 3 2" xfId="13507" xr:uid="{ED66DE27-46AB-4913-9037-CD1CA008C278}"/>
    <cellStyle name="Currency 5 2 5 2 4" xfId="9289" xr:uid="{090A0A56-569D-4EEC-A3C4-05223E3A4F4B}"/>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A738432C-28F3-4132-BA77-E4CAEC4192AA}"/>
    <cellStyle name="Currency 5 2 5 3 2 3" xfId="11847" xr:uid="{B278EDDD-1B7A-4427-9DBF-4BC93CCFDA83}"/>
    <cellStyle name="Currency 5 2 5 3 3" xfId="5478" xr:uid="{00000000-0005-0000-0000-0000590C0000}"/>
    <cellStyle name="Currency 5 2 5 3 3 2" xfId="13920" xr:uid="{352DBE36-B0E5-48AD-AF70-DEECC8CE738F}"/>
    <cellStyle name="Currency 5 2 5 3 4" xfId="9702" xr:uid="{DFA38ED8-C1C5-4816-B554-C5B2EF37415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5E15E61E-78C6-4A9A-BE44-B8B4F268689D}"/>
    <cellStyle name="Currency 5 2 5 4 2 3" xfId="12260" xr:uid="{6AC59929-CB85-4D7A-B3F3-CF51E75D494F}"/>
    <cellStyle name="Currency 5 2 5 4 3" xfId="5891" xr:uid="{00000000-0005-0000-0000-00005D0C0000}"/>
    <cellStyle name="Currency 5 2 5 4 3 2" xfId="14333" xr:uid="{6C4C93EC-FEAC-4514-8170-BB5463ABB338}"/>
    <cellStyle name="Currency 5 2 5 4 4" xfId="10115" xr:uid="{801D71BE-7D53-4E46-9DF0-966B3740AE41}"/>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7972562A-7901-48A3-BE17-CD32D5C535A7}"/>
    <cellStyle name="Currency 5 2 5 5 2 3" xfId="12673" xr:uid="{909D0D31-E8B7-4E3C-BDAA-AD77EF430466}"/>
    <cellStyle name="Currency 5 2 5 5 3" xfId="6304" xr:uid="{00000000-0005-0000-0000-0000610C0000}"/>
    <cellStyle name="Currency 5 2 5 5 3 2" xfId="14746" xr:uid="{645EA46C-AFC3-467F-9992-B7784A8A42F5}"/>
    <cellStyle name="Currency 5 2 5 5 4" xfId="10528" xr:uid="{282C289E-BD8E-4349-8643-C0A44C3A5029}"/>
    <cellStyle name="Currency 5 2 5 6" xfId="2432" xr:uid="{00000000-0005-0000-0000-0000620C0000}"/>
    <cellStyle name="Currency 5 2 5 6 2" xfId="6717" xr:uid="{00000000-0005-0000-0000-0000630C0000}"/>
    <cellStyle name="Currency 5 2 5 6 2 2" xfId="15159" xr:uid="{E6D0794C-7FE5-491F-8755-2524F7B353FC}"/>
    <cellStyle name="Currency 5 2 5 6 3" xfId="10941" xr:uid="{BB2F69A9-C819-4718-9D33-8BD5357BC71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C73A71A3-732B-4933-9B88-F430E391CB56}"/>
    <cellStyle name="Currency 5 2 5 8 3" xfId="11258" xr:uid="{852BD46A-53E6-4498-87B9-FAEC6C4EC37B}"/>
    <cellStyle name="Currency 5 2 5 9" xfId="4651" xr:uid="{00000000-0005-0000-0000-0000670C0000}"/>
    <cellStyle name="Currency 5 2 5 9 2" xfId="13093" xr:uid="{FCD4E6E7-E17D-4953-9DAC-69B826158E46}"/>
    <cellStyle name="Currency 5 2 6" xfId="208" xr:uid="{00000000-0005-0000-0000-0000680C0000}"/>
    <cellStyle name="Currency 5 2 6 10" xfId="8876" xr:uid="{1CAF5442-5961-4EAA-8B4A-DE4A432A1B77}"/>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8D5DB122-89CB-4DD3-8C76-8A8ED3BC05EE}"/>
    <cellStyle name="Currency 5 2 6 2 2 3" xfId="11435" xr:uid="{AC0A597C-EC69-44C7-9BCC-5CFDAEA3C1CB}"/>
    <cellStyle name="Currency 5 2 6 2 3" xfId="5066" xr:uid="{00000000-0005-0000-0000-00006C0C0000}"/>
    <cellStyle name="Currency 5 2 6 2 3 2" xfId="13508" xr:uid="{D83D152C-6BC3-4CC2-BC49-289FB4784D58}"/>
    <cellStyle name="Currency 5 2 6 2 4" xfId="9290" xr:uid="{25066067-4DA9-48CA-AB33-F524DA43AC7E}"/>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2E9C29E8-4381-48EC-BA4C-12354C22AD38}"/>
    <cellStyle name="Currency 5 2 6 3 2 3" xfId="11848" xr:uid="{48C237AC-171E-4647-AB1F-EED2EF6447EA}"/>
    <cellStyle name="Currency 5 2 6 3 3" xfId="5479" xr:uid="{00000000-0005-0000-0000-0000700C0000}"/>
    <cellStyle name="Currency 5 2 6 3 3 2" xfId="13921" xr:uid="{0B7735DD-5774-467F-BB8F-C104FF766F96}"/>
    <cellStyle name="Currency 5 2 6 3 4" xfId="9703" xr:uid="{AC51E403-D9E5-40A5-803A-0B0FE69DBAFB}"/>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A6A0FAD3-E6DA-46DC-948B-C02F41593E60}"/>
    <cellStyle name="Currency 5 2 6 4 2 3" xfId="12261" xr:uid="{409C5D19-C141-4F97-835A-48776F11DFDC}"/>
    <cellStyle name="Currency 5 2 6 4 3" xfId="5892" xr:uid="{00000000-0005-0000-0000-0000740C0000}"/>
    <cellStyle name="Currency 5 2 6 4 3 2" xfId="14334" xr:uid="{D0143AC6-BAFC-48DB-85A7-C924F07E47AE}"/>
    <cellStyle name="Currency 5 2 6 4 4" xfId="10116" xr:uid="{C5416CCF-82C4-44E4-9057-5240CB2ADEAA}"/>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4B62CF4A-567E-49A1-B119-8403C796F0D9}"/>
    <cellStyle name="Currency 5 2 6 5 2 3" xfId="12674" xr:uid="{D5B27747-0B89-4FAE-9A3B-7E85931A1F1D}"/>
    <cellStyle name="Currency 5 2 6 5 3" xfId="6305" xr:uid="{00000000-0005-0000-0000-0000780C0000}"/>
    <cellStyle name="Currency 5 2 6 5 3 2" xfId="14747" xr:uid="{3C459684-7538-4786-979D-FF2A29ECD7C5}"/>
    <cellStyle name="Currency 5 2 6 5 4" xfId="10529" xr:uid="{63C2F31E-ADE1-4C72-93F2-7D4BC5AAE47B}"/>
    <cellStyle name="Currency 5 2 6 6" xfId="2433" xr:uid="{00000000-0005-0000-0000-0000790C0000}"/>
    <cellStyle name="Currency 5 2 6 6 2" xfId="6718" xr:uid="{00000000-0005-0000-0000-00007A0C0000}"/>
    <cellStyle name="Currency 5 2 6 6 2 2" xfId="15160" xr:uid="{F97967F7-8E5D-40BD-95C1-6D60516C51ED}"/>
    <cellStyle name="Currency 5 2 6 6 3" xfId="10942" xr:uid="{7B8D1471-47D9-4FB4-AE1C-EB6F3996379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309D4202-CC58-426B-8106-F3655C061EAA}"/>
    <cellStyle name="Currency 5 2 6 8 3" xfId="11259" xr:uid="{CF0C5F7F-BF4A-4FCE-B51D-B02BC3118526}"/>
    <cellStyle name="Currency 5 2 6 9" xfId="4652" xr:uid="{00000000-0005-0000-0000-00007E0C0000}"/>
    <cellStyle name="Currency 5 2 6 9 2" xfId="13094" xr:uid="{ABACEADB-9063-442D-8AD6-9EA6152C133F}"/>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D7EE962F-8AC6-4BCE-80DE-1280655CD1D7}"/>
    <cellStyle name="Currency 5 3 2 10 3" xfId="11260" xr:uid="{FBF8BCF1-3403-475B-B227-A30FD531C0B5}"/>
    <cellStyle name="Currency 5 3 2 11" xfId="4653" xr:uid="{00000000-0005-0000-0000-0000840C0000}"/>
    <cellStyle name="Currency 5 3 2 11 2" xfId="13095" xr:uid="{40307CB4-186D-42C1-A9C4-CABA732B6D0B}"/>
    <cellStyle name="Currency 5 3 2 12" xfId="8877" xr:uid="{344CB8D5-C47F-4BD1-AD1B-B2089A43587E}"/>
    <cellStyle name="Currency 5 3 2 2" xfId="211" xr:uid="{00000000-0005-0000-0000-0000850C0000}"/>
    <cellStyle name="Currency 5 3 2 2 10" xfId="4654" xr:uid="{00000000-0005-0000-0000-0000860C0000}"/>
    <cellStyle name="Currency 5 3 2 2 10 2" xfId="13096" xr:uid="{74C205E1-6CAB-4303-8F02-6DF2B1D7DDD2}"/>
    <cellStyle name="Currency 5 3 2 2 11" xfId="8878" xr:uid="{746229AD-7C58-4568-A6FA-910F27E519E2}"/>
    <cellStyle name="Currency 5 3 2 2 2" xfId="212" xr:uid="{00000000-0005-0000-0000-0000870C0000}"/>
    <cellStyle name="Currency 5 3 2 2 2 10" xfId="8879" xr:uid="{EFC028FF-D38A-4630-911A-BEB2A1D548B3}"/>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9FFB56D1-AA58-4BF8-ADEE-0923B7E7D07F}"/>
    <cellStyle name="Currency 5 3 2 2 2 2 2 3" xfId="11438" xr:uid="{E58F8640-967D-4E83-B93F-33513A7363DE}"/>
    <cellStyle name="Currency 5 3 2 2 2 2 3" xfId="5069" xr:uid="{00000000-0005-0000-0000-00008B0C0000}"/>
    <cellStyle name="Currency 5 3 2 2 2 2 3 2" xfId="13511" xr:uid="{3293288A-7F09-45BF-A09D-B6AB3A77B126}"/>
    <cellStyle name="Currency 5 3 2 2 2 2 4" xfId="9293" xr:uid="{538C708D-B879-4C97-BFEC-F15676532BB8}"/>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CE407C7A-0F87-4F1E-876A-1FBE218C4DF2}"/>
    <cellStyle name="Currency 5 3 2 2 2 3 2 3" xfId="11851" xr:uid="{E44CBC6A-A4AD-47D0-A241-6CBBA5A56328}"/>
    <cellStyle name="Currency 5 3 2 2 2 3 3" xfId="5482" xr:uid="{00000000-0005-0000-0000-00008F0C0000}"/>
    <cellStyle name="Currency 5 3 2 2 2 3 3 2" xfId="13924" xr:uid="{2A372C2A-F6BD-44DC-BFC1-3E831E1A8741}"/>
    <cellStyle name="Currency 5 3 2 2 2 3 4" xfId="9706" xr:uid="{7FC3ABF6-B816-4CBD-8E85-269669BE2255}"/>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06372C53-79B2-483D-BC0A-6ADABC01CEBC}"/>
    <cellStyle name="Currency 5 3 2 2 2 4 2 3" xfId="12264" xr:uid="{F9C45859-FF18-4517-ADD5-59A3DE0FCB36}"/>
    <cellStyle name="Currency 5 3 2 2 2 4 3" xfId="5895" xr:uid="{00000000-0005-0000-0000-0000930C0000}"/>
    <cellStyle name="Currency 5 3 2 2 2 4 3 2" xfId="14337" xr:uid="{23E87090-13D8-4C15-919D-C3FA3F25DCA8}"/>
    <cellStyle name="Currency 5 3 2 2 2 4 4" xfId="10119" xr:uid="{ECC495E7-299E-4687-B3F7-46C1F4554A19}"/>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9F498857-34E3-4BC5-BE26-89D6B29458BA}"/>
    <cellStyle name="Currency 5 3 2 2 2 5 2 3" xfId="12677" xr:uid="{1E4ACBB7-5C0E-4280-A007-05973E472386}"/>
    <cellStyle name="Currency 5 3 2 2 2 5 3" xfId="6308" xr:uid="{00000000-0005-0000-0000-0000970C0000}"/>
    <cellStyle name="Currency 5 3 2 2 2 5 3 2" xfId="14750" xr:uid="{D4745346-C858-40E0-A7ED-73079789D46E}"/>
    <cellStyle name="Currency 5 3 2 2 2 5 4" xfId="10532" xr:uid="{205ED6C6-9503-478E-A9D4-31A4AD727F6F}"/>
    <cellStyle name="Currency 5 3 2 2 2 6" xfId="2436" xr:uid="{00000000-0005-0000-0000-0000980C0000}"/>
    <cellStyle name="Currency 5 3 2 2 2 6 2" xfId="6721" xr:uid="{00000000-0005-0000-0000-0000990C0000}"/>
    <cellStyle name="Currency 5 3 2 2 2 6 2 2" xfId="15163" xr:uid="{D1692B2D-2696-4054-9533-33837B4D7977}"/>
    <cellStyle name="Currency 5 3 2 2 2 6 3" xfId="10945" xr:uid="{313C1752-2E9E-412F-B007-ACABF1A164BF}"/>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782E3D5C-4635-4F4C-A1BF-5822EF90BCC4}"/>
    <cellStyle name="Currency 5 3 2 2 2 8 3" xfId="11262" xr:uid="{2C5AAF52-3D70-4F0D-A3A8-1DF9C6644CDE}"/>
    <cellStyle name="Currency 5 3 2 2 2 9" xfId="4655" xr:uid="{00000000-0005-0000-0000-00009D0C0000}"/>
    <cellStyle name="Currency 5 3 2 2 2 9 2" xfId="13097" xr:uid="{FBAF5AD8-A4DD-4AFF-AF1E-9BB1D8783812}"/>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6D6ABC5D-0DB8-4A58-A523-710B6F4CA6C6}"/>
    <cellStyle name="Currency 5 3 2 2 3 2 3" xfId="11437" xr:uid="{20637B0F-8C3B-4F8A-8855-D4CE5D5700E7}"/>
    <cellStyle name="Currency 5 3 2 2 3 3" xfId="5068" xr:uid="{00000000-0005-0000-0000-0000A10C0000}"/>
    <cellStyle name="Currency 5 3 2 2 3 3 2" xfId="13510" xr:uid="{8FE1AEEB-93F4-4CDB-9E63-7359B828C0CF}"/>
    <cellStyle name="Currency 5 3 2 2 3 4" xfId="9292" xr:uid="{BF79EF15-E724-4AF1-A016-409A82BB3199}"/>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E06E042E-197B-4C9E-B8AB-F31CBD09A602}"/>
    <cellStyle name="Currency 5 3 2 2 4 2 3" xfId="11850" xr:uid="{338B96B0-3C32-4C46-A084-6B2B7E0CADD3}"/>
    <cellStyle name="Currency 5 3 2 2 4 3" xfId="5481" xr:uid="{00000000-0005-0000-0000-0000A50C0000}"/>
    <cellStyle name="Currency 5 3 2 2 4 3 2" xfId="13923" xr:uid="{3F14F695-02C9-43AF-A210-519EE2BDAA37}"/>
    <cellStyle name="Currency 5 3 2 2 4 4" xfId="9705" xr:uid="{75C9C3AA-93DE-4D3C-BF8C-8B0BAA16D3B2}"/>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1980F6E6-E20A-4C8D-8AB3-1322D8041060}"/>
    <cellStyle name="Currency 5 3 2 2 5 2 3" xfId="12263" xr:uid="{EE8B0B85-4322-4E16-84FB-6CA5DF420E63}"/>
    <cellStyle name="Currency 5 3 2 2 5 3" xfId="5894" xr:uid="{00000000-0005-0000-0000-0000A90C0000}"/>
    <cellStyle name="Currency 5 3 2 2 5 3 2" xfId="14336" xr:uid="{BB4A9F49-A403-4A10-B1BC-D47B3067D470}"/>
    <cellStyle name="Currency 5 3 2 2 5 4" xfId="10118" xr:uid="{7612B47C-D8B8-4931-B6D0-4646D80AD10A}"/>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DB9D9652-3539-44A7-9567-0E8FE3C4DA7A}"/>
    <cellStyle name="Currency 5 3 2 2 6 2 3" xfId="12676" xr:uid="{4346A858-FC21-4A03-930D-75B8C953A948}"/>
    <cellStyle name="Currency 5 3 2 2 6 3" xfId="6307" xr:uid="{00000000-0005-0000-0000-0000AD0C0000}"/>
    <cellStyle name="Currency 5 3 2 2 6 3 2" xfId="14749" xr:uid="{162C5D6B-D6AB-418B-B9CE-0C48A8F6187C}"/>
    <cellStyle name="Currency 5 3 2 2 6 4" xfId="10531" xr:uid="{B3BD513D-0FE0-484C-8E1F-A6E8BE410992}"/>
    <cellStyle name="Currency 5 3 2 2 7" xfId="2435" xr:uid="{00000000-0005-0000-0000-0000AE0C0000}"/>
    <cellStyle name="Currency 5 3 2 2 7 2" xfId="6720" xr:uid="{00000000-0005-0000-0000-0000AF0C0000}"/>
    <cellStyle name="Currency 5 3 2 2 7 2 2" xfId="15162" xr:uid="{F01E5A2E-0A78-441F-BB52-E01B801248EE}"/>
    <cellStyle name="Currency 5 3 2 2 7 3" xfId="10944" xr:uid="{C53D0092-9685-4E38-BD37-8F16CEAC75A6}"/>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C73129EA-129C-4F72-B290-FB2CD8A4B6BB}"/>
    <cellStyle name="Currency 5 3 2 2 9 3" xfId="11261" xr:uid="{4EE4C8D4-99B0-456C-ADDC-620814FB518C}"/>
    <cellStyle name="Currency 5 3 2 3" xfId="213" xr:uid="{00000000-0005-0000-0000-0000B30C0000}"/>
    <cellStyle name="Currency 5 3 2 3 10" xfId="8880" xr:uid="{D8509458-EC84-41E3-928B-6D8C7CECBA22}"/>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73E08990-6722-439B-A3D8-5C9584DED62B}"/>
    <cellStyle name="Currency 5 3 2 3 2 2 3" xfId="11439" xr:uid="{4D5689B2-08E8-46BC-8ED9-3C591ED02599}"/>
    <cellStyle name="Currency 5 3 2 3 2 3" xfId="5070" xr:uid="{00000000-0005-0000-0000-0000B70C0000}"/>
    <cellStyle name="Currency 5 3 2 3 2 3 2" xfId="13512" xr:uid="{16F59A9E-3165-42AF-8861-5A671FF3A864}"/>
    <cellStyle name="Currency 5 3 2 3 2 4" xfId="9294" xr:uid="{DDB15CFD-F4A7-427B-917C-9AE8B3DDD677}"/>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63EC7EB7-86F1-4036-B660-D3F727FEB750}"/>
    <cellStyle name="Currency 5 3 2 3 3 2 3" xfId="11852" xr:uid="{5E78F5D4-B340-4074-AE10-6AF1C2FBDA35}"/>
    <cellStyle name="Currency 5 3 2 3 3 3" xfId="5483" xr:uid="{00000000-0005-0000-0000-0000BB0C0000}"/>
    <cellStyle name="Currency 5 3 2 3 3 3 2" xfId="13925" xr:uid="{761D685F-F4FE-42E5-9F94-91F414DDEB13}"/>
    <cellStyle name="Currency 5 3 2 3 3 4" xfId="9707" xr:uid="{D7C37B96-3729-4E48-9995-67B6671C99AD}"/>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8753C29D-8A06-44C5-9005-112F7FFD0124}"/>
    <cellStyle name="Currency 5 3 2 3 4 2 3" xfId="12265" xr:uid="{589216A6-4BD2-43D6-A5E2-9A1600AE3548}"/>
    <cellStyle name="Currency 5 3 2 3 4 3" xfId="5896" xr:uid="{00000000-0005-0000-0000-0000BF0C0000}"/>
    <cellStyle name="Currency 5 3 2 3 4 3 2" xfId="14338" xr:uid="{59D5C47B-1813-4D39-9989-295A8541A140}"/>
    <cellStyle name="Currency 5 3 2 3 4 4" xfId="10120" xr:uid="{09E93680-F18D-4D2A-89F7-B802EA0F10B5}"/>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469E3BB4-7CEB-442C-B55A-7B97A4949D92}"/>
    <cellStyle name="Currency 5 3 2 3 5 2 3" xfId="12678" xr:uid="{6382BE96-3B1D-4F2D-9254-438995B82BA1}"/>
    <cellStyle name="Currency 5 3 2 3 5 3" xfId="6309" xr:uid="{00000000-0005-0000-0000-0000C30C0000}"/>
    <cellStyle name="Currency 5 3 2 3 5 3 2" xfId="14751" xr:uid="{86287939-FC0A-4D4C-8D0D-E17FDB1AFC41}"/>
    <cellStyle name="Currency 5 3 2 3 5 4" xfId="10533" xr:uid="{B0E276E9-85C5-46C7-9775-6DB3CCEED5C7}"/>
    <cellStyle name="Currency 5 3 2 3 6" xfId="2437" xr:uid="{00000000-0005-0000-0000-0000C40C0000}"/>
    <cellStyle name="Currency 5 3 2 3 6 2" xfId="6722" xr:uid="{00000000-0005-0000-0000-0000C50C0000}"/>
    <cellStyle name="Currency 5 3 2 3 6 2 2" xfId="15164" xr:uid="{5D922A5B-172D-49B6-AD5D-7302B66C1417}"/>
    <cellStyle name="Currency 5 3 2 3 6 3" xfId="10946" xr:uid="{48B436F6-7D50-43D4-9128-48D2444BDA3F}"/>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C1146EBC-2696-4D72-9C34-E87E2D46E7C9}"/>
    <cellStyle name="Currency 5 3 2 3 8 3" xfId="11263" xr:uid="{6EDD117D-5410-4D93-9B20-60E3EF0B3238}"/>
    <cellStyle name="Currency 5 3 2 3 9" xfId="4656" xr:uid="{00000000-0005-0000-0000-0000C90C0000}"/>
    <cellStyle name="Currency 5 3 2 3 9 2" xfId="13098" xr:uid="{AB1719CE-DE55-403C-B6AF-EB9BF11D963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1571068E-3E89-4B0F-A431-6D76B4A99B07}"/>
    <cellStyle name="Currency 5 3 2 4 2 3" xfId="11436" xr:uid="{E6A1FA50-4075-4CC7-BA47-9B049B6C854C}"/>
    <cellStyle name="Currency 5 3 2 4 3" xfId="5067" xr:uid="{00000000-0005-0000-0000-0000CD0C0000}"/>
    <cellStyle name="Currency 5 3 2 4 3 2" xfId="13509" xr:uid="{8202C34D-4CB8-44B1-A76C-342E800E4D70}"/>
    <cellStyle name="Currency 5 3 2 4 4" xfId="9291" xr:uid="{6D4D0343-5466-467F-A4B5-8ABF10F32480}"/>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FA7CE645-6B9A-427F-B282-E2BC38100D92}"/>
    <cellStyle name="Currency 5 3 2 5 2 3" xfId="11849" xr:uid="{A2B48066-4CE9-4226-8C8C-332BFAC26829}"/>
    <cellStyle name="Currency 5 3 2 5 3" xfId="5480" xr:uid="{00000000-0005-0000-0000-0000D10C0000}"/>
    <cellStyle name="Currency 5 3 2 5 3 2" xfId="13922" xr:uid="{1C80DEC4-AA3C-42FF-B5DD-128770B34DEB}"/>
    <cellStyle name="Currency 5 3 2 5 4" xfId="9704" xr:uid="{6AF61C7F-51A3-48CF-8FD7-D37532B38DCD}"/>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0D8FBF36-B7E1-4D49-B9FF-7E464E81C770}"/>
    <cellStyle name="Currency 5 3 2 6 2 3" xfId="12262" xr:uid="{BA849072-CBC6-4667-8FA9-BD30DDC8C12F}"/>
    <cellStyle name="Currency 5 3 2 6 3" xfId="5893" xr:uid="{00000000-0005-0000-0000-0000D50C0000}"/>
    <cellStyle name="Currency 5 3 2 6 3 2" xfId="14335" xr:uid="{06498E33-10BB-4F16-BC4D-461B68246B72}"/>
    <cellStyle name="Currency 5 3 2 6 4" xfId="10117" xr:uid="{2E733BAD-CF5D-4B9A-BB04-6AD9DE6FEBA9}"/>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2EFB93D0-6E02-4C66-9EC6-E616B1F93124}"/>
    <cellStyle name="Currency 5 3 2 7 2 3" xfId="12675" xr:uid="{EB11F362-E99E-4901-8215-67D0D8BEA2EB}"/>
    <cellStyle name="Currency 5 3 2 7 3" xfId="6306" xr:uid="{00000000-0005-0000-0000-0000D90C0000}"/>
    <cellStyle name="Currency 5 3 2 7 3 2" xfId="14748" xr:uid="{A70818A0-CED4-4580-B1D9-C4586BAD39A8}"/>
    <cellStyle name="Currency 5 3 2 7 4" xfId="10530" xr:uid="{A63109A9-DC51-4F4E-A874-6B3FE4AF41A4}"/>
    <cellStyle name="Currency 5 3 2 8" xfId="2434" xr:uid="{00000000-0005-0000-0000-0000DA0C0000}"/>
    <cellStyle name="Currency 5 3 2 8 2" xfId="6719" xr:uid="{00000000-0005-0000-0000-0000DB0C0000}"/>
    <cellStyle name="Currency 5 3 2 8 2 2" xfId="15161" xr:uid="{6820C04F-92AA-481A-83A3-D7903F0D75AC}"/>
    <cellStyle name="Currency 5 3 2 8 3" xfId="10943" xr:uid="{279559E8-9D3A-4890-AAC8-4707753B3A5B}"/>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9FE3F489-50CB-43FE-A331-EE3A20DE5CCF}"/>
    <cellStyle name="Currency 5 3 3 11" xfId="8881" xr:uid="{36A5535F-8BDB-4A84-8112-50D07B26D039}"/>
    <cellStyle name="Currency 5 3 3 2" xfId="215" xr:uid="{00000000-0005-0000-0000-0000DF0C0000}"/>
    <cellStyle name="Currency 5 3 3 2 10" xfId="8882" xr:uid="{95AB8274-4843-4933-8967-8459BA8BA1D5}"/>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8E41B52A-19E4-4DFE-9767-82C1B8ACD1FD}"/>
    <cellStyle name="Currency 5 3 3 2 2 2 3" xfId="11441" xr:uid="{43A355D0-5777-4546-AA00-02FB5305C66A}"/>
    <cellStyle name="Currency 5 3 3 2 2 3" xfId="5072" xr:uid="{00000000-0005-0000-0000-0000E30C0000}"/>
    <cellStyle name="Currency 5 3 3 2 2 3 2" xfId="13514" xr:uid="{13644786-EE3D-41AC-8D1C-FF7F4FB0943A}"/>
    <cellStyle name="Currency 5 3 3 2 2 4" xfId="9296" xr:uid="{828DA048-A395-4C9F-ADC2-AB7FAA8F6D2D}"/>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70B3C23A-485C-48F8-AD6F-A9A1BD819040}"/>
    <cellStyle name="Currency 5 3 3 2 3 2 3" xfId="11854" xr:uid="{E6D02371-90BF-4369-980F-95A3C93255C7}"/>
    <cellStyle name="Currency 5 3 3 2 3 3" xfId="5485" xr:uid="{00000000-0005-0000-0000-0000E70C0000}"/>
    <cellStyle name="Currency 5 3 3 2 3 3 2" xfId="13927" xr:uid="{A1D87404-A57A-4520-9674-0E0843A634D4}"/>
    <cellStyle name="Currency 5 3 3 2 3 4" xfId="9709" xr:uid="{F567881D-9965-4485-AA5D-DD8293808C6E}"/>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5F383B67-8E21-48DF-AAD8-16B48C33A72F}"/>
    <cellStyle name="Currency 5 3 3 2 4 2 3" xfId="12267" xr:uid="{EDF717D8-89D2-4266-8489-DA12EE72DFEA}"/>
    <cellStyle name="Currency 5 3 3 2 4 3" xfId="5898" xr:uid="{00000000-0005-0000-0000-0000EB0C0000}"/>
    <cellStyle name="Currency 5 3 3 2 4 3 2" xfId="14340" xr:uid="{C1A1CDBD-BCF9-48D7-861A-284FE0D1F36A}"/>
    <cellStyle name="Currency 5 3 3 2 4 4" xfId="10122" xr:uid="{B851CCD9-93F7-491E-A25A-A81788ADB4BE}"/>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BD99402D-9216-43F4-BED3-2C39291884AF}"/>
    <cellStyle name="Currency 5 3 3 2 5 2 3" xfId="12680" xr:uid="{F82D3DD8-CC6C-45B5-86DB-CB0CBF9042CB}"/>
    <cellStyle name="Currency 5 3 3 2 5 3" xfId="6311" xr:uid="{00000000-0005-0000-0000-0000EF0C0000}"/>
    <cellStyle name="Currency 5 3 3 2 5 3 2" xfId="14753" xr:uid="{A2E6B5F7-0CCC-41B8-93D9-8980F584145D}"/>
    <cellStyle name="Currency 5 3 3 2 5 4" xfId="10535" xr:uid="{FA04CC82-4C63-430E-9387-4D5CED4A85E4}"/>
    <cellStyle name="Currency 5 3 3 2 6" xfId="2439" xr:uid="{00000000-0005-0000-0000-0000F00C0000}"/>
    <cellStyle name="Currency 5 3 3 2 6 2" xfId="6724" xr:uid="{00000000-0005-0000-0000-0000F10C0000}"/>
    <cellStyle name="Currency 5 3 3 2 6 2 2" xfId="15166" xr:uid="{185009CA-E996-4647-8099-655ED3B6FD77}"/>
    <cellStyle name="Currency 5 3 3 2 6 3" xfId="10948" xr:uid="{028F639A-FA2F-47A8-A169-A39E2E49F093}"/>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823D8FA8-C2C0-4F29-86CD-EC4629C9E58F}"/>
    <cellStyle name="Currency 5 3 3 2 8 3" xfId="11265" xr:uid="{3AB281B5-6138-41A9-8EAA-34EE01ADBF0A}"/>
    <cellStyle name="Currency 5 3 3 2 9" xfId="4658" xr:uid="{00000000-0005-0000-0000-0000F50C0000}"/>
    <cellStyle name="Currency 5 3 3 2 9 2" xfId="13100" xr:uid="{13D82F7A-CC8E-4AF0-BF5B-09EB4F13D719}"/>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B4E36A5F-29A2-478E-99A2-21020B10139B}"/>
    <cellStyle name="Currency 5 3 3 3 2 3" xfId="11440" xr:uid="{5AF3D150-4D9C-4288-BBC4-6DC4A03D6C12}"/>
    <cellStyle name="Currency 5 3 3 3 3" xfId="5071" xr:uid="{00000000-0005-0000-0000-0000F90C0000}"/>
    <cellStyle name="Currency 5 3 3 3 3 2" xfId="13513" xr:uid="{DC0DF239-A2B0-4DE9-9AC4-93E1253CA01A}"/>
    <cellStyle name="Currency 5 3 3 3 4" xfId="9295" xr:uid="{4D4F43F1-416A-4200-A6CA-7EAD38A0B6FE}"/>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2BE45233-1BFF-44A5-B531-3AACC275CEC6}"/>
    <cellStyle name="Currency 5 3 3 4 2 3" xfId="11853" xr:uid="{712DE908-916D-4FAE-AF66-5D2235DAFC47}"/>
    <cellStyle name="Currency 5 3 3 4 3" xfId="5484" xr:uid="{00000000-0005-0000-0000-0000FD0C0000}"/>
    <cellStyle name="Currency 5 3 3 4 3 2" xfId="13926" xr:uid="{31DFAC35-97DA-448C-944D-A84BDDE53C7C}"/>
    <cellStyle name="Currency 5 3 3 4 4" xfId="9708" xr:uid="{60B3B087-D50F-40B4-A6DE-458DE8D39512}"/>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187EE0D5-EA1B-4568-8736-2C6DBE63B08C}"/>
    <cellStyle name="Currency 5 3 3 5 2 3" xfId="12266" xr:uid="{92CA1E1F-0025-443C-8E88-D7CA9749708D}"/>
    <cellStyle name="Currency 5 3 3 5 3" xfId="5897" xr:uid="{00000000-0005-0000-0000-0000010D0000}"/>
    <cellStyle name="Currency 5 3 3 5 3 2" xfId="14339" xr:uid="{92E765D0-EC8A-450F-A82A-9CFB3B222CE8}"/>
    <cellStyle name="Currency 5 3 3 5 4" xfId="10121" xr:uid="{5F24C010-1F8B-46FC-9B27-0BAD1314EC28}"/>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FA0E5D46-5965-48B5-B11E-B79320C7CE85}"/>
    <cellStyle name="Currency 5 3 3 6 2 3" xfId="12679" xr:uid="{B9EBE227-2594-4A00-83F1-45F0D869524A}"/>
    <cellStyle name="Currency 5 3 3 6 3" xfId="6310" xr:uid="{00000000-0005-0000-0000-0000050D0000}"/>
    <cellStyle name="Currency 5 3 3 6 3 2" xfId="14752" xr:uid="{707CA0D0-79FA-4C90-9B63-7A00717B5069}"/>
    <cellStyle name="Currency 5 3 3 6 4" xfId="10534" xr:uid="{44C7FAD8-B97A-4D3A-9D06-D73F42539039}"/>
    <cellStyle name="Currency 5 3 3 7" xfId="2438" xr:uid="{00000000-0005-0000-0000-0000060D0000}"/>
    <cellStyle name="Currency 5 3 3 7 2" xfId="6723" xr:uid="{00000000-0005-0000-0000-0000070D0000}"/>
    <cellStyle name="Currency 5 3 3 7 2 2" xfId="15165" xr:uid="{89B453FB-6AC6-46AE-8E99-BE3F849FE6FC}"/>
    <cellStyle name="Currency 5 3 3 7 3" xfId="10947" xr:uid="{668D844D-E5DB-4BCA-B501-055391E448DD}"/>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97420B50-1C1D-42B0-B57E-335643FEFA64}"/>
    <cellStyle name="Currency 5 3 3 9 3" xfId="11264" xr:uid="{A88EA63A-5FFF-4B39-B50B-52C5AAE1CA1D}"/>
    <cellStyle name="Currency 5 3 4" xfId="216" xr:uid="{00000000-0005-0000-0000-00000B0D0000}"/>
    <cellStyle name="Currency 5 3 4 10" xfId="8883" xr:uid="{AFD196EF-8A92-471E-8043-5CE5905FEE5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E91300EA-032A-4714-BF65-D8DBC8CDB026}"/>
    <cellStyle name="Currency 5 3 4 2 2 3" xfId="11442" xr:uid="{AB934B0E-A9D5-44ED-83B9-3D0BF8BE38F6}"/>
    <cellStyle name="Currency 5 3 4 2 3" xfId="5073" xr:uid="{00000000-0005-0000-0000-00000F0D0000}"/>
    <cellStyle name="Currency 5 3 4 2 3 2" xfId="13515" xr:uid="{606FE9D2-FF9F-45C4-B1D8-7CC3B67F5335}"/>
    <cellStyle name="Currency 5 3 4 2 4" xfId="9297" xr:uid="{5A1337CA-BE04-4449-910B-AF8E5AE7F2EE}"/>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F7ECF638-E682-4900-B06F-646C8231E512}"/>
    <cellStyle name="Currency 5 3 4 3 2 3" xfId="11855" xr:uid="{47F14F0C-9EDC-444D-937F-048217BC692E}"/>
    <cellStyle name="Currency 5 3 4 3 3" xfId="5486" xr:uid="{00000000-0005-0000-0000-0000130D0000}"/>
    <cellStyle name="Currency 5 3 4 3 3 2" xfId="13928" xr:uid="{2E3D3085-3AF4-4BC2-A6ED-B6595B6A9FF6}"/>
    <cellStyle name="Currency 5 3 4 3 4" xfId="9710" xr:uid="{1C03B929-2899-4EB6-B197-DF610FA22ACA}"/>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917FC42B-65C8-47E4-A1B8-848EBF621BA8}"/>
    <cellStyle name="Currency 5 3 4 4 2 3" xfId="12268" xr:uid="{046349B5-1097-4344-B29E-F85F425DD859}"/>
    <cellStyle name="Currency 5 3 4 4 3" xfId="5899" xr:uid="{00000000-0005-0000-0000-0000170D0000}"/>
    <cellStyle name="Currency 5 3 4 4 3 2" xfId="14341" xr:uid="{AD2820AE-10B2-4896-A99C-D2FF2802FEAD}"/>
    <cellStyle name="Currency 5 3 4 4 4" xfId="10123" xr:uid="{F3C36B96-2F97-4F50-A24F-56322662C46F}"/>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CD29241F-2760-4B94-A243-90C77CC30EE1}"/>
    <cellStyle name="Currency 5 3 4 5 2 3" xfId="12681" xr:uid="{1CB8F5EF-00A7-4BB0-96F8-942A8EFEAAC4}"/>
    <cellStyle name="Currency 5 3 4 5 3" xfId="6312" xr:uid="{00000000-0005-0000-0000-00001B0D0000}"/>
    <cellStyle name="Currency 5 3 4 5 3 2" xfId="14754" xr:uid="{CDC12F52-89D0-445D-A67C-7FA84D1F3A0F}"/>
    <cellStyle name="Currency 5 3 4 5 4" xfId="10536" xr:uid="{F78F7E66-E1FC-4B49-AC13-0225E3D0489F}"/>
    <cellStyle name="Currency 5 3 4 6" xfId="2440" xr:uid="{00000000-0005-0000-0000-00001C0D0000}"/>
    <cellStyle name="Currency 5 3 4 6 2" xfId="6725" xr:uid="{00000000-0005-0000-0000-00001D0D0000}"/>
    <cellStyle name="Currency 5 3 4 6 2 2" xfId="15167" xr:uid="{8FC6EE1D-E3F0-407E-8946-39BE629AEED7}"/>
    <cellStyle name="Currency 5 3 4 6 3" xfId="10949" xr:uid="{9A81B2F0-1719-4A3D-8AED-63A19ABCBBF4}"/>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A10E2426-0968-43B7-92A1-881EFD849CAC}"/>
    <cellStyle name="Currency 5 3 4 8 3" xfId="11266" xr:uid="{C94CDCAB-CC64-472B-80B6-D83B711CE306}"/>
    <cellStyle name="Currency 5 3 4 9" xfId="4659" xr:uid="{00000000-0005-0000-0000-0000210D0000}"/>
    <cellStyle name="Currency 5 3 4 9 2" xfId="13101" xr:uid="{C630B225-755F-4723-BC0A-A57C513B726E}"/>
    <cellStyle name="Currency 5 3 5" xfId="217" xr:uid="{00000000-0005-0000-0000-0000220D0000}"/>
    <cellStyle name="Currency 5 3 5 10" xfId="8884" xr:uid="{84D37BC4-33EA-4AEA-A9BB-6D545A878141}"/>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AA997CFE-A971-4932-94BE-BE9B6A35EA99}"/>
    <cellStyle name="Currency 5 3 5 2 2 3" xfId="11443" xr:uid="{F193CCE2-25FB-4F47-8AD1-C3394003A13C}"/>
    <cellStyle name="Currency 5 3 5 2 3" xfId="5074" xr:uid="{00000000-0005-0000-0000-0000260D0000}"/>
    <cellStyle name="Currency 5 3 5 2 3 2" xfId="13516" xr:uid="{02C640D5-4B30-452D-A312-FAB21BF46C95}"/>
    <cellStyle name="Currency 5 3 5 2 4" xfId="9298" xr:uid="{481B1475-761E-4F23-B797-F78D004DC3C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D644574D-90C7-4B51-BEE5-23F96C5F9268}"/>
    <cellStyle name="Currency 5 3 5 3 2 3" xfId="11856" xr:uid="{7F155033-DE3B-4F34-8037-29F3DD4D0A3D}"/>
    <cellStyle name="Currency 5 3 5 3 3" xfId="5487" xr:uid="{00000000-0005-0000-0000-00002A0D0000}"/>
    <cellStyle name="Currency 5 3 5 3 3 2" xfId="13929" xr:uid="{D4F3A6D0-87DE-4C80-999B-AA00E6F900C6}"/>
    <cellStyle name="Currency 5 3 5 3 4" xfId="9711" xr:uid="{C015912D-C353-449B-ADAB-6B21B080D7F3}"/>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338B4CA8-5F5B-43EB-B3C2-48851A879629}"/>
    <cellStyle name="Currency 5 3 5 4 2 3" xfId="12269" xr:uid="{6ED93B9B-70B2-474A-9BD9-1D1286E16A8D}"/>
    <cellStyle name="Currency 5 3 5 4 3" xfId="5900" xr:uid="{00000000-0005-0000-0000-00002E0D0000}"/>
    <cellStyle name="Currency 5 3 5 4 3 2" xfId="14342" xr:uid="{86F9E585-217A-4454-82F9-6C0BCAC2D40A}"/>
    <cellStyle name="Currency 5 3 5 4 4" xfId="10124" xr:uid="{172688BB-C829-4152-9F1B-B41A940796A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B7519B1F-9586-46CF-BCEA-793C5B784F15}"/>
    <cellStyle name="Currency 5 3 5 5 2 3" xfId="12682" xr:uid="{35F81831-CB53-4C2B-8F4E-EB5DDEE8C59A}"/>
    <cellStyle name="Currency 5 3 5 5 3" xfId="6313" xr:uid="{00000000-0005-0000-0000-0000320D0000}"/>
    <cellStyle name="Currency 5 3 5 5 3 2" xfId="14755" xr:uid="{E7CE7D48-8DBA-41F0-944E-5355466AC53C}"/>
    <cellStyle name="Currency 5 3 5 5 4" xfId="10537" xr:uid="{AA34AC13-2946-4F87-A20E-3E85F9B2F75F}"/>
    <cellStyle name="Currency 5 3 5 6" xfId="2441" xr:uid="{00000000-0005-0000-0000-0000330D0000}"/>
    <cellStyle name="Currency 5 3 5 6 2" xfId="6726" xr:uid="{00000000-0005-0000-0000-0000340D0000}"/>
    <cellStyle name="Currency 5 3 5 6 2 2" xfId="15168" xr:uid="{6D30B866-565D-4B26-8507-BDA8B52FFCD2}"/>
    <cellStyle name="Currency 5 3 5 6 3" xfId="10950" xr:uid="{0BFB0B48-800C-47D4-8E9F-6A05715759C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42680330-6CE0-4DC0-AE4E-BC78CB9F761B}"/>
    <cellStyle name="Currency 5 3 5 8 3" xfId="11267" xr:uid="{9DFF398C-BE75-4D14-AA27-0668F506E759}"/>
    <cellStyle name="Currency 5 3 5 9" xfId="4660" xr:uid="{00000000-0005-0000-0000-0000380D0000}"/>
    <cellStyle name="Currency 5 3 5 9 2" xfId="13102" xr:uid="{830EE74B-DBB4-424F-821F-FF81BF2D206C}"/>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3CC655C5-FE46-433F-9FE3-E072C1B147BD}"/>
    <cellStyle name="Currency 5 5 11" xfId="8885" xr:uid="{6B71ABDF-AF07-4925-BD7D-5CEBA71B77C5}"/>
    <cellStyle name="Currency 5 5 2" xfId="220" xr:uid="{00000000-0005-0000-0000-00003D0D0000}"/>
    <cellStyle name="Currency 5 5 2 10" xfId="8886" xr:uid="{46700224-D75E-426A-A453-A7B84038655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DE15E086-5F5C-49D6-B16C-62B46FD8A380}"/>
    <cellStyle name="Currency 5 5 2 2 2 3" xfId="11445" xr:uid="{47651220-4B41-4EE6-BC4A-22BE4DF4ED33}"/>
    <cellStyle name="Currency 5 5 2 2 3" xfId="5076" xr:uid="{00000000-0005-0000-0000-0000410D0000}"/>
    <cellStyle name="Currency 5 5 2 2 3 2" xfId="13518" xr:uid="{5D0F62F2-2203-4537-A48B-E03C14385148}"/>
    <cellStyle name="Currency 5 5 2 2 4" xfId="9300" xr:uid="{70676F8C-35EB-412B-A087-74F554AC6BBF}"/>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A25B1137-456E-4AE4-9E8C-A24082925860}"/>
    <cellStyle name="Currency 5 5 2 3 2 3" xfId="11858" xr:uid="{5DEBEF94-1943-4AD1-89C8-1867A9465DC7}"/>
    <cellStyle name="Currency 5 5 2 3 3" xfId="5489" xr:uid="{00000000-0005-0000-0000-0000450D0000}"/>
    <cellStyle name="Currency 5 5 2 3 3 2" xfId="13931" xr:uid="{D9F2CD15-05A1-48D3-9487-2D0D330FA709}"/>
    <cellStyle name="Currency 5 5 2 3 4" xfId="9713" xr:uid="{5E0D90EA-743E-4C66-AF92-16EB2F974EEE}"/>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67B3B397-A2DE-4AB6-B04C-3E3AF0C00B7D}"/>
    <cellStyle name="Currency 5 5 2 4 2 3" xfId="12271" xr:uid="{7775CD05-354D-44EE-B078-9F78464BAEF0}"/>
    <cellStyle name="Currency 5 5 2 4 3" xfId="5902" xr:uid="{00000000-0005-0000-0000-0000490D0000}"/>
    <cellStyle name="Currency 5 5 2 4 3 2" xfId="14344" xr:uid="{1CD0081F-2D14-4034-82CC-D4E8D0B5C123}"/>
    <cellStyle name="Currency 5 5 2 4 4" xfId="10126" xr:uid="{66AB7337-29E4-456D-B0AA-E8FB62DE9617}"/>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CA1B5605-644F-45C0-9699-FCF97A73868D}"/>
    <cellStyle name="Currency 5 5 2 5 2 3" xfId="12684" xr:uid="{C50A4808-DFF1-4CFD-A66D-DE198C12F40D}"/>
    <cellStyle name="Currency 5 5 2 5 3" xfId="6315" xr:uid="{00000000-0005-0000-0000-00004D0D0000}"/>
    <cellStyle name="Currency 5 5 2 5 3 2" xfId="14757" xr:uid="{17F1CCAD-A71D-4869-8269-97A267229C80}"/>
    <cellStyle name="Currency 5 5 2 5 4" xfId="10539" xr:uid="{0A9552DD-6D9F-4A80-82FF-F8AA041FE958}"/>
    <cellStyle name="Currency 5 5 2 6" xfId="2443" xr:uid="{00000000-0005-0000-0000-00004E0D0000}"/>
    <cellStyle name="Currency 5 5 2 6 2" xfId="6728" xr:uid="{00000000-0005-0000-0000-00004F0D0000}"/>
    <cellStyle name="Currency 5 5 2 6 2 2" xfId="15170" xr:uid="{767D33D5-42EA-40F7-8EB8-E234FAA1CA31}"/>
    <cellStyle name="Currency 5 5 2 6 3" xfId="10952" xr:uid="{859BF9F3-FD13-42AE-B431-6C45F0ACCE1D}"/>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4CB24C81-91D7-483E-A6DA-798A69104AC5}"/>
    <cellStyle name="Currency 5 5 2 8 3" xfId="11269" xr:uid="{C84670EB-E294-4A11-8AB8-EF4A9E8CCE6B}"/>
    <cellStyle name="Currency 5 5 2 9" xfId="4662" xr:uid="{00000000-0005-0000-0000-0000530D0000}"/>
    <cellStyle name="Currency 5 5 2 9 2" xfId="13104" xr:uid="{078EB52C-2436-41B2-811E-DB4B5AFD297B}"/>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E98BCBD8-63E4-45BA-AC8F-F7D2B0BCC472}"/>
    <cellStyle name="Currency 5 5 3 2 3" xfId="11444" xr:uid="{BB320B8D-6DC0-4A22-9762-D250C01F8865}"/>
    <cellStyle name="Currency 5 5 3 3" xfId="5075" xr:uid="{00000000-0005-0000-0000-0000570D0000}"/>
    <cellStyle name="Currency 5 5 3 3 2" xfId="13517" xr:uid="{F6E9B60D-8F3E-4B81-AC2B-675091908ABA}"/>
    <cellStyle name="Currency 5 5 3 4" xfId="9299" xr:uid="{69E2E651-97E5-400B-B8AC-0EC5A6111564}"/>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E6C32939-B1F3-43F2-B685-A7AB676121E3}"/>
    <cellStyle name="Currency 5 5 4 2 3" xfId="11857" xr:uid="{85FEE4AD-7C4D-43D8-B1D4-D5A086646847}"/>
    <cellStyle name="Currency 5 5 4 3" xfId="5488" xr:uid="{00000000-0005-0000-0000-00005B0D0000}"/>
    <cellStyle name="Currency 5 5 4 3 2" xfId="13930" xr:uid="{B00C90B2-1634-49A0-B03C-E6A235F6171E}"/>
    <cellStyle name="Currency 5 5 4 4" xfId="9712" xr:uid="{0FD0BB9B-F621-403F-BE7D-A4A08A73622E}"/>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94F37800-2F51-4B84-A9E7-69978FE8270F}"/>
    <cellStyle name="Currency 5 5 5 2 3" xfId="12270" xr:uid="{22898141-12BA-415A-890E-3937B26265C1}"/>
    <cellStyle name="Currency 5 5 5 3" xfId="5901" xr:uid="{00000000-0005-0000-0000-00005F0D0000}"/>
    <cellStyle name="Currency 5 5 5 3 2" xfId="14343" xr:uid="{864E64CB-D0E1-4330-8C8F-C1DF5E01BCAD}"/>
    <cellStyle name="Currency 5 5 5 4" xfId="10125" xr:uid="{B7993C50-17B7-4B31-AC65-79FEBD343617}"/>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8B35D731-95CD-4756-B6DE-84A86BF02C56}"/>
    <cellStyle name="Currency 5 5 6 2 3" xfId="12683" xr:uid="{416DB24C-81E9-40AD-9619-5E5989A74F09}"/>
    <cellStyle name="Currency 5 5 6 3" xfId="6314" xr:uid="{00000000-0005-0000-0000-0000630D0000}"/>
    <cellStyle name="Currency 5 5 6 3 2" xfId="14756" xr:uid="{8FAF5B94-B498-41D9-90D2-AB57B918538C}"/>
    <cellStyle name="Currency 5 5 6 4" xfId="10538" xr:uid="{AF9CA842-CFF6-45E1-B89E-E032262C2809}"/>
    <cellStyle name="Currency 5 5 7" xfId="2442" xr:uid="{00000000-0005-0000-0000-0000640D0000}"/>
    <cellStyle name="Currency 5 5 7 2" xfId="6727" xr:uid="{00000000-0005-0000-0000-0000650D0000}"/>
    <cellStyle name="Currency 5 5 7 2 2" xfId="15169" xr:uid="{E8AECBC8-C440-4214-9DDF-B77DD52E90A3}"/>
    <cellStyle name="Currency 5 5 7 3" xfId="10951" xr:uid="{CE8DECEA-993B-4BBF-885A-926B1E7BF9CD}"/>
    <cellStyle name="Currency 5 5 8" xfId="2739" xr:uid="{00000000-0005-0000-0000-0000660D0000}"/>
    <cellStyle name="Currency 5 5 9" xfId="2820" xr:uid="{00000000-0005-0000-0000-0000670D0000}"/>
    <cellStyle name="Currency 5 5 9 2" xfId="7044" xr:uid="{00000000-0005-0000-0000-0000680D0000}"/>
    <cellStyle name="Currency 5 5 9 2 2" xfId="15486" xr:uid="{BA0D1076-DB1A-45BE-9BA3-92DD7C80B409}"/>
    <cellStyle name="Currency 5 5 9 3" xfId="11268" xr:uid="{3AA58711-2358-4E05-8ECB-11EBD32F8773}"/>
    <cellStyle name="Currency 5 6" xfId="221" xr:uid="{00000000-0005-0000-0000-0000690D0000}"/>
    <cellStyle name="Currency 5 6 10" xfId="8887" xr:uid="{6BC6FC83-7F7B-4AAA-A9DE-773917EECF87}"/>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D41406EC-ABC5-46A4-B35D-2752601D2A89}"/>
    <cellStyle name="Currency 5 6 2 2 3" xfId="11446" xr:uid="{1C39D242-18E8-4894-B520-76FEB823DE28}"/>
    <cellStyle name="Currency 5 6 2 3" xfId="5077" xr:uid="{00000000-0005-0000-0000-00006D0D0000}"/>
    <cellStyle name="Currency 5 6 2 3 2" xfId="13519" xr:uid="{7E507046-F1C8-4DEB-A755-B50CD01A161A}"/>
    <cellStyle name="Currency 5 6 2 4" xfId="9301" xr:uid="{A06C2B67-78DF-4990-AF8B-AFCDD13C34DF}"/>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9A697D50-3517-40A0-BCC2-D5A8D012B94A}"/>
    <cellStyle name="Currency 5 6 3 2 3" xfId="11859" xr:uid="{EA962A5B-DF40-47B8-9F8D-15DEF9C1F52D}"/>
    <cellStyle name="Currency 5 6 3 3" xfId="5490" xr:uid="{00000000-0005-0000-0000-0000710D0000}"/>
    <cellStyle name="Currency 5 6 3 3 2" xfId="13932" xr:uid="{E6952377-4670-49F4-98E2-EA36E54CBB3F}"/>
    <cellStyle name="Currency 5 6 3 4" xfId="9714" xr:uid="{0D897BDB-B1DC-4B41-8262-F010359A8608}"/>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CE66FC0E-1C18-45BC-BCA6-B1C96CC3202D}"/>
    <cellStyle name="Currency 5 6 4 2 3" xfId="12272" xr:uid="{B710B9A1-D41F-4C53-8B11-0A398F1E8944}"/>
    <cellStyle name="Currency 5 6 4 3" xfId="5903" xr:uid="{00000000-0005-0000-0000-0000750D0000}"/>
    <cellStyle name="Currency 5 6 4 3 2" xfId="14345" xr:uid="{35D61AFD-B0D6-4079-9191-7C8A88376FEC}"/>
    <cellStyle name="Currency 5 6 4 4" xfId="10127" xr:uid="{730D928C-D3A6-4C0A-AA7D-51CD4EBDA7B6}"/>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BDCD6611-88C8-4E2E-AACF-74102FD0B438}"/>
    <cellStyle name="Currency 5 6 5 2 3" xfId="12685" xr:uid="{B84704CA-B893-4B6D-939F-389FE19F6CE1}"/>
    <cellStyle name="Currency 5 6 5 3" xfId="6316" xr:uid="{00000000-0005-0000-0000-0000790D0000}"/>
    <cellStyle name="Currency 5 6 5 3 2" xfId="14758" xr:uid="{37D4DEE8-3DE1-4A5F-A4BB-E719C9AF1989}"/>
    <cellStyle name="Currency 5 6 5 4" xfId="10540" xr:uid="{4F23F8E7-C11E-4199-820A-2E8B4D573987}"/>
    <cellStyle name="Currency 5 6 6" xfId="2444" xr:uid="{00000000-0005-0000-0000-00007A0D0000}"/>
    <cellStyle name="Currency 5 6 6 2" xfId="6729" xr:uid="{00000000-0005-0000-0000-00007B0D0000}"/>
    <cellStyle name="Currency 5 6 6 2 2" xfId="15171" xr:uid="{025940C3-44F2-409A-A21F-A81E4A73DE20}"/>
    <cellStyle name="Currency 5 6 6 3" xfId="10953" xr:uid="{176ED0CF-C9AE-42FB-AECA-FB842430360D}"/>
    <cellStyle name="Currency 5 6 7" xfId="2741" xr:uid="{00000000-0005-0000-0000-00007C0D0000}"/>
    <cellStyle name="Currency 5 6 8" xfId="2822" xr:uid="{00000000-0005-0000-0000-00007D0D0000}"/>
    <cellStyle name="Currency 5 6 8 2" xfId="7046" xr:uid="{00000000-0005-0000-0000-00007E0D0000}"/>
    <cellStyle name="Currency 5 6 8 2 2" xfId="15488" xr:uid="{D0D39236-E5C3-441A-86F4-DDE16A42ECDA}"/>
    <cellStyle name="Currency 5 6 8 3" xfId="11270" xr:uid="{9F9BF48E-2AD6-4D0B-A20B-2A8C926750A5}"/>
    <cellStyle name="Currency 5 6 9" xfId="4663" xr:uid="{00000000-0005-0000-0000-00007F0D0000}"/>
    <cellStyle name="Currency 5 6 9 2" xfId="13105" xr:uid="{90944D92-CD92-4E4A-9B74-932B71756F13}"/>
    <cellStyle name="Currency 5 7" xfId="222" xr:uid="{00000000-0005-0000-0000-0000800D0000}"/>
    <cellStyle name="Currency 5 7 10" xfId="8888" xr:uid="{FEFE8839-8363-4450-95AF-EAA6BDA0F7F3}"/>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F31C51A9-28DE-458B-B12A-4119ABF09686}"/>
    <cellStyle name="Currency 5 7 2 2 3" xfId="11447" xr:uid="{8FF56110-206C-46B1-AD80-0A0D3EE6928D}"/>
    <cellStyle name="Currency 5 7 2 3" xfId="5078" xr:uid="{00000000-0005-0000-0000-0000840D0000}"/>
    <cellStyle name="Currency 5 7 2 3 2" xfId="13520" xr:uid="{967EC0EB-325D-43DC-9F72-FF209DB9BC54}"/>
    <cellStyle name="Currency 5 7 2 4" xfId="9302" xr:uid="{ED8C03A9-4536-4CEB-92CC-B2E621ABDECB}"/>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F8E1C986-997A-43F3-AFC9-D8A2E0962F49}"/>
    <cellStyle name="Currency 5 7 3 2 3" xfId="11860" xr:uid="{D819F4AB-154A-4A02-9EF8-538F3CE8138C}"/>
    <cellStyle name="Currency 5 7 3 3" xfId="5491" xr:uid="{00000000-0005-0000-0000-0000880D0000}"/>
    <cellStyle name="Currency 5 7 3 3 2" xfId="13933" xr:uid="{B8075277-81A1-49D9-A594-D386207DD65E}"/>
    <cellStyle name="Currency 5 7 3 4" xfId="9715" xr:uid="{D452276E-D971-4A40-BD8F-ECB8D38462C6}"/>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04CDA069-C5D3-48B2-BC17-078406CB821C}"/>
    <cellStyle name="Currency 5 7 4 2 3" xfId="12273" xr:uid="{CA2428C6-8A64-4630-9525-2EDB78EB7F8B}"/>
    <cellStyle name="Currency 5 7 4 3" xfId="5904" xr:uid="{00000000-0005-0000-0000-00008C0D0000}"/>
    <cellStyle name="Currency 5 7 4 3 2" xfId="14346" xr:uid="{5C0EC109-5097-4BE7-95D1-072A57C9C597}"/>
    <cellStyle name="Currency 5 7 4 4" xfId="10128" xr:uid="{49F8E7D4-596E-4AC2-A4FA-297678E35C9C}"/>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5DC417AC-5961-441E-9A31-C49C74C71BC5}"/>
    <cellStyle name="Currency 5 7 5 2 3" xfId="12686" xr:uid="{341030E9-6594-46CE-9D84-AAA4F303962A}"/>
    <cellStyle name="Currency 5 7 5 3" xfId="6317" xr:uid="{00000000-0005-0000-0000-0000900D0000}"/>
    <cellStyle name="Currency 5 7 5 3 2" xfId="14759" xr:uid="{18597684-AB05-4A62-805B-D71D6E03495D}"/>
    <cellStyle name="Currency 5 7 5 4" xfId="10541" xr:uid="{0D72293E-AD0B-4C2C-82A3-4346377650DD}"/>
    <cellStyle name="Currency 5 7 6" xfId="2445" xr:uid="{00000000-0005-0000-0000-0000910D0000}"/>
    <cellStyle name="Currency 5 7 6 2" xfId="6730" xr:uid="{00000000-0005-0000-0000-0000920D0000}"/>
    <cellStyle name="Currency 5 7 6 2 2" xfId="15172" xr:uid="{5F95A0AE-4A90-4590-84A6-45C4A13A0344}"/>
    <cellStyle name="Currency 5 7 6 3" xfId="10954" xr:uid="{AEE21170-71F7-40ED-8DAB-6B83996A5217}"/>
    <cellStyle name="Currency 5 7 7" xfId="2742" xr:uid="{00000000-0005-0000-0000-0000930D0000}"/>
    <cellStyle name="Currency 5 7 8" xfId="2823" xr:uid="{00000000-0005-0000-0000-0000940D0000}"/>
    <cellStyle name="Currency 5 7 8 2" xfId="7047" xr:uid="{00000000-0005-0000-0000-0000950D0000}"/>
    <cellStyle name="Currency 5 7 8 2 2" xfId="15489" xr:uid="{F55C0974-0C53-481C-A311-F6A08085F3BF}"/>
    <cellStyle name="Currency 5 7 8 3" xfId="11271" xr:uid="{8A1BD1CB-C7E9-4D5B-ACD3-E0452F0A7CE3}"/>
    <cellStyle name="Currency 5 7 9" xfId="4664" xr:uid="{00000000-0005-0000-0000-0000960D0000}"/>
    <cellStyle name="Currency 5 7 9 2" xfId="13106" xr:uid="{27F430E6-4F5F-4237-9761-3387AF1DF864}"/>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76223222-29D5-4AC0-99BB-79D22BC06F16}"/>
    <cellStyle name="Normal 12 10 3" xfId="10955" xr:uid="{ADFFF503-C0B1-48A3-A683-2F87630B40B7}"/>
    <cellStyle name="Normal 12 11" xfId="4665" xr:uid="{00000000-0005-0000-0000-0000CC0D0000}"/>
    <cellStyle name="Normal 12 11 2" xfId="13107" xr:uid="{A66D1F12-B4FC-47D6-B971-BE5A0B01D066}"/>
    <cellStyle name="Normal 12 12" xfId="8889" xr:uid="{44C33772-2E40-4EDC-95E3-2266B7C9B4BA}"/>
    <cellStyle name="Normal 12 2" xfId="260" xr:uid="{00000000-0005-0000-0000-0000CD0D0000}"/>
    <cellStyle name="Normal 12 2 10" xfId="8890" xr:uid="{BFC84E04-092C-4819-8285-82493BC9969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87AD2533-BDAF-4DDD-82F7-9AC68F2890A5}"/>
    <cellStyle name="Normal 12 2 2 2 2 2 3" xfId="11451" xr:uid="{684F7E9D-4BA3-45A5-B45D-6D0AA25B76FF}"/>
    <cellStyle name="Normal 12 2 2 2 2 3" xfId="5082" xr:uid="{00000000-0005-0000-0000-0000D30D0000}"/>
    <cellStyle name="Normal 12 2 2 2 2 3 2" xfId="13524" xr:uid="{9C493DF7-2CFF-4926-8592-A8E945885D61}"/>
    <cellStyle name="Normal 12 2 2 2 2 4" xfId="9306" xr:uid="{6E17FE22-85B8-42EC-9212-6F2A2FC3C527}"/>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1BD03A5E-FC09-405E-B804-E6A5BD5157B9}"/>
    <cellStyle name="Normal 12 2 2 2 3 2 3" xfId="11864" xr:uid="{A61FAF6D-45F1-403D-A0C2-A3F8786E064A}"/>
    <cellStyle name="Normal 12 2 2 2 3 3" xfId="5495" xr:uid="{00000000-0005-0000-0000-0000D70D0000}"/>
    <cellStyle name="Normal 12 2 2 2 3 3 2" xfId="13937" xr:uid="{80242AFD-0D80-4F3A-BBD6-76A140699AA6}"/>
    <cellStyle name="Normal 12 2 2 2 3 4" xfId="9719" xr:uid="{87599E1F-DE38-4F94-9A57-D88D6161BE4D}"/>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67B60139-7B7A-48AB-82AD-9E4E9D52DBBE}"/>
    <cellStyle name="Normal 12 2 2 2 4 2 3" xfId="12277" xr:uid="{7747CBBF-85A8-469E-A62A-AD6BFECBCF2B}"/>
    <cellStyle name="Normal 12 2 2 2 4 3" xfId="5908" xr:uid="{00000000-0005-0000-0000-0000DB0D0000}"/>
    <cellStyle name="Normal 12 2 2 2 4 3 2" xfId="14350" xr:uid="{D2348FF8-4418-4E8A-AC1B-F32994190416}"/>
    <cellStyle name="Normal 12 2 2 2 4 4" xfId="10132" xr:uid="{10415E78-39D4-4080-9EF7-09FBD25C0782}"/>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E3946EC-188F-4A02-96CF-98B3881338D4}"/>
    <cellStyle name="Normal 12 2 2 2 5 2 3" xfId="12690" xr:uid="{4E6A0D30-1AC7-47FF-A145-00E5823E4597}"/>
    <cellStyle name="Normal 12 2 2 2 5 3" xfId="6321" xr:uid="{00000000-0005-0000-0000-0000DF0D0000}"/>
    <cellStyle name="Normal 12 2 2 2 5 3 2" xfId="14763" xr:uid="{AC0D3D39-E2E6-4D32-AE9B-847CB50F20C2}"/>
    <cellStyle name="Normal 12 2 2 2 5 4" xfId="10545" xr:uid="{AE0A4A3B-1615-438D-9747-DCD87640BA7C}"/>
    <cellStyle name="Normal 12 2 2 2 6" xfId="2450" xr:uid="{00000000-0005-0000-0000-0000E00D0000}"/>
    <cellStyle name="Normal 12 2 2 2 6 2" xfId="6734" xr:uid="{00000000-0005-0000-0000-0000E10D0000}"/>
    <cellStyle name="Normal 12 2 2 2 6 2 2" xfId="15176" xr:uid="{F52A6615-08CF-4195-856F-D21BC79D3140}"/>
    <cellStyle name="Normal 12 2 2 2 6 3" xfId="10958" xr:uid="{9281564B-402E-4D96-ACFD-35A753B7A2A0}"/>
    <cellStyle name="Normal 12 2 2 2 7" xfId="4668" xr:uid="{00000000-0005-0000-0000-0000E20D0000}"/>
    <cellStyle name="Normal 12 2 2 2 7 2" xfId="13110" xr:uid="{070B6AD7-0A45-4573-883B-B4E25E039499}"/>
    <cellStyle name="Normal 12 2 2 2 8" xfId="8892" xr:uid="{DE38C2D9-CAF0-4FEB-9FF8-3C76C89CD215}"/>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7F834525-D289-4D5C-B3FA-11C70C035CB8}"/>
    <cellStyle name="Normal 12 2 2 3 2 3" xfId="11450" xr:uid="{9A471A8C-6B11-466C-A861-1CA7FC9FD5B0}"/>
    <cellStyle name="Normal 12 2 2 3 3" xfId="5081" xr:uid="{00000000-0005-0000-0000-0000E60D0000}"/>
    <cellStyle name="Normal 12 2 2 3 3 2" xfId="13523" xr:uid="{4BC57A87-80B2-4206-9A98-CFFE4A1CE829}"/>
    <cellStyle name="Normal 12 2 2 3 4" xfId="9305" xr:uid="{50414522-221F-421D-8384-DF991085907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EE0E8450-CD09-4EF9-A9B1-8036F303BF8A}"/>
    <cellStyle name="Normal 12 2 2 4 2 3" xfId="11863" xr:uid="{58D27CCB-4286-424B-829D-04587187EACA}"/>
    <cellStyle name="Normal 12 2 2 4 3" xfId="5494" xr:uid="{00000000-0005-0000-0000-0000EA0D0000}"/>
    <cellStyle name="Normal 12 2 2 4 3 2" xfId="13936" xr:uid="{DB074429-AD8A-4EA6-A86F-9060B887DCE2}"/>
    <cellStyle name="Normal 12 2 2 4 4" xfId="9718" xr:uid="{F1E84B6A-D169-4804-B6DE-351F661ECA0C}"/>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665FE197-A84A-43B6-AD83-E6141A2C209E}"/>
    <cellStyle name="Normal 12 2 2 5 2 3" xfId="12276" xr:uid="{0199B06A-C662-4B90-B012-4AC642D572EB}"/>
    <cellStyle name="Normal 12 2 2 5 3" xfId="5907" xr:uid="{00000000-0005-0000-0000-0000EE0D0000}"/>
    <cellStyle name="Normal 12 2 2 5 3 2" xfId="14349" xr:uid="{679EFE6E-6584-4DBA-9114-0C02CC36DEE6}"/>
    <cellStyle name="Normal 12 2 2 5 4" xfId="10131" xr:uid="{E95AB31D-9261-4CBB-8EEB-5863D5304732}"/>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6145290E-92DF-48CD-B4CD-34F98B58BABD}"/>
    <cellStyle name="Normal 12 2 2 6 2 3" xfId="12689" xr:uid="{60C6B52A-EF9D-401E-8BE7-86361993B25C}"/>
    <cellStyle name="Normal 12 2 2 6 3" xfId="6320" xr:uid="{00000000-0005-0000-0000-0000F20D0000}"/>
    <cellStyle name="Normal 12 2 2 6 3 2" xfId="14762" xr:uid="{462F2ED9-E9E0-415C-8948-DCB1449F783E}"/>
    <cellStyle name="Normal 12 2 2 6 4" xfId="10544" xr:uid="{EC5A5941-5049-4458-BCF5-E77B2DDE4A47}"/>
    <cellStyle name="Normal 12 2 2 7" xfId="2449" xr:uid="{00000000-0005-0000-0000-0000F30D0000}"/>
    <cellStyle name="Normal 12 2 2 7 2" xfId="6733" xr:uid="{00000000-0005-0000-0000-0000F40D0000}"/>
    <cellStyle name="Normal 12 2 2 7 2 2" xfId="15175" xr:uid="{6C403385-4C57-4B0C-B9E6-840FEF5390C0}"/>
    <cellStyle name="Normal 12 2 2 7 3" xfId="10957" xr:uid="{27F66774-DCC3-45FD-B881-E3BDB26E74EB}"/>
    <cellStyle name="Normal 12 2 2 8" xfId="4667" xr:uid="{00000000-0005-0000-0000-0000F50D0000}"/>
    <cellStyle name="Normal 12 2 2 8 2" xfId="13109" xr:uid="{32B3BDD0-9F68-43D9-9373-1DC65ACFA635}"/>
    <cellStyle name="Normal 12 2 2 9" xfId="8891" xr:uid="{E829D3EC-7CCF-4768-B179-F05A166C28BF}"/>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37F65FB2-9ED1-4BFE-A8B7-964F0F70EF09}"/>
    <cellStyle name="Normal 12 2 3 2 2 3" xfId="11452" xr:uid="{9FD3D5A9-C7C3-4AD1-8665-529AFE8C9612}"/>
    <cellStyle name="Normal 12 2 3 2 3" xfId="5083" xr:uid="{00000000-0005-0000-0000-0000FA0D0000}"/>
    <cellStyle name="Normal 12 2 3 2 3 2" xfId="13525" xr:uid="{7C7615C4-3FDB-4609-B58B-0372B81ACEC8}"/>
    <cellStyle name="Normal 12 2 3 2 4" xfId="9307" xr:uid="{BF13F6C9-D38F-47C2-A951-0E1A3DA4E9CB}"/>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29FFF7FB-9ED5-42FC-B22C-92E7F1613AA0}"/>
    <cellStyle name="Normal 12 2 3 3 2 3" xfId="11865" xr:uid="{84208D51-A4AC-4900-BFAA-4F86483F6749}"/>
    <cellStyle name="Normal 12 2 3 3 3" xfId="5496" xr:uid="{00000000-0005-0000-0000-0000FE0D0000}"/>
    <cellStyle name="Normal 12 2 3 3 3 2" xfId="13938" xr:uid="{BF934FAA-B6A1-43A9-811A-AC0F25D58F8D}"/>
    <cellStyle name="Normal 12 2 3 3 4" xfId="9720" xr:uid="{F5275F98-38C6-42AB-96DC-5BD5777CFC48}"/>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5AB42328-9739-4987-9F63-39CB4218D724}"/>
    <cellStyle name="Normal 12 2 3 4 2 3" xfId="12278" xr:uid="{574D8E10-2E36-4544-B7F8-2CDB55F18011}"/>
    <cellStyle name="Normal 12 2 3 4 3" xfId="5909" xr:uid="{00000000-0005-0000-0000-0000020E0000}"/>
    <cellStyle name="Normal 12 2 3 4 3 2" xfId="14351" xr:uid="{62E3C5B5-5E3B-4892-8BB8-3A776E3FB125}"/>
    <cellStyle name="Normal 12 2 3 4 4" xfId="10133" xr:uid="{308771FD-0C78-4DD3-9958-627CE897322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9CA5B339-D8C5-4467-99C7-A329B61AEA67}"/>
    <cellStyle name="Normal 12 2 3 5 2 3" xfId="12691" xr:uid="{8AFE57E7-0E93-429E-8AC1-FE7D0736EE16}"/>
    <cellStyle name="Normal 12 2 3 5 3" xfId="6322" xr:uid="{00000000-0005-0000-0000-0000060E0000}"/>
    <cellStyle name="Normal 12 2 3 5 3 2" xfId="14764" xr:uid="{D2BFDBD5-484A-4C00-B336-B0420FE44C91}"/>
    <cellStyle name="Normal 12 2 3 5 4" xfId="10546" xr:uid="{B93A7EFC-59BF-4626-9BFA-BE6068F2F080}"/>
    <cellStyle name="Normal 12 2 3 6" xfId="2451" xr:uid="{00000000-0005-0000-0000-0000070E0000}"/>
    <cellStyle name="Normal 12 2 3 6 2" xfId="6735" xr:uid="{00000000-0005-0000-0000-0000080E0000}"/>
    <cellStyle name="Normal 12 2 3 6 2 2" xfId="15177" xr:uid="{2AC5961B-8E1A-4954-B1F3-4FCD3665A996}"/>
    <cellStyle name="Normal 12 2 3 6 3" xfId="10959" xr:uid="{AAB33976-B0D3-4879-BBC9-F1328D3C47E0}"/>
    <cellStyle name="Normal 12 2 3 7" xfId="4669" xr:uid="{00000000-0005-0000-0000-0000090E0000}"/>
    <cellStyle name="Normal 12 2 3 7 2" xfId="13111" xr:uid="{D368BA1C-4BC2-43BE-A763-11899E6CBE5A}"/>
    <cellStyle name="Normal 12 2 3 8" xfId="8893" xr:uid="{D69BC89A-1254-4AF1-9BCD-087D9D122466}"/>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1BF1F5DC-19D7-4A6D-A3AE-401416AC61F6}"/>
    <cellStyle name="Normal 12 2 4 2 3" xfId="11449" xr:uid="{E351225A-A944-4BAD-A8AC-44B2CD4AE234}"/>
    <cellStyle name="Normal 12 2 4 3" xfId="5080" xr:uid="{00000000-0005-0000-0000-00000D0E0000}"/>
    <cellStyle name="Normal 12 2 4 3 2" xfId="13522" xr:uid="{5D7BBBDD-5514-4AAA-8797-E68161EC691A}"/>
    <cellStyle name="Normal 12 2 4 4" xfId="9304" xr:uid="{7CFD2B32-0842-4075-9F09-A46E2797EAA5}"/>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D68CBC45-5FEA-4A8D-92BF-15366E0675F7}"/>
    <cellStyle name="Normal 12 2 5 2 3" xfId="11862" xr:uid="{098C63DD-5711-418F-9607-9B35BBE8CF50}"/>
    <cellStyle name="Normal 12 2 5 3" xfId="5493" xr:uid="{00000000-0005-0000-0000-0000110E0000}"/>
    <cellStyle name="Normal 12 2 5 3 2" xfId="13935" xr:uid="{74D025D3-3E50-466D-A436-0C4B1A787833}"/>
    <cellStyle name="Normal 12 2 5 4" xfId="9717" xr:uid="{82C2AB5C-CDB6-400E-8874-029D32E8EBA2}"/>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847E3E49-1EAC-4A6F-B7C5-D247E1728D43}"/>
    <cellStyle name="Normal 12 2 6 2 3" xfId="12275" xr:uid="{3B627326-03B0-4651-B574-FA0F3772A98C}"/>
    <cellStyle name="Normal 12 2 6 3" xfId="5906" xr:uid="{00000000-0005-0000-0000-0000150E0000}"/>
    <cellStyle name="Normal 12 2 6 3 2" xfId="14348" xr:uid="{91938C6C-5E0D-437E-B804-CCA5D6DE8491}"/>
    <cellStyle name="Normal 12 2 6 4" xfId="10130" xr:uid="{03F26F5C-1095-425A-97CC-D3A13AA670FD}"/>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7CEC3B06-13EA-4C17-A22B-A218A0C82C14}"/>
    <cellStyle name="Normal 12 2 7 2 3" xfId="12688" xr:uid="{2A07C55A-08F1-49AC-B015-F3B90988AF87}"/>
    <cellStyle name="Normal 12 2 7 3" xfId="6319" xr:uid="{00000000-0005-0000-0000-0000190E0000}"/>
    <cellStyle name="Normal 12 2 7 3 2" xfId="14761" xr:uid="{C711875D-1C61-41D9-936C-FEFEA2E2FBD8}"/>
    <cellStyle name="Normal 12 2 7 4" xfId="10543" xr:uid="{6B96A783-B4E8-4113-BA20-CBBC88CD6A44}"/>
    <cellStyle name="Normal 12 2 8" xfId="2448" xr:uid="{00000000-0005-0000-0000-00001A0E0000}"/>
    <cellStyle name="Normal 12 2 8 2" xfId="6732" xr:uid="{00000000-0005-0000-0000-00001B0E0000}"/>
    <cellStyle name="Normal 12 2 8 2 2" xfId="15174" xr:uid="{36A9CFF3-5F19-40BA-8DD2-057988C8F052}"/>
    <cellStyle name="Normal 12 2 8 3" xfId="10956" xr:uid="{7EFA338E-7A62-4B0D-B84D-80AABD27A5CE}"/>
    <cellStyle name="Normal 12 2 9" xfId="4666" xr:uid="{00000000-0005-0000-0000-00001C0E0000}"/>
    <cellStyle name="Normal 12 2 9 2" xfId="13108" xr:uid="{BCAD1394-4BBA-4676-923D-D9947223E72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F36F77AF-A950-4EDC-9758-C7232173483C}"/>
    <cellStyle name="Normal 12 3 2 2 2 3" xfId="11454" xr:uid="{7F643998-9756-4E26-9C3E-1D5570CE8CBC}"/>
    <cellStyle name="Normal 12 3 2 2 3" xfId="5085" xr:uid="{00000000-0005-0000-0000-0000220E0000}"/>
    <cellStyle name="Normal 12 3 2 2 3 2" xfId="13527" xr:uid="{7AFD6D97-47AD-45A9-A6E6-20BDB9D6101B}"/>
    <cellStyle name="Normal 12 3 2 2 4" xfId="9309" xr:uid="{856D2D8B-0E53-4F14-AD87-1B7B3FEE2421}"/>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D4AC9B19-70C6-4F64-B285-38A17D3F6BAF}"/>
    <cellStyle name="Normal 12 3 2 3 2 3" xfId="11867" xr:uid="{948402FA-459B-4339-9AD0-CD82DE4517C3}"/>
    <cellStyle name="Normal 12 3 2 3 3" xfId="5498" xr:uid="{00000000-0005-0000-0000-0000260E0000}"/>
    <cellStyle name="Normal 12 3 2 3 3 2" xfId="13940" xr:uid="{AC6D0230-91A6-4A3C-9F6A-09BA78BE6F0F}"/>
    <cellStyle name="Normal 12 3 2 3 4" xfId="9722" xr:uid="{63422340-5699-44F9-B002-A1692E2F7DB1}"/>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DE618A2E-30B6-46F5-8BB8-AF980FE6079C}"/>
    <cellStyle name="Normal 12 3 2 4 2 3" xfId="12280" xr:uid="{7855781A-AF2B-4395-A92D-89ED9EF13207}"/>
    <cellStyle name="Normal 12 3 2 4 3" xfId="5911" xr:uid="{00000000-0005-0000-0000-00002A0E0000}"/>
    <cellStyle name="Normal 12 3 2 4 3 2" xfId="14353" xr:uid="{BF694C2B-F7E7-465B-940B-7E2E94E5ADC1}"/>
    <cellStyle name="Normal 12 3 2 4 4" xfId="10135" xr:uid="{DC878A3C-29CB-4FF0-BFE7-EDAAEC35F2BA}"/>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0A858876-7071-4057-B60C-B696F24069E9}"/>
    <cellStyle name="Normal 12 3 2 5 2 3" xfId="12693" xr:uid="{E5179CBC-9B25-4624-8106-F0AA79019744}"/>
    <cellStyle name="Normal 12 3 2 5 3" xfId="6324" xr:uid="{00000000-0005-0000-0000-00002E0E0000}"/>
    <cellStyle name="Normal 12 3 2 5 3 2" xfId="14766" xr:uid="{66F1CA49-C12E-4545-9289-FDAE3FD35B3E}"/>
    <cellStyle name="Normal 12 3 2 5 4" xfId="10548" xr:uid="{A24B9D4A-2DDD-44C6-B84C-4A90ABA1564F}"/>
    <cellStyle name="Normal 12 3 2 6" xfId="2453" xr:uid="{00000000-0005-0000-0000-00002F0E0000}"/>
    <cellStyle name="Normal 12 3 2 6 2" xfId="6737" xr:uid="{00000000-0005-0000-0000-0000300E0000}"/>
    <cellStyle name="Normal 12 3 2 6 2 2" xfId="15179" xr:uid="{21C64C6B-FC48-4A78-A1A5-2E0E51B9073B}"/>
    <cellStyle name="Normal 12 3 2 6 3" xfId="10961" xr:uid="{81187F6F-150A-4709-8C0B-2BF862BD01A9}"/>
    <cellStyle name="Normal 12 3 2 7" xfId="4671" xr:uid="{00000000-0005-0000-0000-0000310E0000}"/>
    <cellStyle name="Normal 12 3 2 7 2" xfId="13113" xr:uid="{F97989D5-A5D8-4D7E-82C4-ADEBCA882912}"/>
    <cellStyle name="Normal 12 3 2 8" xfId="8895" xr:uid="{4469BAC9-7EE0-4577-A49E-6E7DEA7DE6EC}"/>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30DA263F-0A87-4162-9054-7D0630DC248E}"/>
    <cellStyle name="Normal 12 3 3 2 3" xfId="11453" xr:uid="{8954FDC1-CAC8-41A8-A3B2-77F5D9417E44}"/>
    <cellStyle name="Normal 12 3 3 3" xfId="5084" xr:uid="{00000000-0005-0000-0000-0000350E0000}"/>
    <cellStyle name="Normal 12 3 3 3 2" xfId="13526" xr:uid="{299B4ECB-8923-490B-B6D5-96565781E28E}"/>
    <cellStyle name="Normal 12 3 3 4" xfId="9308" xr:uid="{11682461-654C-4D3C-9D9F-B0E6B686A6FF}"/>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43C6677B-5542-4938-B7B9-3F1592F858C9}"/>
    <cellStyle name="Normal 12 3 4 2 3" xfId="11866" xr:uid="{A9DB4F79-6F9D-401C-9812-C2A81B728BA1}"/>
    <cellStyle name="Normal 12 3 4 3" xfId="5497" xr:uid="{00000000-0005-0000-0000-0000390E0000}"/>
    <cellStyle name="Normal 12 3 4 3 2" xfId="13939" xr:uid="{E2063B78-49CC-47F0-A6DF-1676DE588478}"/>
    <cellStyle name="Normal 12 3 4 4" xfId="9721" xr:uid="{93390692-00EB-415F-B10F-BB4F0DA52D9A}"/>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6BED25E5-D262-4F28-9784-B98D14E7DF31}"/>
    <cellStyle name="Normal 12 3 5 2 3" xfId="12279" xr:uid="{9B06FE95-4B00-4AB1-9F5A-7DCE0630A4CF}"/>
    <cellStyle name="Normal 12 3 5 3" xfId="5910" xr:uid="{00000000-0005-0000-0000-00003D0E0000}"/>
    <cellStyle name="Normal 12 3 5 3 2" xfId="14352" xr:uid="{FC6B3DB6-9351-447D-BB35-7D86838B9103}"/>
    <cellStyle name="Normal 12 3 5 4" xfId="10134" xr:uid="{DD1A6FA6-EDA0-45DE-B1E5-66672B1538DF}"/>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84B2EB4A-DC24-452E-B316-7098D110ED86}"/>
    <cellStyle name="Normal 12 3 6 2 3" xfId="12692" xr:uid="{492DEEAE-9A0D-48BB-B57E-F9378B7ED269}"/>
    <cellStyle name="Normal 12 3 6 3" xfId="6323" xr:uid="{00000000-0005-0000-0000-0000410E0000}"/>
    <cellStyle name="Normal 12 3 6 3 2" xfId="14765" xr:uid="{58101AC4-4629-49E7-91A0-23562449C99E}"/>
    <cellStyle name="Normal 12 3 6 4" xfId="10547" xr:uid="{F8943BD2-EEE6-496C-8291-66A561C12ED9}"/>
    <cellStyle name="Normal 12 3 7" xfId="2452" xr:uid="{00000000-0005-0000-0000-0000420E0000}"/>
    <cellStyle name="Normal 12 3 7 2" xfId="6736" xr:uid="{00000000-0005-0000-0000-0000430E0000}"/>
    <cellStyle name="Normal 12 3 7 2 2" xfId="15178" xr:uid="{B812CD47-34A5-409F-807A-42131FBB5901}"/>
    <cellStyle name="Normal 12 3 7 3" xfId="10960" xr:uid="{645E19CB-A045-4BD3-A183-40B8B354992E}"/>
    <cellStyle name="Normal 12 3 8" xfId="4670" xr:uid="{00000000-0005-0000-0000-0000440E0000}"/>
    <cellStyle name="Normal 12 3 8 2" xfId="13112" xr:uid="{784F74AA-5A36-4D21-9866-515D51D11A41}"/>
    <cellStyle name="Normal 12 3 9" xfId="8894" xr:uid="{41CAAC2E-CF23-4613-9E8F-EE80BD3F8564}"/>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B4532F3F-8FEC-49BE-A9BF-EEE876B67BFD}"/>
    <cellStyle name="Normal 12 4 2 2 3" xfId="11455" xr:uid="{5B135871-446B-422D-8C5F-09392A1C7F99}"/>
    <cellStyle name="Normal 12 4 2 3" xfId="5086" xr:uid="{00000000-0005-0000-0000-0000490E0000}"/>
    <cellStyle name="Normal 12 4 2 3 2" xfId="13528" xr:uid="{579C6677-341F-4830-8E45-0F8100A1C2F2}"/>
    <cellStyle name="Normal 12 4 2 4" xfId="9310" xr:uid="{3CED87C4-8FA3-43A5-BFF2-C5F6FBBF3545}"/>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BB1EBFC0-8BA0-4FB3-8713-563DA3F17521}"/>
    <cellStyle name="Normal 12 4 3 2 3" xfId="11868" xr:uid="{E9A090F3-2CD3-42DA-BF58-A783132CF382}"/>
    <cellStyle name="Normal 12 4 3 3" xfId="5499" xr:uid="{00000000-0005-0000-0000-00004D0E0000}"/>
    <cellStyle name="Normal 12 4 3 3 2" xfId="13941" xr:uid="{603B66F9-3094-45FD-8E28-0B66C5E22B17}"/>
    <cellStyle name="Normal 12 4 3 4" xfId="9723" xr:uid="{1518D761-D027-4DF0-B462-50ECCCF55AB3}"/>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D90B7758-71A3-4AC1-8B5A-EA95DFEF00A2}"/>
    <cellStyle name="Normal 12 4 4 2 3" xfId="12281" xr:uid="{E1A3FD98-BD7F-4B04-B5AE-4F15C5BCE006}"/>
    <cellStyle name="Normal 12 4 4 3" xfId="5912" xr:uid="{00000000-0005-0000-0000-0000510E0000}"/>
    <cellStyle name="Normal 12 4 4 3 2" xfId="14354" xr:uid="{5FCC06C2-09EA-4D25-BFDA-44D59AEC3CD7}"/>
    <cellStyle name="Normal 12 4 4 4" xfId="10136" xr:uid="{9CB1AE7A-7293-40BF-9BE1-131FC05B5DD6}"/>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B2CFB83F-E4B5-450D-9238-0743CF39C519}"/>
    <cellStyle name="Normal 12 4 5 2 3" xfId="12694" xr:uid="{A59E30FC-1B07-4BBA-85C0-B04AE314A366}"/>
    <cellStyle name="Normal 12 4 5 3" xfId="6325" xr:uid="{00000000-0005-0000-0000-0000550E0000}"/>
    <cellStyle name="Normal 12 4 5 3 2" xfId="14767" xr:uid="{BD475166-423D-4960-B738-52B6E8EC3915}"/>
    <cellStyle name="Normal 12 4 5 4" xfId="10549" xr:uid="{2D8BAA81-FB88-41BF-9F98-83B0106823D0}"/>
    <cellStyle name="Normal 12 4 6" xfId="2454" xr:uid="{00000000-0005-0000-0000-0000560E0000}"/>
    <cellStyle name="Normal 12 4 6 2" xfId="6738" xr:uid="{00000000-0005-0000-0000-0000570E0000}"/>
    <cellStyle name="Normal 12 4 6 2 2" xfId="15180" xr:uid="{5A96821B-202E-4315-AB2F-875466210960}"/>
    <cellStyle name="Normal 12 4 6 3" xfId="10962" xr:uid="{00DDF84A-374C-414F-A2DE-0372207D395C}"/>
    <cellStyle name="Normal 12 4 7" xfId="4672" xr:uid="{00000000-0005-0000-0000-0000580E0000}"/>
    <cellStyle name="Normal 12 4 7 2" xfId="13114" xr:uid="{519FC298-78C6-46CD-A112-488867E6E731}"/>
    <cellStyle name="Normal 12 4 8" xfId="8896" xr:uid="{EFC4AB88-E2C9-4F7C-AAF1-0B1CD2BCD82E}"/>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77593B6C-F4A0-45CD-A3EC-933CDE2FC264}"/>
    <cellStyle name="Normal 12 6 2 3" xfId="11448" xr:uid="{DE1416C9-1110-4259-A2A2-72E3EC131DD1}"/>
    <cellStyle name="Normal 12 6 3" xfId="5079" xr:uid="{00000000-0005-0000-0000-00005D0E0000}"/>
    <cellStyle name="Normal 12 6 3 2" xfId="13521" xr:uid="{1E21A9EE-58E4-4366-B35A-E77790299DE2}"/>
    <cellStyle name="Normal 12 6 4" xfId="9303" xr:uid="{D3766F3C-DBAF-408B-A9F1-E3B9C83302E2}"/>
    <cellStyle name="Normal 12 7" xfId="1183" xr:uid="{00000000-0005-0000-0000-00005E0E0000}"/>
    <cellStyle name="Normal 12 7 2" xfId="3414" xr:uid="{00000000-0005-0000-0000-00005F0E0000}"/>
    <cellStyle name="Normal 12 7 2 2" xfId="7637" xr:uid="{00000000-0005-0000-0000-0000600E0000}"/>
    <cellStyle name="Normal 12 7 2 2 2" xfId="16079" xr:uid="{28C810F9-2327-4784-A5AA-B9C0D8B67F3B}"/>
    <cellStyle name="Normal 12 7 2 3" xfId="11861" xr:uid="{BDFCFACA-6426-497E-B627-1BEBAE847703}"/>
    <cellStyle name="Normal 12 7 3" xfId="5492" xr:uid="{00000000-0005-0000-0000-0000610E0000}"/>
    <cellStyle name="Normal 12 7 3 2" xfId="13934" xr:uid="{E474D557-1202-403D-8729-2707D5B3F5CF}"/>
    <cellStyle name="Normal 12 7 4" xfId="9716" xr:uid="{BCA1D087-1F28-4236-BDA6-B20E372439BD}"/>
    <cellStyle name="Normal 12 8" xfId="1597" xr:uid="{00000000-0005-0000-0000-0000620E0000}"/>
    <cellStyle name="Normal 12 8 2" xfId="3827" xr:uid="{00000000-0005-0000-0000-0000630E0000}"/>
    <cellStyle name="Normal 12 8 2 2" xfId="8050" xr:uid="{00000000-0005-0000-0000-0000640E0000}"/>
    <cellStyle name="Normal 12 8 2 2 2" xfId="16492" xr:uid="{ABACC77B-DAFA-4358-902A-900516C3F712}"/>
    <cellStyle name="Normal 12 8 2 3" xfId="12274" xr:uid="{7A401E3F-566E-460A-AF9C-DF98D0DD09A9}"/>
    <cellStyle name="Normal 12 8 3" xfId="5905" xr:uid="{00000000-0005-0000-0000-0000650E0000}"/>
    <cellStyle name="Normal 12 8 3 2" xfId="14347" xr:uid="{55A89766-5350-4B68-86D9-EC2B900A5440}"/>
    <cellStyle name="Normal 12 8 4" xfId="10129" xr:uid="{D8509D51-BED4-4784-AC16-40A2F2A92E97}"/>
    <cellStyle name="Normal 12 9" xfId="2011" xr:uid="{00000000-0005-0000-0000-0000660E0000}"/>
    <cellStyle name="Normal 12 9 2" xfId="4240" xr:uid="{00000000-0005-0000-0000-0000670E0000}"/>
    <cellStyle name="Normal 12 9 2 2" xfId="8463" xr:uid="{00000000-0005-0000-0000-0000680E0000}"/>
    <cellStyle name="Normal 12 9 2 2 2" xfId="16905" xr:uid="{879BB875-90AA-4255-AA50-E7CF726F3BB8}"/>
    <cellStyle name="Normal 12 9 2 3" xfId="12687" xr:uid="{414C88EC-0AE2-460B-A21D-5955E174819D}"/>
    <cellStyle name="Normal 12 9 3" xfId="6318" xr:uid="{00000000-0005-0000-0000-0000690E0000}"/>
    <cellStyle name="Normal 12 9 3 2" xfId="14760" xr:uid="{5D0E7C38-D3EF-4CD3-B369-F4698391707C}"/>
    <cellStyle name="Normal 12 9 4" xfId="10542" xr:uid="{FE2DF850-6CFF-4F4B-B3B8-BE9488EA147B}"/>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2435CD78-69B8-4D03-9A1E-A02CB563CFD0}"/>
    <cellStyle name="Normal 14 2 2 3" xfId="11456" xr:uid="{C0E4E692-09ED-4F8E-B35B-4831E89F41A8}"/>
    <cellStyle name="Normal 14 2 3" xfId="5087" xr:uid="{00000000-0005-0000-0000-0000700E0000}"/>
    <cellStyle name="Normal 14 2 3 2" xfId="13529" xr:uid="{55CC9C2B-8595-42A8-A6FF-12B389CDACF9}"/>
    <cellStyle name="Normal 14 2 4" xfId="9311" xr:uid="{7D746A9E-C43A-4256-963D-698586D1AD30}"/>
    <cellStyle name="Normal 14 3" xfId="1191" xr:uid="{00000000-0005-0000-0000-0000710E0000}"/>
    <cellStyle name="Normal 14 3 2" xfId="3422" xr:uid="{00000000-0005-0000-0000-0000720E0000}"/>
    <cellStyle name="Normal 14 3 2 2" xfId="7645" xr:uid="{00000000-0005-0000-0000-0000730E0000}"/>
    <cellStyle name="Normal 14 3 2 2 2" xfId="16087" xr:uid="{24174B8D-6DA9-41E2-820F-D1BA6802CC06}"/>
    <cellStyle name="Normal 14 3 2 3" xfId="11869" xr:uid="{DE03B2C3-306C-4FB8-9192-10FA5B9C5E84}"/>
    <cellStyle name="Normal 14 3 3" xfId="5500" xr:uid="{00000000-0005-0000-0000-0000740E0000}"/>
    <cellStyle name="Normal 14 3 3 2" xfId="13942" xr:uid="{EA165F44-8FEA-4C22-9F97-5FF84CC0603F}"/>
    <cellStyle name="Normal 14 3 4" xfId="9724" xr:uid="{E9E4617E-DEB4-41E9-8C21-B49C581B3CEC}"/>
    <cellStyle name="Normal 14 4" xfId="1605" xr:uid="{00000000-0005-0000-0000-0000750E0000}"/>
    <cellStyle name="Normal 14 4 2" xfId="3835" xr:uid="{00000000-0005-0000-0000-0000760E0000}"/>
    <cellStyle name="Normal 14 4 2 2" xfId="8058" xr:uid="{00000000-0005-0000-0000-0000770E0000}"/>
    <cellStyle name="Normal 14 4 2 2 2" xfId="16500" xr:uid="{E49DD537-36C8-4D4D-9A4F-DD6934983AC6}"/>
    <cellStyle name="Normal 14 4 2 3" xfId="12282" xr:uid="{90F18F5F-452A-487C-B2C6-4FA180DF33BC}"/>
    <cellStyle name="Normal 14 4 3" xfId="5913" xr:uid="{00000000-0005-0000-0000-0000780E0000}"/>
    <cellStyle name="Normal 14 4 3 2" xfId="14355" xr:uid="{669DA9E7-EF6A-4EC9-867B-9C7C187B57ED}"/>
    <cellStyle name="Normal 14 4 4" xfId="10137" xr:uid="{491ACEAE-11B1-4C27-99F9-352D3BA6FA7E}"/>
    <cellStyle name="Normal 14 5" xfId="2019" xr:uid="{00000000-0005-0000-0000-0000790E0000}"/>
    <cellStyle name="Normal 14 5 2" xfId="4248" xr:uid="{00000000-0005-0000-0000-00007A0E0000}"/>
    <cellStyle name="Normal 14 5 2 2" xfId="8471" xr:uid="{00000000-0005-0000-0000-00007B0E0000}"/>
    <cellStyle name="Normal 14 5 2 2 2" xfId="16913" xr:uid="{9A969BDF-BD35-4707-8399-7E9F17C6DBC8}"/>
    <cellStyle name="Normal 14 5 2 3" xfId="12695" xr:uid="{3CE5E0E9-9FA7-441F-AC91-C3156C8E4634}"/>
    <cellStyle name="Normal 14 5 3" xfId="6326" xr:uid="{00000000-0005-0000-0000-00007C0E0000}"/>
    <cellStyle name="Normal 14 5 3 2" xfId="14768" xr:uid="{DE2D2672-20D4-421C-AC28-AEC9DED1FCF5}"/>
    <cellStyle name="Normal 14 5 4" xfId="10550" xr:uid="{4C2DB8AB-8298-40D1-85BB-27D2B5690C32}"/>
    <cellStyle name="Normal 14 6" xfId="2455" xr:uid="{00000000-0005-0000-0000-00007D0E0000}"/>
    <cellStyle name="Normal 14 6 2" xfId="6739" xr:uid="{00000000-0005-0000-0000-00007E0E0000}"/>
    <cellStyle name="Normal 14 6 2 2" xfId="15181" xr:uid="{DAEC1245-C780-4C2F-92F6-8D7049B116A1}"/>
    <cellStyle name="Normal 14 6 3" xfId="10963" xr:uid="{4641F2A0-6F80-48EE-B4E4-61845C0389AA}"/>
    <cellStyle name="Normal 14 7" xfId="4673" xr:uid="{00000000-0005-0000-0000-00007F0E0000}"/>
    <cellStyle name="Normal 14 7 2" xfId="13115" xr:uid="{5C0D522A-067B-4878-BF61-BC1722503E63}"/>
    <cellStyle name="Normal 14 8" xfId="8897" xr:uid="{7853BB50-D0BC-497F-BA08-CFDA9AD69617}"/>
    <cellStyle name="Normal 15" xfId="4496" xr:uid="{00000000-0005-0000-0000-0000800E0000}"/>
    <cellStyle name="Normal 15 2" xfId="12941" xr:uid="{3F16B9BD-47E2-4991-A9B0-1D19685CFE4F}"/>
    <cellStyle name="Normal 16" xfId="4500" xr:uid="{00000000-0005-0000-0000-0000810E0000}"/>
    <cellStyle name="Normal 16 2" xfId="8716" xr:uid="{00000000-0005-0000-0000-0000820E0000}"/>
    <cellStyle name="Normal 16 2 2" xfId="17158" xr:uid="{1641EB5D-B43C-47BD-B565-5E61AA084C45}"/>
    <cellStyle name="Normal 16 3" xfId="8719" xr:uid="{3DE1BEEB-61FA-4094-B10F-9E0444F68763}"/>
    <cellStyle name="Normal 16 3 2" xfId="8723" xr:uid="{FE0BC069-4698-40B2-814D-8E09719245E9}"/>
    <cellStyle name="Normal 16 3 2 2" xfId="8726" xr:uid="{D3E9609F-293A-4CFC-B194-1FF2F92D621D}"/>
    <cellStyle name="Normal 16 3 2 2 2" xfId="17167" xr:uid="{1776A1C6-1BA6-432E-AA3F-F46CF30B1DEC}"/>
    <cellStyle name="Normal 16 3 2 3" xfId="17164" xr:uid="{9A19849C-1D12-4D8F-A114-0411BDD780E6}"/>
    <cellStyle name="Normal 16 3 3" xfId="17161" xr:uid="{D498E5D9-FCD6-4D82-9F4E-9B8F4D6E168E}"/>
    <cellStyle name="Normal 16 4" xfId="12944" xr:uid="{255DE898-1DA3-429E-8AF3-97F21B63BEF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AC63A4BA-40E3-4FE5-A153-CF67EF404AE8}"/>
    <cellStyle name="Normal 2 4 2 10 2 3" xfId="12696" xr:uid="{CE4E4C87-9D76-4803-8ED4-EF4A7EB60AAD}"/>
    <cellStyle name="Normal 2 4 2 10 3" xfId="6327" xr:uid="{00000000-0005-0000-0000-0000910E0000}"/>
    <cellStyle name="Normal 2 4 2 10 3 2" xfId="14769" xr:uid="{4B4B6734-0824-4891-B800-477F3CC19DD4}"/>
    <cellStyle name="Normal 2 4 2 10 4" xfId="10551" xr:uid="{2736F5B0-4B05-422F-A6FE-5ACA2EA50B7B}"/>
    <cellStyle name="Normal 2 4 2 11" xfId="2456" xr:uid="{00000000-0005-0000-0000-0000920E0000}"/>
    <cellStyle name="Normal 2 4 2 11 2" xfId="6740" xr:uid="{00000000-0005-0000-0000-0000930E0000}"/>
    <cellStyle name="Normal 2 4 2 11 2 2" xfId="15182" xr:uid="{43894B28-AB3B-4C95-9D58-F6F7D6F3E3AF}"/>
    <cellStyle name="Normal 2 4 2 11 3" xfId="10964" xr:uid="{F2E80971-657A-4451-B125-C407849921CE}"/>
    <cellStyle name="Normal 2 4 2 12" xfId="4674" xr:uid="{00000000-0005-0000-0000-0000940E0000}"/>
    <cellStyle name="Normal 2 4 2 12 2" xfId="13116" xr:uid="{C4D82213-9751-4C4A-B120-4D3A414CF7BE}"/>
    <cellStyle name="Normal 2 4 2 13" xfId="8898" xr:uid="{A059AFC4-9BB0-4F40-ACB1-04B899E18EF6}"/>
    <cellStyle name="Normal 2 4 2 2" xfId="280" xr:uid="{00000000-0005-0000-0000-0000950E0000}"/>
    <cellStyle name="Normal 2 4 2 3" xfId="281" xr:uid="{00000000-0005-0000-0000-0000960E0000}"/>
    <cellStyle name="Normal 2 4 2 3 10" xfId="4675" xr:uid="{00000000-0005-0000-0000-0000970E0000}"/>
    <cellStyle name="Normal 2 4 2 3 10 2" xfId="13117" xr:uid="{D3C2BAFA-0C5F-4518-BA46-40E8D5AF66F6}"/>
    <cellStyle name="Normal 2 4 2 3 11" xfId="8899" xr:uid="{E8C832C5-14D8-4BAF-900D-31CB73F386D4}"/>
    <cellStyle name="Normal 2 4 2 3 2" xfId="282" xr:uid="{00000000-0005-0000-0000-0000980E0000}"/>
    <cellStyle name="Normal 2 4 2 3 2 10" xfId="8900" xr:uid="{7A29B73A-D98A-4155-8AE9-AC1E13321CB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6F1A2320-5F73-4F4A-92C0-75E5E0A4FDED}"/>
    <cellStyle name="Normal 2 4 2 3 2 2 2 2 2 3" xfId="11461" xr:uid="{3ECB257A-3FFC-47B9-8063-8A0BEAB205D1}"/>
    <cellStyle name="Normal 2 4 2 3 2 2 2 2 3" xfId="5092" xr:uid="{00000000-0005-0000-0000-00009E0E0000}"/>
    <cellStyle name="Normal 2 4 2 3 2 2 2 2 3 2" xfId="13534" xr:uid="{1B8E9090-416D-438C-9E6C-71BFC03C381B}"/>
    <cellStyle name="Normal 2 4 2 3 2 2 2 2 4" xfId="9316" xr:uid="{F33FE203-B589-4665-83CF-B4E157DE0C49}"/>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ACA1B5AF-67CA-4EE4-9D54-F1A5B348676A}"/>
    <cellStyle name="Normal 2 4 2 3 2 2 2 3 2 3" xfId="11874" xr:uid="{BACCFF24-40A1-4924-BBA1-7F915AD1F678}"/>
    <cellStyle name="Normal 2 4 2 3 2 2 2 3 3" xfId="5505" xr:uid="{00000000-0005-0000-0000-0000A20E0000}"/>
    <cellStyle name="Normal 2 4 2 3 2 2 2 3 3 2" xfId="13947" xr:uid="{B8CE5429-8399-4211-B05D-DFAB333BD7C8}"/>
    <cellStyle name="Normal 2 4 2 3 2 2 2 3 4" xfId="9729" xr:uid="{129ACAED-0044-42A6-9EA2-CD7C1525D89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8001433C-DAE1-4697-B131-911849BF7320}"/>
    <cellStyle name="Normal 2 4 2 3 2 2 2 4 2 3" xfId="12287" xr:uid="{286D0256-B69C-45A5-A145-E60FB0DCB357}"/>
    <cellStyle name="Normal 2 4 2 3 2 2 2 4 3" xfId="5918" xr:uid="{00000000-0005-0000-0000-0000A60E0000}"/>
    <cellStyle name="Normal 2 4 2 3 2 2 2 4 3 2" xfId="14360" xr:uid="{FC6FDB41-FB9E-43E1-AEFD-ADEEB567E8C3}"/>
    <cellStyle name="Normal 2 4 2 3 2 2 2 4 4" xfId="10142" xr:uid="{807CE5B3-BC5D-4D88-8CD7-27CA12EEB306}"/>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9B90C53C-54F1-43A2-ACC5-62F9D33831BE}"/>
    <cellStyle name="Normal 2 4 2 3 2 2 2 5 2 3" xfId="12700" xr:uid="{25555DE6-4398-4A8C-A65E-35A48880F7CC}"/>
    <cellStyle name="Normal 2 4 2 3 2 2 2 5 3" xfId="6331" xr:uid="{00000000-0005-0000-0000-0000AA0E0000}"/>
    <cellStyle name="Normal 2 4 2 3 2 2 2 5 3 2" xfId="14773" xr:uid="{595FF3C6-A79D-4823-AFFF-8AE777E9A3CC}"/>
    <cellStyle name="Normal 2 4 2 3 2 2 2 5 4" xfId="10555" xr:uid="{ED681F62-8BB3-42BA-B0A3-282CA760847C}"/>
    <cellStyle name="Normal 2 4 2 3 2 2 2 6" xfId="2460" xr:uid="{00000000-0005-0000-0000-0000AB0E0000}"/>
    <cellStyle name="Normal 2 4 2 3 2 2 2 6 2" xfId="6744" xr:uid="{00000000-0005-0000-0000-0000AC0E0000}"/>
    <cellStyle name="Normal 2 4 2 3 2 2 2 6 2 2" xfId="15186" xr:uid="{35F1F9FC-AD1A-455E-9B2F-E0E36BA1B7A6}"/>
    <cellStyle name="Normal 2 4 2 3 2 2 2 6 3" xfId="10968" xr:uid="{8BB785C3-C407-4B95-8042-134C51F06EF0}"/>
    <cellStyle name="Normal 2 4 2 3 2 2 2 7" xfId="4678" xr:uid="{00000000-0005-0000-0000-0000AD0E0000}"/>
    <cellStyle name="Normal 2 4 2 3 2 2 2 7 2" xfId="13120" xr:uid="{E66D24EE-5B67-47B1-85B5-80B2C60E1A38}"/>
    <cellStyle name="Normal 2 4 2 3 2 2 2 8" xfId="8902" xr:uid="{CB46CD91-A665-4C0A-8CAA-5DA253E2F03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08CCEBD3-7780-4B4D-A5BD-9CAD80FFF864}"/>
    <cellStyle name="Normal 2 4 2 3 2 2 3 2 3" xfId="11460" xr:uid="{2D2F2EF2-76EE-48F9-8DF0-9549FC3D805B}"/>
    <cellStyle name="Normal 2 4 2 3 2 2 3 3" xfId="5091" xr:uid="{00000000-0005-0000-0000-0000B10E0000}"/>
    <cellStyle name="Normal 2 4 2 3 2 2 3 3 2" xfId="13533" xr:uid="{A958BC35-5D00-408F-93F9-60CEBB8444C8}"/>
    <cellStyle name="Normal 2 4 2 3 2 2 3 4" xfId="9315" xr:uid="{F5C2BEE4-6E18-4138-A7C5-160B148F63B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E831C5B1-3D6F-4494-8E46-721EE9525A0C}"/>
    <cellStyle name="Normal 2 4 2 3 2 2 4 2 3" xfId="11873" xr:uid="{7F13903B-83A4-4EFA-A7B4-F27CFD6CE821}"/>
    <cellStyle name="Normal 2 4 2 3 2 2 4 3" xfId="5504" xr:uid="{00000000-0005-0000-0000-0000B50E0000}"/>
    <cellStyle name="Normal 2 4 2 3 2 2 4 3 2" xfId="13946" xr:uid="{C7B25149-7248-4812-954D-488FE6C49DDE}"/>
    <cellStyle name="Normal 2 4 2 3 2 2 4 4" xfId="9728" xr:uid="{498CAB42-B16C-4196-AA54-970E209EE4D7}"/>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69773460-DE5E-4D6A-BA49-5283DA9E7322}"/>
    <cellStyle name="Normal 2 4 2 3 2 2 5 2 3" xfId="12286" xr:uid="{57C01A61-A5A9-4688-9ADB-8A5BF7C67220}"/>
    <cellStyle name="Normal 2 4 2 3 2 2 5 3" xfId="5917" xr:uid="{00000000-0005-0000-0000-0000B90E0000}"/>
    <cellStyle name="Normal 2 4 2 3 2 2 5 3 2" xfId="14359" xr:uid="{42635822-3459-4C04-A90E-DF376EA40375}"/>
    <cellStyle name="Normal 2 4 2 3 2 2 5 4" xfId="10141" xr:uid="{F9323231-C081-4F4E-BAF5-78D509E30218}"/>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324C3543-EB4D-477A-A17B-0DB212D13842}"/>
    <cellStyle name="Normal 2 4 2 3 2 2 6 2 3" xfId="12699" xr:uid="{44BFB720-E321-4721-B0A8-9FCC570B80A1}"/>
    <cellStyle name="Normal 2 4 2 3 2 2 6 3" xfId="6330" xr:uid="{00000000-0005-0000-0000-0000BD0E0000}"/>
    <cellStyle name="Normal 2 4 2 3 2 2 6 3 2" xfId="14772" xr:uid="{04A9B927-5D23-41A6-ACD6-D58D72118106}"/>
    <cellStyle name="Normal 2 4 2 3 2 2 6 4" xfId="10554" xr:uid="{EA242D5A-845B-42E5-8088-17959E655CD4}"/>
    <cellStyle name="Normal 2 4 2 3 2 2 7" xfId="2459" xr:uid="{00000000-0005-0000-0000-0000BE0E0000}"/>
    <cellStyle name="Normal 2 4 2 3 2 2 7 2" xfId="6743" xr:uid="{00000000-0005-0000-0000-0000BF0E0000}"/>
    <cellStyle name="Normal 2 4 2 3 2 2 7 2 2" xfId="15185" xr:uid="{0353C287-95D1-4AD2-8398-788F95211FD9}"/>
    <cellStyle name="Normal 2 4 2 3 2 2 7 3" xfId="10967" xr:uid="{747E0625-6330-4ED4-BCD2-08070B379683}"/>
    <cellStyle name="Normal 2 4 2 3 2 2 8" xfId="4677" xr:uid="{00000000-0005-0000-0000-0000C00E0000}"/>
    <cellStyle name="Normal 2 4 2 3 2 2 8 2" xfId="13119" xr:uid="{EE2E9B1B-CCB1-4F20-B707-B7CAE1F39A99}"/>
    <cellStyle name="Normal 2 4 2 3 2 2 9" xfId="8901" xr:uid="{D3AB08D1-6828-4048-B141-0CB0E2CBA9E4}"/>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440F0047-4339-4889-9472-D29883B40C5A}"/>
    <cellStyle name="Normal 2 4 2 3 2 3 2 2 3" xfId="11462" xr:uid="{5A894CBB-9A68-4DF2-BBF6-151131098FAF}"/>
    <cellStyle name="Normal 2 4 2 3 2 3 2 3" xfId="5093" xr:uid="{00000000-0005-0000-0000-0000C50E0000}"/>
    <cellStyle name="Normal 2 4 2 3 2 3 2 3 2" xfId="13535" xr:uid="{C9921A31-8FE5-4002-A9A0-B6C4FF4D358C}"/>
    <cellStyle name="Normal 2 4 2 3 2 3 2 4" xfId="9317" xr:uid="{9002A2A7-6ED9-475F-AC0F-C41F661A4979}"/>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71479FC8-3EE6-4F11-9C15-68E99FE2CFD3}"/>
    <cellStyle name="Normal 2 4 2 3 2 3 3 2 3" xfId="11875" xr:uid="{B8A4BA49-F08E-4D05-A0DA-7C3E95658364}"/>
    <cellStyle name="Normal 2 4 2 3 2 3 3 3" xfId="5506" xr:uid="{00000000-0005-0000-0000-0000C90E0000}"/>
    <cellStyle name="Normal 2 4 2 3 2 3 3 3 2" xfId="13948" xr:uid="{3E91035D-5181-49B4-BA54-0B19DD880195}"/>
    <cellStyle name="Normal 2 4 2 3 2 3 3 4" xfId="9730" xr:uid="{D5EFF12F-776E-4C0B-80D1-002C7BA6B6B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749EF748-6115-428B-8F66-A43E0A55358A}"/>
    <cellStyle name="Normal 2 4 2 3 2 3 4 2 3" xfId="12288" xr:uid="{E0C00427-299C-4B01-91B9-1CD645C1BDCB}"/>
    <cellStyle name="Normal 2 4 2 3 2 3 4 3" xfId="5919" xr:uid="{00000000-0005-0000-0000-0000CD0E0000}"/>
    <cellStyle name="Normal 2 4 2 3 2 3 4 3 2" xfId="14361" xr:uid="{446654C5-FE95-461F-9D34-556A294F7134}"/>
    <cellStyle name="Normal 2 4 2 3 2 3 4 4" xfId="10143" xr:uid="{778D9BA8-ED3A-4404-8778-BF2E087FF731}"/>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566585AF-CA94-4AA7-9D42-CF94CD300575}"/>
    <cellStyle name="Normal 2 4 2 3 2 3 5 2 3" xfId="12701" xr:uid="{5CA7785E-4E5A-4E3F-8BCC-824C815CEF57}"/>
    <cellStyle name="Normal 2 4 2 3 2 3 5 3" xfId="6332" xr:uid="{00000000-0005-0000-0000-0000D10E0000}"/>
    <cellStyle name="Normal 2 4 2 3 2 3 5 3 2" xfId="14774" xr:uid="{3A0E9D65-CCAF-4AF5-8518-CAFEFA9F74F1}"/>
    <cellStyle name="Normal 2 4 2 3 2 3 5 4" xfId="10556" xr:uid="{93478312-E507-4C32-98AD-DC4DD670EBE3}"/>
    <cellStyle name="Normal 2 4 2 3 2 3 6" xfId="2461" xr:uid="{00000000-0005-0000-0000-0000D20E0000}"/>
    <cellStyle name="Normal 2 4 2 3 2 3 6 2" xfId="6745" xr:uid="{00000000-0005-0000-0000-0000D30E0000}"/>
    <cellStyle name="Normal 2 4 2 3 2 3 6 2 2" xfId="15187" xr:uid="{CC4E9004-0BED-4770-BB3E-A9F82E779B60}"/>
    <cellStyle name="Normal 2 4 2 3 2 3 6 3" xfId="10969" xr:uid="{A7197DA6-1C2D-4EAF-912E-1D4DE1809AF5}"/>
    <cellStyle name="Normal 2 4 2 3 2 3 7" xfId="4679" xr:uid="{00000000-0005-0000-0000-0000D40E0000}"/>
    <cellStyle name="Normal 2 4 2 3 2 3 7 2" xfId="13121" xr:uid="{9C9F49D1-E47E-4618-9EBA-0B0ABE0428F8}"/>
    <cellStyle name="Normal 2 4 2 3 2 3 8" xfId="8903" xr:uid="{65C97C09-BC2B-4530-AE17-BC3903AE3589}"/>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C2F68EC7-B173-4D99-A23E-F52ED511D8B4}"/>
    <cellStyle name="Normal 2 4 2 3 2 4 2 3" xfId="11459" xr:uid="{5D24B69B-32C2-45A7-A3A1-53946AE47B07}"/>
    <cellStyle name="Normal 2 4 2 3 2 4 3" xfId="5090" xr:uid="{00000000-0005-0000-0000-0000D80E0000}"/>
    <cellStyle name="Normal 2 4 2 3 2 4 3 2" xfId="13532" xr:uid="{B3A4CED8-A09D-4EE7-8601-11A0D4BE2D71}"/>
    <cellStyle name="Normal 2 4 2 3 2 4 4" xfId="9314" xr:uid="{7AF1FDD1-B9DB-4FD2-B1A4-15684A4AE251}"/>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9276F088-A52C-4E1B-9687-E2189F42CCB5}"/>
    <cellStyle name="Normal 2 4 2 3 2 5 2 3" xfId="11872" xr:uid="{FB7D6B8C-1B18-4CE2-8EF8-850D6632D515}"/>
    <cellStyle name="Normal 2 4 2 3 2 5 3" xfId="5503" xr:uid="{00000000-0005-0000-0000-0000DC0E0000}"/>
    <cellStyle name="Normal 2 4 2 3 2 5 3 2" xfId="13945" xr:uid="{19AD5ED4-2A35-4D6E-A7E3-2154B44DACB9}"/>
    <cellStyle name="Normal 2 4 2 3 2 5 4" xfId="9727" xr:uid="{98D8B8DA-DE4B-48C1-A6D1-CDF7B11485DF}"/>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97A9377E-7C91-495E-8C85-1D8652B341BC}"/>
    <cellStyle name="Normal 2 4 2 3 2 6 2 3" xfId="12285" xr:uid="{50986C9F-DC39-4825-81CD-F9EAAB4E778F}"/>
    <cellStyle name="Normal 2 4 2 3 2 6 3" xfId="5916" xr:uid="{00000000-0005-0000-0000-0000E00E0000}"/>
    <cellStyle name="Normal 2 4 2 3 2 6 3 2" xfId="14358" xr:uid="{00FF39EC-C6C4-4469-A2F9-13020C1FCE52}"/>
    <cellStyle name="Normal 2 4 2 3 2 6 4" xfId="10140" xr:uid="{0B6CD54C-32E3-4844-A934-6B7B03CFBAE1}"/>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ED414123-611F-4D79-BFB6-2E3B06EBAF5D}"/>
    <cellStyle name="Normal 2 4 2 3 2 7 2 3" xfId="12698" xr:uid="{D7AD4BA2-BABD-43BE-9256-718A9EC1FD1B}"/>
    <cellStyle name="Normal 2 4 2 3 2 7 3" xfId="6329" xr:uid="{00000000-0005-0000-0000-0000E40E0000}"/>
    <cellStyle name="Normal 2 4 2 3 2 7 3 2" xfId="14771" xr:uid="{1DEBD3A1-CE75-436D-B699-F5B6452F6F2C}"/>
    <cellStyle name="Normal 2 4 2 3 2 7 4" xfId="10553" xr:uid="{F4A9D0C2-E8C3-4F87-9E24-4E3C0B807676}"/>
    <cellStyle name="Normal 2 4 2 3 2 8" xfId="2458" xr:uid="{00000000-0005-0000-0000-0000E50E0000}"/>
    <cellStyle name="Normal 2 4 2 3 2 8 2" xfId="6742" xr:uid="{00000000-0005-0000-0000-0000E60E0000}"/>
    <cellStyle name="Normal 2 4 2 3 2 8 2 2" xfId="15184" xr:uid="{A932E49E-5383-4E7C-B035-07A7E7F2842A}"/>
    <cellStyle name="Normal 2 4 2 3 2 8 3" xfId="10966" xr:uid="{2797EBC8-F9EE-4839-85F0-4A0A0F9BCDED}"/>
    <cellStyle name="Normal 2 4 2 3 2 9" xfId="4676" xr:uid="{00000000-0005-0000-0000-0000E70E0000}"/>
    <cellStyle name="Normal 2 4 2 3 2 9 2" xfId="13118" xr:uid="{73151FF9-7646-41C1-8830-DCF995CC534A}"/>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602230C8-440E-40D0-A738-575962699B08}"/>
    <cellStyle name="Normal 2 4 2 3 3 2 2 2 3" xfId="11464" xr:uid="{064F6D39-CBF8-43A3-9C37-9724C7B3CB7A}"/>
    <cellStyle name="Normal 2 4 2 3 3 2 2 3" xfId="5095" xr:uid="{00000000-0005-0000-0000-0000ED0E0000}"/>
    <cellStyle name="Normal 2 4 2 3 3 2 2 3 2" xfId="13537" xr:uid="{90633E75-59D7-49F1-9B10-05539D479DF3}"/>
    <cellStyle name="Normal 2 4 2 3 3 2 2 4" xfId="9319" xr:uid="{74CFC692-9211-4578-8A62-FAD5B573DE94}"/>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36151004-1CAD-4166-AE74-BE2F0B0F2CDA}"/>
    <cellStyle name="Normal 2 4 2 3 3 2 3 2 3" xfId="11877" xr:uid="{370BC36D-FA5C-48E4-BA33-CACE5E5EF1ED}"/>
    <cellStyle name="Normal 2 4 2 3 3 2 3 3" xfId="5508" xr:uid="{00000000-0005-0000-0000-0000F10E0000}"/>
    <cellStyle name="Normal 2 4 2 3 3 2 3 3 2" xfId="13950" xr:uid="{9BD485A3-779F-4405-A6B5-0E8CC2262A3D}"/>
    <cellStyle name="Normal 2 4 2 3 3 2 3 4" xfId="9732" xr:uid="{3097AA40-0509-4F47-A0EC-4BC8970EFBC8}"/>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722C0344-D3D5-4C10-81CF-A4855BD316F9}"/>
    <cellStyle name="Normal 2 4 2 3 3 2 4 2 3" xfId="12290" xr:uid="{12E821B2-4278-4D4B-A1F5-BF966F118ED9}"/>
    <cellStyle name="Normal 2 4 2 3 3 2 4 3" xfId="5921" xr:uid="{00000000-0005-0000-0000-0000F50E0000}"/>
    <cellStyle name="Normal 2 4 2 3 3 2 4 3 2" xfId="14363" xr:uid="{3D4BE380-F05D-4AD3-8B93-DBE50E23381E}"/>
    <cellStyle name="Normal 2 4 2 3 3 2 4 4" xfId="10145" xr:uid="{D2E4F997-80A3-4058-A75D-50FD18C61553}"/>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EC72F49F-0CCC-447E-865F-0FCB5FD338B9}"/>
    <cellStyle name="Normal 2 4 2 3 3 2 5 2 3" xfId="12703" xr:uid="{B5F48535-019C-49F6-8248-C87C684DA7BC}"/>
    <cellStyle name="Normal 2 4 2 3 3 2 5 3" xfId="6334" xr:uid="{00000000-0005-0000-0000-0000F90E0000}"/>
    <cellStyle name="Normal 2 4 2 3 3 2 5 3 2" xfId="14776" xr:uid="{ADBEE74B-1BFA-405B-A4BC-3020E17A14E0}"/>
    <cellStyle name="Normal 2 4 2 3 3 2 5 4" xfId="10558" xr:uid="{2A5F334E-E38C-4088-B0D3-5ACC593FE3AD}"/>
    <cellStyle name="Normal 2 4 2 3 3 2 6" xfId="2463" xr:uid="{00000000-0005-0000-0000-0000FA0E0000}"/>
    <cellStyle name="Normal 2 4 2 3 3 2 6 2" xfId="6747" xr:uid="{00000000-0005-0000-0000-0000FB0E0000}"/>
    <cellStyle name="Normal 2 4 2 3 3 2 6 2 2" xfId="15189" xr:uid="{A3203FA7-BC44-4D30-801F-0B632A9E0641}"/>
    <cellStyle name="Normal 2 4 2 3 3 2 6 3" xfId="10971" xr:uid="{B66A8A9E-0F4F-4A2B-B249-2C37C872B008}"/>
    <cellStyle name="Normal 2 4 2 3 3 2 7" xfId="4681" xr:uid="{00000000-0005-0000-0000-0000FC0E0000}"/>
    <cellStyle name="Normal 2 4 2 3 3 2 7 2" xfId="13123" xr:uid="{93260EBC-DD2C-4B24-A206-4F2C998E3B74}"/>
    <cellStyle name="Normal 2 4 2 3 3 2 8" xfId="8905" xr:uid="{899383C3-EBE5-4010-BB4A-ECC7A817333D}"/>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BBFFB219-D952-4D59-9AAF-7B4155D0C9D4}"/>
    <cellStyle name="Normal 2 4 2 3 3 3 2 3" xfId="11463" xr:uid="{712B707A-2E70-424D-8C59-6699975D070B}"/>
    <cellStyle name="Normal 2 4 2 3 3 3 3" xfId="5094" xr:uid="{00000000-0005-0000-0000-0000000F0000}"/>
    <cellStyle name="Normal 2 4 2 3 3 3 3 2" xfId="13536" xr:uid="{186AD5C5-5A97-4135-B282-35B144B135DD}"/>
    <cellStyle name="Normal 2 4 2 3 3 3 4" xfId="9318" xr:uid="{2F9E6285-1CAA-456E-A967-23F2193C680E}"/>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5BA15451-380B-4787-99C3-CC53D0F63EDE}"/>
    <cellStyle name="Normal 2 4 2 3 3 4 2 3" xfId="11876" xr:uid="{BAAA4D8E-9A55-4382-9A4E-EFA17D94510A}"/>
    <cellStyle name="Normal 2 4 2 3 3 4 3" xfId="5507" xr:uid="{00000000-0005-0000-0000-0000040F0000}"/>
    <cellStyle name="Normal 2 4 2 3 3 4 3 2" xfId="13949" xr:uid="{CFB70377-EA10-4893-BDC5-B1E913423506}"/>
    <cellStyle name="Normal 2 4 2 3 3 4 4" xfId="9731" xr:uid="{A64C645F-FBD7-4F43-8745-8D46C46D1CDC}"/>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5EBEF79D-0B0E-49C0-AD82-5F0469BF4CB8}"/>
    <cellStyle name="Normal 2 4 2 3 3 5 2 3" xfId="12289" xr:uid="{0825CD06-B603-4A04-B477-4426FC764A01}"/>
    <cellStyle name="Normal 2 4 2 3 3 5 3" xfId="5920" xr:uid="{00000000-0005-0000-0000-0000080F0000}"/>
    <cellStyle name="Normal 2 4 2 3 3 5 3 2" xfId="14362" xr:uid="{EA177AD9-D46B-47D5-92C2-BB19C105F31B}"/>
    <cellStyle name="Normal 2 4 2 3 3 5 4" xfId="10144" xr:uid="{CB496A08-0BC6-4B19-8D50-BA11547057B9}"/>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C5E1A245-0E9A-4418-BBB4-7F366123FC79}"/>
    <cellStyle name="Normal 2 4 2 3 3 6 2 3" xfId="12702" xr:uid="{6B245B51-8C76-4414-855E-3DEFCF101075}"/>
    <cellStyle name="Normal 2 4 2 3 3 6 3" xfId="6333" xr:uid="{00000000-0005-0000-0000-00000C0F0000}"/>
    <cellStyle name="Normal 2 4 2 3 3 6 3 2" xfId="14775" xr:uid="{69A24C28-0C39-4C12-9270-45E323B1E15A}"/>
    <cellStyle name="Normal 2 4 2 3 3 6 4" xfId="10557" xr:uid="{B9AC7034-5BA6-4351-8BE2-BD50FA43E0B7}"/>
    <cellStyle name="Normal 2 4 2 3 3 7" xfId="2462" xr:uid="{00000000-0005-0000-0000-00000D0F0000}"/>
    <cellStyle name="Normal 2 4 2 3 3 7 2" xfId="6746" xr:uid="{00000000-0005-0000-0000-00000E0F0000}"/>
    <cellStyle name="Normal 2 4 2 3 3 7 2 2" xfId="15188" xr:uid="{F42DF6D5-9F46-462F-9233-9357209A2AFB}"/>
    <cellStyle name="Normal 2 4 2 3 3 7 3" xfId="10970" xr:uid="{B5CBF52D-307C-476D-89C9-F02FB557A75C}"/>
    <cellStyle name="Normal 2 4 2 3 3 8" xfId="4680" xr:uid="{00000000-0005-0000-0000-00000F0F0000}"/>
    <cellStyle name="Normal 2 4 2 3 3 8 2" xfId="13122" xr:uid="{096BBFBE-EBB3-4F91-920A-1112D787FB7A}"/>
    <cellStyle name="Normal 2 4 2 3 3 9" xfId="8904" xr:uid="{AF5AEA98-7E59-4CAB-B9DA-DAD869FBBD8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297AA657-471B-4A1A-AC92-1051F2B6B302}"/>
    <cellStyle name="Normal 2 4 2 3 4 2 2 3" xfId="11465" xr:uid="{BDD5D9BC-145E-4EE8-AC06-A76AABFFD794}"/>
    <cellStyle name="Normal 2 4 2 3 4 2 3" xfId="5096" xr:uid="{00000000-0005-0000-0000-0000140F0000}"/>
    <cellStyle name="Normal 2 4 2 3 4 2 3 2" xfId="13538" xr:uid="{FE7CD1C5-15D5-4CA5-805D-9B87601DE022}"/>
    <cellStyle name="Normal 2 4 2 3 4 2 4" xfId="9320" xr:uid="{BC7505A5-EC6A-4A21-8191-3C2DABFE7D51}"/>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F94BA8D8-B09E-4F64-8D47-F3AB905FA718}"/>
    <cellStyle name="Normal 2 4 2 3 4 3 2 3" xfId="11878" xr:uid="{56F20247-9AC7-4390-8AAF-E06586040877}"/>
    <cellStyle name="Normal 2 4 2 3 4 3 3" xfId="5509" xr:uid="{00000000-0005-0000-0000-0000180F0000}"/>
    <cellStyle name="Normal 2 4 2 3 4 3 3 2" xfId="13951" xr:uid="{D02D75EF-4488-4383-9558-8898B7F5BC67}"/>
    <cellStyle name="Normal 2 4 2 3 4 3 4" xfId="9733" xr:uid="{92429F75-87B5-4AA0-AC57-A7F4AAD7760C}"/>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EEA9F6B6-F52B-4DFA-BC87-0441BCEF1204}"/>
    <cellStyle name="Normal 2 4 2 3 4 4 2 3" xfId="12291" xr:uid="{65832DAD-064E-447D-A6BC-674815D5FD20}"/>
    <cellStyle name="Normal 2 4 2 3 4 4 3" xfId="5922" xr:uid="{00000000-0005-0000-0000-00001C0F0000}"/>
    <cellStyle name="Normal 2 4 2 3 4 4 3 2" xfId="14364" xr:uid="{88B5868B-24BA-4C44-B395-39B2A4FD2C76}"/>
    <cellStyle name="Normal 2 4 2 3 4 4 4" xfId="10146" xr:uid="{C3F5BC3C-712E-422B-B7EF-D7F4A866D18C}"/>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B21EA890-8420-4AF9-85D3-3E703CE59541}"/>
    <cellStyle name="Normal 2 4 2 3 4 5 2 3" xfId="12704" xr:uid="{EE79FE91-AB5C-489B-8AE9-EEF826F46C7D}"/>
    <cellStyle name="Normal 2 4 2 3 4 5 3" xfId="6335" xr:uid="{00000000-0005-0000-0000-0000200F0000}"/>
    <cellStyle name="Normal 2 4 2 3 4 5 3 2" xfId="14777" xr:uid="{EC611919-BE9E-434D-9006-A84A5C1A4D43}"/>
    <cellStyle name="Normal 2 4 2 3 4 5 4" xfId="10559" xr:uid="{CB994436-BAB7-4F8F-A9C7-2959A6499CC1}"/>
    <cellStyle name="Normal 2 4 2 3 4 6" xfId="2464" xr:uid="{00000000-0005-0000-0000-0000210F0000}"/>
    <cellStyle name="Normal 2 4 2 3 4 6 2" xfId="6748" xr:uid="{00000000-0005-0000-0000-0000220F0000}"/>
    <cellStyle name="Normal 2 4 2 3 4 6 2 2" xfId="15190" xr:uid="{C4C57074-86A6-4CBE-A949-5FBE1ECCEB61}"/>
    <cellStyle name="Normal 2 4 2 3 4 6 3" xfId="10972" xr:uid="{4760C6A9-6727-4A80-A7F8-2E84A018D0E0}"/>
    <cellStyle name="Normal 2 4 2 3 4 7" xfId="4682" xr:uid="{00000000-0005-0000-0000-0000230F0000}"/>
    <cellStyle name="Normal 2 4 2 3 4 7 2" xfId="13124" xr:uid="{DCE2DE2C-A2AD-4A5D-8968-6FEF0EFEAA36}"/>
    <cellStyle name="Normal 2 4 2 3 4 8" xfId="8906" xr:uid="{9343AA59-3509-44A3-9ACB-7FDD1AF7C1A5}"/>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8D204DDB-FEEE-4727-9F2F-AB9C8D40CC3C}"/>
    <cellStyle name="Normal 2 4 2 3 5 2 3" xfId="11458" xr:uid="{EEFCEFDC-A466-4C64-9455-FEA5E27B56D0}"/>
    <cellStyle name="Normal 2 4 2 3 5 3" xfId="5089" xr:uid="{00000000-0005-0000-0000-0000270F0000}"/>
    <cellStyle name="Normal 2 4 2 3 5 3 2" xfId="13531" xr:uid="{D1044DFE-C139-44FF-9370-79A3AA9EF201}"/>
    <cellStyle name="Normal 2 4 2 3 5 4" xfId="9313" xr:uid="{12C3598D-39E2-4502-8E02-E99E2694C2AD}"/>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E3D24462-EC2C-425F-A3B3-C448B762C3BB}"/>
    <cellStyle name="Normal 2 4 2 3 6 2 3" xfId="11871" xr:uid="{229798D7-1E78-42EB-BF03-D094E75AB673}"/>
    <cellStyle name="Normal 2 4 2 3 6 3" xfId="5502" xr:uid="{00000000-0005-0000-0000-00002B0F0000}"/>
    <cellStyle name="Normal 2 4 2 3 6 3 2" xfId="13944" xr:uid="{1412849B-51EA-4E19-938F-E5516587B5AC}"/>
    <cellStyle name="Normal 2 4 2 3 6 4" xfId="9726" xr:uid="{4C1123DF-65F1-46AC-AE59-27132632868A}"/>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D5F0709C-EABF-4A5D-A74B-C7639ED9D6A4}"/>
    <cellStyle name="Normal 2 4 2 3 7 2 3" xfId="12284" xr:uid="{EBA0EBE2-F605-47BA-A437-7C4F9AC0BCA8}"/>
    <cellStyle name="Normal 2 4 2 3 7 3" xfId="5915" xr:uid="{00000000-0005-0000-0000-00002F0F0000}"/>
    <cellStyle name="Normal 2 4 2 3 7 3 2" xfId="14357" xr:uid="{41FACF12-5846-4977-854D-6229580C3D56}"/>
    <cellStyle name="Normal 2 4 2 3 7 4" xfId="10139" xr:uid="{0A2659F4-CB8D-4A50-85C2-16047AF1526F}"/>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7C24D32C-3EC4-4A98-967B-0E042DA8085B}"/>
    <cellStyle name="Normal 2 4 2 3 8 2 3" xfId="12697" xr:uid="{14B9CC00-2A25-449E-8025-4C35DFF990FD}"/>
    <cellStyle name="Normal 2 4 2 3 8 3" xfId="6328" xr:uid="{00000000-0005-0000-0000-0000330F0000}"/>
    <cellStyle name="Normal 2 4 2 3 8 3 2" xfId="14770" xr:uid="{3E23DF1E-E37B-43AB-8D9C-849572610CD4}"/>
    <cellStyle name="Normal 2 4 2 3 8 4" xfId="10552" xr:uid="{BCD66C0E-BB70-4703-BDA5-435A9CBC1FFB}"/>
    <cellStyle name="Normal 2 4 2 3 9" xfId="2457" xr:uid="{00000000-0005-0000-0000-0000340F0000}"/>
    <cellStyle name="Normal 2 4 2 3 9 2" xfId="6741" xr:uid="{00000000-0005-0000-0000-0000350F0000}"/>
    <cellStyle name="Normal 2 4 2 3 9 2 2" xfId="15183" xr:uid="{05B7C585-CFCF-416B-A6F9-049F817753A1}"/>
    <cellStyle name="Normal 2 4 2 3 9 3" xfId="10965" xr:uid="{B72C8671-AC1E-48B7-B775-26C935859F3C}"/>
    <cellStyle name="Normal 2 4 2 4" xfId="289" xr:uid="{00000000-0005-0000-0000-0000360F0000}"/>
    <cellStyle name="Normal 2 4 2 4 10" xfId="8907" xr:uid="{33B94311-9A28-4D05-BFEB-1516357AFBB3}"/>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344B3C02-AC3E-418C-8D8E-68D603A23D8D}"/>
    <cellStyle name="Normal 2 4 2 4 2 2 2 2 3" xfId="11468" xr:uid="{49040430-63AA-4545-BD26-54AFD452D923}"/>
    <cellStyle name="Normal 2 4 2 4 2 2 2 3" xfId="5099" xr:uid="{00000000-0005-0000-0000-00003C0F0000}"/>
    <cellStyle name="Normal 2 4 2 4 2 2 2 3 2" xfId="13541" xr:uid="{69FBD28C-0C16-47AC-B957-C6FD11AD8D9F}"/>
    <cellStyle name="Normal 2 4 2 4 2 2 2 4" xfId="9323" xr:uid="{9C019C1F-FC94-46AA-B52D-0A16B611CB9B}"/>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D0B3A07D-7F1E-4A0F-BA20-140464A5B54A}"/>
    <cellStyle name="Normal 2 4 2 4 2 2 3 2 3" xfId="11881" xr:uid="{20AF6930-5C59-4D33-9EFC-4322EC6D774C}"/>
    <cellStyle name="Normal 2 4 2 4 2 2 3 3" xfId="5512" xr:uid="{00000000-0005-0000-0000-0000400F0000}"/>
    <cellStyle name="Normal 2 4 2 4 2 2 3 3 2" xfId="13954" xr:uid="{F6131F18-D8DC-41B6-8AD4-C22BE2BC4184}"/>
    <cellStyle name="Normal 2 4 2 4 2 2 3 4" xfId="9736" xr:uid="{2E69A998-5188-4200-84B4-53E024728F45}"/>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1983E2AB-E80B-4974-B1CD-988C30BB57BF}"/>
    <cellStyle name="Normal 2 4 2 4 2 2 4 2 3" xfId="12294" xr:uid="{E1B4DDB9-2EC1-448E-9E73-19C96FFB2F54}"/>
    <cellStyle name="Normal 2 4 2 4 2 2 4 3" xfId="5925" xr:uid="{00000000-0005-0000-0000-0000440F0000}"/>
    <cellStyle name="Normal 2 4 2 4 2 2 4 3 2" xfId="14367" xr:uid="{22E9DC4D-B744-4990-81E5-D69965D302D7}"/>
    <cellStyle name="Normal 2 4 2 4 2 2 4 4" xfId="10149" xr:uid="{DB16C9C0-407A-4EA7-BAB5-71EF20393413}"/>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3DC0D14C-0F27-4950-B240-4FFA9BAE8D6B}"/>
    <cellStyle name="Normal 2 4 2 4 2 2 5 2 3" xfId="12707" xr:uid="{7F17477B-E557-4797-AC0E-AB086DC067AF}"/>
    <cellStyle name="Normal 2 4 2 4 2 2 5 3" xfId="6338" xr:uid="{00000000-0005-0000-0000-0000480F0000}"/>
    <cellStyle name="Normal 2 4 2 4 2 2 5 3 2" xfId="14780" xr:uid="{D9AE3FFD-562C-4313-B28C-DE4D2C47B74E}"/>
    <cellStyle name="Normal 2 4 2 4 2 2 5 4" xfId="10562" xr:uid="{C639E5E2-875C-47EC-AB88-A93715116A6F}"/>
    <cellStyle name="Normal 2 4 2 4 2 2 6" xfId="2467" xr:uid="{00000000-0005-0000-0000-0000490F0000}"/>
    <cellStyle name="Normal 2 4 2 4 2 2 6 2" xfId="6751" xr:uid="{00000000-0005-0000-0000-00004A0F0000}"/>
    <cellStyle name="Normal 2 4 2 4 2 2 6 2 2" xfId="15193" xr:uid="{7984CD8F-0BB0-4FCB-A79C-B4F0C6A4E1B1}"/>
    <cellStyle name="Normal 2 4 2 4 2 2 6 3" xfId="10975" xr:uid="{44DBBCFD-F318-488C-A2B4-884FCF0FCB95}"/>
    <cellStyle name="Normal 2 4 2 4 2 2 7" xfId="4685" xr:uid="{00000000-0005-0000-0000-00004B0F0000}"/>
    <cellStyle name="Normal 2 4 2 4 2 2 7 2" xfId="13127" xr:uid="{57961759-2E73-4B95-9D1A-31EAFFB9BC1A}"/>
    <cellStyle name="Normal 2 4 2 4 2 2 8" xfId="8909" xr:uid="{8F294F37-7D7F-49C9-9566-4184EBCD9467}"/>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BF8A8B3D-5B11-49EF-AAAC-7F7238E10BB9}"/>
    <cellStyle name="Normal 2 4 2 4 2 3 2 3" xfId="11467" xr:uid="{BF8FC74F-B27E-4869-8E49-F135360BDA8B}"/>
    <cellStyle name="Normal 2 4 2 4 2 3 3" xfId="5098" xr:uid="{00000000-0005-0000-0000-00004F0F0000}"/>
    <cellStyle name="Normal 2 4 2 4 2 3 3 2" xfId="13540" xr:uid="{203F4081-A5D7-45B1-88A1-6FEC0EE35036}"/>
    <cellStyle name="Normal 2 4 2 4 2 3 4" xfId="9322" xr:uid="{D96335CC-9C05-43B2-B73B-5480DE693CDE}"/>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E7BEBCEA-CBD5-4547-8245-D469FA4477F9}"/>
    <cellStyle name="Normal 2 4 2 4 2 4 2 3" xfId="11880" xr:uid="{38054824-2021-4D89-916B-BE6143DA7E73}"/>
    <cellStyle name="Normal 2 4 2 4 2 4 3" xfId="5511" xr:uid="{00000000-0005-0000-0000-0000530F0000}"/>
    <cellStyle name="Normal 2 4 2 4 2 4 3 2" xfId="13953" xr:uid="{D2FCF972-BA19-4CF8-B945-3605AF060CA0}"/>
    <cellStyle name="Normal 2 4 2 4 2 4 4" xfId="9735" xr:uid="{7FCD8605-DDDC-4459-B08D-30F087CCD187}"/>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CF74CDA4-8B70-4111-9D53-A52FCF649057}"/>
    <cellStyle name="Normal 2 4 2 4 2 5 2 3" xfId="12293" xr:uid="{B27BF0B8-DB7C-4250-B981-6F2B08574219}"/>
    <cellStyle name="Normal 2 4 2 4 2 5 3" xfId="5924" xr:uid="{00000000-0005-0000-0000-0000570F0000}"/>
    <cellStyle name="Normal 2 4 2 4 2 5 3 2" xfId="14366" xr:uid="{4C556E7D-E478-4E1B-A1EF-3FA67B14C225}"/>
    <cellStyle name="Normal 2 4 2 4 2 5 4" xfId="10148" xr:uid="{B338A384-9E93-45D1-9215-28ADEEBC8B21}"/>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42DA6C89-8E24-45BA-B2E7-F444DF891EBE}"/>
    <cellStyle name="Normal 2 4 2 4 2 6 2 3" xfId="12706" xr:uid="{8A5856EF-2416-4959-BF55-DBE0F551226F}"/>
    <cellStyle name="Normal 2 4 2 4 2 6 3" xfId="6337" xr:uid="{00000000-0005-0000-0000-00005B0F0000}"/>
    <cellStyle name="Normal 2 4 2 4 2 6 3 2" xfId="14779" xr:uid="{01AA5BF0-B7C1-484D-8AAA-1CE5019922BE}"/>
    <cellStyle name="Normal 2 4 2 4 2 6 4" xfId="10561" xr:uid="{9F5CF4C5-7B64-4615-813A-E115297E23A1}"/>
    <cellStyle name="Normal 2 4 2 4 2 7" xfId="2466" xr:uid="{00000000-0005-0000-0000-00005C0F0000}"/>
    <cellStyle name="Normal 2 4 2 4 2 7 2" xfId="6750" xr:uid="{00000000-0005-0000-0000-00005D0F0000}"/>
    <cellStyle name="Normal 2 4 2 4 2 7 2 2" xfId="15192" xr:uid="{1489E468-4046-4EC7-938A-FDA030DFDD7C}"/>
    <cellStyle name="Normal 2 4 2 4 2 7 3" xfId="10974" xr:uid="{6555292B-1DA2-4C52-BE80-BA72B3663C1A}"/>
    <cellStyle name="Normal 2 4 2 4 2 8" xfId="4684" xr:uid="{00000000-0005-0000-0000-00005E0F0000}"/>
    <cellStyle name="Normal 2 4 2 4 2 8 2" xfId="13126" xr:uid="{C98A76C2-8925-4C02-A559-BA335B545215}"/>
    <cellStyle name="Normal 2 4 2 4 2 9" xfId="8908" xr:uid="{D0EFD990-1137-4356-8D7E-B8187E8B7C3A}"/>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D0D9990F-761E-4CE2-A786-E6BF6E8E7741}"/>
    <cellStyle name="Normal 2 4 2 4 3 2 2 3" xfId="11469" xr:uid="{5A13A8EC-BAEA-4132-BE39-28934017854A}"/>
    <cellStyle name="Normal 2 4 2 4 3 2 3" xfId="5100" xr:uid="{00000000-0005-0000-0000-0000630F0000}"/>
    <cellStyle name="Normal 2 4 2 4 3 2 3 2" xfId="13542" xr:uid="{6F01A135-68DB-4872-B1FB-9D4F725B69CC}"/>
    <cellStyle name="Normal 2 4 2 4 3 2 4" xfId="9324" xr:uid="{C3C166F6-BB13-40FD-8E5F-118B6C720276}"/>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97CD1D09-8C57-42EC-B739-C693AF0E3E11}"/>
    <cellStyle name="Normal 2 4 2 4 3 3 2 3" xfId="11882" xr:uid="{3274A667-26DB-4E18-B055-C444EA000FDB}"/>
    <cellStyle name="Normal 2 4 2 4 3 3 3" xfId="5513" xr:uid="{00000000-0005-0000-0000-0000670F0000}"/>
    <cellStyle name="Normal 2 4 2 4 3 3 3 2" xfId="13955" xr:uid="{D6FD81DD-94C4-4552-8F06-6D3BF7BC61DE}"/>
    <cellStyle name="Normal 2 4 2 4 3 3 4" xfId="9737" xr:uid="{F34CFBE1-3F7B-4DB5-B163-1B582B67DE6F}"/>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874E9948-3EC6-4109-BE17-CD745DDB6D37}"/>
    <cellStyle name="Normal 2 4 2 4 3 4 2 3" xfId="12295" xr:uid="{3ADCAB74-FCD9-4064-A3D8-355D86CF3A3E}"/>
    <cellStyle name="Normal 2 4 2 4 3 4 3" xfId="5926" xr:uid="{00000000-0005-0000-0000-00006B0F0000}"/>
    <cellStyle name="Normal 2 4 2 4 3 4 3 2" xfId="14368" xr:uid="{6BD01593-F285-48D4-BB92-0A24B7B4ED2E}"/>
    <cellStyle name="Normal 2 4 2 4 3 4 4" xfId="10150" xr:uid="{21B4132B-E18E-4D38-B4A4-C94FC5B55777}"/>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8B83FC84-06BF-4EC9-9959-36532C1B04DB}"/>
    <cellStyle name="Normal 2 4 2 4 3 5 2 3" xfId="12708" xr:uid="{F3F95A02-2A24-4346-B110-3D53D7A910ED}"/>
    <cellStyle name="Normal 2 4 2 4 3 5 3" xfId="6339" xr:uid="{00000000-0005-0000-0000-00006F0F0000}"/>
    <cellStyle name="Normal 2 4 2 4 3 5 3 2" xfId="14781" xr:uid="{0B0FB43F-37D9-4B0F-91C2-800210935A04}"/>
    <cellStyle name="Normal 2 4 2 4 3 5 4" xfId="10563" xr:uid="{F034269E-85AC-4EC7-89FB-077F8FB2FB3C}"/>
    <cellStyle name="Normal 2 4 2 4 3 6" xfId="2468" xr:uid="{00000000-0005-0000-0000-0000700F0000}"/>
    <cellStyle name="Normal 2 4 2 4 3 6 2" xfId="6752" xr:uid="{00000000-0005-0000-0000-0000710F0000}"/>
    <cellStyle name="Normal 2 4 2 4 3 6 2 2" xfId="15194" xr:uid="{5AABC8CC-E3A9-4A4E-A4E0-4AB6BDD8661B}"/>
    <cellStyle name="Normal 2 4 2 4 3 6 3" xfId="10976" xr:uid="{0D1D46CF-DE0D-4F6E-B385-6904950C1A9D}"/>
    <cellStyle name="Normal 2 4 2 4 3 7" xfId="4686" xr:uid="{00000000-0005-0000-0000-0000720F0000}"/>
    <cellStyle name="Normal 2 4 2 4 3 7 2" xfId="13128" xr:uid="{ED320250-43F0-4372-B823-7351F3DA882F}"/>
    <cellStyle name="Normal 2 4 2 4 3 8" xfId="8910" xr:uid="{0F732416-79E8-49BF-9997-B0C89B6B67C3}"/>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120B4C5C-3552-486F-A8BE-F22AF3C800AD}"/>
    <cellStyle name="Normal 2 4 2 4 4 2 3" xfId="11466" xr:uid="{AC10B140-7D77-4A7D-AB72-1A2D3CF7FE1F}"/>
    <cellStyle name="Normal 2 4 2 4 4 3" xfId="5097" xr:uid="{00000000-0005-0000-0000-0000760F0000}"/>
    <cellStyle name="Normal 2 4 2 4 4 3 2" xfId="13539" xr:uid="{65264296-DB02-4D57-9D7B-10A2CB50E3FE}"/>
    <cellStyle name="Normal 2 4 2 4 4 4" xfId="9321" xr:uid="{81A643FA-1C76-4DCC-90CB-9624103BB879}"/>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E657451A-DF34-4925-8116-6BDADCAC96BC}"/>
    <cellStyle name="Normal 2 4 2 4 5 2 3" xfId="11879" xr:uid="{B6347E0D-7486-48EB-9C27-CE340FA4AC69}"/>
    <cellStyle name="Normal 2 4 2 4 5 3" xfId="5510" xr:uid="{00000000-0005-0000-0000-00007A0F0000}"/>
    <cellStyle name="Normal 2 4 2 4 5 3 2" xfId="13952" xr:uid="{D34FBA84-CD85-4B34-8924-A1BCA8A07269}"/>
    <cellStyle name="Normal 2 4 2 4 5 4" xfId="9734" xr:uid="{F8614B57-34E2-4E3F-9D07-19605BB204F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CE759A76-714E-4F99-9B7F-22C7FD37B5A0}"/>
    <cellStyle name="Normal 2 4 2 4 6 2 3" xfId="12292" xr:uid="{547D4821-8D79-4227-9C0D-03D02F9466B3}"/>
    <cellStyle name="Normal 2 4 2 4 6 3" xfId="5923" xr:uid="{00000000-0005-0000-0000-00007E0F0000}"/>
    <cellStyle name="Normal 2 4 2 4 6 3 2" xfId="14365" xr:uid="{5D8FFAB8-8964-4332-B88C-83C1E5B20C2E}"/>
    <cellStyle name="Normal 2 4 2 4 6 4" xfId="10147" xr:uid="{4469BFB9-4325-45CC-93F3-F1EE83A52D39}"/>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148BC606-E14C-42E7-B566-A8CF4F9AAEB3}"/>
    <cellStyle name="Normal 2 4 2 4 7 2 3" xfId="12705" xr:uid="{EA8920C2-33E5-4C42-8822-A8D6A05199F8}"/>
    <cellStyle name="Normal 2 4 2 4 7 3" xfId="6336" xr:uid="{00000000-0005-0000-0000-0000820F0000}"/>
    <cellStyle name="Normal 2 4 2 4 7 3 2" xfId="14778" xr:uid="{BB972D3F-E5E4-425E-A4A8-67E2FD486404}"/>
    <cellStyle name="Normal 2 4 2 4 7 4" xfId="10560" xr:uid="{B7BB8BB2-5CAB-4BD5-BE2D-7F5E5914C552}"/>
    <cellStyle name="Normal 2 4 2 4 8" xfId="2465" xr:uid="{00000000-0005-0000-0000-0000830F0000}"/>
    <cellStyle name="Normal 2 4 2 4 8 2" xfId="6749" xr:uid="{00000000-0005-0000-0000-0000840F0000}"/>
    <cellStyle name="Normal 2 4 2 4 8 2 2" xfId="15191" xr:uid="{0B517A1C-32F2-40EC-B367-3F5A93F8AF62}"/>
    <cellStyle name="Normal 2 4 2 4 8 3" xfId="10973" xr:uid="{2B26122F-B150-4F06-AED5-3A9B3088BF59}"/>
    <cellStyle name="Normal 2 4 2 4 9" xfId="4683" xr:uid="{00000000-0005-0000-0000-0000850F0000}"/>
    <cellStyle name="Normal 2 4 2 4 9 2" xfId="13125" xr:uid="{14811D47-7CFE-4D1C-A7D0-0FA9A2C74A6A}"/>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03FDF33B-EA91-4828-AB12-FA391903CB86}"/>
    <cellStyle name="Normal 2 4 2 5 2 2 2 3" xfId="11471" xr:uid="{2CC2FE08-B474-4AB3-B06D-D56B7CF19231}"/>
    <cellStyle name="Normal 2 4 2 5 2 2 3" xfId="5102" xr:uid="{00000000-0005-0000-0000-00008B0F0000}"/>
    <cellStyle name="Normal 2 4 2 5 2 2 3 2" xfId="13544" xr:uid="{50B57434-E09B-42EA-AE0E-78BE49BC3B4E}"/>
    <cellStyle name="Normal 2 4 2 5 2 2 4" xfId="9326" xr:uid="{2DA07054-2C31-4365-B131-CFD2D0945842}"/>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B30CAE99-7967-47B3-B2DE-47B3871548DC}"/>
    <cellStyle name="Normal 2 4 2 5 2 3 2 3" xfId="11884" xr:uid="{2C6381D7-16C8-40F6-B44D-E77698372594}"/>
    <cellStyle name="Normal 2 4 2 5 2 3 3" xfId="5515" xr:uid="{00000000-0005-0000-0000-00008F0F0000}"/>
    <cellStyle name="Normal 2 4 2 5 2 3 3 2" xfId="13957" xr:uid="{61E8D227-8A33-4613-BF23-0C1846CB7935}"/>
    <cellStyle name="Normal 2 4 2 5 2 3 4" xfId="9739" xr:uid="{2623296A-6389-4B24-9885-6FF174B4E349}"/>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01038BD9-BA64-41E7-BC68-D78818413188}"/>
    <cellStyle name="Normal 2 4 2 5 2 4 2 3" xfId="12297" xr:uid="{1C79BFF2-3542-4BDB-BFBC-7D14E72119C5}"/>
    <cellStyle name="Normal 2 4 2 5 2 4 3" xfId="5928" xr:uid="{00000000-0005-0000-0000-0000930F0000}"/>
    <cellStyle name="Normal 2 4 2 5 2 4 3 2" xfId="14370" xr:uid="{ECAE65B7-64D4-4F22-B3E7-F43767E3F8C3}"/>
    <cellStyle name="Normal 2 4 2 5 2 4 4" xfId="10152" xr:uid="{633DBD27-B4D8-414D-BB39-57BDF9244CFD}"/>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5A168D75-60AB-42A0-9F17-0DA13810DDF7}"/>
    <cellStyle name="Normal 2 4 2 5 2 5 2 3" xfId="12710" xr:uid="{3C9D810E-02E2-4998-BAED-4FABA6A22AFB}"/>
    <cellStyle name="Normal 2 4 2 5 2 5 3" xfId="6341" xr:uid="{00000000-0005-0000-0000-0000970F0000}"/>
    <cellStyle name="Normal 2 4 2 5 2 5 3 2" xfId="14783" xr:uid="{4C24E342-B35B-4416-8D2A-CDC372158B6E}"/>
    <cellStyle name="Normal 2 4 2 5 2 5 4" xfId="10565" xr:uid="{39FCE4EE-15E7-4C60-BBDB-E3671827E2BF}"/>
    <cellStyle name="Normal 2 4 2 5 2 6" xfId="2470" xr:uid="{00000000-0005-0000-0000-0000980F0000}"/>
    <cellStyle name="Normal 2 4 2 5 2 6 2" xfId="6754" xr:uid="{00000000-0005-0000-0000-0000990F0000}"/>
    <cellStyle name="Normal 2 4 2 5 2 6 2 2" xfId="15196" xr:uid="{23275927-B4AE-461B-B9DB-30B7F5829C52}"/>
    <cellStyle name="Normal 2 4 2 5 2 6 3" xfId="10978" xr:uid="{BFEFE29D-8F97-4AC6-97C4-1E1D5A6ED1C6}"/>
    <cellStyle name="Normal 2 4 2 5 2 7" xfId="4688" xr:uid="{00000000-0005-0000-0000-00009A0F0000}"/>
    <cellStyle name="Normal 2 4 2 5 2 7 2" xfId="13130" xr:uid="{B7A36713-5078-4105-BD80-2D5474C25AE0}"/>
    <cellStyle name="Normal 2 4 2 5 2 8" xfId="8912" xr:uid="{1574F97D-B5E5-41E7-B0DB-8C6753984C76}"/>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E3139C3E-5109-4194-8A33-84EC8F06DCA7}"/>
    <cellStyle name="Normal 2 4 2 5 3 2 3" xfId="11470" xr:uid="{ED4DA9AE-C8E1-4431-BD64-255610514CCF}"/>
    <cellStyle name="Normal 2 4 2 5 3 3" xfId="5101" xr:uid="{00000000-0005-0000-0000-00009E0F0000}"/>
    <cellStyle name="Normal 2 4 2 5 3 3 2" xfId="13543" xr:uid="{60EF9B6B-9252-4C6B-A750-FD418B100A38}"/>
    <cellStyle name="Normal 2 4 2 5 3 4" xfId="9325" xr:uid="{C28B2EF7-BA74-4B63-890B-66D285B8D990}"/>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3023D82E-0722-4BDD-8EE3-4C18C524B454}"/>
    <cellStyle name="Normal 2 4 2 5 4 2 3" xfId="11883" xr:uid="{5B1EF441-5DE0-46B8-9A56-1C563C436F24}"/>
    <cellStyle name="Normal 2 4 2 5 4 3" xfId="5514" xr:uid="{00000000-0005-0000-0000-0000A20F0000}"/>
    <cellStyle name="Normal 2 4 2 5 4 3 2" xfId="13956" xr:uid="{A07B48F8-348D-4BFB-9C7A-627F70E82DE8}"/>
    <cellStyle name="Normal 2 4 2 5 4 4" xfId="9738" xr:uid="{D062F394-3A30-40BC-A730-9F0AA4A92292}"/>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D832C9B5-6315-460B-B40D-BE404FD5DF0D}"/>
    <cellStyle name="Normal 2 4 2 5 5 2 3" xfId="12296" xr:uid="{252694D3-642A-48E4-A52C-98AE640CB08C}"/>
    <cellStyle name="Normal 2 4 2 5 5 3" xfId="5927" xr:uid="{00000000-0005-0000-0000-0000A60F0000}"/>
    <cellStyle name="Normal 2 4 2 5 5 3 2" xfId="14369" xr:uid="{8AE42001-D0D5-4430-9374-876C6A8FADEF}"/>
    <cellStyle name="Normal 2 4 2 5 5 4" xfId="10151" xr:uid="{6363E0B3-FB73-4C05-A15B-1EDE6DF9FF81}"/>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8F45D2BC-2CB9-49ED-8BC1-D4C990E4D321}"/>
    <cellStyle name="Normal 2 4 2 5 6 2 3" xfId="12709" xr:uid="{23E0F73C-3749-4C21-B95B-98BD8707D50B}"/>
    <cellStyle name="Normal 2 4 2 5 6 3" xfId="6340" xr:uid="{00000000-0005-0000-0000-0000AA0F0000}"/>
    <cellStyle name="Normal 2 4 2 5 6 3 2" xfId="14782" xr:uid="{880A3083-0E28-4EC6-862E-3E2938C0A333}"/>
    <cellStyle name="Normal 2 4 2 5 6 4" xfId="10564" xr:uid="{578D8E03-7821-42E1-AE09-FC40CA02506C}"/>
    <cellStyle name="Normal 2 4 2 5 7" xfId="2469" xr:uid="{00000000-0005-0000-0000-0000AB0F0000}"/>
    <cellStyle name="Normal 2 4 2 5 7 2" xfId="6753" xr:uid="{00000000-0005-0000-0000-0000AC0F0000}"/>
    <cellStyle name="Normal 2 4 2 5 7 2 2" xfId="15195" xr:uid="{DE894483-BD41-4AB4-837E-0F3BFF133377}"/>
    <cellStyle name="Normal 2 4 2 5 7 3" xfId="10977" xr:uid="{F3BBEB3C-4478-4239-A457-3813505FF7C5}"/>
    <cellStyle name="Normal 2 4 2 5 8" xfId="4687" xr:uid="{00000000-0005-0000-0000-0000AD0F0000}"/>
    <cellStyle name="Normal 2 4 2 5 8 2" xfId="13129" xr:uid="{6602331C-466B-40F6-B2DD-528F4DFCE677}"/>
    <cellStyle name="Normal 2 4 2 5 9" xfId="8911" xr:uid="{41134E2B-8572-4498-9773-1E98AD1D6A0F}"/>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B00225C7-1A62-4331-B465-865D27570B82}"/>
    <cellStyle name="Normal 2 4 2 6 2 2 3" xfId="11472" xr:uid="{DA736BC7-78F8-45C8-A84C-CA62A60486F3}"/>
    <cellStyle name="Normal 2 4 2 6 2 3" xfId="5103" xr:uid="{00000000-0005-0000-0000-0000B20F0000}"/>
    <cellStyle name="Normal 2 4 2 6 2 3 2" xfId="13545" xr:uid="{DBC329FB-2398-4790-80FB-CF5FB8B1ADD6}"/>
    <cellStyle name="Normal 2 4 2 6 2 4" xfId="9327" xr:uid="{FDAE25FA-FE5F-4598-9C68-700922191D0B}"/>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81410DCB-ABFF-43A9-8DDC-B9A3DB6443C9}"/>
    <cellStyle name="Normal 2 4 2 6 3 2 3" xfId="11885" xr:uid="{6DC18FDF-5273-4D64-8ECD-70C592798650}"/>
    <cellStyle name="Normal 2 4 2 6 3 3" xfId="5516" xr:uid="{00000000-0005-0000-0000-0000B60F0000}"/>
    <cellStyle name="Normal 2 4 2 6 3 3 2" xfId="13958" xr:uid="{E1D27CA7-166C-4C57-A2AC-E8D55C7A31D9}"/>
    <cellStyle name="Normal 2 4 2 6 3 4" xfId="9740" xr:uid="{ABD01F38-DFBD-41C7-AED0-EDB84C1286A7}"/>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57BB5982-F980-4024-876F-573B82D3D9B6}"/>
    <cellStyle name="Normal 2 4 2 6 4 2 3" xfId="12298" xr:uid="{A7E69576-8720-441D-BDD0-602F74F2C399}"/>
    <cellStyle name="Normal 2 4 2 6 4 3" xfId="5929" xr:uid="{00000000-0005-0000-0000-0000BA0F0000}"/>
    <cellStyle name="Normal 2 4 2 6 4 3 2" xfId="14371" xr:uid="{05782FFE-6D3F-413E-AD5C-DDEBF7ED24E0}"/>
    <cellStyle name="Normal 2 4 2 6 4 4" xfId="10153" xr:uid="{5AE12830-36DF-4FF3-BC71-C16160E9BAA7}"/>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AE0D78A0-4DAF-4D4E-8506-F37D54AFB886}"/>
    <cellStyle name="Normal 2 4 2 6 5 2 3" xfId="12711" xr:uid="{617ABC42-6410-4734-966B-80EC6CA7C580}"/>
    <cellStyle name="Normal 2 4 2 6 5 3" xfId="6342" xr:uid="{00000000-0005-0000-0000-0000BE0F0000}"/>
    <cellStyle name="Normal 2 4 2 6 5 3 2" xfId="14784" xr:uid="{B9436601-56AB-4B8A-B365-FAD62BFFF4E2}"/>
    <cellStyle name="Normal 2 4 2 6 5 4" xfId="10566" xr:uid="{DC129DA6-7CDF-4D1D-A5C8-6CE79E3034B5}"/>
    <cellStyle name="Normal 2 4 2 6 6" xfId="2471" xr:uid="{00000000-0005-0000-0000-0000BF0F0000}"/>
    <cellStyle name="Normal 2 4 2 6 6 2" xfId="6755" xr:uid="{00000000-0005-0000-0000-0000C00F0000}"/>
    <cellStyle name="Normal 2 4 2 6 6 2 2" xfId="15197" xr:uid="{07440487-B0A4-4AC8-A981-F86D6E55DAB8}"/>
    <cellStyle name="Normal 2 4 2 6 6 3" xfId="10979" xr:uid="{3CDDAFC1-DC00-4726-875E-9A67C06F5BD0}"/>
    <cellStyle name="Normal 2 4 2 6 7" xfId="4689" xr:uid="{00000000-0005-0000-0000-0000C10F0000}"/>
    <cellStyle name="Normal 2 4 2 6 7 2" xfId="13131" xr:uid="{96FB8BE8-31E5-4A83-B190-E6C44230CC31}"/>
    <cellStyle name="Normal 2 4 2 6 8" xfId="8913" xr:uid="{8DD6417F-DCDC-4CD0-AC32-197798FB7801}"/>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DD84BB86-6FC4-4825-9FE8-B7389CCD97C9}"/>
    <cellStyle name="Normal 2 4 2 7 2 3" xfId="11457" xr:uid="{031415A6-9191-4EB7-889D-705980A43DF9}"/>
    <cellStyle name="Normal 2 4 2 7 3" xfId="5088" xr:uid="{00000000-0005-0000-0000-0000C50F0000}"/>
    <cellStyle name="Normal 2 4 2 7 3 2" xfId="13530" xr:uid="{CA697CEC-ABE7-4A33-B988-00724E593B55}"/>
    <cellStyle name="Normal 2 4 2 7 4" xfId="9312" xr:uid="{CBB46507-904C-4156-ABE8-3DD10A7FD68E}"/>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FFE5BAC4-95B3-44B2-A9CA-0AE3DC9957B9}"/>
    <cellStyle name="Normal 2 4 2 8 2 3" xfId="11870" xr:uid="{32ED4512-B0C3-49B2-8A8A-D4DFBF5F8A3B}"/>
    <cellStyle name="Normal 2 4 2 8 3" xfId="5501" xr:uid="{00000000-0005-0000-0000-0000C90F0000}"/>
    <cellStyle name="Normal 2 4 2 8 3 2" xfId="13943" xr:uid="{8562EC7E-952C-48D5-9975-5001CDFC9F7E}"/>
    <cellStyle name="Normal 2 4 2 8 4" xfId="9725" xr:uid="{F89F9565-DCBB-4681-AA39-407587C7AD4C}"/>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F4D68E40-C58E-42D1-8288-9EB238A19061}"/>
    <cellStyle name="Normal 2 4 2 9 2 3" xfId="12283" xr:uid="{6272E018-DA30-4D7B-936B-5A6B22F17FB8}"/>
    <cellStyle name="Normal 2 4 2 9 3" xfId="5914" xr:uid="{00000000-0005-0000-0000-0000CD0F0000}"/>
    <cellStyle name="Normal 2 4 2 9 3 2" xfId="14356" xr:uid="{80D7EB11-179A-4B50-8597-AFE8DC16AE50}"/>
    <cellStyle name="Normal 2 4 2 9 4" xfId="10138" xr:uid="{A9793B55-9A3D-4055-89B7-C069785519CA}"/>
    <cellStyle name="Normal 2 4 3" xfId="296" xr:uid="{00000000-0005-0000-0000-0000CE0F0000}"/>
    <cellStyle name="Normal 2 4 3 10" xfId="8914" xr:uid="{C0D76B03-38D3-436D-B72E-A0334653B304}"/>
    <cellStyle name="Normal 2 4 3 2" xfId="297" xr:uid="{00000000-0005-0000-0000-0000CF0F0000}"/>
    <cellStyle name="Normal 2 4 3 3" xfId="298" xr:uid="{00000000-0005-0000-0000-0000D00F0000}"/>
    <cellStyle name="Normal 2 4 3 3 10" xfId="8915" xr:uid="{0E453AB8-31D9-46AD-861E-2DA7BE71B9B9}"/>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37C13D78-9AD8-4CA9-BF77-83A1C1D4E50E}"/>
    <cellStyle name="Normal 2 4 3 3 2 2 2 2 3" xfId="11476" xr:uid="{410A8A6B-7792-4CCD-91E1-B25FA22E81A7}"/>
    <cellStyle name="Normal 2 4 3 3 2 2 2 3" xfId="5107" xr:uid="{00000000-0005-0000-0000-0000D60F0000}"/>
    <cellStyle name="Normal 2 4 3 3 2 2 2 3 2" xfId="13549" xr:uid="{46FF84BB-8753-46E7-B09B-86DF8458AE21}"/>
    <cellStyle name="Normal 2 4 3 3 2 2 2 4" xfId="9331" xr:uid="{8C358394-F5E1-4B56-8304-BD573B9B42DD}"/>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3F254C7A-2655-4062-B67D-0274080C6AD8}"/>
    <cellStyle name="Normal 2 4 3 3 2 2 3 2 3" xfId="11889" xr:uid="{B79008C7-48B9-46C1-B722-981AD34280E6}"/>
    <cellStyle name="Normal 2 4 3 3 2 2 3 3" xfId="5520" xr:uid="{00000000-0005-0000-0000-0000DA0F0000}"/>
    <cellStyle name="Normal 2 4 3 3 2 2 3 3 2" xfId="13962" xr:uid="{E5213E63-6F87-4965-9EED-82EE2E6945C1}"/>
    <cellStyle name="Normal 2 4 3 3 2 2 3 4" xfId="9744" xr:uid="{F2A22043-1EA7-4ED3-832F-D65A769E3F72}"/>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27CF8261-5DBC-48F2-9E26-1F09913BB1D1}"/>
    <cellStyle name="Normal 2 4 3 3 2 2 4 2 3" xfId="12302" xr:uid="{AC6BCF90-DD0D-4EF6-807F-5F618F19DEDA}"/>
    <cellStyle name="Normal 2 4 3 3 2 2 4 3" xfId="5933" xr:uid="{00000000-0005-0000-0000-0000DE0F0000}"/>
    <cellStyle name="Normal 2 4 3 3 2 2 4 3 2" xfId="14375" xr:uid="{0BBD8F18-3CF9-43CE-B7D3-2B3F19C45BEC}"/>
    <cellStyle name="Normal 2 4 3 3 2 2 4 4" xfId="10157" xr:uid="{E160D603-944C-4EBA-B548-E88399DEAA2A}"/>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07663BE-0A9F-405C-AD9B-144E22DB7546}"/>
    <cellStyle name="Normal 2 4 3 3 2 2 5 2 3" xfId="12715" xr:uid="{8F37BB86-0F5D-4B6E-925F-2203BE4680D6}"/>
    <cellStyle name="Normal 2 4 3 3 2 2 5 3" xfId="6346" xr:uid="{00000000-0005-0000-0000-0000E20F0000}"/>
    <cellStyle name="Normal 2 4 3 3 2 2 5 3 2" xfId="14788" xr:uid="{E3A3FEA3-8D2A-43BE-AE7C-1E568CD4FE50}"/>
    <cellStyle name="Normal 2 4 3 3 2 2 5 4" xfId="10570" xr:uid="{1BE84B95-BC47-407B-B2C3-C12BDC57B015}"/>
    <cellStyle name="Normal 2 4 3 3 2 2 6" xfId="2475" xr:uid="{00000000-0005-0000-0000-0000E30F0000}"/>
    <cellStyle name="Normal 2 4 3 3 2 2 6 2" xfId="6759" xr:uid="{00000000-0005-0000-0000-0000E40F0000}"/>
    <cellStyle name="Normal 2 4 3 3 2 2 6 2 2" xfId="15201" xr:uid="{7D2911AA-4258-4661-930D-E223CF2DC513}"/>
    <cellStyle name="Normal 2 4 3 3 2 2 6 3" xfId="10983" xr:uid="{10742D86-DCA9-4811-9345-0C47B3C7E11A}"/>
    <cellStyle name="Normal 2 4 3 3 2 2 7" xfId="4693" xr:uid="{00000000-0005-0000-0000-0000E50F0000}"/>
    <cellStyle name="Normal 2 4 3 3 2 2 7 2" xfId="13135" xr:uid="{53EC9C7C-C5B1-4C2B-9251-03CDFAFA420B}"/>
    <cellStyle name="Normal 2 4 3 3 2 2 8" xfId="8917" xr:uid="{5EBD7D0C-0F7D-4111-8904-8A263059FF1E}"/>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21199558-CBA1-4EFE-8990-98118809EB75}"/>
    <cellStyle name="Normal 2 4 3 3 2 3 2 3" xfId="11475" xr:uid="{ECE90C07-6F22-475A-ADA5-90ED80096573}"/>
    <cellStyle name="Normal 2 4 3 3 2 3 3" xfId="5106" xr:uid="{00000000-0005-0000-0000-0000E90F0000}"/>
    <cellStyle name="Normal 2 4 3 3 2 3 3 2" xfId="13548" xr:uid="{3A1C4551-4892-48F0-AFBB-2EA19C7AD53C}"/>
    <cellStyle name="Normal 2 4 3 3 2 3 4" xfId="9330" xr:uid="{175C9F64-FFFF-4571-973D-6A4A0284CA9F}"/>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6E4887E0-781E-4FA8-9BC0-03F4EAF28A5B}"/>
    <cellStyle name="Normal 2 4 3 3 2 4 2 3" xfId="11888" xr:uid="{689CC33E-3FC4-4058-97B4-4847BFEA42FD}"/>
    <cellStyle name="Normal 2 4 3 3 2 4 3" xfId="5519" xr:uid="{00000000-0005-0000-0000-0000ED0F0000}"/>
    <cellStyle name="Normal 2 4 3 3 2 4 3 2" xfId="13961" xr:uid="{A60746A1-2F52-46A0-9BB4-8C5C5D2FE05A}"/>
    <cellStyle name="Normal 2 4 3 3 2 4 4" xfId="9743" xr:uid="{EC84B9B2-90D6-4D7B-8B0C-5DF10C9F91B7}"/>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A1F84147-0974-4370-B656-7BC593B12D09}"/>
    <cellStyle name="Normal 2 4 3 3 2 5 2 3" xfId="12301" xr:uid="{A41A7AD8-7AC4-4B75-A591-0CEE333A3D0A}"/>
    <cellStyle name="Normal 2 4 3 3 2 5 3" xfId="5932" xr:uid="{00000000-0005-0000-0000-0000F10F0000}"/>
    <cellStyle name="Normal 2 4 3 3 2 5 3 2" xfId="14374" xr:uid="{C39DEE12-9B99-4F1C-ADBB-BBC95F3FA653}"/>
    <cellStyle name="Normal 2 4 3 3 2 5 4" xfId="10156" xr:uid="{D5E6750D-2E4F-40DC-B17C-09029BC10409}"/>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709C5D14-4C81-4C84-AF9D-A7F25D153482}"/>
    <cellStyle name="Normal 2 4 3 3 2 6 2 3" xfId="12714" xr:uid="{C80ADC5A-DD46-41C5-A454-940C755BE96C}"/>
    <cellStyle name="Normal 2 4 3 3 2 6 3" xfId="6345" xr:uid="{00000000-0005-0000-0000-0000F50F0000}"/>
    <cellStyle name="Normal 2 4 3 3 2 6 3 2" xfId="14787" xr:uid="{4B1F64A3-44B3-487B-B4AF-F83457AB2885}"/>
    <cellStyle name="Normal 2 4 3 3 2 6 4" xfId="10569" xr:uid="{40B3633E-217E-4819-A090-9CF55E82E05E}"/>
    <cellStyle name="Normal 2 4 3 3 2 7" xfId="2474" xr:uid="{00000000-0005-0000-0000-0000F60F0000}"/>
    <cellStyle name="Normal 2 4 3 3 2 7 2" xfId="6758" xr:uid="{00000000-0005-0000-0000-0000F70F0000}"/>
    <cellStyle name="Normal 2 4 3 3 2 7 2 2" xfId="15200" xr:uid="{5AAF27E5-E2C4-4AF9-9582-011660F945FE}"/>
    <cellStyle name="Normal 2 4 3 3 2 7 3" xfId="10982" xr:uid="{39E1679D-84D7-4899-A9C3-8C228035F872}"/>
    <cellStyle name="Normal 2 4 3 3 2 8" xfId="4692" xr:uid="{00000000-0005-0000-0000-0000F80F0000}"/>
    <cellStyle name="Normal 2 4 3 3 2 8 2" xfId="13134" xr:uid="{72098ED6-76B8-47F4-B778-7FBD033C8D9B}"/>
    <cellStyle name="Normal 2 4 3 3 2 9" xfId="8916" xr:uid="{CA1A5389-2058-4FA7-A441-2172F3098F58}"/>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FEB8AFB6-D3E4-43FC-B2F2-B6FFF0EF1126}"/>
    <cellStyle name="Normal 2 4 3 3 3 2 2 3" xfId="11477" xr:uid="{EC86C4E4-4D91-4489-9766-B5DB3C468054}"/>
    <cellStyle name="Normal 2 4 3 3 3 2 3" xfId="5108" xr:uid="{00000000-0005-0000-0000-0000FD0F0000}"/>
    <cellStyle name="Normal 2 4 3 3 3 2 3 2" xfId="13550" xr:uid="{1A7AAF09-162B-4049-916D-5D7AF9BC0857}"/>
    <cellStyle name="Normal 2 4 3 3 3 2 4" xfId="9332" xr:uid="{9FD28E12-C5F8-4D8E-B615-4BBF75817259}"/>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35FFDD16-3212-4FA6-BBBD-02EE360F4174}"/>
    <cellStyle name="Normal 2 4 3 3 3 3 2 3" xfId="11890" xr:uid="{C1CF668F-91BD-4CD3-BC92-16730E80E7D8}"/>
    <cellStyle name="Normal 2 4 3 3 3 3 3" xfId="5521" xr:uid="{00000000-0005-0000-0000-000001100000}"/>
    <cellStyle name="Normal 2 4 3 3 3 3 3 2" xfId="13963" xr:uid="{890AE814-1C93-4763-9FAE-2C99F40010A7}"/>
    <cellStyle name="Normal 2 4 3 3 3 3 4" xfId="9745" xr:uid="{56BCACD9-4B0E-4496-85AC-BCE5D0B975BE}"/>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B3F0301C-23F6-4419-BBDD-8BA55227879E}"/>
    <cellStyle name="Normal 2 4 3 3 3 4 2 3" xfId="12303" xr:uid="{3EC00E82-A17C-41D4-AAD1-C3AF17CD4440}"/>
    <cellStyle name="Normal 2 4 3 3 3 4 3" xfId="5934" xr:uid="{00000000-0005-0000-0000-000005100000}"/>
    <cellStyle name="Normal 2 4 3 3 3 4 3 2" xfId="14376" xr:uid="{174C723F-4415-4969-B742-9FA574817048}"/>
    <cellStyle name="Normal 2 4 3 3 3 4 4" xfId="10158" xr:uid="{EC922505-B323-4664-A1CB-AFC4E7D1C346}"/>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537DFAB0-1F02-493F-B9BF-A65EA650CE55}"/>
    <cellStyle name="Normal 2 4 3 3 3 5 2 3" xfId="12716" xr:uid="{22355F25-7343-47EA-9D08-2B800A2C4C55}"/>
    <cellStyle name="Normal 2 4 3 3 3 5 3" xfId="6347" xr:uid="{00000000-0005-0000-0000-000009100000}"/>
    <cellStyle name="Normal 2 4 3 3 3 5 3 2" xfId="14789" xr:uid="{F42A0EDD-37F7-480D-984D-82ADF7A234F1}"/>
    <cellStyle name="Normal 2 4 3 3 3 5 4" xfId="10571" xr:uid="{50CC74F6-04E2-4D98-B4AC-E5DD11D88B1C}"/>
    <cellStyle name="Normal 2 4 3 3 3 6" xfId="2476" xr:uid="{00000000-0005-0000-0000-00000A100000}"/>
    <cellStyle name="Normal 2 4 3 3 3 6 2" xfId="6760" xr:uid="{00000000-0005-0000-0000-00000B100000}"/>
    <cellStyle name="Normal 2 4 3 3 3 6 2 2" xfId="15202" xr:uid="{D7D29FA4-3A55-4FF7-B645-3D45B0E12991}"/>
    <cellStyle name="Normal 2 4 3 3 3 6 3" xfId="10984" xr:uid="{4079D257-BEF7-4093-B706-BB008ED52064}"/>
    <cellStyle name="Normal 2 4 3 3 3 7" xfId="4694" xr:uid="{00000000-0005-0000-0000-00000C100000}"/>
    <cellStyle name="Normal 2 4 3 3 3 7 2" xfId="13136" xr:uid="{97C159E6-6F74-4584-878B-0CA2E175F047}"/>
    <cellStyle name="Normal 2 4 3 3 3 8" xfId="8918" xr:uid="{0D84AAD3-6347-4C43-AD1B-F7CD490B7728}"/>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B9C7B23C-7A70-40F1-B329-EA460E837DEE}"/>
    <cellStyle name="Normal 2 4 3 3 4 2 3" xfId="11474" xr:uid="{A30AECF6-F770-408F-8312-1D447C6F3EE7}"/>
    <cellStyle name="Normal 2 4 3 3 4 3" xfId="5105" xr:uid="{00000000-0005-0000-0000-000010100000}"/>
    <cellStyle name="Normal 2 4 3 3 4 3 2" xfId="13547" xr:uid="{BB134035-680A-4629-B787-DD65A3D6F9E8}"/>
    <cellStyle name="Normal 2 4 3 3 4 4" xfId="9329" xr:uid="{FF21F8DE-A7E9-45E9-9BAB-8148B1002EC1}"/>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E2489830-74A2-463E-A6DE-FEC38018D5E8}"/>
    <cellStyle name="Normal 2 4 3 3 5 2 3" xfId="11887" xr:uid="{C36B305B-C0B5-49E3-9DC7-6B8B17C0EC34}"/>
    <cellStyle name="Normal 2 4 3 3 5 3" xfId="5518" xr:uid="{00000000-0005-0000-0000-000014100000}"/>
    <cellStyle name="Normal 2 4 3 3 5 3 2" xfId="13960" xr:uid="{CA346589-8EE5-4A4D-861A-BF67D46891D3}"/>
    <cellStyle name="Normal 2 4 3 3 5 4" xfId="9742" xr:uid="{EE04CFA5-D29F-434F-89AD-DE0BC6E7E90C}"/>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A03D30D0-6916-4AEA-AA55-1DCEF696FA0D}"/>
    <cellStyle name="Normal 2 4 3 3 6 2 3" xfId="12300" xr:uid="{43212072-28EA-4589-AD40-112241D6693E}"/>
    <cellStyle name="Normal 2 4 3 3 6 3" xfId="5931" xr:uid="{00000000-0005-0000-0000-000018100000}"/>
    <cellStyle name="Normal 2 4 3 3 6 3 2" xfId="14373" xr:uid="{647C63C8-9CDB-464C-927C-B9E3854E95DE}"/>
    <cellStyle name="Normal 2 4 3 3 6 4" xfId="10155" xr:uid="{8C624BBD-8649-46D0-A63F-61159F3DFB95}"/>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6E2A9AD9-C316-402A-8759-A68ED40B0A4D}"/>
    <cellStyle name="Normal 2 4 3 3 7 2 3" xfId="12713" xr:uid="{EACAE05F-1C86-4031-BD1B-77E98CFD8FE2}"/>
    <cellStyle name="Normal 2 4 3 3 7 3" xfId="6344" xr:uid="{00000000-0005-0000-0000-00001C100000}"/>
    <cellStyle name="Normal 2 4 3 3 7 3 2" xfId="14786" xr:uid="{193E137C-5007-4C2A-BACC-F4336CE56117}"/>
    <cellStyle name="Normal 2 4 3 3 7 4" xfId="10568" xr:uid="{08E756BF-7506-40C0-AE05-9C21D3ECB3CA}"/>
    <cellStyle name="Normal 2 4 3 3 8" xfId="2473" xr:uid="{00000000-0005-0000-0000-00001D100000}"/>
    <cellStyle name="Normal 2 4 3 3 8 2" xfId="6757" xr:uid="{00000000-0005-0000-0000-00001E100000}"/>
    <cellStyle name="Normal 2 4 3 3 8 2 2" xfId="15199" xr:uid="{78641C10-EF95-4AA7-A3D3-F7BFF51B2CDA}"/>
    <cellStyle name="Normal 2 4 3 3 8 3" xfId="10981" xr:uid="{DE0ED68A-499C-49AE-A1EC-08610E565263}"/>
    <cellStyle name="Normal 2 4 3 3 9" xfId="4691" xr:uid="{00000000-0005-0000-0000-00001F100000}"/>
    <cellStyle name="Normal 2 4 3 3 9 2" xfId="13133" xr:uid="{D7FB6E47-75D8-4229-B164-76255EFBEA9E}"/>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C047C78B-6AA0-46AA-801D-E15306624755}"/>
    <cellStyle name="Normal 2 4 3 4 2 3" xfId="11473" xr:uid="{DE7AA2AF-6FE1-4BFC-8FCF-324F9F30AE07}"/>
    <cellStyle name="Normal 2 4 3 4 3" xfId="5104" xr:uid="{00000000-0005-0000-0000-000023100000}"/>
    <cellStyle name="Normal 2 4 3 4 3 2" xfId="13546" xr:uid="{2D168FE7-A327-475B-8B41-C8C184A3697E}"/>
    <cellStyle name="Normal 2 4 3 4 4" xfId="9328" xr:uid="{3D95A20A-0925-4AB9-9736-F48321F0F0A8}"/>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9138BAFF-7CA6-401F-A014-0A1CB7837072}"/>
    <cellStyle name="Normal 2 4 3 5 2 3" xfId="11886" xr:uid="{9ADCFBAA-68B7-423F-BF8D-F95926E5B497}"/>
    <cellStyle name="Normal 2 4 3 5 3" xfId="5517" xr:uid="{00000000-0005-0000-0000-000027100000}"/>
    <cellStyle name="Normal 2 4 3 5 3 2" xfId="13959" xr:uid="{C9D25911-5357-46C7-9A3C-8172A05B86BB}"/>
    <cellStyle name="Normal 2 4 3 5 4" xfId="9741" xr:uid="{40F10073-CECF-4203-93FF-9876D9C93D7B}"/>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B36BF1F3-AC4B-4894-BD95-38A9983648A5}"/>
    <cellStyle name="Normal 2 4 3 6 2 3" xfId="12299" xr:uid="{8A8220C1-8F4E-42A0-AC70-0A0EB3E857F3}"/>
    <cellStyle name="Normal 2 4 3 6 3" xfId="5930" xr:uid="{00000000-0005-0000-0000-00002B100000}"/>
    <cellStyle name="Normal 2 4 3 6 3 2" xfId="14372" xr:uid="{F19CAA3F-A868-4036-921D-E03759E7D8D6}"/>
    <cellStyle name="Normal 2 4 3 6 4" xfId="10154" xr:uid="{D2F8EA43-E3E7-4E61-8ECA-14DE005FBD14}"/>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BBA7558B-6C7D-4CF0-8F78-5A4FF3B98D46}"/>
    <cellStyle name="Normal 2 4 3 7 2 3" xfId="12712" xr:uid="{9176CD6D-DEF7-4964-8646-416F073C56F7}"/>
    <cellStyle name="Normal 2 4 3 7 3" xfId="6343" xr:uid="{00000000-0005-0000-0000-00002F100000}"/>
    <cellStyle name="Normal 2 4 3 7 3 2" xfId="14785" xr:uid="{9BA58CD4-C073-4C75-AA30-C0999B1FA5D0}"/>
    <cellStyle name="Normal 2 4 3 7 4" xfId="10567" xr:uid="{78A805B6-E46E-4B6F-94F0-9218098228D7}"/>
    <cellStyle name="Normal 2 4 3 8" xfId="2472" xr:uid="{00000000-0005-0000-0000-000030100000}"/>
    <cellStyle name="Normal 2 4 3 8 2" xfId="6756" xr:uid="{00000000-0005-0000-0000-000031100000}"/>
    <cellStyle name="Normal 2 4 3 8 2 2" xfId="15198" xr:uid="{C8899E81-B168-405E-8BA2-2A5F9D89BF1B}"/>
    <cellStyle name="Normal 2 4 3 8 3" xfId="10980" xr:uid="{A69B6A45-50DE-4C1E-9DD9-D59706FC91AF}"/>
    <cellStyle name="Normal 2 4 3 9" xfId="4690" xr:uid="{00000000-0005-0000-0000-000032100000}"/>
    <cellStyle name="Normal 2 4 3 9 2" xfId="13132" xr:uid="{A66E5512-D0BA-4873-9E69-9F85EFE58DB7}"/>
    <cellStyle name="Normal 2 4 4" xfId="302" xr:uid="{00000000-0005-0000-0000-000033100000}"/>
    <cellStyle name="Normal 2 4 5" xfId="303" xr:uid="{00000000-0005-0000-0000-000034100000}"/>
    <cellStyle name="Normal 2 4 5 10" xfId="4695" xr:uid="{00000000-0005-0000-0000-000035100000}"/>
    <cellStyle name="Normal 2 4 5 10 2" xfId="13137" xr:uid="{FA7F84F0-C45D-4BC9-8799-D82080EF7624}"/>
    <cellStyle name="Normal 2 4 5 11" xfId="8919" xr:uid="{63B6D353-D0C7-4138-8E7D-A10452DCCD80}"/>
    <cellStyle name="Normal 2 4 5 2" xfId="304" xr:uid="{00000000-0005-0000-0000-000036100000}"/>
    <cellStyle name="Normal 2 4 5 2 10" xfId="8920" xr:uid="{E743D9CB-84BC-42D8-8D26-FC57C8822015}"/>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6B1E7CA5-F496-450B-A464-EBF730D64A45}"/>
    <cellStyle name="Normal 2 4 5 2 2 2 2 2 3" xfId="11481" xr:uid="{31DF8630-8E0D-446F-8D9C-D05E80D23053}"/>
    <cellStyle name="Normal 2 4 5 2 2 2 2 3" xfId="5112" xr:uid="{00000000-0005-0000-0000-00003C100000}"/>
    <cellStyle name="Normal 2 4 5 2 2 2 2 3 2" xfId="13554" xr:uid="{17ADA3EA-EABF-4D3A-BB9F-EE69D8F50511}"/>
    <cellStyle name="Normal 2 4 5 2 2 2 2 4" xfId="9336" xr:uid="{A086D261-669E-4ED7-BBCC-B3FEE2032A3E}"/>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05ECC572-D59C-4D44-BAEF-D6974EF7F481}"/>
    <cellStyle name="Normal 2 4 5 2 2 2 3 2 3" xfId="11894" xr:uid="{504D0401-E06E-4FEC-8272-F33D0D7088CE}"/>
    <cellStyle name="Normal 2 4 5 2 2 2 3 3" xfId="5525" xr:uid="{00000000-0005-0000-0000-000040100000}"/>
    <cellStyle name="Normal 2 4 5 2 2 2 3 3 2" xfId="13967" xr:uid="{7C111AA0-3C18-4445-BA12-0CBBEC79A76A}"/>
    <cellStyle name="Normal 2 4 5 2 2 2 3 4" xfId="9749" xr:uid="{5C1E6044-2C00-4AA6-B34E-5FDD70259692}"/>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C1C1B20C-43FC-42AB-B5FF-AD82ACAFEC36}"/>
    <cellStyle name="Normal 2 4 5 2 2 2 4 2 3" xfId="12307" xr:uid="{2D6ED457-02FC-4E1A-A0C7-11E833F4DB58}"/>
    <cellStyle name="Normal 2 4 5 2 2 2 4 3" xfId="5938" xr:uid="{00000000-0005-0000-0000-000044100000}"/>
    <cellStyle name="Normal 2 4 5 2 2 2 4 3 2" xfId="14380" xr:uid="{7BC2E542-874E-471B-A924-BF8809E8DE54}"/>
    <cellStyle name="Normal 2 4 5 2 2 2 4 4" xfId="10162" xr:uid="{87EFE8FA-A8C8-486A-81E2-286CDF12B982}"/>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B008D4B6-60D9-487B-B07E-0BA81A461C5C}"/>
    <cellStyle name="Normal 2 4 5 2 2 2 5 2 3" xfId="12720" xr:uid="{E442E90D-35AD-4C3E-A3C6-7DACC63C93ED}"/>
    <cellStyle name="Normal 2 4 5 2 2 2 5 3" xfId="6351" xr:uid="{00000000-0005-0000-0000-000048100000}"/>
    <cellStyle name="Normal 2 4 5 2 2 2 5 3 2" xfId="14793" xr:uid="{2030BC7B-3133-4102-BB8B-53866C550CE3}"/>
    <cellStyle name="Normal 2 4 5 2 2 2 5 4" xfId="10575" xr:uid="{841F73C2-1E88-49A8-BAEF-4C56859E9B12}"/>
    <cellStyle name="Normal 2 4 5 2 2 2 6" xfId="2480" xr:uid="{00000000-0005-0000-0000-000049100000}"/>
    <cellStyle name="Normal 2 4 5 2 2 2 6 2" xfId="6764" xr:uid="{00000000-0005-0000-0000-00004A100000}"/>
    <cellStyle name="Normal 2 4 5 2 2 2 6 2 2" xfId="15206" xr:uid="{7FF396D5-4EEB-4904-96E9-A60753C5C1A4}"/>
    <cellStyle name="Normal 2 4 5 2 2 2 6 3" xfId="10988" xr:uid="{3EF39F1A-7C4A-4B5E-85C8-FCAB824E7E30}"/>
    <cellStyle name="Normal 2 4 5 2 2 2 7" xfId="4698" xr:uid="{00000000-0005-0000-0000-00004B100000}"/>
    <cellStyle name="Normal 2 4 5 2 2 2 7 2" xfId="13140" xr:uid="{AB5FBA59-EEC2-4B43-A1C0-9120180DA9F9}"/>
    <cellStyle name="Normal 2 4 5 2 2 2 8" xfId="8922" xr:uid="{763654EF-507B-42FC-A3F9-C8DADD75C073}"/>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71595CD0-2256-4E48-ACDA-18693C6E6DF4}"/>
    <cellStyle name="Normal 2 4 5 2 2 3 2 3" xfId="11480" xr:uid="{A06ED5D4-E2E2-4621-A42F-753D3ADB07C9}"/>
    <cellStyle name="Normal 2 4 5 2 2 3 3" xfId="5111" xr:uid="{00000000-0005-0000-0000-00004F100000}"/>
    <cellStyle name="Normal 2 4 5 2 2 3 3 2" xfId="13553" xr:uid="{BB06736C-7D55-439E-95FD-299C017A0267}"/>
    <cellStyle name="Normal 2 4 5 2 2 3 4" xfId="9335" xr:uid="{C6F51E8F-6A7C-4416-96A6-D372A25BBB31}"/>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49877181-B6A6-43C8-B7EF-C464880EC0BA}"/>
    <cellStyle name="Normal 2 4 5 2 2 4 2 3" xfId="11893" xr:uid="{B380815A-FBDB-4783-B923-8873C48C17D3}"/>
    <cellStyle name="Normal 2 4 5 2 2 4 3" xfId="5524" xr:uid="{00000000-0005-0000-0000-000053100000}"/>
    <cellStyle name="Normal 2 4 5 2 2 4 3 2" xfId="13966" xr:uid="{B9597240-73FA-4455-8C4C-3A138EB35D3E}"/>
    <cellStyle name="Normal 2 4 5 2 2 4 4" xfId="9748" xr:uid="{A536F3CE-4AFB-4C48-8981-72CA195ABF8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69607CD0-0193-43A1-BCC7-C687A46812FE}"/>
    <cellStyle name="Normal 2 4 5 2 2 5 2 3" xfId="12306" xr:uid="{2FCB2600-2CA9-42F9-8715-72950AEEE7B8}"/>
    <cellStyle name="Normal 2 4 5 2 2 5 3" xfId="5937" xr:uid="{00000000-0005-0000-0000-000057100000}"/>
    <cellStyle name="Normal 2 4 5 2 2 5 3 2" xfId="14379" xr:uid="{3AD6AAB3-C097-43D8-AE11-4804CEF6F92C}"/>
    <cellStyle name="Normal 2 4 5 2 2 5 4" xfId="10161" xr:uid="{283BCD88-1365-4163-90E9-8D1A74E53AC9}"/>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932F1846-AABA-4E0D-8868-9FDF3CBFA932}"/>
    <cellStyle name="Normal 2 4 5 2 2 6 2 3" xfId="12719" xr:uid="{E370B7F2-1F3F-4490-8680-CF545A5912F1}"/>
    <cellStyle name="Normal 2 4 5 2 2 6 3" xfId="6350" xr:uid="{00000000-0005-0000-0000-00005B100000}"/>
    <cellStyle name="Normal 2 4 5 2 2 6 3 2" xfId="14792" xr:uid="{2FF1E46A-2FCA-4D15-8CB8-6928367F20A1}"/>
    <cellStyle name="Normal 2 4 5 2 2 6 4" xfId="10574" xr:uid="{FB482075-9BE3-4089-9F1F-846091744956}"/>
    <cellStyle name="Normal 2 4 5 2 2 7" xfId="2479" xr:uid="{00000000-0005-0000-0000-00005C100000}"/>
    <cellStyle name="Normal 2 4 5 2 2 7 2" xfId="6763" xr:uid="{00000000-0005-0000-0000-00005D100000}"/>
    <cellStyle name="Normal 2 4 5 2 2 7 2 2" xfId="15205" xr:uid="{3BF3C839-0250-47E6-ACB2-665AC9C5FE58}"/>
    <cellStyle name="Normal 2 4 5 2 2 7 3" xfId="10987" xr:uid="{7D4B3327-863B-410C-BAC0-C08ADAA790FD}"/>
    <cellStyle name="Normal 2 4 5 2 2 8" xfId="4697" xr:uid="{00000000-0005-0000-0000-00005E100000}"/>
    <cellStyle name="Normal 2 4 5 2 2 8 2" xfId="13139" xr:uid="{8E57A0FA-9167-4F6C-B1E0-162E65464880}"/>
    <cellStyle name="Normal 2 4 5 2 2 9" xfId="8921" xr:uid="{9CBF0A1D-7EFD-41E4-9CFC-88C4623DB8B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039703DA-B119-42AF-A9BB-B58778C93D37}"/>
    <cellStyle name="Normal 2 4 5 2 3 2 2 3" xfId="11482" xr:uid="{8C752F35-C51D-44B1-A0B0-09562B695C1D}"/>
    <cellStyle name="Normal 2 4 5 2 3 2 3" xfId="5113" xr:uid="{00000000-0005-0000-0000-000063100000}"/>
    <cellStyle name="Normal 2 4 5 2 3 2 3 2" xfId="13555" xr:uid="{A8CAF495-B665-4D39-A33D-EB674F4FF864}"/>
    <cellStyle name="Normal 2 4 5 2 3 2 4" xfId="9337" xr:uid="{0F4E8537-90E5-413E-BB33-FA82AFA40579}"/>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10D79366-4DE8-40CB-B65F-B44D0A766F15}"/>
    <cellStyle name="Normal 2 4 5 2 3 3 2 3" xfId="11895" xr:uid="{550A13C7-E3AE-4E13-B3EB-E9EB02FD553D}"/>
    <cellStyle name="Normal 2 4 5 2 3 3 3" xfId="5526" xr:uid="{00000000-0005-0000-0000-000067100000}"/>
    <cellStyle name="Normal 2 4 5 2 3 3 3 2" xfId="13968" xr:uid="{FB2F5F97-1F86-47A8-9BEB-DCA67F57C7CB}"/>
    <cellStyle name="Normal 2 4 5 2 3 3 4" xfId="9750" xr:uid="{64A2CD8B-1D09-4471-89DA-AAB08590AF33}"/>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70C803BC-133B-440F-92AC-813684586CC0}"/>
    <cellStyle name="Normal 2 4 5 2 3 4 2 3" xfId="12308" xr:uid="{5078069A-8433-484C-9587-D731FD2FC126}"/>
    <cellStyle name="Normal 2 4 5 2 3 4 3" xfId="5939" xr:uid="{00000000-0005-0000-0000-00006B100000}"/>
    <cellStyle name="Normal 2 4 5 2 3 4 3 2" xfId="14381" xr:uid="{5A4C04D6-2155-43AF-A9EB-3B150DDB9A1D}"/>
    <cellStyle name="Normal 2 4 5 2 3 4 4" xfId="10163" xr:uid="{40EDC8CC-A57A-4FF6-A311-2F714B59B647}"/>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0872145B-F9A4-417A-AB05-4EF7B5600245}"/>
    <cellStyle name="Normal 2 4 5 2 3 5 2 3" xfId="12721" xr:uid="{2AE90C20-B291-4F07-A4CF-EB99440DBCBC}"/>
    <cellStyle name="Normal 2 4 5 2 3 5 3" xfId="6352" xr:uid="{00000000-0005-0000-0000-00006F100000}"/>
    <cellStyle name="Normal 2 4 5 2 3 5 3 2" xfId="14794" xr:uid="{D699E586-0FB5-43E3-B25B-F3880E871B57}"/>
    <cellStyle name="Normal 2 4 5 2 3 5 4" xfId="10576" xr:uid="{FC91AD4B-0B20-419F-ABBF-72F03D14955E}"/>
    <cellStyle name="Normal 2 4 5 2 3 6" xfId="2481" xr:uid="{00000000-0005-0000-0000-000070100000}"/>
    <cellStyle name="Normal 2 4 5 2 3 6 2" xfId="6765" xr:uid="{00000000-0005-0000-0000-000071100000}"/>
    <cellStyle name="Normal 2 4 5 2 3 6 2 2" xfId="15207" xr:uid="{5187EB6D-A5B7-49B8-92EB-FCC6CE29865A}"/>
    <cellStyle name="Normal 2 4 5 2 3 6 3" xfId="10989" xr:uid="{3C873D44-F66F-4251-B75A-855C1C3F57E3}"/>
    <cellStyle name="Normal 2 4 5 2 3 7" xfId="4699" xr:uid="{00000000-0005-0000-0000-000072100000}"/>
    <cellStyle name="Normal 2 4 5 2 3 7 2" xfId="13141" xr:uid="{8BC99B74-1B00-414C-AC15-C69EE0894418}"/>
    <cellStyle name="Normal 2 4 5 2 3 8" xfId="8923" xr:uid="{3B611211-253D-4335-8DF7-4D7DCBBECC8B}"/>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F87BF39-AE64-454E-B043-46F7E348244D}"/>
    <cellStyle name="Normal 2 4 5 2 4 2 3" xfId="11479" xr:uid="{E729517F-BF30-4352-A1A0-895DDF548487}"/>
    <cellStyle name="Normal 2 4 5 2 4 3" xfId="5110" xr:uid="{00000000-0005-0000-0000-000076100000}"/>
    <cellStyle name="Normal 2 4 5 2 4 3 2" xfId="13552" xr:uid="{834312F5-34BD-4235-BAF5-2D74AA07FE5C}"/>
    <cellStyle name="Normal 2 4 5 2 4 4" xfId="9334" xr:uid="{A8A20154-22A7-473C-A470-2739EA74678A}"/>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9A6449D5-F1B9-4623-B2BE-0FCF6BE2096B}"/>
    <cellStyle name="Normal 2 4 5 2 5 2 3" xfId="11892" xr:uid="{3FE78F52-339C-45B4-8C8D-A3AB21FD9595}"/>
    <cellStyle name="Normal 2 4 5 2 5 3" xfId="5523" xr:uid="{00000000-0005-0000-0000-00007A100000}"/>
    <cellStyle name="Normal 2 4 5 2 5 3 2" xfId="13965" xr:uid="{7538E047-499B-472E-989E-E5DF30EE814C}"/>
    <cellStyle name="Normal 2 4 5 2 5 4" xfId="9747" xr:uid="{6F221D87-F2AD-40E8-BF02-2080D56A780A}"/>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3F3A4ED3-2111-4ACC-A93C-E7F78D9A1BC1}"/>
    <cellStyle name="Normal 2 4 5 2 6 2 3" xfId="12305" xr:uid="{7CC34914-1794-4E98-9D48-02ABFD0F66DA}"/>
    <cellStyle name="Normal 2 4 5 2 6 3" xfId="5936" xr:uid="{00000000-0005-0000-0000-00007E100000}"/>
    <cellStyle name="Normal 2 4 5 2 6 3 2" xfId="14378" xr:uid="{93AC9D68-6A82-4B55-BC95-499133E73044}"/>
    <cellStyle name="Normal 2 4 5 2 6 4" xfId="10160" xr:uid="{D36F4DC9-7E7A-471D-BC7C-B41338EE7ADC}"/>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B5CC3C49-4580-4B94-867E-90D4E2FD3537}"/>
    <cellStyle name="Normal 2 4 5 2 7 2 3" xfId="12718" xr:uid="{11BFD8FF-06E0-4B45-9165-EF3668122687}"/>
    <cellStyle name="Normal 2 4 5 2 7 3" xfId="6349" xr:uid="{00000000-0005-0000-0000-000082100000}"/>
    <cellStyle name="Normal 2 4 5 2 7 3 2" xfId="14791" xr:uid="{D96C0660-D3F3-4E98-940B-0A305C84A6F4}"/>
    <cellStyle name="Normal 2 4 5 2 7 4" xfId="10573" xr:uid="{897EEF6D-2926-4BE5-879D-16A0F5A3241D}"/>
    <cellStyle name="Normal 2 4 5 2 8" xfId="2478" xr:uid="{00000000-0005-0000-0000-000083100000}"/>
    <cellStyle name="Normal 2 4 5 2 8 2" xfId="6762" xr:uid="{00000000-0005-0000-0000-000084100000}"/>
    <cellStyle name="Normal 2 4 5 2 8 2 2" xfId="15204" xr:uid="{266DCA48-38B6-4B59-912E-6ED057C44B21}"/>
    <cellStyle name="Normal 2 4 5 2 8 3" xfId="10986" xr:uid="{86BCB707-F0D2-4A3B-952B-2923B3B6CB4F}"/>
    <cellStyle name="Normal 2 4 5 2 9" xfId="4696" xr:uid="{00000000-0005-0000-0000-000085100000}"/>
    <cellStyle name="Normal 2 4 5 2 9 2" xfId="13138" xr:uid="{18C54002-58F4-4B0E-BA2F-2F84D95689B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F72F3792-FE61-4972-895D-9842A5C3B462}"/>
    <cellStyle name="Normal 2 4 5 3 2 2 2 3" xfId="11484" xr:uid="{69EF9C5F-E8B5-48F5-9F22-520A94AD3BBB}"/>
    <cellStyle name="Normal 2 4 5 3 2 2 3" xfId="5115" xr:uid="{00000000-0005-0000-0000-00008B100000}"/>
    <cellStyle name="Normal 2 4 5 3 2 2 3 2" xfId="13557" xr:uid="{A58E4DB9-DC45-41EC-8B14-A4ABFD8D059D}"/>
    <cellStyle name="Normal 2 4 5 3 2 2 4" xfId="9339" xr:uid="{9E785F6D-42F5-4665-9E58-DEC2887B39AF}"/>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E7BF8826-7426-4286-9CA7-5805E09DE3E9}"/>
    <cellStyle name="Normal 2 4 5 3 2 3 2 3" xfId="11897" xr:uid="{F1879F2B-0A19-4A01-A12A-A133A85D1A72}"/>
    <cellStyle name="Normal 2 4 5 3 2 3 3" xfId="5528" xr:uid="{00000000-0005-0000-0000-00008F100000}"/>
    <cellStyle name="Normal 2 4 5 3 2 3 3 2" xfId="13970" xr:uid="{E4145816-5544-4C04-A3D1-B7ECD3E15ECE}"/>
    <cellStyle name="Normal 2 4 5 3 2 3 4" xfId="9752" xr:uid="{10B512CC-9221-4485-B7FF-33601535F1C7}"/>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A33B389A-781B-4C5D-9BC4-444BCFA1F7EA}"/>
    <cellStyle name="Normal 2 4 5 3 2 4 2 3" xfId="12310" xr:uid="{48AE6BBF-FA01-4E3D-9832-D619AC33EDE0}"/>
    <cellStyle name="Normal 2 4 5 3 2 4 3" xfId="5941" xr:uid="{00000000-0005-0000-0000-000093100000}"/>
    <cellStyle name="Normal 2 4 5 3 2 4 3 2" xfId="14383" xr:uid="{9268EE9A-B632-43A9-B188-55284F916237}"/>
    <cellStyle name="Normal 2 4 5 3 2 4 4" xfId="10165" xr:uid="{00BC6BED-5958-496A-876C-B87DF43D336A}"/>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90EBAF88-1FD2-4A70-83B6-934808357446}"/>
    <cellStyle name="Normal 2 4 5 3 2 5 2 3" xfId="12723" xr:uid="{1AAD181B-4977-4670-98DF-D15D71330A90}"/>
    <cellStyle name="Normal 2 4 5 3 2 5 3" xfId="6354" xr:uid="{00000000-0005-0000-0000-000097100000}"/>
    <cellStyle name="Normal 2 4 5 3 2 5 3 2" xfId="14796" xr:uid="{8A6105E0-3460-4AF3-AF04-51C071D4F9A6}"/>
    <cellStyle name="Normal 2 4 5 3 2 5 4" xfId="10578" xr:uid="{198C3285-4253-405D-801D-E42EAA4C14F1}"/>
    <cellStyle name="Normal 2 4 5 3 2 6" xfId="2483" xr:uid="{00000000-0005-0000-0000-000098100000}"/>
    <cellStyle name="Normal 2 4 5 3 2 6 2" xfId="6767" xr:uid="{00000000-0005-0000-0000-000099100000}"/>
    <cellStyle name="Normal 2 4 5 3 2 6 2 2" xfId="15209" xr:uid="{01D0EBEB-6613-4B57-B93A-87DF3429F8F8}"/>
    <cellStyle name="Normal 2 4 5 3 2 6 3" xfId="10991" xr:uid="{61857522-C620-4177-A5AA-CBFF16923A55}"/>
    <cellStyle name="Normal 2 4 5 3 2 7" xfId="4701" xr:uid="{00000000-0005-0000-0000-00009A100000}"/>
    <cellStyle name="Normal 2 4 5 3 2 7 2" xfId="13143" xr:uid="{7156645B-F8D5-4809-AFE0-298DB6C4D39E}"/>
    <cellStyle name="Normal 2 4 5 3 2 8" xfId="8925" xr:uid="{E13BAC0B-4820-479C-8613-D0A1B8BDB83E}"/>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0DB0730D-0AAB-4EC4-B8B3-E0DA5BC34958}"/>
    <cellStyle name="Normal 2 4 5 3 3 2 3" xfId="11483" xr:uid="{5D5D88C2-A0B5-4974-B9E2-120C0FEEA00B}"/>
    <cellStyle name="Normal 2 4 5 3 3 3" xfId="5114" xr:uid="{00000000-0005-0000-0000-00009E100000}"/>
    <cellStyle name="Normal 2 4 5 3 3 3 2" xfId="13556" xr:uid="{CB9884C0-1369-44A0-B052-39B13A17F2E0}"/>
    <cellStyle name="Normal 2 4 5 3 3 4" xfId="9338" xr:uid="{0FEB5AA6-193A-47D9-B278-DFD36448EFA7}"/>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8732B89C-F11E-4188-995A-CB0C649D0254}"/>
    <cellStyle name="Normal 2 4 5 3 4 2 3" xfId="11896" xr:uid="{7A8240A0-CDAB-4C43-9016-AEAF6366F368}"/>
    <cellStyle name="Normal 2 4 5 3 4 3" xfId="5527" xr:uid="{00000000-0005-0000-0000-0000A2100000}"/>
    <cellStyle name="Normal 2 4 5 3 4 3 2" xfId="13969" xr:uid="{5636E783-3DAA-4CD4-B3BC-D01732E1BDBA}"/>
    <cellStyle name="Normal 2 4 5 3 4 4" xfId="9751" xr:uid="{3ACAF505-C096-4BCE-82B7-E17F517D98B9}"/>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6D00AB5D-F0C6-437A-931E-6B06E2B1A546}"/>
    <cellStyle name="Normal 2 4 5 3 5 2 3" xfId="12309" xr:uid="{45CE450F-CFB1-420E-94AF-CEB001D42FE1}"/>
    <cellStyle name="Normal 2 4 5 3 5 3" xfId="5940" xr:uid="{00000000-0005-0000-0000-0000A6100000}"/>
    <cellStyle name="Normal 2 4 5 3 5 3 2" xfId="14382" xr:uid="{DEE91B49-810B-42D7-80E1-82A611D3FF97}"/>
    <cellStyle name="Normal 2 4 5 3 5 4" xfId="10164" xr:uid="{44ED9700-76BB-4CAE-B125-BEA25D23C546}"/>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3A1BB55E-BBA8-45FE-A0C6-205A72FD427B}"/>
    <cellStyle name="Normal 2 4 5 3 6 2 3" xfId="12722" xr:uid="{FFA59BAE-EC02-4B8D-BE04-B222EB2AB096}"/>
    <cellStyle name="Normal 2 4 5 3 6 3" xfId="6353" xr:uid="{00000000-0005-0000-0000-0000AA100000}"/>
    <cellStyle name="Normal 2 4 5 3 6 3 2" xfId="14795" xr:uid="{0F308DC9-D854-47F9-A983-E868DBD1723B}"/>
    <cellStyle name="Normal 2 4 5 3 6 4" xfId="10577" xr:uid="{51E12726-0DD5-41E2-A7D3-B459D2907C7B}"/>
    <cellStyle name="Normal 2 4 5 3 7" xfId="2482" xr:uid="{00000000-0005-0000-0000-0000AB100000}"/>
    <cellStyle name="Normal 2 4 5 3 7 2" xfId="6766" xr:uid="{00000000-0005-0000-0000-0000AC100000}"/>
    <cellStyle name="Normal 2 4 5 3 7 2 2" xfId="15208" xr:uid="{CD15C81C-1F28-479F-89CC-5E39C804E587}"/>
    <cellStyle name="Normal 2 4 5 3 7 3" xfId="10990" xr:uid="{EA2EF2DC-53D5-4BEE-A957-AC41F5176AA4}"/>
    <cellStyle name="Normal 2 4 5 3 8" xfId="4700" xr:uid="{00000000-0005-0000-0000-0000AD100000}"/>
    <cellStyle name="Normal 2 4 5 3 8 2" xfId="13142" xr:uid="{8713DE8C-7DDD-4796-8B5D-0E5C57FC3FE5}"/>
    <cellStyle name="Normal 2 4 5 3 9" xfId="8924" xr:uid="{24BFA679-79B7-4B74-9B26-4489C4DCDE32}"/>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24C73C72-AE8C-47BE-82AA-14E0057ECCE3}"/>
    <cellStyle name="Normal 2 4 5 4 2 2 3" xfId="11485" xr:uid="{DDB84676-1F55-4571-978F-E656DB4E2608}"/>
    <cellStyle name="Normal 2 4 5 4 2 3" xfId="5116" xr:uid="{00000000-0005-0000-0000-0000B2100000}"/>
    <cellStyle name="Normal 2 4 5 4 2 3 2" xfId="13558" xr:uid="{CB1DC86A-32FD-4CF0-9123-AF348E76A916}"/>
    <cellStyle name="Normal 2 4 5 4 2 4" xfId="9340" xr:uid="{9108A114-4CE3-486E-B4ED-CA2DC25192E2}"/>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D4DCA67F-0D1D-4C40-B639-BE726B650D25}"/>
    <cellStyle name="Normal 2 4 5 4 3 2 3" xfId="11898" xr:uid="{B69048E1-FF50-4DA8-960F-D3E5FE8DB9D5}"/>
    <cellStyle name="Normal 2 4 5 4 3 3" xfId="5529" xr:uid="{00000000-0005-0000-0000-0000B6100000}"/>
    <cellStyle name="Normal 2 4 5 4 3 3 2" xfId="13971" xr:uid="{C6A9C6A7-578E-48C7-BCB4-5E77B9F0C2C8}"/>
    <cellStyle name="Normal 2 4 5 4 3 4" xfId="9753" xr:uid="{02F87CE3-E68F-477F-9E5C-39F75E931D90}"/>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A6780313-C727-4F40-9795-E8F8873547F5}"/>
    <cellStyle name="Normal 2 4 5 4 4 2 3" xfId="12311" xr:uid="{F521F746-05F6-49D9-8242-8112C5B701F1}"/>
    <cellStyle name="Normal 2 4 5 4 4 3" xfId="5942" xr:uid="{00000000-0005-0000-0000-0000BA100000}"/>
    <cellStyle name="Normal 2 4 5 4 4 3 2" xfId="14384" xr:uid="{ABE0E0AC-4F88-405E-8707-7A5CC13ECC75}"/>
    <cellStyle name="Normal 2 4 5 4 4 4" xfId="10166" xr:uid="{D3F53C42-D8FF-49D9-A23A-BDCAEE179D56}"/>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25A13CEF-AF60-4F19-8366-6046765D4F6D}"/>
    <cellStyle name="Normal 2 4 5 4 5 2 3" xfId="12724" xr:uid="{F54C1096-CB8D-442C-9376-AB1F4E051BF0}"/>
    <cellStyle name="Normal 2 4 5 4 5 3" xfId="6355" xr:uid="{00000000-0005-0000-0000-0000BE100000}"/>
    <cellStyle name="Normal 2 4 5 4 5 3 2" xfId="14797" xr:uid="{0BA22F32-4C09-4C5C-8AC0-B4872267CE80}"/>
    <cellStyle name="Normal 2 4 5 4 5 4" xfId="10579" xr:uid="{5AC5FE9B-0A27-43FA-967A-3F95FA9D830B}"/>
    <cellStyle name="Normal 2 4 5 4 6" xfId="2484" xr:uid="{00000000-0005-0000-0000-0000BF100000}"/>
    <cellStyle name="Normal 2 4 5 4 6 2" xfId="6768" xr:uid="{00000000-0005-0000-0000-0000C0100000}"/>
    <cellStyle name="Normal 2 4 5 4 6 2 2" xfId="15210" xr:uid="{5F1A70E5-2F05-45A2-9D13-841C0D90B4CF}"/>
    <cellStyle name="Normal 2 4 5 4 6 3" xfId="10992" xr:uid="{29FC2D08-D5B2-462E-A541-BDD1FBACD8EE}"/>
    <cellStyle name="Normal 2 4 5 4 7" xfId="4702" xr:uid="{00000000-0005-0000-0000-0000C1100000}"/>
    <cellStyle name="Normal 2 4 5 4 7 2" xfId="13144" xr:uid="{E514C075-7EBA-4A67-8DB5-EB90F0ACACA3}"/>
    <cellStyle name="Normal 2 4 5 4 8" xfId="8926" xr:uid="{9F665134-0B7D-4457-A9F8-36EF65166F81}"/>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2A68AAF8-947F-474C-9C5A-39DA4202EF1B}"/>
    <cellStyle name="Normal 2 4 5 5 2 3" xfId="11478" xr:uid="{F450D04B-AC32-47C0-8F7D-A00533796C92}"/>
    <cellStyle name="Normal 2 4 5 5 3" xfId="5109" xr:uid="{00000000-0005-0000-0000-0000C5100000}"/>
    <cellStyle name="Normal 2 4 5 5 3 2" xfId="13551" xr:uid="{28C6F428-6B37-402F-B2A9-424FF2DAA975}"/>
    <cellStyle name="Normal 2 4 5 5 4" xfId="9333" xr:uid="{EC0F1E89-494B-4BBA-B93E-D60E68335E3C}"/>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540E955C-BF66-4F51-A97C-E0D89C831064}"/>
    <cellStyle name="Normal 2 4 5 6 2 3" xfId="11891" xr:uid="{911C0842-7F4B-4283-A768-4E173772CE2F}"/>
    <cellStyle name="Normal 2 4 5 6 3" xfId="5522" xr:uid="{00000000-0005-0000-0000-0000C9100000}"/>
    <cellStyle name="Normal 2 4 5 6 3 2" xfId="13964" xr:uid="{AED77D5D-2615-4F07-B351-AA97A697A55F}"/>
    <cellStyle name="Normal 2 4 5 6 4" xfId="9746" xr:uid="{3D381113-C7EF-477D-8E13-957A9532E28C}"/>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CBC38B68-2127-4A80-85CD-FF9A1D9499FF}"/>
    <cellStyle name="Normal 2 4 5 7 2 3" xfId="12304" xr:uid="{365C2789-5D6E-4A38-9C67-F19A85AB53A2}"/>
    <cellStyle name="Normal 2 4 5 7 3" xfId="5935" xr:uid="{00000000-0005-0000-0000-0000CD100000}"/>
    <cellStyle name="Normal 2 4 5 7 3 2" xfId="14377" xr:uid="{07E26974-C35E-4434-83D9-DFB647FF0A8E}"/>
    <cellStyle name="Normal 2 4 5 7 4" xfId="10159" xr:uid="{131F77E5-EA76-4B3F-A6CF-0EBAF7086047}"/>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386729BE-AB86-45BD-92C5-8576BF800248}"/>
    <cellStyle name="Normal 2 4 5 8 2 3" xfId="12717" xr:uid="{C81AB351-0812-4777-A360-F497C483BA60}"/>
    <cellStyle name="Normal 2 4 5 8 3" xfId="6348" xr:uid="{00000000-0005-0000-0000-0000D1100000}"/>
    <cellStyle name="Normal 2 4 5 8 3 2" xfId="14790" xr:uid="{91FB1C40-5322-4B9D-AD9D-9347973BFAB1}"/>
    <cellStyle name="Normal 2 4 5 8 4" xfId="10572" xr:uid="{BB93E7C6-2EBB-43E7-91B0-D5BAA83CD6A5}"/>
    <cellStyle name="Normal 2 4 5 9" xfId="2477" xr:uid="{00000000-0005-0000-0000-0000D2100000}"/>
    <cellStyle name="Normal 2 4 5 9 2" xfId="6761" xr:uid="{00000000-0005-0000-0000-0000D3100000}"/>
    <cellStyle name="Normal 2 4 5 9 2 2" xfId="15203" xr:uid="{AA802A51-4B0D-4E8D-AA69-C9DAE3137B55}"/>
    <cellStyle name="Normal 2 4 5 9 3" xfId="10985" xr:uid="{CD23DFBD-DA6E-493F-9DEC-04FE44BDFA6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2E3E56C7-41F0-4693-95F2-99C6C851BF28}"/>
    <cellStyle name="Normal 2 4 7 2 2 2 3" xfId="11487" xr:uid="{C29D6CBC-0412-412B-8F30-FC93FCBA7547}"/>
    <cellStyle name="Normal 2 4 7 2 2 3" xfId="5118" xr:uid="{00000000-0005-0000-0000-0000DA100000}"/>
    <cellStyle name="Normal 2 4 7 2 2 3 2" xfId="13560" xr:uid="{DBC3D5B1-BDED-4E47-9B27-6589B6D30025}"/>
    <cellStyle name="Normal 2 4 7 2 2 4" xfId="9342" xr:uid="{269EB0D3-0095-4C6A-A543-49C8BABFB4E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89D48201-6C15-4909-93B0-040EC3DEAE7B}"/>
    <cellStyle name="Normal 2 4 7 2 3 2 3" xfId="11900" xr:uid="{9CE016A7-FEFE-4369-8BA9-567087CD6B36}"/>
    <cellStyle name="Normal 2 4 7 2 3 3" xfId="5531" xr:uid="{00000000-0005-0000-0000-0000DE100000}"/>
    <cellStyle name="Normal 2 4 7 2 3 3 2" xfId="13973" xr:uid="{0E57D2AF-C9B0-4266-AFD1-BF96DDB30E5B}"/>
    <cellStyle name="Normal 2 4 7 2 3 4" xfId="9755" xr:uid="{B4C39719-82A2-4C75-8A93-3540F030615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D7CCA3A4-1FFA-4D00-8513-313DB40E60F2}"/>
    <cellStyle name="Normal 2 4 7 2 4 2 3" xfId="12313" xr:uid="{DB684D38-8464-42C7-882C-163A6C7B204E}"/>
    <cellStyle name="Normal 2 4 7 2 4 3" xfId="5944" xr:uid="{00000000-0005-0000-0000-0000E2100000}"/>
    <cellStyle name="Normal 2 4 7 2 4 3 2" xfId="14386" xr:uid="{2040455B-DA30-49D5-A346-2931B18669A4}"/>
    <cellStyle name="Normal 2 4 7 2 4 4" xfId="10168" xr:uid="{AC943C51-B566-44C9-8821-36EFEB30A374}"/>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FE446E31-BA04-4B9D-AF5F-75F038B64BE4}"/>
    <cellStyle name="Normal 2 4 7 2 5 2 3" xfId="12726" xr:uid="{02B9594A-8212-4E22-87A6-717B500BDB2E}"/>
    <cellStyle name="Normal 2 4 7 2 5 3" xfId="6357" xr:uid="{00000000-0005-0000-0000-0000E6100000}"/>
    <cellStyle name="Normal 2 4 7 2 5 3 2" xfId="14799" xr:uid="{A40642F5-A5B8-4222-97A2-61BC19F495F6}"/>
    <cellStyle name="Normal 2 4 7 2 5 4" xfId="10581" xr:uid="{3F06DE8B-CBAF-4A75-9B7F-01FDA2CC5A92}"/>
    <cellStyle name="Normal 2 4 7 2 6" xfId="2486" xr:uid="{00000000-0005-0000-0000-0000E7100000}"/>
    <cellStyle name="Normal 2 4 7 2 6 2" xfId="6770" xr:uid="{00000000-0005-0000-0000-0000E8100000}"/>
    <cellStyle name="Normal 2 4 7 2 6 2 2" xfId="15212" xr:uid="{06F47A14-8155-4B57-A2AB-774821E841B7}"/>
    <cellStyle name="Normal 2 4 7 2 6 3" xfId="10994" xr:uid="{8C62B4DB-028F-4323-9677-05B831C3F68B}"/>
    <cellStyle name="Normal 2 4 7 2 7" xfId="4704" xr:uid="{00000000-0005-0000-0000-0000E9100000}"/>
    <cellStyle name="Normal 2 4 7 2 7 2" xfId="13146" xr:uid="{323F6D18-9229-45EB-9A96-607254448F5B}"/>
    <cellStyle name="Normal 2 4 7 2 8" xfId="8928" xr:uid="{DB921938-EB77-47FA-891D-7D3FEF5A5134}"/>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F2BE2F65-8F63-4689-B9BB-004F26D0CD60}"/>
    <cellStyle name="Normal 2 4 7 3 2 3" xfId="11486" xr:uid="{9DFAC40F-7087-4504-BB4B-C285497D981F}"/>
    <cellStyle name="Normal 2 4 7 3 3" xfId="5117" xr:uid="{00000000-0005-0000-0000-0000ED100000}"/>
    <cellStyle name="Normal 2 4 7 3 3 2" xfId="13559" xr:uid="{3DF66D82-7E90-4553-A58F-F26D2B25DDF3}"/>
    <cellStyle name="Normal 2 4 7 3 4" xfId="9341" xr:uid="{D06BF706-D1F6-475A-8BA0-6F94DD5F2D9C}"/>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30EB633D-7EA9-48F2-A5ED-F5F43E6EFC2D}"/>
    <cellStyle name="Normal 2 4 7 4 2 3" xfId="11899" xr:uid="{C403C1AC-A10E-4F12-BC80-E730A1B334C9}"/>
    <cellStyle name="Normal 2 4 7 4 3" xfId="5530" xr:uid="{00000000-0005-0000-0000-0000F1100000}"/>
    <cellStyle name="Normal 2 4 7 4 3 2" xfId="13972" xr:uid="{B5D32110-015D-4FBD-B0F2-180EAD1B7573}"/>
    <cellStyle name="Normal 2 4 7 4 4" xfId="9754" xr:uid="{5F2A4A78-BC07-4AA2-8477-6F9201258AB3}"/>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CEB371D7-126B-4C61-8CB1-B0730D9D40A2}"/>
    <cellStyle name="Normal 2 4 7 5 2 3" xfId="12312" xr:uid="{A6B70C2A-9333-48E8-BCF7-B61EF12AAAB5}"/>
    <cellStyle name="Normal 2 4 7 5 3" xfId="5943" xr:uid="{00000000-0005-0000-0000-0000F5100000}"/>
    <cellStyle name="Normal 2 4 7 5 3 2" xfId="14385" xr:uid="{3BC67DE9-8CC7-4D13-98E6-BDB11F807893}"/>
    <cellStyle name="Normal 2 4 7 5 4" xfId="10167" xr:uid="{BD524744-4F01-4374-8EC9-9A5651D6BDF2}"/>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3BE0F72A-8CCB-4C38-9260-A2BE241AD683}"/>
    <cellStyle name="Normal 2 4 7 6 2 3" xfId="12725" xr:uid="{D49D2D69-2DF2-435D-9B7B-4D5712C0955C}"/>
    <cellStyle name="Normal 2 4 7 6 3" xfId="6356" xr:uid="{00000000-0005-0000-0000-0000F9100000}"/>
    <cellStyle name="Normal 2 4 7 6 3 2" xfId="14798" xr:uid="{0E142B25-60CF-4E36-8F1F-F1CFDAEB77A5}"/>
    <cellStyle name="Normal 2 4 7 6 4" xfId="10580" xr:uid="{441EF422-DEA5-4DCE-9187-1FDD44FCB4A8}"/>
    <cellStyle name="Normal 2 4 7 7" xfId="2485" xr:uid="{00000000-0005-0000-0000-0000FA100000}"/>
    <cellStyle name="Normal 2 4 7 7 2" xfId="6769" xr:uid="{00000000-0005-0000-0000-0000FB100000}"/>
    <cellStyle name="Normal 2 4 7 7 2 2" xfId="15211" xr:uid="{B622CDC7-11EA-4327-8BA5-8D6770403AD4}"/>
    <cellStyle name="Normal 2 4 7 7 3" xfId="10993" xr:uid="{2660C8EB-0559-4A61-A571-2C2ED7238C20}"/>
    <cellStyle name="Normal 2 4 7 8" xfId="4703" xr:uid="{00000000-0005-0000-0000-0000FC100000}"/>
    <cellStyle name="Normal 2 4 7 8 2" xfId="13145" xr:uid="{403B71EF-4937-4DFC-A86A-D16A8047A710}"/>
    <cellStyle name="Normal 2 4 7 9" xfId="8927" xr:uid="{4EE34F8A-7125-476D-807F-A4B580C63957}"/>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D358F643-A7A4-4FB4-B756-751E4372496E}"/>
    <cellStyle name="Normal 2 4 8 2 2 3" xfId="11488" xr:uid="{B1DA85B7-5DEC-4FFC-B9ED-085686A22A47}"/>
    <cellStyle name="Normal 2 4 8 2 3" xfId="5119" xr:uid="{00000000-0005-0000-0000-000001110000}"/>
    <cellStyle name="Normal 2 4 8 2 3 2" xfId="13561" xr:uid="{2B01B075-5243-40CC-92A7-FCEF0DC66CEE}"/>
    <cellStyle name="Normal 2 4 8 2 4" xfId="9343" xr:uid="{A1B1C828-FD5C-4244-8982-0C217A1BE038}"/>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F13FFEFF-80B3-43D7-BCFE-DD1BCA47738B}"/>
    <cellStyle name="Normal 2 4 8 3 2 3" xfId="11901" xr:uid="{E7B4122F-F4E0-4B82-9B74-E47E1A5CCF9C}"/>
    <cellStyle name="Normal 2 4 8 3 3" xfId="5532" xr:uid="{00000000-0005-0000-0000-000005110000}"/>
    <cellStyle name="Normal 2 4 8 3 3 2" xfId="13974" xr:uid="{6777BD0A-F849-4DD7-A1FA-54B0BFEE38D8}"/>
    <cellStyle name="Normal 2 4 8 3 4" xfId="9756" xr:uid="{C1B0B7FF-95BD-4710-8EE7-0BCD7D8D1B92}"/>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C7FD1E1A-3A4C-4C8A-89E9-5DD7D9CBFD8F}"/>
    <cellStyle name="Normal 2 4 8 4 2 3" xfId="12314" xr:uid="{291FEBE4-2CB4-4EAC-B3A5-107867A1E937}"/>
    <cellStyle name="Normal 2 4 8 4 3" xfId="5945" xr:uid="{00000000-0005-0000-0000-000009110000}"/>
    <cellStyle name="Normal 2 4 8 4 3 2" xfId="14387" xr:uid="{4A6624C9-F1D3-490E-94E2-BFF3FE25972E}"/>
    <cellStyle name="Normal 2 4 8 4 4" xfId="10169" xr:uid="{4752722D-EA8D-457B-9F29-45983230D952}"/>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0CBB95C9-055E-4B8B-B431-03E0183053F2}"/>
    <cellStyle name="Normal 2 4 8 5 2 3" xfId="12727" xr:uid="{439FC86A-E65F-439B-98A0-4FEF8C0D701F}"/>
    <cellStyle name="Normal 2 4 8 5 3" xfId="6358" xr:uid="{00000000-0005-0000-0000-00000D110000}"/>
    <cellStyle name="Normal 2 4 8 5 3 2" xfId="14800" xr:uid="{2F08A232-5C0F-4819-B018-0039D5FE9CC7}"/>
    <cellStyle name="Normal 2 4 8 5 4" xfId="10582" xr:uid="{FE7F54FE-C6C6-4DC9-B90D-247550E507D7}"/>
    <cellStyle name="Normal 2 4 8 6" xfId="2487" xr:uid="{00000000-0005-0000-0000-00000E110000}"/>
    <cellStyle name="Normal 2 4 8 6 2" xfId="6771" xr:uid="{00000000-0005-0000-0000-00000F110000}"/>
    <cellStyle name="Normal 2 4 8 6 2 2" xfId="15213" xr:uid="{C4296176-F734-48BA-B8D6-9DBCAE847CA6}"/>
    <cellStyle name="Normal 2 4 8 6 3" xfId="10995" xr:uid="{867AA68E-791A-4CA0-93A9-D2073B7E7325}"/>
    <cellStyle name="Normal 2 4 8 7" xfId="4705" xr:uid="{00000000-0005-0000-0000-000010110000}"/>
    <cellStyle name="Normal 2 4 8 7 2" xfId="13147" xr:uid="{93019630-5FB6-4804-9AE9-C174F5976CFF}"/>
    <cellStyle name="Normal 2 4 8 8" xfId="8929" xr:uid="{8569AB09-3CE7-4B3D-B001-913A73AAD096}"/>
    <cellStyle name="Normal 2 5" xfId="315" xr:uid="{00000000-0005-0000-0000-000011110000}"/>
    <cellStyle name="Normal 2 5 10" xfId="4706" xr:uid="{00000000-0005-0000-0000-000012110000}"/>
    <cellStyle name="Normal 2 5 10 2" xfId="13148" xr:uid="{F2721C4C-9706-465F-B114-0C64E840546C}"/>
    <cellStyle name="Normal 2 5 11" xfId="8930" xr:uid="{C5B20C83-94D3-48C3-9F59-6F7F09C09EAE}"/>
    <cellStyle name="Normal 2 5 2" xfId="316" xr:uid="{00000000-0005-0000-0000-000013110000}"/>
    <cellStyle name="Normal 2 5 3" xfId="317" xr:uid="{00000000-0005-0000-0000-000014110000}"/>
    <cellStyle name="Normal 2 5 4" xfId="318" xr:uid="{00000000-0005-0000-0000-000015110000}"/>
    <cellStyle name="Normal 2 5 4 10" xfId="8931" xr:uid="{21254BB7-FF76-4810-AC7E-AEFA88CF214D}"/>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45261223-10CA-4ED1-BC6C-978A3460A2EA}"/>
    <cellStyle name="Normal 2 5 4 2 2 2 2 3" xfId="11492" xr:uid="{FA925BFB-55C2-47AD-8988-2E4E0CD18B91}"/>
    <cellStyle name="Normal 2 5 4 2 2 2 3" xfId="5123" xr:uid="{00000000-0005-0000-0000-00001B110000}"/>
    <cellStyle name="Normal 2 5 4 2 2 2 3 2" xfId="13565" xr:uid="{09054E87-45F2-4220-AFBB-1F0286AFDAF8}"/>
    <cellStyle name="Normal 2 5 4 2 2 2 4" xfId="9347" xr:uid="{AF311959-EB47-4EAE-A84E-1FEF075A54AA}"/>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B3F6238A-F8F0-4F19-AD0C-BC33D8FA8DDE}"/>
    <cellStyle name="Normal 2 5 4 2 2 3 2 3" xfId="11905" xr:uid="{D0D95DCD-FFBB-4628-8ED7-03750A167A5E}"/>
    <cellStyle name="Normal 2 5 4 2 2 3 3" xfId="5536" xr:uid="{00000000-0005-0000-0000-00001F110000}"/>
    <cellStyle name="Normal 2 5 4 2 2 3 3 2" xfId="13978" xr:uid="{0D64406F-FAE2-423A-8461-4B97576EC81E}"/>
    <cellStyle name="Normal 2 5 4 2 2 3 4" xfId="9760" xr:uid="{C64553E4-E9E4-4233-B5E8-AFC4A819A868}"/>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B10716A1-9084-41A6-B41E-0B263D685588}"/>
    <cellStyle name="Normal 2 5 4 2 2 4 2 3" xfId="12318" xr:uid="{545DF868-4F42-4BAA-A738-2EB09E2AFEF4}"/>
    <cellStyle name="Normal 2 5 4 2 2 4 3" xfId="5949" xr:uid="{00000000-0005-0000-0000-000023110000}"/>
    <cellStyle name="Normal 2 5 4 2 2 4 3 2" xfId="14391" xr:uid="{C296E0A6-AD3F-4658-B35C-7ED88C9B8449}"/>
    <cellStyle name="Normal 2 5 4 2 2 4 4" xfId="10173" xr:uid="{AD8C5B3E-D5BE-4BC3-AE18-BA30BD0ED33A}"/>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2495E082-C3B9-4C3F-827C-571B1FFBAB45}"/>
    <cellStyle name="Normal 2 5 4 2 2 5 2 3" xfId="12731" xr:uid="{6608A58E-CDDF-42EB-8CD6-4D8D1F5688BD}"/>
    <cellStyle name="Normal 2 5 4 2 2 5 3" xfId="6362" xr:uid="{00000000-0005-0000-0000-000027110000}"/>
    <cellStyle name="Normal 2 5 4 2 2 5 3 2" xfId="14804" xr:uid="{628E3386-A5DD-4EBF-AF6D-4AE79E3D7A08}"/>
    <cellStyle name="Normal 2 5 4 2 2 5 4" xfId="10586" xr:uid="{4D34928F-4485-4FFA-B8D7-B1BB49D7757C}"/>
    <cellStyle name="Normal 2 5 4 2 2 6" xfId="2491" xr:uid="{00000000-0005-0000-0000-000028110000}"/>
    <cellStyle name="Normal 2 5 4 2 2 6 2" xfId="6775" xr:uid="{00000000-0005-0000-0000-000029110000}"/>
    <cellStyle name="Normal 2 5 4 2 2 6 2 2" xfId="15217" xr:uid="{685ABC71-EC5B-42F3-9ADA-92916C1D9FD2}"/>
    <cellStyle name="Normal 2 5 4 2 2 6 3" xfId="10999" xr:uid="{33A4D290-2311-42B3-BC8D-D943FEB314AA}"/>
    <cellStyle name="Normal 2 5 4 2 2 7" xfId="4709" xr:uid="{00000000-0005-0000-0000-00002A110000}"/>
    <cellStyle name="Normal 2 5 4 2 2 7 2" xfId="13151" xr:uid="{E983D464-42F2-47A8-879C-BF99C764AC4C}"/>
    <cellStyle name="Normal 2 5 4 2 2 8" xfId="8933" xr:uid="{8405C698-ED42-4D1C-B5B5-965949240366}"/>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8AAAB459-0C5C-4615-B6B5-AB73961DBF30}"/>
    <cellStyle name="Normal 2 5 4 2 3 2 3" xfId="11491" xr:uid="{C7F73009-1F3B-4A9A-963E-9C85F982189D}"/>
    <cellStyle name="Normal 2 5 4 2 3 3" xfId="5122" xr:uid="{00000000-0005-0000-0000-00002E110000}"/>
    <cellStyle name="Normal 2 5 4 2 3 3 2" xfId="13564" xr:uid="{DC1B48F4-062B-49EC-AF9E-2BA442CAE622}"/>
    <cellStyle name="Normal 2 5 4 2 3 4" xfId="9346" xr:uid="{6E8D4006-4011-4197-8E55-F27C9E5FE413}"/>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5C004305-2994-4101-B1D1-4AADC4BF65D8}"/>
    <cellStyle name="Normal 2 5 4 2 4 2 3" xfId="11904" xr:uid="{04571020-6A38-40B7-94E9-10E97CBCF3F6}"/>
    <cellStyle name="Normal 2 5 4 2 4 3" xfId="5535" xr:uid="{00000000-0005-0000-0000-000032110000}"/>
    <cellStyle name="Normal 2 5 4 2 4 3 2" xfId="13977" xr:uid="{0F17E1A4-3EFA-48CF-A5C6-364A0796E01B}"/>
    <cellStyle name="Normal 2 5 4 2 4 4" xfId="9759" xr:uid="{8940F94B-DE92-4238-BDE2-CE4E0B3BE45E}"/>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E270D462-44FA-4B58-872C-CA491773EB1A}"/>
    <cellStyle name="Normal 2 5 4 2 5 2 3" xfId="12317" xr:uid="{B476508E-7050-414E-88C1-169A9583732A}"/>
    <cellStyle name="Normal 2 5 4 2 5 3" xfId="5948" xr:uid="{00000000-0005-0000-0000-000036110000}"/>
    <cellStyle name="Normal 2 5 4 2 5 3 2" xfId="14390" xr:uid="{A06B3220-7672-47D5-866B-50F18EA988D7}"/>
    <cellStyle name="Normal 2 5 4 2 5 4" xfId="10172" xr:uid="{D0E3B823-8F6A-46B4-95DB-8E52B64B88C3}"/>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89EA2821-85AE-4B31-86EA-170EB4ADA57B}"/>
    <cellStyle name="Normal 2 5 4 2 6 2 3" xfId="12730" xr:uid="{A0D4901B-20CD-4C2E-BC5E-B97EF454FC07}"/>
    <cellStyle name="Normal 2 5 4 2 6 3" xfId="6361" xr:uid="{00000000-0005-0000-0000-00003A110000}"/>
    <cellStyle name="Normal 2 5 4 2 6 3 2" xfId="14803" xr:uid="{9D22D6C2-42C8-4DB4-8756-53CF535AB620}"/>
    <cellStyle name="Normal 2 5 4 2 6 4" xfId="10585" xr:uid="{4C26028E-BE61-4CB7-8167-B0C27EF7E7C1}"/>
    <cellStyle name="Normal 2 5 4 2 7" xfId="2490" xr:uid="{00000000-0005-0000-0000-00003B110000}"/>
    <cellStyle name="Normal 2 5 4 2 7 2" xfId="6774" xr:uid="{00000000-0005-0000-0000-00003C110000}"/>
    <cellStyle name="Normal 2 5 4 2 7 2 2" xfId="15216" xr:uid="{3892AFF2-1ADB-4764-9BF9-FFE7115CCB07}"/>
    <cellStyle name="Normal 2 5 4 2 7 3" xfId="10998" xr:uid="{7B191026-2EC7-4779-9B3D-115DC7B637A5}"/>
    <cellStyle name="Normal 2 5 4 2 8" xfId="4708" xr:uid="{00000000-0005-0000-0000-00003D110000}"/>
    <cellStyle name="Normal 2 5 4 2 8 2" xfId="13150" xr:uid="{7F598A9B-28D1-4ABD-B245-507984E633D7}"/>
    <cellStyle name="Normal 2 5 4 2 9" xfId="8932" xr:uid="{55641DB1-76C1-4A8B-9128-01B97534EA3F}"/>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2D112CE8-008A-4E44-A24F-394826950B57}"/>
    <cellStyle name="Normal 2 5 4 3 2 2 3" xfId="11493" xr:uid="{03816623-69B0-4C2B-BE7D-2F4052911DA9}"/>
    <cellStyle name="Normal 2 5 4 3 2 3" xfId="5124" xr:uid="{00000000-0005-0000-0000-000042110000}"/>
    <cellStyle name="Normal 2 5 4 3 2 3 2" xfId="13566" xr:uid="{493AFE6E-E1EB-404A-8A30-C60D9FD81586}"/>
    <cellStyle name="Normal 2 5 4 3 2 4" xfId="9348" xr:uid="{6C88587C-123C-4A92-B02D-7F978DD4E699}"/>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32934E6B-BE3B-4634-9662-43459B6730FA}"/>
    <cellStyle name="Normal 2 5 4 3 3 2 3" xfId="11906" xr:uid="{6C8E86DB-EE50-41B5-9BF1-AA3A2D9A8319}"/>
    <cellStyle name="Normal 2 5 4 3 3 3" xfId="5537" xr:uid="{00000000-0005-0000-0000-000046110000}"/>
    <cellStyle name="Normal 2 5 4 3 3 3 2" xfId="13979" xr:uid="{1C5857F8-FEFB-40F6-9B68-2E9CDB567343}"/>
    <cellStyle name="Normal 2 5 4 3 3 4" xfId="9761" xr:uid="{FD00B551-4789-4435-A910-7B4DF0C82E61}"/>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CC7D545B-D19B-4272-8C30-453360922474}"/>
    <cellStyle name="Normal 2 5 4 3 4 2 3" xfId="12319" xr:uid="{240648C7-D1C2-40F3-9D4F-A166C166EF5B}"/>
    <cellStyle name="Normal 2 5 4 3 4 3" xfId="5950" xr:uid="{00000000-0005-0000-0000-00004A110000}"/>
    <cellStyle name="Normal 2 5 4 3 4 3 2" xfId="14392" xr:uid="{AE4FDAF0-7515-40DB-9476-E80790BB085A}"/>
    <cellStyle name="Normal 2 5 4 3 4 4" xfId="10174" xr:uid="{B7E374DC-A4A3-46D2-9CE6-9C5C8D199306}"/>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306A2C20-5710-45EF-B5B5-48D605917332}"/>
    <cellStyle name="Normal 2 5 4 3 5 2 3" xfId="12732" xr:uid="{EC8AC9F4-72D1-4FD0-A2CA-331E6B17BF3C}"/>
    <cellStyle name="Normal 2 5 4 3 5 3" xfId="6363" xr:uid="{00000000-0005-0000-0000-00004E110000}"/>
    <cellStyle name="Normal 2 5 4 3 5 3 2" xfId="14805" xr:uid="{75ACEDDA-622C-49AC-B44A-9ED5E89F1867}"/>
    <cellStyle name="Normal 2 5 4 3 5 4" xfId="10587" xr:uid="{FD311351-9727-4D23-81DC-D0EBB97A82D8}"/>
    <cellStyle name="Normal 2 5 4 3 6" xfId="2492" xr:uid="{00000000-0005-0000-0000-00004F110000}"/>
    <cellStyle name="Normal 2 5 4 3 6 2" xfId="6776" xr:uid="{00000000-0005-0000-0000-000050110000}"/>
    <cellStyle name="Normal 2 5 4 3 6 2 2" xfId="15218" xr:uid="{39F7CCD7-46FE-4706-8120-00768BA5A6C9}"/>
    <cellStyle name="Normal 2 5 4 3 6 3" xfId="11000" xr:uid="{CAED1C44-2779-4D73-AE24-17B947F4D186}"/>
    <cellStyle name="Normal 2 5 4 3 7" xfId="4710" xr:uid="{00000000-0005-0000-0000-000051110000}"/>
    <cellStyle name="Normal 2 5 4 3 7 2" xfId="13152" xr:uid="{77FAD9BA-8367-494F-AB36-BDE99396F7FC}"/>
    <cellStyle name="Normal 2 5 4 3 8" xfId="8934" xr:uid="{49147CD5-F91F-46B1-876B-D7EB6E4CB224}"/>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E744A59B-DF23-4AEA-A699-DF6A550A8EF3}"/>
    <cellStyle name="Normal 2 5 4 4 2 3" xfId="11490" xr:uid="{9C53BDF6-FD5D-491F-B517-2E4C8CD222BD}"/>
    <cellStyle name="Normal 2 5 4 4 3" xfId="5121" xr:uid="{00000000-0005-0000-0000-000055110000}"/>
    <cellStyle name="Normal 2 5 4 4 3 2" xfId="13563" xr:uid="{8408279F-ACD9-4464-B733-9264AFC19102}"/>
    <cellStyle name="Normal 2 5 4 4 4" xfId="9345" xr:uid="{5FBFBB83-5037-41B5-9B85-41DA2C0D1A47}"/>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70175C9D-65A1-49E8-BC2C-BD1757831456}"/>
    <cellStyle name="Normal 2 5 4 5 2 3" xfId="11903" xr:uid="{964E4BCB-5B62-4E4F-9443-9E9EA4A45234}"/>
    <cellStyle name="Normal 2 5 4 5 3" xfId="5534" xr:uid="{00000000-0005-0000-0000-000059110000}"/>
    <cellStyle name="Normal 2 5 4 5 3 2" xfId="13976" xr:uid="{1274D30C-4A6B-4F32-B841-F4A7DA75284C}"/>
    <cellStyle name="Normal 2 5 4 5 4" xfId="9758" xr:uid="{5261C0D5-AC3C-4C2B-B5BB-351D3F342DC9}"/>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769060B0-D106-47A6-A824-A8837E1A7060}"/>
    <cellStyle name="Normal 2 5 4 6 2 3" xfId="12316" xr:uid="{DFCBA5E2-4E48-4989-8B03-89D439FEA54E}"/>
    <cellStyle name="Normal 2 5 4 6 3" xfId="5947" xr:uid="{00000000-0005-0000-0000-00005D110000}"/>
    <cellStyle name="Normal 2 5 4 6 3 2" xfId="14389" xr:uid="{9E77D223-FD3C-49EA-86BF-F12066EFCCED}"/>
    <cellStyle name="Normal 2 5 4 6 4" xfId="10171" xr:uid="{34AE9166-F92C-4D1F-8785-BEC1F1FFB9B5}"/>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1CA23C36-3009-4AC6-87C2-C31B0633EA40}"/>
    <cellStyle name="Normal 2 5 4 7 2 3" xfId="12729" xr:uid="{E99C4C91-5A7D-41B2-8E30-B9653F321C88}"/>
    <cellStyle name="Normal 2 5 4 7 3" xfId="6360" xr:uid="{00000000-0005-0000-0000-000061110000}"/>
    <cellStyle name="Normal 2 5 4 7 3 2" xfId="14802" xr:uid="{05C56D58-885B-435E-AE32-0DC3FE456B4F}"/>
    <cellStyle name="Normal 2 5 4 7 4" xfId="10584" xr:uid="{5BB440D0-BAF4-4EF1-A311-5C12A96823A2}"/>
    <cellStyle name="Normal 2 5 4 8" xfId="2489" xr:uid="{00000000-0005-0000-0000-000062110000}"/>
    <cellStyle name="Normal 2 5 4 8 2" xfId="6773" xr:uid="{00000000-0005-0000-0000-000063110000}"/>
    <cellStyle name="Normal 2 5 4 8 2 2" xfId="15215" xr:uid="{E98CA362-C09F-45BC-A177-87FC2CED91D5}"/>
    <cellStyle name="Normal 2 5 4 8 3" xfId="10997" xr:uid="{D1BFD88B-C42D-4FA0-8237-DB6394AC8B30}"/>
    <cellStyle name="Normal 2 5 4 9" xfId="4707" xr:uid="{00000000-0005-0000-0000-000064110000}"/>
    <cellStyle name="Normal 2 5 4 9 2" xfId="13149" xr:uid="{11EB8C12-62BC-498F-BFDA-8FF0D26D2E79}"/>
    <cellStyle name="Normal 2 5 5" xfId="803" xr:uid="{00000000-0005-0000-0000-000065110000}"/>
    <cellStyle name="Normal 2 5 5 2" xfId="3042" xr:uid="{00000000-0005-0000-0000-000066110000}"/>
    <cellStyle name="Normal 2 5 5 2 2" xfId="7265" xr:uid="{00000000-0005-0000-0000-000067110000}"/>
    <cellStyle name="Normal 2 5 5 2 2 2" xfId="15707" xr:uid="{6013F901-75B3-4B27-AA0A-6122AE0B5770}"/>
    <cellStyle name="Normal 2 5 5 2 3" xfId="11489" xr:uid="{29B40677-CC66-41AF-B941-2C0EDB54D622}"/>
    <cellStyle name="Normal 2 5 5 3" xfId="5120" xr:uid="{00000000-0005-0000-0000-000068110000}"/>
    <cellStyle name="Normal 2 5 5 3 2" xfId="13562" xr:uid="{C9FB9D18-20F6-4B26-9CE2-1FA1CCFF67F1}"/>
    <cellStyle name="Normal 2 5 5 4" xfId="9344" xr:uid="{7019FABB-8683-475E-B0FB-D22F76AE6B9D}"/>
    <cellStyle name="Normal 2 5 6" xfId="1225" xr:uid="{00000000-0005-0000-0000-000069110000}"/>
    <cellStyle name="Normal 2 5 6 2" xfId="3455" xr:uid="{00000000-0005-0000-0000-00006A110000}"/>
    <cellStyle name="Normal 2 5 6 2 2" xfId="7678" xr:uid="{00000000-0005-0000-0000-00006B110000}"/>
    <cellStyle name="Normal 2 5 6 2 2 2" xfId="16120" xr:uid="{DCA402CC-D7C9-4355-AE34-8F7319A33036}"/>
    <cellStyle name="Normal 2 5 6 2 3" xfId="11902" xr:uid="{CBE3D5C1-53A9-4C6A-94B6-317F5999B9EA}"/>
    <cellStyle name="Normal 2 5 6 3" xfId="5533" xr:uid="{00000000-0005-0000-0000-00006C110000}"/>
    <cellStyle name="Normal 2 5 6 3 2" xfId="13975" xr:uid="{66B29425-72E0-4C01-821F-8495DC75ECC3}"/>
    <cellStyle name="Normal 2 5 6 4" xfId="9757" xr:uid="{027833C9-F273-466A-B440-4AD5ED6761B1}"/>
    <cellStyle name="Normal 2 5 7" xfId="1638" xr:uid="{00000000-0005-0000-0000-00006D110000}"/>
    <cellStyle name="Normal 2 5 7 2" xfId="3868" xr:uid="{00000000-0005-0000-0000-00006E110000}"/>
    <cellStyle name="Normal 2 5 7 2 2" xfId="8091" xr:uid="{00000000-0005-0000-0000-00006F110000}"/>
    <cellStyle name="Normal 2 5 7 2 2 2" xfId="16533" xr:uid="{D6BBC4E9-4EF4-4D08-9703-E1EF03E76074}"/>
    <cellStyle name="Normal 2 5 7 2 3" xfId="12315" xr:uid="{C0791F45-5EA6-4D96-8B4E-6E268634EB42}"/>
    <cellStyle name="Normal 2 5 7 3" xfId="5946" xr:uid="{00000000-0005-0000-0000-000070110000}"/>
    <cellStyle name="Normal 2 5 7 3 2" xfId="14388" xr:uid="{C0B638F1-3DB5-462A-B3E3-8C50C940F772}"/>
    <cellStyle name="Normal 2 5 7 4" xfId="10170" xr:uid="{25695227-04D0-44CD-82CF-DD2D9DF55168}"/>
    <cellStyle name="Normal 2 5 8" xfId="2052" xr:uid="{00000000-0005-0000-0000-000071110000}"/>
    <cellStyle name="Normal 2 5 8 2" xfId="4281" xr:uid="{00000000-0005-0000-0000-000072110000}"/>
    <cellStyle name="Normal 2 5 8 2 2" xfId="8504" xr:uid="{00000000-0005-0000-0000-000073110000}"/>
    <cellStyle name="Normal 2 5 8 2 2 2" xfId="16946" xr:uid="{E81CF086-7860-4392-82E8-85527FA01A41}"/>
    <cellStyle name="Normal 2 5 8 2 3" xfId="12728" xr:uid="{63728DC1-4127-4E55-9B9C-CF13AE1B22BC}"/>
    <cellStyle name="Normal 2 5 8 3" xfId="6359" xr:uid="{00000000-0005-0000-0000-000074110000}"/>
    <cellStyle name="Normal 2 5 8 3 2" xfId="14801" xr:uid="{32776A33-CE23-4232-93EB-868CB758C55E}"/>
    <cellStyle name="Normal 2 5 8 4" xfId="10583" xr:uid="{567BFEEA-B7C2-4690-ADB3-92699ECCE095}"/>
    <cellStyle name="Normal 2 5 9" xfId="2488" xr:uid="{00000000-0005-0000-0000-000075110000}"/>
    <cellStyle name="Normal 2 5 9 2" xfId="6772" xr:uid="{00000000-0005-0000-0000-000076110000}"/>
    <cellStyle name="Normal 2 5 9 2 2" xfId="15214" xr:uid="{C6BE13A9-36AB-4181-BDF4-522C8302AC54}"/>
    <cellStyle name="Normal 2 5 9 3" xfId="10996" xr:uid="{3B756B0A-0EA8-455E-B6C6-ABDEE111AB75}"/>
    <cellStyle name="Normal 2 6" xfId="322" xr:uid="{00000000-0005-0000-0000-000077110000}"/>
    <cellStyle name="Normal 2 7" xfId="769" xr:uid="{00000000-0005-0000-0000-000078110000}"/>
    <cellStyle name="Normal 2 8" xfId="4495" xr:uid="{00000000-0005-0000-0000-000079110000}"/>
    <cellStyle name="Normal 2 8 2" xfId="12940" xr:uid="{B1D2C6EF-72E4-47FC-AABB-825BB61A4DB2}"/>
    <cellStyle name="Normal 3" xfId="323" xr:uid="{00000000-0005-0000-0000-00007A110000}"/>
    <cellStyle name="Normal 3 2" xfId="324" xr:uid="{00000000-0005-0000-0000-00007B110000}"/>
    <cellStyle name="Normal 3 2 10" xfId="8935" xr:uid="{175F943F-A4BC-47B1-B412-4E9F2C23191F}"/>
    <cellStyle name="Normal 3 2 2" xfId="325" xr:uid="{00000000-0005-0000-0000-00007C110000}"/>
    <cellStyle name="Normal 3 2 2 2" xfId="810" xr:uid="{00000000-0005-0000-0000-00007D110000}"/>
    <cellStyle name="Normal 3 2 3" xfId="326" xr:uid="{00000000-0005-0000-0000-00007E110000}"/>
    <cellStyle name="Normal 3 2 3 10" xfId="8936" xr:uid="{5895BCD0-ED89-47B6-AD2B-41E489F69948}"/>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553C2B08-23D1-46A5-BB70-369910385CB6}"/>
    <cellStyle name="Normal 3 2 3 2 2 2 2 3" xfId="11497" xr:uid="{01503366-B08A-4B05-A5CB-D4BD72614745}"/>
    <cellStyle name="Normal 3 2 3 2 2 2 3" xfId="5128" xr:uid="{00000000-0005-0000-0000-000084110000}"/>
    <cellStyle name="Normal 3 2 3 2 2 2 3 2" xfId="13570" xr:uid="{994DEA83-1DBA-47D6-B362-B81A4A8E025B}"/>
    <cellStyle name="Normal 3 2 3 2 2 2 4" xfId="9352" xr:uid="{EE682D59-18B8-49FE-8AC6-3F859F224D99}"/>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768D59B8-6AE8-4EF4-8572-F701AFFEFF89}"/>
    <cellStyle name="Normal 3 2 3 2 2 3 2 3" xfId="11910" xr:uid="{175AD104-C3A2-4174-B683-5F0DB3680B58}"/>
    <cellStyle name="Normal 3 2 3 2 2 3 3" xfId="5541" xr:uid="{00000000-0005-0000-0000-000088110000}"/>
    <cellStyle name="Normal 3 2 3 2 2 3 3 2" xfId="13983" xr:uid="{0401BA4D-4B8F-4D53-A7FC-1AB2104B3658}"/>
    <cellStyle name="Normal 3 2 3 2 2 3 4" xfId="9765" xr:uid="{529D2B0C-7172-43A1-AC3A-F355E781DCE2}"/>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B27032FD-E783-4F2D-A447-B16E1152593C}"/>
    <cellStyle name="Normal 3 2 3 2 2 4 2 3" xfId="12323" xr:uid="{E07BBE3B-02D2-44EF-A0FE-CD5F47394ADE}"/>
    <cellStyle name="Normal 3 2 3 2 2 4 3" xfId="5954" xr:uid="{00000000-0005-0000-0000-00008C110000}"/>
    <cellStyle name="Normal 3 2 3 2 2 4 3 2" xfId="14396" xr:uid="{8E3D6B9B-310A-4E4E-848E-934456DA7F6E}"/>
    <cellStyle name="Normal 3 2 3 2 2 4 4" xfId="10178" xr:uid="{8A103C00-A850-492E-AEBB-D97816618BEE}"/>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C345D0B8-6CD3-4BCF-8280-994ED3FC64D9}"/>
    <cellStyle name="Normal 3 2 3 2 2 5 2 3" xfId="12736" xr:uid="{832BCAF0-5E76-42D5-AFA9-A4056760C05E}"/>
    <cellStyle name="Normal 3 2 3 2 2 5 3" xfId="6367" xr:uid="{00000000-0005-0000-0000-000090110000}"/>
    <cellStyle name="Normal 3 2 3 2 2 5 3 2" xfId="14809" xr:uid="{95DC0F4A-9FA3-445F-8F2C-5CC075EA075C}"/>
    <cellStyle name="Normal 3 2 3 2 2 5 4" xfId="10591" xr:uid="{ADE5D3C5-293C-41E6-9163-7F2471C66178}"/>
    <cellStyle name="Normal 3 2 3 2 2 6" xfId="2496" xr:uid="{00000000-0005-0000-0000-000091110000}"/>
    <cellStyle name="Normal 3 2 3 2 2 6 2" xfId="6780" xr:uid="{00000000-0005-0000-0000-000092110000}"/>
    <cellStyle name="Normal 3 2 3 2 2 6 2 2" xfId="15222" xr:uid="{5DD9F3ED-0AD5-419D-89EE-7A32C59BD63E}"/>
    <cellStyle name="Normal 3 2 3 2 2 6 3" xfId="11004" xr:uid="{BB2BCB84-387B-4B54-B3BC-300DA8C8834F}"/>
    <cellStyle name="Normal 3 2 3 2 2 7" xfId="4714" xr:uid="{00000000-0005-0000-0000-000093110000}"/>
    <cellStyle name="Normal 3 2 3 2 2 7 2" xfId="13156" xr:uid="{634202B1-D9D2-442E-BB91-B6EA11B092C2}"/>
    <cellStyle name="Normal 3 2 3 2 2 8" xfId="8938" xr:uid="{74DE0F21-52DD-4ECD-B5EC-0765503E4DEF}"/>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D37B11F2-693B-4CF4-8EF1-51F0A55A1255}"/>
    <cellStyle name="Normal 3 2 3 2 3 2 3" xfId="11496" xr:uid="{95A24E39-307D-4FD1-8C99-7BA0CE10738C}"/>
    <cellStyle name="Normal 3 2 3 2 3 3" xfId="5127" xr:uid="{00000000-0005-0000-0000-000097110000}"/>
    <cellStyle name="Normal 3 2 3 2 3 3 2" xfId="13569" xr:uid="{E55BC639-1DF7-42EC-B56E-98D8A68B95B3}"/>
    <cellStyle name="Normal 3 2 3 2 3 4" xfId="9351" xr:uid="{474FA711-BC26-4116-B3EB-5929393F4DC0}"/>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9239FDCA-4E46-4C9F-9301-9071F86F4E15}"/>
    <cellStyle name="Normal 3 2 3 2 4 2 3" xfId="11909" xr:uid="{1E2EF88D-7B02-4C71-8AA8-CA9BDD70C16D}"/>
    <cellStyle name="Normal 3 2 3 2 4 3" xfId="5540" xr:uid="{00000000-0005-0000-0000-00009B110000}"/>
    <cellStyle name="Normal 3 2 3 2 4 3 2" xfId="13982" xr:uid="{BFDD2CC4-2C4C-4DD2-8ADA-86FFDB2C2084}"/>
    <cellStyle name="Normal 3 2 3 2 4 4" xfId="9764" xr:uid="{6CD38DAD-D27D-427E-A5DD-C7DCFAA33C6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F9FD398-65B4-4F2C-8E71-745ECAE33356}"/>
    <cellStyle name="Normal 3 2 3 2 5 2 3" xfId="12322" xr:uid="{558CEF72-4476-445D-94AA-1AF76609E9EA}"/>
    <cellStyle name="Normal 3 2 3 2 5 3" xfId="5953" xr:uid="{00000000-0005-0000-0000-00009F110000}"/>
    <cellStyle name="Normal 3 2 3 2 5 3 2" xfId="14395" xr:uid="{BD5E92AF-74E9-400C-BA62-2788231AAB6B}"/>
    <cellStyle name="Normal 3 2 3 2 5 4" xfId="10177" xr:uid="{39161533-6512-4052-8F0C-4EBA0777A0D3}"/>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088149D3-C9CD-4500-8521-E3F178D1D0C5}"/>
    <cellStyle name="Normal 3 2 3 2 6 2 3" xfId="12735" xr:uid="{8A741AEF-4857-4263-8F43-AAFD7654527E}"/>
    <cellStyle name="Normal 3 2 3 2 6 3" xfId="6366" xr:uid="{00000000-0005-0000-0000-0000A3110000}"/>
    <cellStyle name="Normal 3 2 3 2 6 3 2" xfId="14808" xr:uid="{3071601C-519F-44B8-8C92-4982CE1870D2}"/>
    <cellStyle name="Normal 3 2 3 2 6 4" xfId="10590" xr:uid="{6C570D7E-F412-448F-A89D-6C21DDFD85B0}"/>
    <cellStyle name="Normal 3 2 3 2 7" xfId="2495" xr:uid="{00000000-0005-0000-0000-0000A4110000}"/>
    <cellStyle name="Normal 3 2 3 2 7 2" xfId="6779" xr:uid="{00000000-0005-0000-0000-0000A5110000}"/>
    <cellStyle name="Normal 3 2 3 2 7 2 2" xfId="15221" xr:uid="{39DC837F-4368-4F66-9B7B-B79DCB09AB8F}"/>
    <cellStyle name="Normal 3 2 3 2 7 3" xfId="11003" xr:uid="{724309D3-F8E3-43A4-ADA4-A21562E89F4F}"/>
    <cellStyle name="Normal 3 2 3 2 8" xfId="4713" xr:uid="{00000000-0005-0000-0000-0000A6110000}"/>
    <cellStyle name="Normal 3 2 3 2 8 2" xfId="13155" xr:uid="{E710EF87-243E-42F2-AE1E-9348F311AA65}"/>
    <cellStyle name="Normal 3 2 3 2 9" xfId="8937" xr:uid="{6FE72E89-C523-4182-9991-C63C17A74D7E}"/>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485993AB-B2B0-4DC8-A6CC-7BDC5BD19987}"/>
    <cellStyle name="Normal 3 2 3 3 2 2 3" xfId="11498" xr:uid="{26C916E5-E653-4DF3-BFF8-E8110E7FA970}"/>
    <cellStyle name="Normal 3 2 3 3 2 3" xfId="5129" xr:uid="{00000000-0005-0000-0000-0000AB110000}"/>
    <cellStyle name="Normal 3 2 3 3 2 3 2" xfId="13571" xr:uid="{432D965D-8B34-4879-A86D-F75C00F92BBF}"/>
    <cellStyle name="Normal 3 2 3 3 2 4" xfId="9353" xr:uid="{E7AD382E-6711-4433-939C-D3A1FDDC68BE}"/>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06344AC-9564-49D1-8865-410F01A62841}"/>
    <cellStyle name="Normal 3 2 3 3 3 2 3" xfId="11911" xr:uid="{82C699B4-7AFF-4ED6-B1F4-6F96339DBABA}"/>
    <cellStyle name="Normal 3 2 3 3 3 3" xfId="5542" xr:uid="{00000000-0005-0000-0000-0000AF110000}"/>
    <cellStyle name="Normal 3 2 3 3 3 3 2" xfId="13984" xr:uid="{3AE8044F-DA1A-42FE-B93F-288B0DE40B4B}"/>
    <cellStyle name="Normal 3 2 3 3 3 4" xfId="9766" xr:uid="{5DB660E2-F2F6-4E7B-8C14-1E7039FB7DB2}"/>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73A62BB0-BE0B-4061-8A59-D754970D3CC0}"/>
    <cellStyle name="Normal 3 2 3 3 4 2 3" xfId="12324" xr:uid="{DCAD185D-A4C4-4339-8BA8-43666AE6159A}"/>
    <cellStyle name="Normal 3 2 3 3 4 3" xfId="5955" xr:uid="{00000000-0005-0000-0000-0000B3110000}"/>
    <cellStyle name="Normal 3 2 3 3 4 3 2" xfId="14397" xr:uid="{50DA90AA-D207-4EF6-8D2C-303101CACD8E}"/>
    <cellStyle name="Normal 3 2 3 3 4 4" xfId="10179" xr:uid="{8FB4308B-B2CE-4FB8-8C68-03D8BA8FF8E9}"/>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64CE4B0E-D172-4C7C-ADA0-EDDFC2EA3E64}"/>
    <cellStyle name="Normal 3 2 3 3 5 2 3" xfId="12737" xr:uid="{A8C1BBEF-61AE-4AA2-9B40-F6F715982C6E}"/>
    <cellStyle name="Normal 3 2 3 3 5 3" xfId="6368" xr:uid="{00000000-0005-0000-0000-0000B7110000}"/>
    <cellStyle name="Normal 3 2 3 3 5 3 2" xfId="14810" xr:uid="{9246CEED-D4DF-44A2-AE46-092E2E3F8632}"/>
    <cellStyle name="Normal 3 2 3 3 5 4" xfId="10592" xr:uid="{CC1E2FB8-DA3B-4C17-A59D-370C5739C17E}"/>
    <cellStyle name="Normal 3 2 3 3 6" xfId="2497" xr:uid="{00000000-0005-0000-0000-0000B8110000}"/>
    <cellStyle name="Normal 3 2 3 3 6 2" xfId="6781" xr:uid="{00000000-0005-0000-0000-0000B9110000}"/>
    <cellStyle name="Normal 3 2 3 3 6 2 2" xfId="15223" xr:uid="{F4D7C2E3-0585-4708-9B5C-86D6358967D2}"/>
    <cellStyle name="Normal 3 2 3 3 6 3" xfId="11005" xr:uid="{03BA2F2A-8738-4387-99A5-CEA88D06F85C}"/>
    <cellStyle name="Normal 3 2 3 3 7" xfId="4715" xr:uid="{00000000-0005-0000-0000-0000BA110000}"/>
    <cellStyle name="Normal 3 2 3 3 7 2" xfId="13157" xr:uid="{6498E26A-456A-4835-9807-66F79AD41D19}"/>
    <cellStyle name="Normal 3 2 3 3 8" xfId="8939" xr:uid="{16818D15-69CD-466D-A464-5471B9607D7F}"/>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71BE57DA-3272-4C67-97E5-F25E9DF9EC5A}"/>
    <cellStyle name="Normal 3 2 3 4 2 3" xfId="11495" xr:uid="{1D992C3B-743D-462B-AF82-E0F97306CF0F}"/>
    <cellStyle name="Normal 3 2 3 4 3" xfId="5126" xr:uid="{00000000-0005-0000-0000-0000BE110000}"/>
    <cellStyle name="Normal 3 2 3 4 3 2" xfId="13568" xr:uid="{2D333B92-47ED-48AB-B95E-317B17E05CDE}"/>
    <cellStyle name="Normal 3 2 3 4 4" xfId="9350" xr:uid="{6629CC9E-27F1-46EB-9370-460B419F2E1B}"/>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F401E5A8-2EC3-4213-A654-8D413912415B}"/>
    <cellStyle name="Normal 3 2 3 5 2 3" xfId="11908" xr:uid="{99EEC2C1-DA7C-41B3-8D95-79725310F987}"/>
    <cellStyle name="Normal 3 2 3 5 3" xfId="5539" xr:uid="{00000000-0005-0000-0000-0000C2110000}"/>
    <cellStyle name="Normal 3 2 3 5 3 2" xfId="13981" xr:uid="{0C7C5FF9-191B-4E6B-A18A-3442CCC8F356}"/>
    <cellStyle name="Normal 3 2 3 5 4" xfId="9763" xr:uid="{F60B8E2F-DA12-4CD6-900C-F1FFEA943E38}"/>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5A2CB4D4-D834-4CF4-B54E-7757925A807B}"/>
    <cellStyle name="Normal 3 2 3 6 2 3" xfId="12321" xr:uid="{30221D54-684E-45EE-9ACC-7967D8D6C648}"/>
    <cellStyle name="Normal 3 2 3 6 3" xfId="5952" xr:uid="{00000000-0005-0000-0000-0000C6110000}"/>
    <cellStyle name="Normal 3 2 3 6 3 2" xfId="14394" xr:uid="{D5398E34-092D-4838-BC7F-E963E5FEE45D}"/>
    <cellStyle name="Normal 3 2 3 6 4" xfId="10176" xr:uid="{7E9D9852-EA62-40C2-A4B5-2279EC1BB0C7}"/>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C553910B-6224-41EC-A849-9E36B57A8122}"/>
    <cellStyle name="Normal 3 2 3 7 2 3" xfId="12734" xr:uid="{3F918D5A-3EDF-4407-9551-352697536877}"/>
    <cellStyle name="Normal 3 2 3 7 3" xfId="6365" xr:uid="{00000000-0005-0000-0000-0000CA110000}"/>
    <cellStyle name="Normal 3 2 3 7 3 2" xfId="14807" xr:uid="{74A71121-7DB9-4B20-99D9-32A0DB38F8AE}"/>
    <cellStyle name="Normal 3 2 3 7 4" xfId="10589" xr:uid="{5A759408-96A8-4538-AC45-82857EFDFA30}"/>
    <cellStyle name="Normal 3 2 3 8" xfId="2494" xr:uid="{00000000-0005-0000-0000-0000CB110000}"/>
    <cellStyle name="Normal 3 2 3 8 2" xfId="6778" xr:uid="{00000000-0005-0000-0000-0000CC110000}"/>
    <cellStyle name="Normal 3 2 3 8 2 2" xfId="15220" xr:uid="{84D8B618-9B04-479C-8017-0A405C47A80D}"/>
    <cellStyle name="Normal 3 2 3 8 3" xfId="11002" xr:uid="{9B22F1BA-63BE-419B-9E25-F564918508AE}"/>
    <cellStyle name="Normal 3 2 3 9" xfId="4712" xr:uid="{00000000-0005-0000-0000-0000CD110000}"/>
    <cellStyle name="Normal 3 2 3 9 2" xfId="13154" xr:uid="{7F7673A7-D6F7-4FB0-A945-E20BA2839FB3}"/>
    <cellStyle name="Normal 3 2 4" xfId="809" xr:uid="{00000000-0005-0000-0000-0000CE110000}"/>
    <cellStyle name="Normal 3 2 4 2" xfId="3047" xr:uid="{00000000-0005-0000-0000-0000CF110000}"/>
    <cellStyle name="Normal 3 2 4 2 2" xfId="7270" xr:uid="{00000000-0005-0000-0000-0000D0110000}"/>
    <cellStyle name="Normal 3 2 4 2 2 2" xfId="15712" xr:uid="{4A55F51E-1850-4DD1-B8ED-E0CC271E3595}"/>
    <cellStyle name="Normal 3 2 4 2 3" xfId="11494" xr:uid="{205CD63B-C2CB-4DC2-815D-8E53F01EB524}"/>
    <cellStyle name="Normal 3 2 4 3" xfId="5125" xr:uid="{00000000-0005-0000-0000-0000D1110000}"/>
    <cellStyle name="Normal 3 2 4 3 2" xfId="13567" xr:uid="{F2E48B73-7864-4A86-95C0-D3074894E7BB}"/>
    <cellStyle name="Normal 3 2 4 4" xfId="9349" xr:uid="{94FDCD01-E857-47C6-955F-A07B85BE0043}"/>
    <cellStyle name="Normal 3 2 5" xfId="1230" xr:uid="{00000000-0005-0000-0000-0000D2110000}"/>
    <cellStyle name="Normal 3 2 5 2" xfId="3460" xr:uid="{00000000-0005-0000-0000-0000D3110000}"/>
    <cellStyle name="Normal 3 2 5 2 2" xfId="7683" xr:uid="{00000000-0005-0000-0000-0000D4110000}"/>
    <cellStyle name="Normal 3 2 5 2 2 2" xfId="16125" xr:uid="{9D36FF41-A25A-44BC-ACB4-4B81CF4B824F}"/>
    <cellStyle name="Normal 3 2 5 2 3" xfId="11907" xr:uid="{19657F99-607C-4BC6-97C4-FE1868A9BE18}"/>
    <cellStyle name="Normal 3 2 5 3" xfId="5538" xr:uid="{00000000-0005-0000-0000-0000D5110000}"/>
    <cellStyle name="Normal 3 2 5 3 2" xfId="13980" xr:uid="{24DB5F67-6030-4DDE-990A-C573DD30D462}"/>
    <cellStyle name="Normal 3 2 5 4" xfId="9762" xr:uid="{9DFCD667-05A8-4659-92F1-454E37FAFD20}"/>
    <cellStyle name="Normal 3 2 6" xfId="1643" xr:uid="{00000000-0005-0000-0000-0000D6110000}"/>
    <cellStyle name="Normal 3 2 6 2" xfId="3873" xr:uid="{00000000-0005-0000-0000-0000D7110000}"/>
    <cellStyle name="Normal 3 2 6 2 2" xfId="8096" xr:uid="{00000000-0005-0000-0000-0000D8110000}"/>
    <cellStyle name="Normal 3 2 6 2 2 2" xfId="16538" xr:uid="{13385205-6A03-42C3-BC10-85B3D3CDB28F}"/>
    <cellStyle name="Normal 3 2 6 2 3" xfId="12320" xr:uid="{13B1C4E6-F894-4AFC-90FB-153C54A01155}"/>
    <cellStyle name="Normal 3 2 6 3" xfId="5951" xr:uid="{00000000-0005-0000-0000-0000D9110000}"/>
    <cellStyle name="Normal 3 2 6 3 2" xfId="14393" xr:uid="{A589986A-AA01-483B-831B-3069363AFE70}"/>
    <cellStyle name="Normal 3 2 6 4" xfId="10175" xr:uid="{94BCA07A-A66E-45A8-BC27-8D47042FD76F}"/>
    <cellStyle name="Normal 3 2 7" xfId="2057" xr:uid="{00000000-0005-0000-0000-0000DA110000}"/>
    <cellStyle name="Normal 3 2 7 2" xfId="4286" xr:uid="{00000000-0005-0000-0000-0000DB110000}"/>
    <cellStyle name="Normal 3 2 7 2 2" xfId="8509" xr:uid="{00000000-0005-0000-0000-0000DC110000}"/>
    <cellStyle name="Normal 3 2 7 2 2 2" xfId="16951" xr:uid="{10BF95C5-7B05-48B4-B024-68990A2F6C34}"/>
    <cellStyle name="Normal 3 2 7 2 3" xfId="12733" xr:uid="{23A6A287-F247-474C-9702-384640B2CE0D}"/>
    <cellStyle name="Normal 3 2 7 3" xfId="6364" xr:uid="{00000000-0005-0000-0000-0000DD110000}"/>
    <cellStyle name="Normal 3 2 7 3 2" xfId="14806" xr:uid="{1F7BEC35-BC8E-4693-A2A4-AE0D68025294}"/>
    <cellStyle name="Normal 3 2 7 4" xfId="10588" xr:uid="{50ACD087-E9C3-4F2B-A2E8-6BC66BF9A309}"/>
    <cellStyle name="Normal 3 2 8" xfId="2493" xr:uid="{00000000-0005-0000-0000-0000DE110000}"/>
    <cellStyle name="Normal 3 2 8 2" xfId="6777" xr:uid="{00000000-0005-0000-0000-0000DF110000}"/>
    <cellStyle name="Normal 3 2 8 2 2" xfId="15219" xr:uid="{C521AE16-4B47-42FB-8439-9F6D30E57140}"/>
    <cellStyle name="Normal 3 2 8 3" xfId="11001" xr:uid="{3D88A48F-339E-4655-A030-878579785523}"/>
    <cellStyle name="Normal 3 2 9" xfId="4711" xr:uid="{00000000-0005-0000-0000-0000E0110000}"/>
    <cellStyle name="Normal 3 2 9 2" xfId="13153" xr:uid="{4E9AC872-2657-4B79-B456-6C4689E78AC9}"/>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47D970F7-272E-4BC9-8ECA-176C2C61A6A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1846100E-4DCF-4A28-9E81-5F7ABCD75EAD}"/>
    <cellStyle name="Normal 4 2 2 10 2 3" xfId="12738" xr:uid="{854559A6-FCC9-4A36-9832-0F8A358B70D6}"/>
    <cellStyle name="Normal 4 2 2 10 3" xfId="6369" xr:uid="{00000000-0005-0000-0000-0000ED110000}"/>
    <cellStyle name="Normal 4 2 2 10 3 2" xfId="14811" xr:uid="{25B2D029-8907-47E1-8CAC-498114247FF7}"/>
    <cellStyle name="Normal 4 2 2 10 4" xfId="10593" xr:uid="{AAB67E63-4249-42D2-940F-8CC136ED76CA}"/>
    <cellStyle name="Normal 4 2 2 11" xfId="2498" xr:uid="{00000000-0005-0000-0000-0000EE110000}"/>
    <cellStyle name="Normal 4 2 2 11 2" xfId="6782" xr:uid="{00000000-0005-0000-0000-0000EF110000}"/>
    <cellStyle name="Normal 4 2 2 11 2 2" xfId="15224" xr:uid="{556E57FD-779A-4D74-BE74-61C3B7CCCB28}"/>
    <cellStyle name="Normal 4 2 2 11 3" xfId="11006" xr:uid="{A59235A7-54EB-46B7-B06B-8D5806966151}"/>
    <cellStyle name="Normal 4 2 2 12" xfId="4717" xr:uid="{00000000-0005-0000-0000-0000F0110000}"/>
    <cellStyle name="Normal 4 2 2 12 2" xfId="13159" xr:uid="{FDD07AA4-DC09-4A15-962C-66528DF72C09}"/>
    <cellStyle name="Normal 4 2 2 13" xfId="8941" xr:uid="{DF68C432-086C-4EF1-A031-CBB13E5CD9DC}"/>
    <cellStyle name="Normal 4 2 2 2" xfId="338" xr:uid="{00000000-0005-0000-0000-0000F1110000}"/>
    <cellStyle name="Normal 4 2 2 3" xfId="339" xr:uid="{00000000-0005-0000-0000-0000F2110000}"/>
    <cellStyle name="Normal 4 2 2 3 10" xfId="4718" xr:uid="{00000000-0005-0000-0000-0000F3110000}"/>
    <cellStyle name="Normal 4 2 2 3 10 2" xfId="13160" xr:uid="{A9591F74-BD2E-4B8D-905A-8250E02A940C}"/>
    <cellStyle name="Normal 4 2 2 3 11" xfId="8942" xr:uid="{605E90AA-2101-4637-A21D-8FC8E507B15A}"/>
    <cellStyle name="Normal 4 2 2 3 2" xfId="340" xr:uid="{00000000-0005-0000-0000-0000F4110000}"/>
    <cellStyle name="Normal 4 2 2 3 2 10" xfId="8943" xr:uid="{38ABB76A-5DB4-410A-8B42-3C6BFFECC149}"/>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A725BF54-40B1-460F-88AD-4B5F0FCD4489}"/>
    <cellStyle name="Normal 4 2 2 3 2 2 2 2 2 3" xfId="11503" xr:uid="{CEEB02CE-AEFA-4715-92E0-87EFEE7CE163}"/>
    <cellStyle name="Normal 4 2 2 3 2 2 2 2 3" xfId="5134" xr:uid="{00000000-0005-0000-0000-0000FA110000}"/>
    <cellStyle name="Normal 4 2 2 3 2 2 2 2 3 2" xfId="13576" xr:uid="{3A441B42-4489-461D-832E-88AB364514A0}"/>
    <cellStyle name="Normal 4 2 2 3 2 2 2 2 4" xfId="9358" xr:uid="{C5D3009C-23F1-45FA-9D2A-F8746F5E7A0F}"/>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B177EF4C-861F-4890-8410-5A7DE88A5BF1}"/>
    <cellStyle name="Normal 4 2 2 3 2 2 2 3 2 3" xfId="11916" xr:uid="{32C26664-82A8-4A23-8C69-21A362AD6DC7}"/>
    <cellStyle name="Normal 4 2 2 3 2 2 2 3 3" xfId="5547" xr:uid="{00000000-0005-0000-0000-0000FE110000}"/>
    <cellStyle name="Normal 4 2 2 3 2 2 2 3 3 2" xfId="13989" xr:uid="{FCA5A465-7189-40B3-82A7-4A5229C33BA6}"/>
    <cellStyle name="Normal 4 2 2 3 2 2 2 3 4" xfId="9771" xr:uid="{25EE77A1-9D5C-4867-B89E-40AA9A4A446B}"/>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CF1233B9-ACA5-4CCD-B3EB-1C96348CA663}"/>
    <cellStyle name="Normal 4 2 2 3 2 2 2 4 2 3" xfId="12329" xr:uid="{140A9A34-FFB5-4562-9FB7-493762F48779}"/>
    <cellStyle name="Normal 4 2 2 3 2 2 2 4 3" xfId="5960" xr:uid="{00000000-0005-0000-0000-000002120000}"/>
    <cellStyle name="Normal 4 2 2 3 2 2 2 4 3 2" xfId="14402" xr:uid="{EEF5608D-F8A1-4621-8E72-42F66C0BAA25}"/>
    <cellStyle name="Normal 4 2 2 3 2 2 2 4 4" xfId="10184" xr:uid="{121B9866-2D96-46EB-91CE-965BED450422}"/>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AB90B9C8-5A80-40E8-B244-B52E29A5511A}"/>
    <cellStyle name="Normal 4 2 2 3 2 2 2 5 2 3" xfId="12742" xr:uid="{780B8AA5-446B-4E6D-A65F-2E17BD5F26B1}"/>
    <cellStyle name="Normal 4 2 2 3 2 2 2 5 3" xfId="6373" xr:uid="{00000000-0005-0000-0000-000006120000}"/>
    <cellStyle name="Normal 4 2 2 3 2 2 2 5 3 2" xfId="14815" xr:uid="{5CB3AA75-89AA-4551-9BA8-B3BDF906CE0B}"/>
    <cellStyle name="Normal 4 2 2 3 2 2 2 5 4" xfId="10597" xr:uid="{F4086DCF-243D-48B5-AFD6-3E9DFE29936D}"/>
    <cellStyle name="Normal 4 2 2 3 2 2 2 6" xfId="2502" xr:uid="{00000000-0005-0000-0000-000007120000}"/>
    <cellStyle name="Normal 4 2 2 3 2 2 2 6 2" xfId="6786" xr:uid="{00000000-0005-0000-0000-000008120000}"/>
    <cellStyle name="Normal 4 2 2 3 2 2 2 6 2 2" xfId="15228" xr:uid="{C26AF2EF-7BC3-47E2-B6FE-5A690EF75FDA}"/>
    <cellStyle name="Normal 4 2 2 3 2 2 2 6 3" xfId="11010" xr:uid="{D44DA410-F83F-4085-AD6B-AC23AB78DC3E}"/>
    <cellStyle name="Normal 4 2 2 3 2 2 2 7" xfId="4721" xr:uid="{00000000-0005-0000-0000-000009120000}"/>
    <cellStyle name="Normal 4 2 2 3 2 2 2 7 2" xfId="13163" xr:uid="{8AE3B778-F6AD-4F73-8689-FE8C76DA2EEC}"/>
    <cellStyle name="Normal 4 2 2 3 2 2 2 8" xfId="8945" xr:uid="{CADDCE66-D562-4F7A-A93C-B48B8711015C}"/>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DF1839CF-7E73-44BD-A134-ABD6C9FB13A8}"/>
    <cellStyle name="Normal 4 2 2 3 2 2 3 2 3" xfId="11502" xr:uid="{B4D056FE-8CF6-44B7-9216-CD874FA427FD}"/>
    <cellStyle name="Normal 4 2 2 3 2 2 3 3" xfId="5133" xr:uid="{00000000-0005-0000-0000-00000D120000}"/>
    <cellStyle name="Normal 4 2 2 3 2 2 3 3 2" xfId="13575" xr:uid="{064D61DA-A307-41E1-8FC1-577E2F8622B0}"/>
    <cellStyle name="Normal 4 2 2 3 2 2 3 4" xfId="9357" xr:uid="{F0EFA6EB-0DF2-435F-A22F-7A7B74FEADFD}"/>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A48528B7-0728-4F5A-A502-45420EF1A06E}"/>
    <cellStyle name="Normal 4 2 2 3 2 2 4 2 3" xfId="11915" xr:uid="{9E50F152-BADD-4394-B888-0B2E9B801B25}"/>
    <cellStyle name="Normal 4 2 2 3 2 2 4 3" xfId="5546" xr:uid="{00000000-0005-0000-0000-000011120000}"/>
    <cellStyle name="Normal 4 2 2 3 2 2 4 3 2" xfId="13988" xr:uid="{6440C1AB-B273-44BD-B57B-4A91664D2590}"/>
    <cellStyle name="Normal 4 2 2 3 2 2 4 4" xfId="9770" xr:uid="{6522E27A-3BBB-444B-B042-2174F4484A4A}"/>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EB954967-E015-427A-8FDF-982D871D55E1}"/>
    <cellStyle name="Normal 4 2 2 3 2 2 5 2 3" xfId="12328" xr:uid="{07C14E7B-DF0E-4F4E-B79E-8C8B7664B66A}"/>
    <cellStyle name="Normal 4 2 2 3 2 2 5 3" xfId="5959" xr:uid="{00000000-0005-0000-0000-000015120000}"/>
    <cellStyle name="Normal 4 2 2 3 2 2 5 3 2" xfId="14401" xr:uid="{94BA14FD-1627-47C0-AADF-2A5B14A0E3CA}"/>
    <cellStyle name="Normal 4 2 2 3 2 2 5 4" xfId="10183" xr:uid="{0B8AA588-215E-4066-B7E8-9F6C2A1E9131}"/>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0D4A76CD-1050-4A6A-A7FF-B08BB015CEF0}"/>
    <cellStyle name="Normal 4 2 2 3 2 2 6 2 3" xfId="12741" xr:uid="{ADE24F04-42BA-4697-BEA6-4D4C51FC9347}"/>
    <cellStyle name="Normal 4 2 2 3 2 2 6 3" xfId="6372" xr:uid="{00000000-0005-0000-0000-000019120000}"/>
    <cellStyle name="Normal 4 2 2 3 2 2 6 3 2" xfId="14814" xr:uid="{C5A48DF6-45B6-4870-9F69-8038E27162A7}"/>
    <cellStyle name="Normal 4 2 2 3 2 2 6 4" xfId="10596" xr:uid="{DF866FCF-DC84-46EE-9B84-DD077E014A4C}"/>
    <cellStyle name="Normal 4 2 2 3 2 2 7" xfId="2501" xr:uid="{00000000-0005-0000-0000-00001A120000}"/>
    <cellStyle name="Normal 4 2 2 3 2 2 7 2" xfId="6785" xr:uid="{00000000-0005-0000-0000-00001B120000}"/>
    <cellStyle name="Normal 4 2 2 3 2 2 7 2 2" xfId="15227" xr:uid="{8E77E7BE-CF92-4C33-808A-1DF6DBDEE103}"/>
    <cellStyle name="Normal 4 2 2 3 2 2 7 3" xfId="11009" xr:uid="{B8CE0676-C547-49BF-A2EC-39B060BC5850}"/>
    <cellStyle name="Normal 4 2 2 3 2 2 8" xfId="4720" xr:uid="{00000000-0005-0000-0000-00001C120000}"/>
    <cellStyle name="Normal 4 2 2 3 2 2 8 2" xfId="13162" xr:uid="{5600DFBE-D28E-4737-ABEA-D06793E5A8E6}"/>
    <cellStyle name="Normal 4 2 2 3 2 2 9" xfId="8944" xr:uid="{6B8AC596-DFD2-4C01-8A28-C32DA00936F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6F910623-6DD6-4FA4-BD2E-C85687D901B9}"/>
    <cellStyle name="Normal 4 2 2 3 2 3 2 2 3" xfId="11504" xr:uid="{55D33A71-6CBB-4527-9B07-3DF6D16BD4B0}"/>
    <cellStyle name="Normal 4 2 2 3 2 3 2 3" xfId="5135" xr:uid="{00000000-0005-0000-0000-000021120000}"/>
    <cellStyle name="Normal 4 2 2 3 2 3 2 3 2" xfId="13577" xr:uid="{E8C0A8EA-61A8-4702-BA48-D306F031A1E7}"/>
    <cellStyle name="Normal 4 2 2 3 2 3 2 4" xfId="9359" xr:uid="{527F59E0-75B9-4194-AABB-D81CC3CB06F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E4D605F9-8019-4AFC-893F-2778F1C6CFF7}"/>
    <cellStyle name="Normal 4 2 2 3 2 3 3 2 3" xfId="11917" xr:uid="{3F4BA858-7CC4-44C4-AA4F-913AC651FE72}"/>
    <cellStyle name="Normal 4 2 2 3 2 3 3 3" xfId="5548" xr:uid="{00000000-0005-0000-0000-000025120000}"/>
    <cellStyle name="Normal 4 2 2 3 2 3 3 3 2" xfId="13990" xr:uid="{A9BE66E8-1717-4CE7-8B2C-C369B02090FF}"/>
    <cellStyle name="Normal 4 2 2 3 2 3 3 4" xfId="9772" xr:uid="{EB37A21F-A640-42E0-B2A1-0E2E1CB27014}"/>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CBC71A4D-38F7-430C-B881-144B5396EC5F}"/>
    <cellStyle name="Normal 4 2 2 3 2 3 4 2 3" xfId="12330" xr:uid="{ABB236BE-C990-465D-9FFC-2AB733065CD6}"/>
    <cellStyle name="Normal 4 2 2 3 2 3 4 3" xfId="5961" xr:uid="{00000000-0005-0000-0000-000029120000}"/>
    <cellStyle name="Normal 4 2 2 3 2 3 4 3 2" xfId="14403" xr:uid="{26AA2269-0792-45BD-B5C0-7D3B4A328109}"/>
    <cellStyle name="Normal 4 2 2 3 2 3 4 4" xfId="10185" xr:uid="{2CAEF535-D4FD-4EFF-B63F-D7FF26A6682A}"/>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C18B8E03-0EFE-4653-8C0F-0C31070B02DB}"/>
    <cellStyle name="Normal 4 2 2 3 2 3 5 2 3" xfId="12743" xr:uid="{1EE4591E-9BDC-4D8D-BC84-F614B834C932}"/>
    <cellStyle name="Normal 4 2 2 3 2 3 5 3" xfId="6374" xr:uid="{00000000-0005-0000-0000-00002D120000}"/>
    <cellStyle name="Normal 4 2 2 3 2 3 5 3 2" xfId="14816" xr:uid="{B8952FF2-A373-45CC-A4E6-3360F98FBD34}"/>
    <cellStyle name="Normal 4 2 2 3 2 3 5 4" xfId="10598" xr:uid="{A7549EA6-594B-4A4F-843D-F90B57B15F81}"/>
    <cellStyle name="Normal 4 2 2 3 2 3 6" xfId="2503" xr:uid="{00000000-0005-0000-0000-00002E120000}"/>
    <cellStyle name="Normal 4 2 2 3 2 3 6 2" xfId="6787" xr:uid="{00000000-0005-0000-0000-00002F120000}"/>
    <cellStyle name="Normal 4 2 2 3 2 3 6 2 2" xfId="15229" xr:uid="{C3F33F83-9297-4AD6-884B-C18E5BC8AAAE}"/>
    <cellStyle name="Normal 4 2 2 3 2 3 6 3" xfId="11011" xr:uid="{2E5F84D8-92B9-4EB9-B5B1-D36B4272EC40}"/>
    <cellStyle name="Normal 4 2 2 3 2 3 7" xfId="4722" xr:uid="{00000000-0005-0000-0000-000030120000}"/>
    <cellStyle name="Normal 4 2 2 3 2 3 7 2" xfId="13164" xr:uid="{D2C38DB5-7EE3-4A28-A274-065D0BEECA7B}"/>
    <cellStyle name="Normal 4 2 2 3 2 3 8" xfId="8946" xr:uid="{3FABABF3-CD23-4419-8BDD-7FF74132C45C}"/>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1D1227EF-937F-43B0-8274-C166F3BEE676}"/>
    <cellStyle name="Normal 4 2 2 3 2 4 2 3" xfId="11501" xr:uid="{D6CA3A62-C94E-4653-8EC8-0788587A2276}"/>
    <cellStyle name="Normal 4 2 2 3 2 4 3" xfId="5132" xr:uid="{00000000-0005-0000-0000-000034120000}"/>
    <cellStyle name="Normal 4 2 2 3 2 4 3 2" xfId="13574" xr:uid="{D9D27EB0-7C0A-42F7-8C32-E862C4BA8D66}"/>
    <cellStyle name="Normal 4 2 2 3 2 4 4" xfId="9356" xr:uid="{B31B6762-4CD7-4253-A546-AD8584FDA6CF}"/>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062EE5C1-E308-4701-B03D-08EFA28E94AF}"/>
    <cellStyle name="Normal 4 2 2 3 2 5 2 3" xfId="11914" xr:uid="{40819F35-5E98-4184-9B71-13E8C21CE5E9}"/>
    <cellStyle name="Normal 4 2 2 3 2 5 3" xfId="5545" xr:uid="{00000000-0005-0000-0000-000038120000}"/>
    <cellStyle name="Normal 4 2 2 3 2 5 3 2" xfId="13987" xr:uid="{0502BF85-E0D0-420E-9EE7-9A954630D27E}"/>
    <cellStyle name="Normal 4 2 2 3 2 5 4" xfId="9769" xr:uid="{15F1CD66-42DF-466B-A307-2EE9DCCD9788}"/>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8A5DBAEF-AF20-4780-A1CE-999921F389BE}"/>
    <cellStyle name="Normal 4 2 2 3 2 6 2 3" xfId="12327" xr:uid="{6FCCDA77-2324-49B6-9A0C-179F4CE9B792}"/>
    <cellStyle name="Normal 4 2 2 3 2 6 3" xfId="5958" xr:uid="{00000000-0005-0000-0000-00003C120000}"/>
    <cellStyle name="Normal 4 2 2 3 2 6 3 2" xfId="14400" xr:uid="{825F663C-7036-43A3-A66B-23D806C05D15}"/>
    <cellStyle name="Normal 4 2 2 3 2 6 4" xfId="10182" xr:uid="{31B4B106-12F8-4678-8348-C310269E12C8}"/>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D39232EA-BB98-4956-A286-DC12614A6F04}"/>
    <cellStyle name="Normal 4 2 2 3 2 7 2 3" xfId="12740" xr:uid="{DC88F726-A967-40BA-90AF-5CA7CA6BCCD5}"/>
    <cellStyle name="Normal 4 2 2 3 2 7 3" xfId="6371" xr:uid="{00000000-0005-0000-0000-000040120000}"/>
    <cellStyle name="Normal 4 2 2 3 2 7 3 2" xfId="14813" xr:uid="{95D0B30D-9F16-495D-8687-6BAE86C7ACCD}"/>
    <cellStyle name="Normal 4 2 2 3 2 7 4" xfId="10595" xr:uid="{35D9490F-1A38-412C-BD7F-5FFB72BA3D1D}"/>
    <cellStyle name="Normal 4 2 2 3 2 8" xfId="2500" xr:uid="{00000000-0005-0000-0000-000041120000}"/>
    <cellStyle name="Normal 4 2 2 3 2 8 2" xfId="6784" xr:uid="{00000000-0005-0000-0000-000042120000}"/>
    <cellStyle name="Normal 4 2 2 3 2 8 2 2" xfId="15226" xr:uid="{5A684CCC-FDC4-417D-98E9-F543BC1FA647}"/>
    <cellStyle name="Normal 4 2 2 3 2 8 3" xfId="11008" xr:uid="{3B86F88F-F2D0-41D7-A2EE-BF81511A203E}"/>
    <cellStyle name="Normal 4 2 2 3 2 9" xfId="4719" xr:uid="{00000000-0005-0000-0000-000043120000}"/>
    <cellStyle name="Normal 4 2 2 3 2 9 2" xfId="13161" xr:uid="{0FC69CF4-8FE3-4533-B455-4FDA69F1D215}"/>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3CF05539-F44B-42D3-99D8-7AEFBE19256F}"/>
    <cellStyle name="Normal 4 2 2 3 3 2 2 2 3" xfId="11506" xr:uid="{FD3C6716-317E-4107-93F3-31AE12FB487D}"/>
    <cellStyle name="Normal 4 2 2 3 3 2 2 3" xfId="5137" xr:uid="{00000000-0005-0000-0000-000049120000}"/>
    <cellStyle name="Normal 4 2 2 3 3 2 2 3 2" xfId="13579" xr:uid="{8A2E8281-E95E-49FC-AF12-6C6B96BB99BE}"/>
    <cellStyle name="Normal 4 2 2 3 3 2 2 4" xfId="9361" xr:uid="{95E57A65-F094-4BFF-85E0-AF750C007699}"/>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2ED33FC0-1215-486F-9727-CD3C4969F6B4}"/>
    <cellStyle name="Normal 4 2 2 3 3 2 3 2 3" xfId="11919" xr:uid="{A4D77F1E-D8BD-4FE5-9D36-2ADDB1A84D1F}"/>
    <cellStyle name="Normal 4 2 2 3 3 2 3 3" xfId="5550" xr:uid="{00000000-0005-0000-0000-00004D120000}"/>
    <cellStyle name="Normal 4 2 2 3 3 2 3 3 2" xfId="13992" xr:uid="{2608957C-BC37-4D90-8D4D-206A1A36E130}"/>
    <cellStyle name="Normal 4 2 2 3 3 2 3 4" xfId="9774" xr:uid="{007ACA65-EF96-4FD1-A570-15926C06B0B4}"/>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95429DFA-779E-4DAD-B850-DCF3952C02B9}"/>
    <cellStyle name="Normal 4 2 2 3 3 2 4 2 3" xfId="12332" xr:uid="{623BAADE-E701-4F5D-A68E-8E00820A06EA}"/>
    <cellStyle name="Normal 4 2 2 3 3 2 4 3" xfId="5963" xr:uid="{00000000-0005-0000-0000-000051120000}"/>
    <cellStyle name="Normal 4 2 2 3 3 2 4 3 2" xfId="14405" xr:uid="{6094BF3F-8689-4CA5-82B4-20ECF499F26E}"/>
    <cellStyle name="Normal 4 2 2 3 3 2 4 4" xfId="10187" xr:uid="{E5469719-C3C3-480A-A564-1D61A5C966E8}"/>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C2784FF8-14A6-4905-ACD7-EB2F413761D7}"/>
    <cellStyle name="Normal 4 2 2 3 3 2 5 2 3" xfId="12745" xr:uid="{FF6A0132-E4B9-45FB-92C3-60F554FC4B9A}"/>
    <cellStyle name="Normal 4 2 2 3 3 2 5 3" xfId="6376" xr:uid="{00000000-0005-0000-0000-000055120000}"/>
    <cellStyle name="Normal 4 2 2 3 3 2 5 3 2" xfId="14818" xr:uid="{B116E890-6B09-4AEB-89D3-E675071F6881}"/>
    <cellStyle name="Normal 4 2 2 3 3 2 5 4" xfId="10600" xr:uid="{B6C84D5B-BE51-4CC8-BE92-C84D2AF1E873}"/>
    <cellStyle name="Normal 4 2 2 3 3 2 6" xfId="2505" xr:uid="{00000000-0005-0000-0000-000056120000}"/>
    <cellStyle name="Normal 4 2 2 3 3 2 6 2" xfId="6789" xr:uid="{00000000-0005-0000-0000-000057120000}"/>
    <cellStyle name="Normal 4 2 2 3 3 2 6 2 2" xfId="15231" xr:uid="{F13B4B65-F12E-4D13-ADC8-F4CDD86B0157}"/>
    <cellStyle name="Normal 4 2 2 3 3 2 6 3" xfId="11013" xr:uid="{1ED706B0-2B02-4DE7-BEF8-6CD348F46124}"/>
    <cellStyle name="Normal 4 2 2 3 3 2 7" xfId="4724" xr:uid="{00000000-0005-0000-0000-000058120000}"/>
    <cellStyle name="Normal 4 2 2 3 3 2 7 2" xfId="13166" xr:uid="{FBAFACCA-2105-4B74-96C0-F674E50D2AF7}"/>
    <cellStyle name="Normal 4 2 2 3 3 2 8" xfId="8948" xr:uid="{B3DEF4E4-3F21-4736-8C19-AB5C42FC433A}"/>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E51E0035-5226-4CDA-A0F8-67EA79D35C9E}"/>
    <cellStyle name="Normal 4 2 2 3 3 3 2 3" xfId="11505" xr:uid="{A3D98657-119A-4F3D-BED6-93E5A0481227}"/>
    <cellStyle name="Normal 4 2 2 3 3 3 3" xfId="5136" xr:uid="{00000000-0005-0000-0000-00005C120000}"/>
    <cellStyle name="Normal 4 2 2 3 3 3 3 2" xfId="13578" xr:uid="{6538B110-03B1-4CB7-9AAA-F2243D9F9E0A}"/>
    <cellStyle name="Normal 4 2 2 3 3 3 4" xfId="9360" xr:uid="{03873610-BA06-4934-868E-3A16713876B7}"/>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6BC98A49-0B3D-46F9-8194-C8A21821A668}"/>
    <cellStyle name="Normal 4 2 2 3 3 4 2 3" xfId="11918" xr:uid="{B9676766-6FB8-4BD5-8746-FDC5499E356A}"/>
    <cellStyle name="Normal 4 2 2 3 3 4 3" xfId="5549" xr:uid="{00000000-0005-0000-0000-000060120000}"/>
    <cellStyle name="Normal 4 2 2 3 3 4 3 2" xfId="13991" xr:uid="{BB747E4C-15A7-4E9C-94ED-02640EBFB909}"/>
    <cellStyle name="Normal 4 2 2 3 3 4 4" xfId="9773" xr:uid="{7EC45D02-BBF1-47CA-8328-4578C2CC5ACF}"/>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CE1EDEBD-3A46-4A1B-8ABE-A235A18A87FF}"/>
    <cellStyle name="Normal 4 2 2 3 3 5 2 3" xfId="12331" xr:uid="{A7E07969-CD67-4DDE-A12D-991A74D9AB03}"/>
    <cellStyle name="Normal 4 2 2 3 3 5 3" xfId="5962" xr:uid="{00000000-0005-0000-0000-000064120000}"/>
    <cellStyle name="Normal 4 2 2 3 3 5 3 2" xfId="14404" xr:uid="{ED6044AB-E59A-469E-B530-45F7DBB6C020}"/>
    <cellStyle name="Normal 4 2 2 3 3 5 4" xfId="10186" xr:uid="{23206239-4254-4FEE-8043-38E4D182BF9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ABCDEE0F-FC21-4D3E-9803-08EC39B05456}"/>
    <cellStyle name="Normal 4 2 2 3 3 6 2 3" xfId="12744" xr:uid="{3CBDE19A-5524-4E8E-A6A2-56295AE8D8BB}"/>
    <cellStyle name="Normal 4 2 2 3 3 6 3" xfId="6375" xr:uid="{00000000-0005-0000-0000-000068120000}"/>
    <cellStyle name="Normal 4 2 2 3 3 6 3 2" xfId="14817" xr:uid="{D01A7D50-FD67-4B76-B60B-A45699B86FB4}"/>
    <cellStyle name="Normal 4 2 2 3 3 6 4" xfId="10599" xr:uid="{7BFDCAB2-8D07-48B5-AAA3-0068FB0713FC}"/>
    <cellStyle name="Normal 4 2 2 3 3 7" xfId="2504" xr:uid="{00000000-0005-0000-0000-000069120000}"/>
    <cellStyle name="Normal 4 2 2 3 3 7 2" xfId="6788" xr:uid="{00000000-0005-0000-0000-00006A120000}"/>
    <cellStyle name="Normal 4 2 2 3 3 7 2 2" xfId="15230" xr:uid="{5BB0CEF2-6FFC-4FCB-A565-D99F309A3BDD}"/>
    <cellStyle name="Normal 4 2 2 3 3 7 3" xfId="11012" xr:uid="{7A6DC6B9-7A1E-43B8-83D8-F5EAFC55DEC5}"/>
    <cellStyle name="Normal 4 2 2 3 3 8" xfId="4723" xr:uid="{00000000-0005-0000-0000-00006B120000}"/>
    <cellStyle name="Normal 4 2 2 3 3 8 2" xfId="13165" xr:uid="{5489B8DC-095A-4EF5-92F4-1E8A0DF733BC}"/>
    <cellStyle name="Normal 4 2 2 3 3 9" xfId="8947" xr:uid="{BF119343-4010-41BE-9B76-0E21A961E58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570D21CE-0A44-48F7-9667-FE76C4D405BF}"/>
    <cellStyle name="Normal 4 2 2 3 4 2 2 3" xfId="11507" xr:uid="{C39518D1-414A-47D0-AC1B-E3BAF0877818}"/>
    <cellStyle name="Normal 4 2 2 3 4 2 3" xfId="5138" xr:uid="{00000000-0005-0000-0000-000070120000}"/>
    <cellStyle name="Normal 4 2 2 3 4 2 3 2" xfId="13580" xr:uid="{53B5B104-E504-4E2A-8969-26087A38F8B3}"/>
    <cellStyle name="Normal 4 2 2 3 4 2 4" xfId="9362" xr:uid="{17B7950A-7383-46A6-BDDF-D5FE5676BAD4}"/>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A02BF580-BF27-4146-BEA9-A36FD23EB55D}"/>
    <cellStyle name="Normal 4 2 2 3 4 3 2 3" xfId="11920" xr:uid="{DD657FAC-0339-4F4B-B88B-994A79622D69}"/>
    <cellStyle name="Normal 4 2 2 3 4 3 3" xfId="5551" xr:uid="{00000000-0005-0000-0000-000074120000}"/>
    <cellStyle name="Normal 4 2 2 3 4 3 3 2" xfId="13993" xr:uid="{87C8742D-31A9-4B16-9BC6-C4F7BCB6C884}"/>
    <cellStyle name="Normal 4 2 2 3 4 3 4" xfId="9775" xr:uid="{E948B5D9-14A0-4CE9-AADB-C6AED10AA437}"/>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7C632C68-F2EA-48AF-B2A2-5D87044F1A85}"/>
    <cellStyle name="Normal 4 2 2 3 4 4 2 3" xfId="12333" xr:uid="{49BD7B89-D509-4147-BD8D-0F701F31ECA5}"/>
    <cellStyle name="Normal 4 2 2 3 4 4 3" xfId="5964" xr:uid="{00000000-0005-0000-0000-000078120000}"/>
    <cellStyle name="Normal 4 2 2 3 4 4 3 2" xfId="14406" xr:uid="{D26CCA09-C0E4-411A-987B-4A508D194168}"/>
    <cellStyle name="Normal 4 2 2 3 4 4 4" xfId="10188" xr:uid="{3A8B882A-EF32-4E85-8677-F62074E2CAF2}"/>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542EC5BE-7763-4BDD-BE4D-B413779F577A}"/>
    <cellStyle name="Normal 4 2 2 3 4 5 2 3" xfId="12746" xr:uid="{0F139FA8-3AD6-4CD2-8207-C1574CCD6E43}"/>
    <cellStyle name="Normal 4 2 2 3 4 5 3" xfId="6377" xr:uid="{00000000-0005-0000-0000-00007C120000}"/>
    <cellStyle name="Normal 4 2 2 3 4 5 3 2" xfId="14819" xr:uid="{2ED5CE50-5DD7-4B8E-8994-1B7B4F7A08C9}"/>
    <cellStyle name="Normal 4 2 2 3 4 5 4" xfId="10601" xr:uid="{DEDB3CEA-7246-4D3A-976F-401161196BFB}"/>
    <cellStyle name="Normal 4 2 2 3 4 6" xfId="2506" xr:uid="{00000000-0005-0000-0000-00007D120000}"/>
    <cellStyle name="Normal 4 2 2 3 4 6 2" xfId="6790" xr:uid="{00000000-0005-0000-0000-00007E120000}"/>
    <cellStyle name="Normal 4 2 2 3 4 6 2 2" xfId="15232" xr:uid="{252A3FC3-F83D-4059-84D3-026323C78C5C}"/>
    <cellStyle name="Normal 4 2 2 3 4 6 3" xfId="11014" xr:uid="{9CA5F647-32ED-4EC4-92CE-B54D862F4CE4}"/>
    <cellStyle name="Normal 4 2 2 3 4 7" xfId="4725" xr:uid="{00000000-0005-0000-0000-00007F120000}"/>
    <cellStyle name="Normal 4 2 2 3 4 7 2" xfId="13167" xr:uid="{D9ACECC1-33C8-46BB-987F-7912A7DC5383}"/>
    <cellStyle name="Normal 4 2 2 3 4 8" xfId="8949" xr:uid="{829A20A8-4A9B-4DDF-BF54-01D248B9107D}"/>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9F6CD68C-CE75-47F7-824D-1AC5BCE33E90}"/>
    <cellStyle name="Normal 4 2 2 3 5 2 3" xfId="11500" xr:uid="{36F29A8E-18F1-40F6-862A-433A0E9AB0AB}"/>
    <cellStyle name="Normal 4 2 2 3 5 3" xfId="5131" xr:uid="{00000000-0005-0000-0000-000083120000}"/>
    <cellStyle name="Normal 4 2 2 3 5 3 2" xfId="13573" xr:uid="{96785A77-9B0A-4506-9574-D51E657E6078}"/>
    <cellStyle name="Normal 4 2 2 3 5 4" xfId="9355" xr:uid="{98C113C4-8997-48A6-88AC-1E3E0667990C}"/>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685F580B-96CE-4B6A-9A7F-2DB8F61664B2}"/>
    <cellStyle name="Normal 4 2 2 3 6 2 3" xfId="11913" xr:uid="{0115DB52-F54E-4A6F-8E59-3C906D3F3923}"/>
    <cellStyle name="Normal 4 2 2 3 6 3" xfId="5544" xr:uid="{00000000-0005-0000-0000-000087120000}"/>
    <cellStyle name="Normal 4 2 2 3 6 3 2" xfId="13986" xr:uid="{6D4261FC-92E7-4BBA-A3CC-B3BB8EE46558}"/>
    <cellStyle name="Normal 4 2 2 3 6 4" xfId="9768" xr:uid="{1A21B950-6963-4D7E-BF99-7E5DDF16E64D}"/>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C3BE4B4C-06AD-4F54-B403-4629E775B87B}"/>
    <cellStyle name="Normal 4 2 2 3 7 2 3" xfId="12326" xr:uid="{7C5DDFCD-C27F-425D-8011-DEDDDA594BD2}"/>
    <cellStyle name="Normal 4 2 2 3 7 3" xfId="5957" xr:uid="{00000000-0005-0000-0000-00008B120000}"/>
    <cellStyle name="Normal 4 2 2 3 7 3 2" xfId="14399" xr:uid="{FB67DF43-DA93-46B1-9E39-7D6F125A43A9}"/>
    <cellStyle name="Normal 4 2 2 3 7 4" xfId="10181" xr:uid="{1CD1DBFC-3118-4B52-BC00-DBB9277DE422}"/>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E7BFFF7B-55C0-468B-B695-741FC91E69C9}"/>
    <cellStyle name="Normal 4 2 2 3 8 2 3" xfId="12739" xr:uid="{3A44C6CE-06E9-42CC-8C5B-E717DA403B65}"/>
    <cellStyle name="Normal 4 2 2 3 8 3" xfId="6370" xr:uid="{00000000-0005-0000-0000-00008F120000}"/>
    <cellStyle name="Normal 4 2 2 3 8 3 2" xfId="14812" xr:uid="{7C9F0799-527B-43EF-AD77-8883B78BA580}"/>
    <cellStyle name="Normal 4 2 2 3 8 4" xfId="10594" xr:uid="{E36D3A3D-416A-4B6F-B60C-456C4259E251}"/>
    <cellStyle name="Normal 4 2 2 3 9" xfId="2499" xr:uid="{00000000-0005-0000-0000-000090120000}"/>
    <cellStyle name="Normal 4 2 2 3 9 2" xfId="6783" xr:uid="{00000000-0005-0000-0000-000091120000}"/>
    <cellStyle name="Normal 4 2 2 3 9 2 2" xfId="15225" xr:uid="{FF86243E-00C3-4523-902B-5CF45993D61F}"/>
    <cellStyle name="Normal 4 2 2 3 9 3" xfId="11007" xr:uid="{C97219BF-1D18-47C5-9CFB-05EF16B5C6D9}"/>
    <cellStyle name="Normal 4 2 2 4" xfId="347" xr:uid="{00000000-0005-0000-0000-000092120000}"/>
    <cellStyle name="Normal 4 2 2 4 10" xfId="8950" xr:uid="{486D4570-F661-4B6D-ACF7-33E3F86CB4D5}"/>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4CD1C5C7-260B-41DA-888E-0EC238D2F703}"/>
    <cellStyle name="Normal 4 2 2 4 2 2 2 2 3" xfId="11510" xr:uid="{F8E2D39F-AA0A-4ACB-97E4-3D0C5D7F8D41}"/>
    <cellStyle name="Normal 4 2 2 4 2 2 2 3" xfId="5141" xr:uid="{00000000-0005-0000-0000-000098120000}"/>
    <cellStyle name="Normal 4 2 2 4 2 2 2 3 2" xfId="13583" xr:uid="{9BC7432E-8762-4CEE-8EB7-5ED01023D905}"/>
    <cellStyle name="Normal 4 2 2 4 2 2 2 4" xfId="9365" xr:uid="{847F278D-009D-44B5-AFFD-1D30A8A71EF5}"/>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06A6611F-90D9-46F4-9DC7-7A385EDB6A88}"/>
    <cellStyle name="Normal 4 2 2 4 2 2 3 2 3" xfId="11923" xr:uid="{8A3CCEFD-47D8-4B3C-8036-6EDC305A1621}"/>
    <cellStyle name="Normal 4 2 2 4 2 2 3 3" xfId="5554" xr:uid="{00000000-0005-0000-0000-00009C120000}"/>
    <cellStyle name="Normal 4 2 2 4 2 2 3 3 2" xfId="13996" xr:uid="{FA1C62A5-8395-4269-ABEF-CAFEE0E3CF22}"/>
    <cellStyle name="Normal 4 2 2 4 2 2 3 4" xfId="9778" xr:uid="{3A2D74C9-277A-4B82-946A-1E52B00B3243}"/>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AA0B22C2-09DA-4030-8D4A-63576D30FFB6}"/>
    <cellStyle name="Normal 4 2 2 4 2 2 4 2 3" xfId="12336" xr:uid="{D10ECD59-B193-40F3-8D60-4F60F921FADF}"/>
    <cellStyle name="Normal 4 2 2 4 2 2 4 3" xfId="5967" xr:uid="{00000000-0005-0000-0000-0000A0120000}"/>
    <cellStyle name="Normal 4 2 2 4 2 2 4 3 2" xfId="14409" xr:uid="{7569E577-59F2-4AD6-86A3-EB9D43074330}"/>
    <cellStyle name="Normal 4 2 2 4 2 2 4 4" xfId="10191" xr:uid="{0288519E-D905-4534-9633-095B576BADA9}"/>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A34DD359-DC39-4053-9416-32BAFF08278E}"/>
    <cellStyle name="Normal 4 2 2 4 2 2 5 2 3" xfId="12749" xr:uid="{EAC77F23-03A9-4ABF-B669-B654E4960B69}"/>
    <cellStyle name="Normal 4 2 2 4 2 2 5 3" xfId="6380" xr:uid="{00000000-0005-0000-0000-0000A4120000}"/>
    <cellStyle name="Normal 4 2 2 4 2 2 5 3 2" xfId="14822" xr:uid="{204363F2-053B-49B7-B476-ACC529B0FC2F}"/>
    <cellStyle name="Normal 4 2 2 4 2 2 5 4" xfId="10604" xr:uid="{799C047A-445B-4B5E-8425-2C85E2549A36}"/>
    <cellStyle name="Normal 4 2 2 4 2 2 6" xfId="2509" xr:uid="{00000000-0005-0000-0000-0000A5120000}"/>
    <cellStyle name="Normal 4 2 2 4 2 2 6 2" xfId="6793" xr:uid="{00000000-0005-0000-0000-0000A6120000}"/>
    <cellStyle name="Normal 4 2 2 4 2 2 6 2 2" xfId="15235" xr:uid="{01C20429-0E5D-4548-9E67-69A7BDCFD3DE}"/>
    <cellStyle name="Normal 4 2 2 4 2 2 6 3" xfId="11017" xr:uid="{F6103DB3-78B4-427D-9FF6-D89713AE6945}"/>
    <cellStyle name="Normal 4 2 2 4 2 2 7" xfId="4728" xr:uid="{00000000-0005-0000-0000-0000A7120000}"/>
    <cellStyle name="Normal 4 2 2 4 2 2 7 2" xfId="13170" xr:uid="{5F4A6B30-753C-449C-822D-F6CC013AC10E}"/>
    <cellStyle name="Normal 4 2 2 4 2 2 8" xfId="8952" xr:uid="{8B261359-4915-481D-8F8D-5881FC51DD5A}"/>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F61833A6-BA36-4A4A-BF01-E32784A2009C}"/>
    <cellStyle name="Normal 4 2 2 4 2 3 2 3" xfId="11509" xr:uid="{9BE9F5A5-714A-4929-87A0-895C1BCE32B8}"/>
    <cellStyle name="Normal 4 2 2 4 2 3 3" xfId="5140" xr:uid="{00000000-0005-0000-0000-0000AB120000}"/>
    <cellStyle name="Normal 4 2 2 4 2 3 3 2" xfId="13582" xr:uid="{A8EC9E0E-D477-4043-8FB8-96E173802500}"/>
    <cellStyle name="Normal 4 2 2 4 2 3 4" xfId="9364" xr:uid="{63A501EB-EBB5-4AF3-A8A3-E2B615C382A8}"/>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7DD194ED-79F1-4BB6-B5C0-58C46358773F}"/>
    <cellStyle name="Normal 4 2 2 4 2 4 2 3" xfId="11922" xr:uid="{C5694492-7989-4DF4-93E3-A22F0BEC859A}"/>
    <cellStyle name="Normal 4 2 2 4 2 4 3" xfId="5553" xr:uid="{00000000-0005-0000-0000-0000AF120000}"/>
    <cellStyle name="Normal 4 2 2 4 2 4 3 2" xfId="13995" xr:uid="{4F433ED1-1628-4959-8869-3728922A7A89}"/>
    <cellStyle name="Normal 4 2 2 4 2 4 4" xfId="9777" xr:uid="{6B998183-A134-4F42-8689-6E937BD3B048}"/>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1EFC3A02-B404-42D5-AA18-8B1677A61FD7}"/>
    <cellStyle name="Normal 4 2 2 4 2 5 2 3" xfId="12335" xr:uid="{DB3D06CF-C885-4D7A-BBDB-73D8F1DAD062}"/>
    <cellStyle name="Normal 4 2 2 4 2 5 3" xfId="5966" xr:uid="{00000000-0005-0000-0000-0000B3120000}"/>
    <cellStyle name="Normal 4 2 2 4 2 5 3 2" xfId="14408" xr:uid="{C77CDACA-FA49-4850-9000-A6EE4B9F699C}"/>
    <cellStyle name="Normal 4 2 2 4 2 5 4" xfId="10190" xr:uid="{231B211B-1239-4723-AA1D-00A3ED5A9C59}"/>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AD71D2F8-24D9-4DFC-B1CD-EAE58966F0E1}"/>
    <cellStyle name="Normal 4 2 2 4 2 6 2 3" xfId="12748" xr:uid="{A4728BAF-E038-4368-9151-E7562A8E1C3F}"/>
    <cellStyle name="Normal 4 2 2 4 2 6 3" xfId="6379" xr:uid="{00000000-0005-0000-0000-0000B7120000}"/>
    <cellStyle name="Normal 4 2 2 4 2 6 3 2" xfId="14821" xr:uid="{CD0B3E2D-CABE-457B-AE31-949D132D797B}"/>
    <cellStyle name="Normal 4 2 2 4 2 6 4" xfId="10603" xr:uid="{07686C67-1F10-4060-9639-03D21CAD8BDE}"/>
    <cellStyle name="Normal 4 2 2 4 2 7" xfId="2508" xr:uid="{00000000-0005-0000-0000-0000B8120000}"/>
    <cellStyle name="Normal 4 2 2 4 2 7 2" xfId="6792" xr:uid="{00000000-0005-0000-0000-0000B9120000}"/>
    <cellStyle name="Normal 4 2 2 4 2 7 2 2" xfId="15234" xr:uid="{01879D30-F6C3-4076-B72B-9A334FA12A70}"/>
    <cellStyle name="Normal 4 2 2 4 2 7 3" xfId="11016" xr:uid="{B4003FC1-C0C0-42D1-A386-B571D356A0B8}"/>
    <cellStyle name="Normal 4 2 2 4 2 8" xfId="4727" xr:uid="{00000000-0005-0000-0000-0000BA120000}"/>
    <cellStyle name="Normal 4 2 2 4 2 8 2" xfId="13169" xr:uid="{288CD7DA-1087-4CCE-B6E9-1EFD3968B822}"/>
    <cellStyle name="Normal 4 2 2 4 2 9" xfId="8951" xr:uid="{C0C86661-3CB8-4E60-A027-5A20B801E85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31E676C0-5A1F-4695-BF39-A2F5CDCCE112}"/>
    <cellStyle name="Normal 4 2 2 4 3 2 2 3" xfId="11511" xr:uid="{8309BDD1-FE21-4F31-8672-0096288608B4}"/>
    <cellStyle name="Normal 4 2 2 4 3 2 3" xfId="5142" xr:uid="{00000000-0005-0000-0000-0000BF120000}"/>
    <cellStyle name="Normal 4 2 2 4 3 2 3 2" xfId="13584" xr:uid="{2981B051-4433-440A-BD30-18E5E1BB1EAF}"/>
    <cellStyle name="Normal 4 2 2 4 3 2 4" xfId="9366" xr:uid="{04E5F4D7-AD1A-4E70-B37E-B5E46F720F2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819DDA89-8049-4872-BFC2-29D6B654E336}"/>
    <cellStyle name="Normal 4 2 2 4 3 3 2 3" xfId="11924" xr:uid="{49180BA6-7F16-4E7E-8FEA-D368FA0B1B3E}"/>
    <cellStyle name="Normal 4 2 2 4 3 3 3" xfId="5555" xr:uid="{00000000-0005-0000-0000-0000C3120000}"/>
    <cellStyle name="Normal 4 2 2 4 3 3 3 2" xfId="13997" xr:uid="{AAAFEA90-82B3-456F-831F-15A3722884CA}"/>
    <cellStyle name="Normal 4 2 2 4 3 3 4" xfId="9779" xr:uid="{B96B791E-7C66-450A-990E-A5FF09D52F2D}"/>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9010AF4F-237A-4CBA-99B4-4B8F90E82ADF}"/>
    <cellStyle name="Normal 4 2 2 4 3 4 2 3" xfId="12337" xr:uid="{2AABB0D4-C901-485D-9607-9C1B7DEC68B5}"/>
    <cellStyle name="Normal 4 2 2 4 3 4 3" xfId="5968" xr:uid="{00000000-0005-0000-0000-0000C7120000}"/>
    <cellStyle name="Normal 4 2 2 4 3 4 3 2" xfId="14410" xr:uid="{4C51B76C-5DB4-4CFA-9611-3D24047EB2CF}"/>
    <cellStyle name="Normal 4 2 2 4 3 4 4" xfId="10192" xr:uid="{1940E44D-9F0F-4CD4-BFA7-F797D4205063}"/>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B1207892-0251-43AA-8F10-40BFD7969E36}"/>
    <cellStyle name="Normal 4 2 2 4 3 5 2 3" xfId="12750" xr:uid="{69636346-0A01-4E39-AF26-D5816F02A399}"/>
    <cellStyle name="Normal 4 2 2 4 3 5 3" xfId="6381" xr:uid="{00000000-0005-0000-0000-0000CB120000}"/>
    <cellStyle name="Normal 4 2 2 4 3 5 3 2" xfId="14823" xr:uid="{2394A38A-B0BF-4097-90A4-A341D06AE9F1}"/>
    <cellStyle name="Normal 4 2 2 4 3 5 4" xfId="10605" xr:uid="{5B99E8CC-C724-471C-81E1-A3AD64FC127B}"/>
    <cellStyle name="Normal 4 2 2 4 3 6" xfId="2510" xr:uid="{00000000-0005-0000-0000-0000CC120000}"/>
    <cellStyle name="Normal 4 2 2 4 3 6 2" xfId="6794" xr:uid="{00000000-0005-0000-0000-0000CD120000}"/>
    <cellStyle name="Normal 4 2 2 4 3 6 2 2" xfId="15236" xr:uid="{E3A94B4F-B587-4CD1-B48E-2A857BC84A1D}"/>
    <cellStyle name="Normal 4 2 2 4 3 6 3" xfId="11018" xr:uid="{7A53F7E3-7DAD-4651-B3A8-9EAD12DC3AF9}"/>
    <cellStyle name="Normal 4 2 2 4 3 7" xfId="4729" xr:uid="{00000000-0005-0000-0000-0000CE120000}"/>
    <cellStyle name="Normal 4 2 2 4 3 7 2" xfId="13171" xr:uid="{287758FF-D8FA-4D70-A4B9-93464BCA17A4}"/>
    <cellStyle name="Normal 4 2 2 4 3 8" xfId="8953" xr:uid="{BDD6B8F3-5477-40A6-BCCE-3D3D04BF21EF}"/>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61D084D2-4248-4EAE-A2B1-6EC51F651861}"/>
    <cellStyle name="Normal 4 2 2 4 4 2 3" xfId="11508" xr:uid="{0622BC2A-5854-4F1E-A686-E3ED3569F1D5}"/>
    <cellStyle name="Normal 4 2 2 4 4 3" xfId="5139" xr:uid="{00000000-0005-0000-0000-0000D2120000}"/>
    <cellStyle name="Normal 4 2 2 4 4 3 2" xfId="13581" xr:uid="{6592C837-CE48-4E71-82A7-BAD55E0A03B2}"/>
    <cellStyle name="Normal 4 2 2 4 4 4" xfId="9363" xr:uid="{B42CF848-29B0-496F-93B4-623B33FC76FE}"/>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D186368F-C38E-46E9-980A-8E8533C12F0C}"/>
    <cellStyle name="Normal 4 2 2 4 5 2 3" xfId="11921" xr:uid="{42198EE3-3E05-4493-ABF1-40474B292700}"/>
    <cellStyle name="Normal 4 2 2 4 5 3" xfId="5552" xr:uid="{00000000-0005-0000-0000-0000D6120000}"/>
    <cellStyle name="Normal 4 2 2 4 5 3 2" xfId="13994" xr:uid="{793511F8-7997-4A0D-9DCD-D13A2EA2F026}"/>
    <cellStyle name="Normal 4 2 2 4 5 4" xfId="9776" xr:uid="{6C017E0E-FFF1-45DC-949E-0F049E7D86A2}"/>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95B0E0E1-5E22-4CBB-A979-52835444CC62}"/>
    <cellStyle name="Normal 4 2 2 4 6 2 3" xfId="12334" xr:uid="{9901DFFA-B447-49AB-A3AF-B084EA86D8E9}"/>
    <cellStyle name="Normal 4 2 2 4 6 3" xfId="5965" xr:uid="{00000000-0005-0000-0000-0000DA120000}"/>
    <cellStyle name="Normal 4 2 2 4 6 3 2" xfId="14407" xr:uid="{E59225D0-00CF-4478-9985-6EC3EB1E3F5B}"/>
    <cellStyle name="Normal 4 2 2 4 6 4" xfId="10189" xr:uid="{DB0B4F69-5306-41C7-823D-5EF2CE3C7BE6}"/>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B75F88EF-AECE-4473-A712-A7417D55678F}"/>
    <cellStyle name="Normal 4 2 2 4 7 2 3" xfId="12747" xr:uid="{7C4EEC2A-3CD7-4412-B5E3-A953BE4143FE}"/>
    <cellStyle name="Normal 4 2 2 4 7 3" xfId="6378" xr:uid="{00000000-0005-0000-0000-0000DE120000}"/>
    <cellStyle name="Normal 4 2 2 4 7 3 2" xfId="14820" xr:uid="{B0D2074B-3122-4190-BD9D-38E340DA9B38}"/>
    <cellStyle name="Normal 4 2 2 4 7 4" xfId="10602" xr:uid="{7D34FC5E-BD6D-4A83-A09C-9D2DCC2566B4}"/>
    <cellStyle name="Normal 4 2 2 4 8" xfId="2507" xr:uid="{00000000-0005-0000-0000-0000DF120000}"/>
    <cellStyle name="Normal 4 2 2 4 8 2" xfId="6791" xr:uid="{00000000-0005-0000-0000-0000E0120000}"/>
    <cellStyle name="Normal 4 2 2 4 8 2 2" xfId="15233" xr:uid="{23CC44ED-5CDB-4AD3-A2DD-60B77F1D0C1B}"/>
    <cellStyle name="Normal 4 2 2 4 8 3" xfId="11015" xr:uid="{9554E52A-2A37-4082-A651-E9840A639721}"/>
    <cellStyle name="Normal 4 2 2 4 9" xfId="4726" xr:uid="{00000000-0005-0000-0000-0000E1120000}"/>
    <cellStyle name="Normal 4 2 2 4 9 2" xfId="13168" xr:uid="{046885F7-26BA-4164-9242-1CB832876F06}"/>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6C0E949C-1CF3-4E3E-90B8-8DBC6AB82C80}"/>
    <cellStyle name="Normal 4 2 2 5 2 2 2 3" xfId="11513" xr:uid="{27906E4C-C33F-4ADF-AEAD-6F9F2C0AAC20}"/>
    <cellStyle name="Normal 4 2 2 5 2 2 3" xfId="5144" xr:uid="{00000000-0005-0000-0000-0000E7120000}"/>
    <cellStyle name="Normal 4 2 2 5 2 2 3 2" xfId="13586" xr:uid="{7AF33604-636E-4C17-86FE-F12C78452754}"/>
    <cellStyle name="Normal 4 2 2 5 2 2 4" xfId="9368" xr:uid="{9CEDA274-A75C-44C5-B280-271E1CBEB82C}"/>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EA05BDF8-8081-4D78-8097-D25E443ACEBE}"/>
    <cellStyle name="Normal 4 2 2 5 2 3 2 3" xfId="11926" xr:uid="{A1CEAE24-DFDC-4690-9EC8-2A399FB9BBF4}"/>
    <cellStyle name="Normal 4 2 2 5 2 3 3" xfId="5557" xr:uid="{00000000-0005-0000-0000-0000EB120000}"/>
    <cellStyle name="Normal 4 2 2 5 2 3 3 2" xfId="13999" xr:uid="{384DABFD-1F69-43C1-A8BE-0C599584F903}"/>
    <cellStyle name="Normal 4 2 2 5 2 3 4" xfId="9781" xr:uid="{CF203AE9-25F5-41FF-A255-9A8BE88ACE0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CF00B60F-B7D1-439E-9DD5-96BB36A52F4F}"/>
    <cellStyle name="Normal 4 2 2 5 2 4 2 3" xfId="12339" xr:uid="{15D340EB-8734-4394-BFFA-29301203827C}"/>
    <cellStyle name="Normal 4 2 2 5 2 4 3" xfId="5970" xr:uid="{00000000-0005-0000-0000-0000EF120000}"/>
    <cellStyle name="Normal 4 2 2 5 2 4 3 2" xfId="14412" xr:uid="{ABB8D09B-33FA-4E06-A38A-D3298B59FDE9}"/>
    <cellStyle name="Normal 4 2 2 5 2 4 4" xfId="10194" xr:uid="{F940CB59-728B-47C5-8824-866026D8009E}"/>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33831124-6470-4787-92CF-D119032D6429}"/>
    <cellStyle name="Normal 4 2 2 5 2 5 2 3" xfId="12752" xr:uid="{CAC41E3F-F41C-42FB-8969-DE043F05663E}"/>
    <cellStyle name="Normal 4 2 2 5 2 5 3" xfId="6383" xr:uid="{00000000-0005-0000-0000-0000F3120000}"/>
    <cellStyle name="Normal 4 2 2 5 2 5 3 2" xfId="14825" xr:uid="{5BB0F1D4-5CE9-42E9-A08C-919ED0CEDFE6}"/>
    <cellStyle name="Normal 4 2 2 5 2 5 4" xfId="10607" xr:uid="{4C8F123E-BAE6-4224-ABE9-20ED0F9220CB}"/>
    <cellStyle name="Normal 4 2 2 5 2 6" xfId="2512" xr:uid="{00000000-0005-0000-0000-0000F4120000}"/>
    <cellStyle name="Normal 4 2 2 5 2 6 2" xfId="6796" xr:uid="{00000000-0005-0000-0000-0000F5120000}"/>
    <cellStyle name="Normal 4 2 2 5 2 6 2 2" xfId="15238" xr:uid="{FD7D8FD8-0225-4483-96F5-AED1D4F1C50C}"/>
    <cellStyle name="Normal 4 2 2 5 2 6 3" xfId="11020" xr:uid="{2365AA60-BB04-4D26-BD20-CF5F8D2CC3F6}"/>
    <cellStyle name="Normal 4 2 2 5 2 7" xfId="4731" xr:uid="{00000000-0005-0000-0000-0000F6120000}"/>
    <cellStyle name="Normal 4 2 2 5 2 7 2" xfId="13173" xr:uid="{41A8B027-C101-4800-BEDB-79E4D584D608}"/>
    <cellStyle name="Normal 4 2 2 5 2 8" xfId="8955" xr:uid="{AD69B9E0-EC28-41D4-8C72-379BAE01F055}"/>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E3694478-39F9-477B-BA38-E0298059BCBA}"/>
    <cellStyle name="Normal 4 2 2 5 3 2 3" xfId="11512" xr:uid="{263BB652-84DC-4340-9816-DA7FD2602BAC}"/>
    <cellStyle name="Normal 4 2 2 5 3 3" xfId="5143" xr:uid="{00000000-0005-0000-0000-0000FA120000}"/>
    <cellStyle name="Normal 4 2 2 5 3 3 2" xfId="13585" xr:uid="{290B2A91-2E70-403F-8B0C-884506BDABCD}"/>
    <cellStyle name="Normal 4 2 2 5 3 4" xfId="9367" xr:uid="{310E4BBB-7378-446D-896D-3DB90E21200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C7CBD76D-CB64-48F8-81DF-60F806E1D293}"/>
    <cellStyle name="Normal 4 2 2 5 4 2 3" xfId="11925" xr:uid="{36C9E8E3-1678-4D5D-B869-56817E4147D7}"/>
    <cellStyle name="Normal 4 2 2 5 4 3" xfId="5556" xr:uid="{00000000-0005-0000-0000-0000FE120000}"/>
    <cellStyle name="Normal 4 2 2 5 4 3 2" xfId="13998" xr:uid="{4801FF2F-5BEA-434C-A986-F3A2584CEFC0}"/>
    <cellStyle name="Normal 4 2 2 5 4 4" xfId="9780" xr:uid="{C63102DE-BF2E-4B67-9186-9A3604C1B6E6}"/>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5455F77E-AFC4-4A26-970D-16059E7D89E6}"/>
    <cellStyle name="Normal 4 2 2 5 5 2 3" xfId="12338" xr:uid="{673EB608-B0CB-4616-9B2F-C216B5ADD40D}"/>
    <cellStyle name="Normal 4 2 2 5 5 3" xfId="5969" xr:uid="{00000000-0005-0000-0000-000002130000}"/>
    <cellStyle name="Normal 4 2 2 5 5 3 2" xfId="14411" xr:uid="{73A6E337-7E20-4748-A82A-3FDE06D00EF2}"/>
    <cellStyle name="Normal 4 2 2 5 5 4" xfId="10193" xr:uid="{7911E3DC-E3EF-4D45-B575-8F1ABB89CC4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353790C0-2558-447C-9AF1-DDF0EDFB4682}"/>
    <cellStyle name="Normal 4 2 2 5 6 2 3" xfId="12751" xr:uid="{CEA9184D-FDB7-4676-937F-F291D158CD81}"/>
    <cellStyle name="Normal 4 2 2 5 6 3" xfId="6382" xr:uid="{00000000-0005-0000-0000-000006130000}"/>
    <cellStyle name="Normal 4 2 2 5 6 3 2" xfId="14824" xr:uid="{5E8FE3CE-2CDA-411E-86EC-15AFBB3FD863}"/>
    <cellStyle name="Normal 4 2 2 5 6 4" xfId="10606" xr:uid="{418D486A-0B3C-40F1-9867-69383395C6B0}"/>
    <cellStyle name="Normal 4 2 2 5 7" xfId="2511" xr:uid="{00000000-0005-0000-0000-000007130000}"/>
    <cellStyle name="Normal 4 2 2 5 7 2" xfId="6795" xr:uid="{00000000-0005-0000-0000-000008130000}"/>
    <cellStyle name="Normal 4 2 2 5 7 2 2" xfId="15237" xr:uid="{35F6326E-2B88-4373-A58C-3FD85E98722E}"/>
    <cellStyle name="Normal 4 2 2 5 7 3" xfId="11019" xr:uid="{AAFA694F-D0C6-4A23-8CF9-7303215B268D}"/>
    <cellStyle name="Normal 4 2 2 5 8" xfId="4730" xr:uid="{00000000-0005-0000-0000-000009130000}"/>
    <cellStyle name="Normal 4 2 2 5 8 2" xfId="13172" xr:uid="{D67DEE31-10E4-4546-AA57-08AD4CC61320}"/>
    <cellStyle name="Normal 4 2 2 5 9" xfId="8954" xr:uid="{0E88FBDB-AC5F-4414-ACEE-19E280CD16D4}"/>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0474813D-D92A-4118-9E42-CCBA4E6F8D48}"/>
    <cellStyle name="Normal 4 2 2 6 2 2 3" xfId="11514" xr:uid="{89A358E4-4576-4A8E-A5AA-DD2AED63E984}"/>
    <cellStyle name="Normal 4 2 2 6 2 3" xfId="5145" xr:uid="{00000000-0005-0000-0000-00000E130000}"/>
    <cellStyle name="Normal 4 2 2 6 2 3 2" xfId="13587" xr:uid="{3A5E13B0-EE98-415C-B277-0B6F11EA9100}"/>
    <cellStyle name="Normal 4 2 2 6 2 4" xfId="9369" xr:uid="{C11C5493-9E87-4A3B-BB01-8CF45B4F1C1B}"/>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6FBE2266-79ED-4DDD-AEC0-5C6562519654}"/>
    <cellStyle name="Normal 4 2 2 6 3 2 3" xfId="11927" xr:uid="{28FE868B-C6B6-4770-BEFB-02ED9E0B7B23}"/>
    <cellStyle name="Normal 4 2 2 6 3 3" xfId="5558" xr:uid="{00000000-0005-0000-0000-000012130000}"/>
    <cellStyle name="Normal 4 2 2 6 3 3 2" xfId="14000" xr:uid="{666FF04B-6477-4468-BD82-671D7215F3B4}"/>
    <cellStyle name="Normal 4 2 2 6 3 4" xfId="9782" xr:uid="{94B9F3DF-36C1-47E9-95F7-B8A9E2CBC67A}"/>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0E03429C-47E2-45B6-AF6E-A4B3E80BA07A}"/>
    <cellStyle name="Normal 4 2 2 6 4 2 3" xfId="12340" xr:uid="{39A1F176-7D99-4DFF-B4F5-BE8A2E220BCD}"/>
    <cellStyle name="Normal 4 2 2 6 4 3" xfId="5971" xr:uid="{00000000-0005-0000-0000-000016130000}"/>
    <cellStyle name="Normal 4 2 2 6 4 3 2" xfId="14413" xr:uid="{56883973-2B07-4B71-ACC3-563EB06FA79E}"/>
    <cellStyle name="Normal 4 2 2 6 4 4" xfId="10195" xr:uid="{6C07E2A8-916A-4D95-80E0-0A1498E5AA24}"/>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C4EAA339-02E5-4134-90B9-D3D82E009345}"/>
    <cellStyle name="Normal 4 2 2 6 5 2 3" xfId="12753" xr:uid="{05F9DB3D-430B-44CF-A1C8-98CE404F3467}"/>
    <cellStyle name="Normal 4 2 2 6 5 3" xfId="6384" xr:uid="{00000000-0005-0000-0000-00001A130000}"/>
    <cellStyle name="Normal 4 2 2 6 5 3 2" xfId="14826" xr:uid="{42C98645-7FE9-4DAA-8334-2027712E6D65}"/>
    <cellStyle name="Normal 4 2 2 6 5 4" xfId="10608" xr:uid="{729F8CD6-2376-4EBA-B033-BCB63109492C}"/>
    <cellStyle name="Normal 4 2 2 6 6" xfId="2513" xr:uid="{00000000-0005-0000-0000-00001B130000}"/>
    <cellStyle name="Normal 4 2 2 6 6 2" xfId="6797" xr:uid="{00000000-0005-0000-0000-00001C130000}"/>
    <cellStyle name="Normal 4 2 2 6 6 2 2" xfId="15239" xr:uid="{A964F1FA-D9D8-4340-A557-813D94C0224C}"/>
    <cellStyle name="Normal 4 2 2 6 6 3" xfId="11021" xr:uid="{C1160AF6-6908-4699-BE90-8B071975C116}"/>
    <cellStyle name="Normal 4 2 2 6 7" xfId="4732" xr:uid="{00000000-0005-0000-0000-00001D130000}"/>
    <cellStyle name="Normal 4 2 2 6 7 2" xfId="13174" xr:uid="{2E29B858-2767-4A53-8AB3-24993E895383}"/>
    <cellStyle name="Normal 4 2 2 6 8" xfId="8956" xr:uid="{4F33A34B-DA75-4A6F-8056-6F92CE5588AB}"/>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2EE5596A-5941-464A-8710-439BFEF11780}"/>
    <cellStyle name="Normal 4 2 2 7 2 3" xfId="11499" xr:uid="{7AF1F9B8-9154-47C5-B702-AB6C5B811DD1}"/>
    <cellStyle name="Normal 4 2 2 7 3" xfId="5130" xr:uid="{00000000-0005-0000-0000-000021130000}"/>
    <cellStyle name="Normal 4 2 2 7 3 2" xfId="13572" xr:uid="{35207281-6A58-4DDB-BEB4-D22545D5C4BC}"/>
    <cellStyle name="Normal 4 2 2 7 4" xfId="9354" xr:uid="{8F8AF52D-5C25-4AB7-B7B4-DB86C48C32B8}"/>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9E2A925E-452D-449C-BA13-D30DFAB426BE}"/>
    <cellStyle name="Normal 4 2 2 8 2 3" xfId="11912" xr:uid="{20AD5E40-6644-4BED-9A8E-FDD3EB88097C}"/>
    <cellStyle name="Normal 4 2 2 8 3" xfId="5543" xr:uid="{00000000-0005-0000-0000-000025130000}"/>
    <cellStyle name="Normal 4 2 2 8 3 2" xfId="13985" xr:uid="{22BE0FF2-0DF9-4F10-9F6D-1D79580D2847}"/>
    <cellStyle name="Normal 4 2 2 8 4" xfId="9767" xr:uid="{0EA2352E-811B-465C-8EFE-DBCE609620A6}"/>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67F2F2D1-E77B-4F04-9D18-C53A88665A69}"/>
    <cellStyle name="Normal 4 2 2 9 2 3" xfId="12325" xr:uid="{177541F0-B0FF-4882-88C7-9F1E27847334}"/>
    <cellStyle name="Normal 4 2 2 9 3" xfId="5956" xr:uid="{00000000-0005-0000-0000-000029130000}"/>
    <cellStyle name="Normal 4 2 2 9 3 2" xfId="14398" xr:uid="{DB500BA5-179C-49F7-BF26-CEAA1F2BC0F4}"/>
    <cellStyle name="Normal 4 2 2 9 4" xfId="10180" xr:uid="{08C56D8F-AC80-477B-B4A2-139780DAAD32}"/>
    <cellStyle name="Normal 4 2 3" xfId="354" xr:uid="{00000000-0005-0000-0000-00002A130000}"/>
    <cellStyle name="Normal 4 2 4" xfId="355" xr:uid="{00000000-0005-0000-0000-00002B130000}"/>
    <cellStyle name="Normal 4 2 4 10" xfId="4733" xr:uid="{00000000-0005-0000-0000-00002C130000}"/>
    <cellStyle name="Normal 4 2 4 10 2" xfId="13175" xr:uid="{6B7ACA40-EFFA-4964-952B-1CBE7FC0BC8B}"/>
    <cellStyle name="Normal 4 2 4 11" xfId="8957" xr:uid="{ABD3AEC6-EC51-4569-ABB5-73B93896E151}"/>
    <cellStyle name="Normal 4 2 4 2" xfId="356" xr:uid="{00000000-0005-0000-0000-00002D130000}"/>
    <cellStyle name="Normal 4 2 4 2 10" xfId="8958" xr:uid="{B9469CB5-2258-4DB3-8DEE-15B492EA28B3}"/>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15FDA1F5-5B01-400D-9C2D-6B653736B90D}"/>
    <cellStyle name="Normal 4 2 4 2 2 2 2 2 3" xfId="11518" xr:uid="{36F6FEC3-618E-473F-8104-F5D161804F4A}"/>
    <cellStyle name="Normal 4 2 4 2 2 2 2 3" xfId="5149" xr:uid="{00000000-0005-0000-0000-000033130000}"/>
    <cellStyle name="Normal 4 2 4 2 2 2 2 3 2" xfId="13591" xr:uid="{CF65078E-CEEE-42A0-B0D5-8EE0A39F1AFA}"/>
    <cellStyle name="Normal 4 2 4 2 2 2 2 4" xfId="9373" xr:uid="{0625D8CD-6481-4833-B4A1-7DAD5325EC4A}"/>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46D1D362-4AC6-423C-BD6F-B002D858D850}"/>
    <cellStyle name="Normal 4 2 4 2 2 2 3 2 3" xfId="11931" xr:uid="{AACCF665-E158-45A1-8128-ED2BC6C8803C}"/>
    <cellStyle name="Normal 4 2 4 2 2 2 3 3" xfId="5562" xr:uid="{00000000-0005-0000-0000-000037130000}"/>
    <cellStyle name="Normal 4 2 4 2 2 2 3 3 2" xfId="14004" xr:uid="{611B9CF7-D6AC-40D6-BFD2-C5F7A2711A4D}"/>
    <cellStyle name="Normal 4 2 4 2 2 2 3 4" xfId="9786" xr:uid="{FFF95CFE-6577-4160-ACC7-CDB27311C0DD}"/>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BB71823D-B08D-4D4D-ACAA-738C9A8A1C3D}"/>
    <cellStyle name="Normal 4 2 4 2 2 2 4 2 3" xfId="12344" xr:uid="{E2F5B625-3C32-46ED-B972-426C5BE3F187}"/>
    <cellStyle name="Normal 4 2 4 2 2 2 4 3" xfId="5975" xr:uid="{00000000-0005-0000-0000-00003B130000}"/>
    <cellStyle name="Normal 4 2 4 2 2 2 4 3 2" xfId="14417" xr:uid="{C174D862-3961-4A8C-BCEA-E6C08C60B1FF}"/>
    <cellStyle name="Normal 4 2 4 2 2 2 4 4" xfId="10199" xr:uid="{10430C50-47B1-44AD-8EF7-D39AC25FBDB8}"/>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C213054C-0BEF-4507-BA79-B4E9F9143ACE}"/>
    <cellStyle name="Normal 4 2 4 2 2 2 5 2 3" xfId="12757" xr:uid="{A1C8B081-6F6D-4A0A-9B84-3EA5E9B7DC4A}"/>
    <cellStyle name="Normal 4 2 4 2 2 2 5 3" xfId="6388" xr:uid="{00000000-0005-0000-0000-00003F130000}"/>
    <cellStyle name="Normal 4 2 4 2 2 2 5 3 2" xfId="14830" xr:uid="{FDC0BE89-13EB-4AB5-8C9A-8D369465A50C}"/>
    <cellStyle name="Normal 4 2 4 2 2 2 5 4" xfId="10612" xr:uid="{5030B7A8-6FE8-411F-A3C1-526792544936}"/>
    <cellStyle name="Normal 4 2 4 2 2 2 6" xfId="2517" xr:uid="{00000000-0005-0000-0000-000040130000}"/>
    <cellStyle name="Normal 4 2 4 2 2 2 6 2" xfId="6801" xr:uid="{00000000-0005-0000-0000-000041130000}"/>
    <cellStyle name="Normal 4 2 4 2 2 2 6 2 2" xfId="15243" xr:uid="{D7266F68-41BD-41CB-9149-BA2BF22EA7FD}"/>
    <cellStyle name="Normal 4 2 4 2 2 2 6 3" xfId="11025" xr:uid="{3A0B9890-9E94-4921-B7F6-7D7F39A96E06}"/>
    <cellStyle name="Normal 4 2 4 2 2 2 7" xfId="4736" xr:uid="{00000000-0005-0000-0000-000042130000}"/>
    <cellStyle name="Normal 4 2 4 2 2 2 7 2" xfId="13178" xr:uid="{83065583-B373-446D-BC94-4FFE313012B2}"/>
    <cellStyle name="Normal 4 2 4 2 2 2 8" xfId="8960" xr:uid="{57BF934E-B59A-4A40-AF6C-5A1BCF5741B4}"/>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8272D53C-B9BD-4AFB-A927-C0D44561AD8E}"/>
    <cellStyle name="Normal 4 2 4 2 2 3 2 3" xfId="11517" xr:uid="{EA3E8616-1F14-4A8C-92E7-C8739A817D12}"/>
    <cellStyle name="Normal 4 2 4 2 2 3 3" xfId="5148" xr:uid="{00000000-0005-0000-0000-000046130000}"/>
    <cellStyle name="Normal 4 2 4 2 2 3 3 2" xfId="13590" xr:uid="{75FB3DA5-5EFE-4D35-8959-2803FB569CE7}"/>
    <cellStyle name="Normal 4 2 4 2 2 3 4" xfId="9372" xr:uid="{7B0A78E9-2942-4CA4-95EA-B7D15B20BA74}"/>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3867BC62-8EE4-42EB-82B1-E1896B2283DE}"/>
    <cellStyle name="Normal 4 2 4 2 2 4 2 3" xfId="11930" xr:uid="{7FB24585-8760-4494-8E46-31A8BF612D57}"/>
    <cellStyle name="Normal 4 2 4 2 2 4 3" xfId="5561" xr:uid="{00000000-0005-0000-0000-00004A130000}"/>
    <cellStyle name="Normal 4 2 4 2 2 4 3 2" xfId="14003" xr:uid="{59F2E8CC-846F-4CFF-932B-1E2C73643E87}"/>
    <cellStyle name="Normal 4 2 4 2 2 4 4" xfId="9785" xr:uid="{2267D417-E4C8-428D-82BD-35D48B2EC8ED}"/>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D8132636-1555-4893-95A9-BAC340B48ABA}"/>
    <cellStyle name="Normal 4 2 4 2 2 5 2 3" xfId="12343" xr:uid="{287C872D-9920-40F0-96DE-930C342D7C54}"/>
    <cellStyle name="Normal 4 2 4 2 2 5 3" xfId="5974" xr:uid="{00000000-0005-0000-0000-00004E130000}"/>
    <cellStyle name="Normal 4 2 4 2 2 5 3 2" xfId="14416" xr:uid="{EA43112F-0F1B-4B71-B8C1-103C2B86AF73}"/>
    <cellStyle name="Normal 4 2 4 2 2 5 4" xfId="10198" xr:uid="{BB6F41D7-015D-43B9-96D5-3A9D3F69238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ED165BC3-7772-4BEE-9713-463515FD8E3C}"/>
    <cellStyle name="Normal 4 2 4 2 2 6 2 3" xfId="12756" xr:uid="{D51227F0-3A96-4DFC-8ACD-64A968E35FB4}"/>
    <cellStyle name="Normal 4 2 4 2 2 6 3" xfId="6387" xr:uid="{00000000-0005-0000-0000-000052130000}"/>
    <cellStyle name="Normal 4 2 4 2 2 6 3 2" xfId="14829" xr:uid="{5D449C0C-4ACC-43A3-85F5-D18808B42722}"/>
    <cellStyle name="Normal 4 2 4 2 2 6 4" xfId="10611" xr:uid="{AB10E195-622B-408E-834E-8D5FBCB867C9}"/>
    <cellStyle name="Normal 4 2 4 2 2 7" xfId="2516" xr:uid="{00000000-0005-0000-0000-000053130000}"/>
    <cellStyle name="Normal 4 2 4 2 2 7 2" xfId="6800" xr:uid="{00000000-0005-0000-0000-000054130000}"/>
    <cellStyle name="Normal 4 2 4 2 2 7 2 2" xfId="15242" xr:uid="{59CFB6F2-7585-407D-8791-C4D1678B8159}"/>
    <cellStyle name="Normal 4 2 4 2 2 7 3" xfId="11024" xr:uid="{76172F6E-CF31-4E7C-853C-6A9C960EB878}"/>
    <cellStyle name="Normal 4 2 4 2 2 8" xfId="4735" xr:uid="{00000000-0005-0000-0000-000055130000}"/>
    <cellStyle name="Normal 4 2 4 2 2 8 2" xfId="13177" xr:uid="{9B302F31-C6A5-4D50-8916-0EF2095F935D}"/>
    <cellStyle name="Normal 4 2 4 2 2 9" xfId="8959" xr:uid="{2B15F0FF-0A03-4006-85B5-F149169AEAB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4C5764D6-843B-4900-8442-18BF1A43152B}"/>
    <cellStyle name="Normal 4 2 4 2 3 2 2 3" xfId="11519" xr:uid="{1CCE2C1D-F1EC-42DD-821D-0DA71B4A4F2E}"/>
    <cellStyle name="Normal 4 2 4 2 3 2 3" xfId="5150" xr:uid="{00000000-0005-0000-0000-00005A130000}"/>
    <cellStyle name="Normal 4 2 4 2 3 2 3 2" xfId="13592" xr:uid="{BDD8961F-814B-482B-868D-E95E50855B0C}"/>
    <cellStyle name="Normal 4 2 4 2 3 2 4" xfId="9374" xr:uid="{C0DD9678-6B68-4F29-8931-124811A9BA99}"/>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17D12E10-85EA-4F81-9FE4-C40FC923E3DC}"/>
    <cellStyle name="Normal 4 2 4 2 3 3 2 3" xfId="11932" xr:uid="{16ED1189-D902-41D2-AD74-DFC984FE4BF5}"/>
    <cellStyle name="Normal 4 2 4 2 3 3 3" xfId="5563" xr:uid="{00000000-0005-0000-0000-00005E130000}"/>
    <cellStyle name="Normal 4 2 4 2 3 3 3 2" xfId="14005" xr:uid="{1D097199-7BB2-4447-8A8C-80B9C596BC75}"/>
    <cellStyle name="Normal 4 2 4 2 3 3 4" xfId="9787" xr:uid="{E18792CF-71E1-42C7-81E0-A4EBE45AA96B}"/>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AC3CFE5C-CDE0-44A5-9E76-5D0EB9CEF2A9}"/>
    <cellStyle name="Normal 4 2 4 2 3 4 2 3" xfId="12345" xr:uid="{C492A76F-5DD2-4CC2-A07F-B3A1F32DD927}"/>
    <cellStyle name="Normal 4 2 4 2 3 4 3" xfId="5976" xr:uid="{00000000-0005-0000-0000-000062130000}"/>
    <cellStyle name="Normal 4 2 4 2 3 4 3 2" xfId="14418" xr:uid="{8D06A183-DC41-4D05-9E4F-DC9ED3F09263}"/>
    <cellStyle name="Normal 4 2 4 2 3 4 4" xfId="10200" xr:uid="{2F230870-133B-4F04-9860-A084315AFDE9}"/>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CD201A83-DF87-4D18-B3CC-3B6F4CE87D68}"/>
    <cellStyle name="Normal 4 2 4 2 3 5 2 3" xfId="12758" xr:uid="{C4CD7E96-A907-4DB4-846A-5AC2FAE364F8}"/>
    <cellStyle name="Normal 4 2 4 2 3 5 3" xfId="6389" xr:uid="{00000000-0005-0000-0000-000066130000}"/>
    <cellStyle name="Normal 4 2 4 2 3 5 3 2" xfId="14831" xr:uid="{0C1397AD-3080-4D1A-95BB-D1DC79673715}"/>
    <cellStyle name="Normal 4 2 4 2 3 5 4" xfId="10613" xr:uid="{CEDBA702-5BCC-4909-966F-DAAFE8683F86}"/>
    <cellStyle name="Normal 4 2 4 2 3 6" xfId="2518" xr:uid="{00000000-0005-0000-0000-000067130000}"/>
    <cellStyle name="Normal 4 2 4 2 3 6 2" xfId="6802" xr:uid="{00000000-0005-0000-0000-000068130000}"/>
    <cellStyle name="Normal 4 2 4 2 3 6 2 2" xfId="15244" xr:uid="{D8757006-2658-4FCE-866A-86121D842043}"/>
    <cellStyle name="Normal 4 2 4 2 3 6 3" xfId="11026" xr:uid="{E966F50F-E73F-4B20-A454-6B0454FEC72C}"/>
    <cellStyle name="Normal 4 2 4 2 3 7" xfId="4737" xr:uid="{00000000-0005-0000-0000-000069130000}"/>
    <cellStyle name="Normal 4 2 4 2 3 7 2" xfId="13179" xr:uid="{ADB67629-D274-49AE-9B46-F85A97E3ADD7}"/>
    <cellStyle name="Normal 4 2 4 2 3 8" xfId="8961" xr:uid="{531C1DC4-4CDA-4DD3-815E-B7C33BCD5FBE}"/>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467B5DB9-C0D9-40B2-BB01-C806736283F2}"/>
    <cellStyle name="Normal 4 2 4 2 4 2 3" xfId="11516" xr:uid="{3D35C104-2FFC-4575-9EDB-74EF12B109C5}"/>
    <cellStyle name="Normal 4 2 4 2 4 3" xfId="5147" xr:uid="{00000000-0005-0000-0000-00006D130000}"/>
    <cellStyle name="Normal 4 2 4 2 4 3 2" xfId="13589" xr:uid="{43760BA0-482D-49DC-BC8B-9277DCE9AE57}"/>
    <cellStyle name="Normal 4 2 4 2 4 4" xfId="9371" xr:uid="{22F9437F-BC93-42FD-95F7-0899CA67A477}"/>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DFFAE370-FE70-45C2-A815-6F06C92A35C1}"/>
    <cellStyle name="Normal 4 2 4 2 5 2 3" xfId="11929" xr:uid="{FB332F62-124C-41F0-8AD9-B57ED273D65C}"/>
    <cellStyle name="Normal 4 2 4 2 5 3" xfId="5560" xr:uid="{00000000-0005-0000-0000-000071130000}"/>
    <cellStyle name="Normal 4 2 4 2 5 3 2" xfId="14002" xr:uid="{B0670DFF-1A52-4FDD-9B65-94FD19D0694E}"/>
    <cellStyle name="Normal 4 2 4 2 5 4" xfId="9784" xr:uid="{93EC6947-07E2-49E8-8BB0-59F5719D9065}"/>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9A615F20-D99B-40C3-8ED0-A1D5C7240B7F}"/>
    <cellStyle name="Normal 4 2 4 2 6 2 3" xfId="12342" xr:uid="{6A83BB57-7139-476B-BF0E-73FA033C4D17}"/>
    <cellStyle name="Normal 4 2 4 2 6 3" xfId="5973" xr:uid="{00000000-0005-0000-0000-000075130000}"/>
    <cellStyle name="Normal 4 2 4 2 6 3 2" xfId="14415" xr:uid="{1FB554D2-C501-4416-B4E5-90FDF66B2BC6}"/>
    <cellStyle name="Normal 4 2 4 2 6 4" xfId="10197" xr:uid="{41AECEF6-4D2C-4F5E-8423-9916EF6C58C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7708EB88-F7EF-48F0-82E2-92A5D8247C38}"/>
    <cellStyle name="Normal 4 2 4 2 7 2 3" xfId="12755" xr:uid="{242F2777-A265-4306-B664-31FB72094E7B}"/>
    <cellStyle name="Normal 4 2 4 2 7 3" xfId="6386" xr:uid="{00000000-0005-0000-0000-000079130000}"/>
    <cellStyle name="Normal 4 2 4 2 7 3 2" xfId="14828" xr:uid="{2D07F7A6-5815-4D5E-BAFD-C9014F369E5F}"/>
    <cellStyle name="Normal 4 2 4 2 7 4" xfId="10610" xr:uid="{4F10C50D-F5A9-4A51-88A1-911C7C46C1CF}"/>
    <cellStyle name="Normal 4 2 4 2 8" xfId="2515" xr:uid="{00000000-0005-0000-0000-00007A130000}"/>
    <cellStyle name="Normal 4 2 4 2 8 2" xfId="6799" xr:uid="{00000000-0005-0000-0000-00007B130000}"/>
    <cellStyle name="Normal 4 2 4 2 8 2 2" xfId="15241" xr:uid="{468A2C84-0E26-4948-AAE3-405BB18515E2}"/>
    <cellStyle name="Normal 4 2 4 2 8 3" xfId="11023" xr:uid="{D0538D95-F03E-4EE3-8AD9-88491AEE2594}"/>
    <cellStyle name="Normal 4 2 4 2 9" xfId="4734" xr:uid="{00000000-0005-0000-0000-00007C130000}"/>
    <cellStyle name="Normal 4 2 4 2 9 2" xfId="13176" xr:uid="{D1559093-07EF-40A6-988F-2E420F03AE9E}"/>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837E2187-6F29-4DAA-A40F-2C4E3D7D72EB}"/>
    <cellStyle name="Normal 4 2 4 3 2 2 2 3" xfId="11521" xr:uid="{58876767-4F3E-41B7-BB8C-84AE7E944E2B}"/>
    <cellStyle name="Normal 4 2 4 3 2 2 3" xfId="5152" xr:uid="{00000000-0005-0000-0000-000082130000}"/>
    <cellStyle name="Normal 4 2 4 3 2 2 3 2" xfId="13594" xr:uid="{57437808-AE25-4563-A7AF-A430E9310350}"/>
    <cellStyle name="Normal 4 2 4 3 2 2 4" xfId="9376" xr:uid="{122D34B0-7CF1-4492-807B-FADB9AA39C6A}"/>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A8483982-B9AD-4A39-8EE1-5DFCC16CC2C0}"/>
    <cellStyle name="Normal 4 2 4 3 2 3 2 3" xfId="11934" xr:uid="{8222B4E9-BBE7-4F31-A5D6-F80C6159AFDA}"/>
    <cellStyle name="Normal 4 2 4 3 2 3 3" xfId="5565" xr:uid="{00000000-0005-0000-0000-000086130000}"/>
    <cellStyle name="Normal 4 2 4 3 2 3 3 2" xfId="14007" xr:uid="{7AA3E9F4-0FDE-41C8-A3E0-6355C6A8CF89}"/>
    <cellStyle name="Normal 4 2 4 3 2 3 4" xfId="9789" xr:uid="{ADD0BF03-A643-48F1-AC66-41860D707C7E}"/>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8AC582DA-73DC-4135-8DE3-60CBCB1EBBF5}"/>
    <cellStyle name="Normal 4 2 4 3 2 4 2 3" xfId="12347" xr:uid="{7C06AD05-A69B-4C5A-B7E2-3838A8BD3ABB}"/>
    <cellStyle name="Normal 4 2 4 3 2 4 3" xfId="5978" xr:uid="{00000000-0005-0000-0000-00008A130000}"/>
    <cellStyle name="Normal 4 2 4 3 2 4 3 2" xfId="14420" xr:uid="{BC791DE3-91FE-487C-AEF1-92C800FDA17B}"/>
    <cellStyle name="Normal 4 2 4 3 2 4 4" xfId="10202" xr:uid="{F476D920-BB18-4FE5-BAB0-C696361BA276}"/>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E45D6628-29E5-4D4F-811D-04BD7B63CC2F}"/>
    <cellStyle name="Normal 4 2 4 3 2 5 2 3" xfId="12760" xr:uid="{EE2C9A6C-7DB6-4F43-AD78-CC16E738722A}"/>
    <cellStyle name="Normal 4 2 4 3 2 5 3" xfId="6391" xr:uid="{00000000-0005-0000-0000-00008E130000}"/>
    <cellStyle name="Normal 4 2 4 3 2 5 3 2" xfId="14833" xr:uid="{600B5BF2-4772-4017-8A5F-A5839DBF673F}"/>
    <cellStyle name="Normal 4 2 4 3 2 5 4" xfId="10615" xr:uid="{47EB099E-8501-4D9B-9C87-DB09F9D0F395}"/>
    <cellStyle name="Normal 4 2 4 3 2 6" xfId="2520" xr:uid="{00000000-0005-0000-0000-00008F130000}"/>
    <cellStyle name="Normal 4 2 4 3 2 6 2" xfId="6804" xr:uid="{00000000-0005-0000-0000-000090130000}"/>
    <cellStyle name="Normal 4 2 4 3 2 6 2 2" xfId="15246" xr:uid="{08B0AF21-C06E-4A3E-A19E-7475695F0204}"/>
    <cellStyle name="Normal 4 2 4 3 2 6 3" xfId="11028" xr:uid="{C7A66102-A6CF-46CE-8251-A8D3A5284139}"/>
    <cellStyle name="Normal 4 2 4 3 2 7" xfId="4739" xr:uid="{00000000-0005-0000-0000-000091130000}"/>
    <cellStyle name="Normal 4 2 4 3 2 7 2" xfId="13181" xr:uid="{FBE580CA-336E-48CE-96CD-3942D619F1B2}"/>
    <cellStyle name="Normal 4 2 4 3 2 8" xfId="8963" xr:uid="{6B97EE0A-53A6-4386-8FE1-5B41B7D1BBBF}"/>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15E1121D-637D-416A-ACC1-930F039CE6BA}"/>
    <cellStyle name="Normal 4 2 4 3 3 2 3" xfId="11520" xr:uid="{CDAE52C5-BC66-4CF1-81CC-D52361748FBC}"/>
    <cellStyle name="Normal 4 2 4 3 3 3" xfId="5151" xr:uid="{00000000-0005-0000-0000-000095130000}"/>
    <cellStyle name="Normal 4 2 4 3 3 3 2" xfId="13593" xr:uid="{2580B818-0BE9-4728-912B-46496A7B11D3}"/>
    <cellStyle name="Normal 4 2 4 3 3 4" xfId="9375" xr:uid="{564F595C-948D-49A8-B35B-BD43D8DCC046}"/>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9F49E6B1-58AA-499E-8930-1328F319CAAA}"/>
    <cellStyle name="Normal 4 2 4 3 4 2 3" xfId="11933" xr:uid="{40687CD9-8256-4720-9589-C826FDB4BA4D}"/>
    <cellStyle name="Normal 4 2 4 3 4 3" xfId="5564" xr:uid="{00000000-0005-0000-0000-000099130000}"/>
    <cellStyle name="Normal 4 2 4 3 4 3 2" xfId="14006" xr:uid="{3B018DC1-6924-4C6F-9243-74961FEB0536}"/>
    <cellStyle name="Normal 4 2 4 3 4 4" xfId="9788" xr:uid="{66F8A44A-CC55-41F3-AA29-3FFA28B38995}"/>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AF521232-9AD8-47F7-B36F-AB2478CCFBB2}"/>
    <cellStyle name="Normal 4 2 4 3 5 2 3" xfId="12346" xr:uid="{982BD67F-50E3-4A0F-9C6D-38534387F110}"/>
    <cellStyle name="Normal 4 2 4 3 5 3" xfId="5977" xr:uid="{00000000-0005-0000-0000-00009D130000}"/>
    <cellStyle name="Normal 4 2 4 3 5 3 2" xfId="14419" xr:uid="{50F90996-A1F4-4884-BF23-EDE8BB09DF50}"/>
    <cellStyle name="Normal 4 2 4 3 5 4" xfId="10201" xr:uid="{72BF911A-4278-4C62-B8B7-3C55AA1853A4}"/>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FDF04B91-652B-4E1B-B772-8D4FD0DA9762}"/>
    <cellStyle name="Normal 4 2 4 3 6 2 3" xfId="12759" xr:uid="{4211EC27-B4D2-47C0-985E-2714C63C903F}"/>
    <cellStyle name="Normal 4 2 4 3 6 3" xfId="6390" xr:uid="{00000000-0005-0000-0000-0000A1130000}"/>
    <cellStyle name="Normal 4 2 4 3 6 3 2" xfId="14832" xr:uid="{13BDDC3D-327A-4DFF-B054-76CC693FB559}"/>
    <cellStyle name="Normal 4 2 4 3 6 4" xfId="10614" xr:uid="{080F3078-D4F8-47AB-8FFF-AF7AC129B89A}"/>
    <cellStyle name="Normal 4 2 4 3 7" xfId="2519" xr:uid="{00000000-0005-0000-0000-0000A2130000}"/>
    <cellStyle name="Normal 4 2 4 3 7 2" xfId="6803" xr:uid="{00000000-0005-0000-0000-0000A3130000}"/>
    <cellStyle name="Normal 4 2 4 3 7 2 2" xfId="15245" xr:uid="{A62DBC75-C5B3-445F-9645-3C5A7D4BFD72}"/>
    <cellStyle name="Normal 4 2 4 3 7 3" xfId="11027" xr:uid="{30DFB30C-4C48-4C5A-8419-0E8D267586EE}"/>
    <cellStyle name="Normal 4 2 4 3 8" xfId="4738" xr:uid="{00000000-0005-0000-0000-0000A4130000}"/>
    <cellStyle name="Normal 4 2 4 3 8 2" xfId="13180" xr:uid="{199DACD3-27B8-4C66-89CD-EDBD36D9B001}"/>
    <cellStyle name="Normal 4 2 4 3 9" xfId="8962" xr:uid="{14243D2C-5F09-4B02-AFE9-8DF535E8C3C9}"/>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30C02BEC-DF19-40DF-A21D-88C008E3A4EE}"/>
    <cellStyle name="Normal 4 2 4 4 2 2 3" xfId="11522" xr:uid="{93AF7FA6-236B-4CEA-9E4C-5A301A0C6DBA}"/>
    <cellStyle name="Normal 4 2 4 4 2 3" xfId="5153" xr:uid="{00000000-0005-0000-0000-0000A9130000}"/>
    <cellStyle name="Normal 4 2 4 4 2 3 2" xfId="13595" xr:uid="{0EFAC1DF-8B89-4EBF-A03D-615B32EF7554}"/>
    <cellStyle name="Normal 4 2 4 4 2 4" xfId="9377" xr:uid="{17467F55-2BD5-4F7E-B59E-9C86AE797374}"/>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8788A52C-6C04-4AAB-89A5-263AFB6F795C}"/>
    <cellStyle name="Normal 4 2 4 4 3 2 3" xfId="11935" xr:uid="{4352D926-9088-45E1-B9A2-E5C14893B145}"/>
    <cellStyle name="Normal 4 2 4 4 3 3" xfId="5566" xr:uid="{00000000-0005-0000-0000-0000AD130000}"/>
    <cellStyle name="Normal 4 2 4 4 3 3 2" xfId="14008" xr:uid="{06BA1B16-9FCB-4F26-BA40-CA0E70F919F8}"/>
    <cellStyle name="Normal 4 2 4 4 3 4" xfId="9790" xr:uid="{BF212035-2632-4E50-A150-0C3E8EEBB71F}"/>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FD096C6D-5FC7-4CD7-89D0-526A553DBFD1}"/>
    <cellStyle name="Normal 4 2 4 4 4 2 3" xfId="12348" xr:uid="{2CFBB236-822E-44DA-A2A2-9CE1AD39B02E}"/>
    <cellStyle name="Normal 4 2 4 4 4 3" xfId="5979" xr:uid="{00000000-0005-0000-0000-0000B1130000}"/>
    <cellStyle name="Normal 4 2 4 4 4 3 2" xfId="14421" xr:uid="{853A421A-51C9-4A78-92CD-D9F5DF554350}"/>
    <cellStyle name="Normal 4 2 4 4 4 4" xfId="10203" xr:uid="{6114B209-CF27-45B4-911A-D4BADAA2FBD1}"/>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62FCA619-F0E8-4D35-9B66-DF4586732473}"/>
    <cellStyle name="Normal 4 2 4 4 5 2 3" xfId="12761" xr:uid="{E0FE212F-32A1-4994-9E25-D6C352011BEB}"/>
    <cellStyle name="Normal 4 2 4 4 5 3" xfId="6392" xr:uid="{00000000-0005-0000-0000-0000B5130000}"/>
    <cellStyle name="Normal 4 2 4 4 5 3 2" xfId="14834" xr:uid="{437FFB98-1FBE-416B-9B33-6560E8266A8F}"/>
    <cellStyle name="Normal 4 2 4 4 5 4" xfId="10616" xr:uid="{15F55D5D-E115-49A3-BED5-BBD6AD96D1A6}"/>
    <cellStyle name="Normal 4 2 4 4 6" xfId="2521" xr:uid="{00000000-0005-0000-0000-0000B6130000}"/>
    <cellStyle name="Normal 4 2 4 4 6 2" xfId="6805" xr:uid="{00000000-0005-0000-0000-0000B7130000}"/>
    <cellStyle name="Normal 4 2 4 4 6 2 2" xfId="15247" xr:uid="{DE1EEEF8-68CD-4752-97B2-0F31CB4EB884}"/>
    <cellStyle name="Normal 4 2 4 4 6 3" xfId="11029" xr:uid="{D4906A02-A0B5-4540-B08C-A9286959CA6C}"/>
    <cellStyle name="Normal 4 2 4 4 7" xfId="4740" xr:uid="{00000000-0005-0000-0000-0000B8130000}"/>
    <cellStyle name="Normal 4 2 4 4 7 2" xfId="13182" xr:uid="{ADA5F428-1A2F-4653-9F57-1C3574BB325B}"/>
    <cellStyle name="Normal 4 2 4 4 8" xfId="8964" xr:uid="{4162414B-DB15-4C62-BC89-8A75FAD1037B}"/>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5D8101DA-7EF9-4C97-B552-CB7D89402FE1}"/>
    <cellStyle name="Normal 4 2 4 5 2 3" xfId="11515" xr:uid="{8C860B1C-CDBB-408E-92EC-07605BF7AC41}"/>
    <cellStyle name="Normal 4 2 4 5 3" xfId="5146" xr:uid="{00000000-0005-0000-0000-0000BC130000}"/>
    <cellStyle name="Normal 4 2 4 5 3 2" xfId="13588" xr:uid="{B6334F72-010C-4540-8C18-6AB135074060}"/>
    <cellStyle name="Normal 4 2 4 5 4" xfId="9370" xr:uid="{4E19F347-6831-49C8-9F00-6E20C5DE8B67}"/>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0F8DA492-17BD-4EBA-8FDD-795F9D6C17E2}"/>
    <cellStyle name="Normal 4 2 4 6 2 3" xfId="11928" xr:uid="{0A018E9C-36B3-49C6-94BA-A2959334CD3F}"/>
    <cellStyle name="Normal 4 2 4 6 3" xfId="5559" xr:uid="{00000000-0005-0000-0000-0000C0130000}"/>
    <cellStyle name="Normal 4 2 4 6 3 2" xfId="14001" xr:uid="{69BB2BE6-CA94-4C9D-9818-EA27373BE6AD}"/>
    <cellStyle name="Normal 4 2 4 6 4" xfId="9783" xr:uid="{882E6692-5127-4D39-93BA-44191EE28CBD}"/>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F5DA79C0-FA96-4220-86F5-3549A151CCE2}"/>
    <cellStyle name="Normal 4 2 4 7 2 3" xfId="12341" xr:uid="{90B2D12F-DED8-4B92-AD8E-A9AF44EB6AE5}"/>
    <cellStyle name="Normal 4 2 4 7 3" xfId="5972" xr:uid="{00000000-0005-0000-0000-0000C4130000}"/>
    <cellStyle name="Normal 4 2 4 7 3 2" xfId="14414" xr:uid="{72FE416C-2CD5-46E2-981E-460F63E2E28D}"/>
    <cellStyle name="Normal 4 2 4 7 4" xfId="10196" xr:uid="{9F604785-200A-4A66-B8E6-85E7337DF13A}"/>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3EDF3C90-C0B9-420D-8645-0D4C7917A217}"/>
    <cellStyle name="Normal 4 2 4 8 2 3" xfId="12754" xr:uid="{EECFEF01-F730-4F11-AF3D-74ED219460CA}"/>
    <cellStyle name="Normal 4 2 4 8 3" xfId="6385" xr:uid="{00000000-0005-0000-0000-0000C8130000}"/>
    <cellStyle name="Normal 4 2 4 8 3 2" xfId="14827" xr:uid="{A5DB7C99-F971-4928-B8F5-2B61D8651A21}"/>
    <cellStyle name="Normal 4 2 4 8 4" xfId="10609" xr:uid="{0289A839-CB16-4E51-AE81-E3B760A23DDD}"/>
    <cellStyle name="Normal 4 2 4 9" xfId="2514" xr:uid="{00000000-0005-0000-0000-0000C9130000}"/>
    <cellStyle name="Normal 4 2 4 9 2" xfId="6798" xr:uid="{00000000-0005-0000-0000-0000CA130000}"/>
    <cellStyle name="Normal 4 2 4 9 2 2" xfId="15240" xr:uid="{53C88E66-6176-47D9-91C7-34FCA83D8504}"/>
    <cellStyle name="Normal 4 2 4 9 3" xfId="11022" xr:uid="{D58B4C48-C679-47F6-8026-984DEAA26F08}"/>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A029946A-B61A-4B59-B008-2D987D991BB2}"/>
    <cellStyle name="Normal 4 2 5 2 2 2 3" xfId="11524" xr:uid="{634B27B8-3428-4842-923A-3FA38760D745}"/>
    <cellStyle name="Normal 4 2 5 2 2 3" xfId="5155" xr:uid="{00000000-0005-0000-0000-0000D0130000}"/>
    <cellStyle name="Normal 4 2 5 2 2 3 2" xfId="13597" xr:uid="{D45051FF-400F-4E0C-B29A-585A7E6C4B3C}"/>
    <cellStyle name="Normal 4 2 5 2 2 4" xfId="9379" xr:uid="{BEC66C43-E9AE-4717-93B3-7FD0B16FEA28}"/>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F44D5128-EBB6-4220-9EDF-DC7103D93EEE}"/>
    <cellStyle name="Normal 4 2 5 2 3 2 3" xfId="11937" xr:uid="{B1F35DF7-D106-439A-BD10-DD49F916BFA2}"/>
    <cellStyle name="Normal 4 2 5 2 3 3" xfId="5568" xr:uid="{00000000-0005-0000-0000-0000D4130000}"/>
    <cellStyle name="Normal 4 2 5 2 3 3 2" xfId="14010" xr:uid="{6606D276-E41A-479A-937E-CBA049EE3C22}"/>
    <cellStyle name="Normal 4 2 5 2 3 4" xfId="9792" xr:uid="{C0574A7A-F130-4612-9CB8-84486DFBDEC3}"/>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0F4B9E64-91A3-4B7E-B2B3-CF208B9625C5}"/>
    <cellStyle name="Normal 4 2 5 2 4 2 3" xfId="12350" xr:uid="{DB21E5FA-77A5-44DC-80E1-2625A9AA9E8D}"/>
    <cellStyle name="Normal 4 2 5 2 4 3" xfId="5981" xr:uid="{00000000-0005-0000-0000-0000D8130000}"/>
    <cellStyle name="Normal 4 2 5 2 4 3 2" xfId="14423" xr:uid="{827CC4F3-362E-4852-8C29-6F939CBB47DD}"/>
    <cellStyle name="Normal 4 2 5 2 4 4" xfId="10205" xr:uid="{FE76DF0F-9BA7-457C-B6DF-30DED2776495}"/>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4B704A7D-DB3E-4ACF-8F55-718822C12216}"/>
    <cellStyle name="Normal 4 2 5 2 5 2 3" xfId="12763" xr:uid="{0738FD8C-9105-406D-AFD0-E37BEB32F80D}"/>
    <cellStyle name="Normal 4 2 5 2 5 3" xfId="6394" xr:uid="{00000000-0005-0000-0000-0000DC130000}"/>
    <cellStyle name="Normal 4 2 5 2 5 3 2" xfId="14836" xr:uid="{61264AD2-D8AC-4302-8A12-DACC82086F33}"/>
    <cellStyle name="Normal 4 2 5 2 5 4" xfId="10618" xr:uid="{F3D8D361-C791-49CF-A0AD-78F5AE0639E1}"/>
    <cellStyle name="Normal 4 2 5 2 6" xfId="2523" xr:uid="{00000000-0005-0000-0000-0000DD130000}"/>
    <cellStyle name="Normal 4 2 5 2 6 2" xfId="6807" xr:uid="{00000000-0005-0000-0000-0000DE130000}"/>
    <cellStyle name="Normal 4 2 5 2 6 2 2" xfId="15249" xr:uid="{33687EC0-8C22-48A9-829B-DC4B7C2D6DD1}"/>
    <cellStyle name="Normal 4 2 5 2 6 3" xfId="11031" xr:uid="{8988B8BB-C1A9-417E-B628-F772040642F5}"/>
    <cellStyle name="Normal 4 2 5 2 7" xfId="4742" xr:uid="{00000000-0005-0000-0000-0000DF130000}"/>
    <cellStyle name="Normal 4 2 5 2 7 2" xfId="13184" xr:uid="{7D4396D8-0F39-4D07-89A1-8EFE2B87A640}"/>
    <cellStyle name="Normal 4 2 5 2 8" xfId="8966" xr:uid="{8FF020CE-4D43-4CE8-B213-38567DD8141C}"/>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F50983E-13D1-45FA-BC28-7034298BBEF3}"/>
    <cellStyle name="Normal 4 2 5 3 2 3" xfId="11523" xr:uid="{CCCF927C-3BDC-45B3-A879-2B5301008236}"/>
    <cellStyle name="Normal 4 2 5 3 3" xfId="5154" xr:uid="{00000000-0005-0000-0000-0000E3130000}"/>
    <cellStyle name="Normal 4 2 5 3 3 2" xfId="13596" xr:uid="{18E58FAA-F8C4-477D-9926-5624EFACDBED}"/>
    <cellStyle name="Normal 4 2 5 3 4" xfId="9378" xr:uid="{1E4E2CCC-F62D-4B8A-B395-0C5270AC7D03}"/>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9C32781F-4700-4063-A347-DF4CC431E1EE}"/>
    <cellStyle name="Normal 4 2 5 4 2 3" xfId="11936" xr:uid="{017D7896-BBE1-4EB2-BE04-3CFB7D3EEB5B}"/>
    <cellStyle name="Normal 4 2 5 4 3" xfId="5567" xr:uid="{00000000-0005-0000-0000-0000E7130000}"/>
    <cellStyle name="Normal 4 2 5 4 3 2" xfId="14009" xr:uid="{3B074677-563D-4EF8-BE9B-3C09DCABB341}"/>
    <cellStyle name="Normal 4 2 5 4 4" xfId="9791" xr:uid="{F6292C9B-C541-432A-A362-890D512BFD69}"/>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FC5C0C7B-8E6F-4B7E-8283-6017B7A88B5A}"/>
    <cellStyle name="Normal 4 2 5 5 2 3" xfId="12349" xr:uid="{54199EFB-5A60-4A8B-97A6-AB26E441BCA5}"/>
    <cellStyle name="Normal 4 2 5 5 3" xfId="5980" xr:uid="{00000000-0005-0000-0000-0000EB130000}"/>
    <cellStyle name="Normal 4 2 5 5 3 2" xfId="14422" xr:uid="{D639D478-B890-49E7-8558-ECD2331283EA}"/>
    <cellStyle name="Normal 4 2 5 5 4" xfId="10204" xr:uid="{D1729175-43DB-4901-9B70-088BB583077E}"/>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4D9CF927-9E2D-4325-9998-CA02275C892F}"/>
    <cellStyle name="Normal 4 2 5 6 2 3" xfId="12762" xr:uid="{6896EB9E-A248-4599-B08E-69D07F4112C1}"/>
    <cellStyle name="Normal 4 2 5 6 3" xfId="6393" xr:uid="{00000000-0005-0000-0000-0000EF130000}"/>
    <cellStyle name="Normal 4 2 5 6 3 2" xfId="14835" xr:uid="{37386DCE-C8A1-41F2-B649-836EB9BFFE6C}"/>
    <cellStyle name="Normal 4 2 5 6 4" xfId="10617" xr:uid="{81A606A4-827A-49CD-A73F-EFB92420BEEA}"/>
    <cellStyle name="Normal 4 2 5 7" xfId="2522" xr:uid="{00000000-0005-0000-0000-0000F0130000}"/>
    <cellStyle name="Normal 4 2 5 7 2" xfId="6806" xr:uid="{00000000-0005-0000-0000-0000F1130000}"/>
    <cellStyle name="Normal 4 2 5 7 2 2" xfId="15248" xr:uid="{C3EC6CE4-05B7-422D-A44F-9520C83FE571}"/>
    <cellStyle name="Normal 4 2 5 7 3" xfId="11030" xr:uid="{5E79378A-CD0D-4A3B-9228-91C39BE201A7}"/>
    <cellStyle name="Normal 4 2 5 8" xfId="4741" xr:uid="{00000000-0005-0000-0000-0000F2130000}"/>
    <cellStyle name="Normal 4 2 5 8 2" xfId="13183" xr:uid="{D94BFB7C-82B1-4C40-A024-B58E0241A8AF}"/>
    <cellStyle name="Normal 4 2 5 9" xfId="8965" xr:uid="{40C3E770-EADA-412D-BD59-FD363F715D7C}"/>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433E8EFE-B81C-4150-99F8-7B6C1534900E}"/>
    <cellStyle name="Normal 4 2 6 2 2 3" xfId="11525" xr:uid="{BB7DE435-F782-4CB8-8E62-979E8910F544}"/>
    <cellStyle name="Normal 4 2 6 2 3" xfId="5156" xr:uid="{00000000-0005-0000-0000-0000F7130000}"/>
    <cellStyle name="Normal 4 2 6 2 3 2" xfId="13598" xr:uid="{595B093D-0585-487B-BC5F-01134D082F40}"/>
    <cellStyle name="Normal 4 2 6 2 4" xfId="9380" xr:uid="{03281CF2-76DB-45DE-98AA-F62ABD15D73C}"/>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4AF58186-185B-4D56-924F-0537E57C4776}"/>
    <cellStyle name="Normal 4 2 6 3 2 3" xfId="11938" xr:uid="{BB556903-3D45-4640-85AC-CDC22AB0ABE4}"/>
    <cellStyle name="Normal 4 2 6 3 3" xfId="5569" xr:uid="{00000000-0005-0000-0000-0000FB130000}"/>
    <cellStyle name="Normal 4 2 6 3 3 2" xfId="14011" xr:uid="{F0CBA418-4996-4736-BA2C-3CFDF26E1B53}"/>
    <cellStyle name="Normal 4 2 6 3 4" xfId="9793" xr:uid="{19383F84-DF0D-4270-A3F6-885A87ACF425}"/>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0639D390-1BEB-4942-996B-714C641CC403}"/>
    <cellStyle name="Normal 4 2 6 4 2 3" xfId="12351" xr:uid="{7418D9AD-7AF3-4851-8B95-EB617C8A9655}"/>
    <cellStyle name="Normal 4 2 6 4 3" xfId="5982" xr:uid="{00000000-0005-0000-0000-0000FF130000}"/>
    <cellStyle name="Normal 4 2 6 4 3 2" xfId="14424" xr:uid="{5A8E61AC-A7E6-45FB-BC82-0D299345B76D}"/>
    <cellStyle name="Normal 4 2 6 4 4" xfId="10206" xr:uid="{309CC667-58B2-4131-8562-A43C2057E903}"/>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36B7637B-31DE-4DFA-BA53-D011215372E9}"/>
    <cellStyle name="Normal 4 2 6 5 2 3" xfId="12764" xr:uid="{5DB91893-E91A-4932-8010-6FED4B029C57}"/>
    <cellStyle name="Normal 4 2 6 5 3" xfId="6395" xr:uid="{00000000-0005-0000-0000-000003140000}"/>
    <cellStyle name="Normal 4 2 6 5 3 2" xfId="14837" xr:uid="{AD343352-58D7-4D64-8B74-FE642475A952}"/>
    <cellStyle name="Normal 4 2 6 5 4" xfId="10619" xr:uid="{CE2E0315-8C15-45B9-BAFE-FD15A4144858}"/>
    <cellStyle name="Normal 4 2 6 6" xfId="2524" xr:uid="{00000000-0005-0000-0000-000004140000}"/>
    <cellStyle name="Normal 4 2 6 6 2" xfId="6808" xr:uid="{00000000-0005-0000-0000-000005140000}"/>
    <cellStyle name="Normal 4 2 6 6 2 2" xfId="15250" xr:uid="{7351C5FE-58C0-4D48-9E86-AD1D029595FE}"/>
    <cellStyle name="Normal 4 2 6 6 3" xfId="11032" xr:uid="{B040E81F-724B-4A3A-BFE9-0713084673AD}"/>
    <cellStyle name="Normal 4 2 6 7" xfId="4743" xr:uid="{00000000-0005-0000-0000-000006140000}"/>
    <cellStyle name="Normal 4 2 6 7 2" xfId="13185" xr:uid="{4F97B2BC-1451-4D89-9F55-594D09D51442}"/>
    <cellStyle name="Normal 4 2 6 8" xfId="8967" xr:uid="{37AD092E-9FEA-4631-9474-8D5E8B50AEE0}"/>
    <cellStyle name="Normal 4 3" xfId="366" xr:uid="{00000000-0005-0000-0000-000007140000}"/>
    <cellStyle name="Normal 4 3 10" xfId="8968" xr:uid="{4C777D72-E0AD-4780-AB76-E2D5A4EA6788}"/>
    <cellStyle name="Normal 4 3 2" xfId="367" xr:uid="{00000000-0005-0000-0000-000008140000}"/>
    <cellStyle name="Normal 4 3 2 2" xfId="368" xr:uid="{00000000-0005-0000-0000-000009140000}"/>
    <cellStyle name="Normal 4 3 2 2 2" xfId="369" xr:uid="{00000000-0005-0000-0000-00000A140000}"/>
    <cellStyle name="Normal 4 3 2 2 2 10" xfId="8969" xr:uid="{1AE70E27-42D9-4E7C-ABA3-45D09E4892C1}"/>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8C7BAECF-A272-4D94-890F-C5D6D7FD1606}"/>
    <cellStyle name="Normal 4 3 2 2 2 2 2 2 2 3" xfId="11529" xr:uid="{A80FDC4A-0C85-47C9-ACE4-A6BFAE418879}"/>
    <cellStyle name="Normal 4 3 2 2 2 2 2 2 3" xfId="5160" xr:uid="{00000000-0005-0000-0000-000010140000}"/>
    <cellStyle name="Normal 4 3 2 2 2 2 2 2 3 2" xfId="13602" xr:uid="{8296C494-E5E4-4581-B866-7D0CCA1DBA9F}"/>
    <cellStyle name="Normal 4 3 2 2 2 2 2 2 4" xfId="9384" xr:uid="{D452D4D0-B189-4A14-8E73-AE7C73F6BA7B}"/>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ADDE750E-3177-435B-B504-76850D8A0884}"/>
    <cellStyle name="Normal 4 3 2 2 2 2 2 3 2 3" xfId="11942" xr:uid="{8050EB0B-6CB3-4E55-82FC-3DAE6E0024A7}"/>
    <cellStyle name="Normal 4 3 2 2 2 2 2 3 3" xfId="5573" xr:uid="{00000000-0005-0000-0000-000014140000}"/>
    <cellStyle name="Normal 4 3 2 2 2 2 2 3 3 2" xfId="14015" xr:uid="{739CC5CC-93C7-4B3F-8870-A3AA9DD4E16C}"/>
    <cellStyle name="Normal 4 3 2 2 2 2 2 3 4" xfId="9797" xr:uid="{1D45C194-5DDF-4A23-8F95-A37EBDFBA073}"/>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4E92EB86-692C-470C-AD22-28D1DBC8287D}"/>
    <cellStyle name="Normal 4 3 2 2 2 2 2 4 2 3" xfId="12355" xr:uid="{7AAC42C5-76D0-4F4E-AB58-08E9BC08ACD4}"/>
    <cellStyle name="Normal 4 3 2 2 2 2 2 4 3" xfId="5986" xr:uid="{00000000-0005-0000-0000-000018140000}"/>
    <cellStyle name="Normal 4 3 2 2 2 2 2 4 3 2" xfId="14428" xr:uid="{DB4489B3-3371-4CF4-91D9-A337F591EE38}"/>
    <cellStyle name="Normal 4 3 2 2 2 2 2 4 4" xfId="10210" xr:uid="{7EE5ECBA-AD3D-43C0-959E-9899C050B9E5}"/>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48B3B4BC-72B5-437B-B5D2-1572839DCE51}"/>
    <cellStyle name="Normal 4 3 2 2 2 2 2 5 2 3" xfId="12768" xr:uid="{D3B09C2A-5C34-4184-8E0E-936CA08D0216}"/>
    <cellStyle name="Normal 4 3 2 2 2 2 2 5 3" xfId="6399" xr:uid="{00000000-0005-0000-0000-00001C140000}"/>
    <cellStyle name="Normal 4 3 2 2 2 2 2 5 3 2" xfId="14841" xr:uid="{13309F32-A98F-4EEB-8EEC-37125469BB6A}"/>
    <cellStyle name="Normal 4 3 2 2 2 2 2 5 4" xfId="10623" xr:uid="{440FD9F3-7928-49C8-A8FF-39DD41F8CB87}"/>
    <cellStyle name="Normal 4 3 2 2 2 2 2 6" xfId="2528" xr:uid="{00000000-0005-0000-0000-00001D140000}"/>
    <cellStyle name="Normal 4 3 2 2 2 2 2 6 2" xfId="6812" xr:uid="{00000000-0005-0000-0000-00001E140000}"/>
    <cellStyle name="Normal 4 3 2 2 2 2 2 6 2 2" xfId="15254" xr:uid="{1A74D58E-0107-4419-B9EF-CF50CA1AE62E}"/>
    <cellStyle name="Normal 4 3 2 2 2 2 2 6 3" xfId="11036" xr:uid="{4D35435F-809A-469A-A067-2D0735711881}"/>
    <cellStyle name="Normal 4 3 2 2 2 2 2 7" xfId="4747" xr:uid="{00000000-0005-0000-0000-00001F140000}"/>
    <cellStyle name="Normal 4 3 2 2 2 2 2 7 2" xfId="13189" xr:uid="{99496141-B0D5-4DAF-8694-DC5BCD2F3376}"/>
    <cellStyle name="Normal 4 3 2 2 2 2 2 8" xfId="8971" xr:uid="{E01989C3-D2D7-4E04-AFAC-4AAFDC33A3D5}"/>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CCFAB65B-18D9-4119-BF8F-47A097FB1684}"/>
    <cellStyle name="Normal 4 3 2 2 2 2 3 2 3" xfId="11528" xr:uid="{63BEFDA0-89E7-4618-B77D-441059C66EF4}"/>
    <cellStyle name="Normal 4 3 2 2 2 2 3 3" xfId="5159" xr:uid="{00000000-0005-0000-0000-000023140000}"/>
    <cellStyle name="Normal 4 3 2 2 2 2 3 3 2" xfId="13601" xr:uid="{12D19638-E352-40EB-8546-0E8952A49BC3}"/>
    <cellStyle name="Normal 4 3 2 2 2 2 3 4" xfId="9383" xr:uid="{CEC64B56-EBFD-4462-8113-E683BED036FB}"/>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66590A61-D89F-4710-A517-B59AB82038D7}"/>
    <cellStyle name="Normal 4 3 2 2 2 2 4 2 3" xfId="11941" xr:uid="{C1160D1D-0488-4C7E-9A58-4F77EB2CB48C}"/>
    <cellStyle name="Normal 4 3 2 2 2 2 4 3" xfId="5572" xr:uid="{00000000-0005-0000-0000-000027140000}"/>
    <cellStyle name="Normal 4 3 2 2 2 2 4 3 2" xfId="14014" xr:uid="{54B8225A-6C99-4B48-B9B5-63A7304161B5}"/>
    <cellStyle name="Normal 4 3 2 2 2 2 4 4" xfId="9796" xr:uid="{B9DD0310-B54F-4A39-ADF2-CF02FDE47695}"/>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8010FCEC-9B89-4722-9795-28850F311BC1}"/>
    <cellStyle name="Normal 4 3 2 2 2 2 5 2 3" xfId="12354" xr:uid="{976A010D-F158-4AD2-8CAF-4D37FE41156D}"/>
    <cellStyle name="Normal 4 3 2 2 2 2 5 3" xfId="5985" xr:uid="{00000000-0005-0000-0000-00002B140000}"/>
    <cellStyle name="Normal 4 3 2 2 2 2 5 3 2" xfId="14427" xr:uid="{BE667461-6AF4-42F7-973D-8CCB6DDFD4FF}"/>
    <cellStyle name="Normal 4 3 2 2 2 2 5 4" xfId="10209" xr:uid="{9456132F-5786-49D6-9ABE-FE184240A738}"/>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BA395ED7-7037-421A-8290-C1BD2C59BDD4}"/>
    <cellStyle name="Normal 4 3 2 2 2 2 6 2 3" xfId="12767" xr:uid="{221A2D27-CD26-414F-87A5-B5D941B7533E}"/>
    <cellStyle name="Normal 4 3 2 2 2 2 6 3" xfId="6398" xr:uid="{00000000-0005-0000-0000-00002F140000}"/>
    <cellStyle name="Normal 4 3 2 2 2 2 6 3 2" xfId="14840" xr:uid="{35A1A132-E500-4F36-8305-508CA36DA924}"/>
    <cellStyle name="Normal 4 3 2 2 2 2 6 4" xfId="10622" xr:uid="{F40CA400-C210-4E9A-BBBA-AE72F3C8201A}"/>
    <cellStyle name="Normal 4 3 2 2 2 2 7" xfId="2527" xr:uid="{00000000-0005-0000-0000-000030140000}"/>
    <cellStyle name="Normal 4 3 2 2 2 2 7 2" xfId="6811" xr:uid="{00000000-0005-0000-0000-000031140000}"/>
    <cellStyle name="Normal 4 3 2 2 2 2 7 2 2" xfId="15253" xr:uid="{69AA9239-282E-4E83-944D-534556C6BE14}"/>
    <cellStyle name="Normal 4 3 2 2 2 2 7 3" xfId="11035" xr:uid="{345C5CBA-7152-4B98-AA69-DBCE96290B75}"/>
    <cellStyle name="Normal 4 3 2 2 2 2 8" xfId="4746" xr:uid="{00000000-0005-0000-0000-000032140000}"/>
    <cellStyle name="Normal 4 3 2 2 2 2 8 2" xfId="13188" xr:uid="{B0930B47-1C4E-4AA5-A871-8E396C329B4D}"/>
    <cellStyle name="Normal 4 3 2 2 2 2 9" xfId="8970" xr:uid="{66AA5188-B63C-4C6A-8FA5-2DD33DB7442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B5B72658-AE01-4C52-A9B1-DA38E0F076AE}"/>
    <cellStyle name="Normal 4 3 2 2 2 3 2 2 3" xfId="11530" xr:uid="{C39074A9-FE36-4237-8195-E4E7C2B97CAA}"/>
    <cellStyle name="Normal 4 3 2 2 2 3 2 3" xfId="5161" xr:uid="{00000000-0005-0000-0000-000037140000}"/>
    <cellStyle name="Normal 4 3 2 2 2 3 2 3 2" xfId="13603" xr:uid="{D106D426-7061-4DCF-8862-0B5ED142DEE6}"/>
    <cellStyle name="Normal 4 3 2 2 2 3 2 4" xfId="9385" xr:uid="{F86BDA49-D2E9-4B13-9D8B-726A9DA6C018}"/>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5B60AF61-C8D2-4D4A-B80B-CA47D4703910}"/>
    <cellStyle name="Normal 4 3 2 2 2 3 3 2 3" xfId="11943" xr:uid="{104E33FE-4003-4B2D-88F3-F8A4A7EDCD7C}"/>
    <cellStyle name="Normal 4 3 2 2 2 3 3 3" xfId="5574" xr:uid="{00000000-0005-0000-0000-00003B140000}"/>
    <cellStyle name="Normal 4 3 2 2 2 3 3 3 2" xfId="14016" xr:uid="{21C78375-3E12-4F3D-BC27-5A28514F101A}"/>
    <cellStyle name="Normal 4 3 2 2 2 3 3 4" xfId="9798" xr:uid="{B71018C7-16CD-448E-A1EF-E044743B335A}"/>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6997849A-3314-4F23-A6D1-96021A96F303}"/>
    <cellStyle name="Normal 4 3 2 2 2 3 4 2 3" xfId="12356" xr:uid="{46805B31-5367-46D6-BD78-0A689CAB554B}"/>
    <cellStyle name="Normal 4 3 2 2 2 3 4 3" xfId="5987" xr:uid="{00000000-0005-0000-0000-00003F140000}"/>
    <cellStyle name="Normal 4 3 2 2 2 3 4 3 2" xfId="14429" xr:uid="{DC051ABF-4C5E-4FDB-A81E-1AEE61B20D49}"/>
    <cellStyle name="Normal 4 3 2 2 2 3 4 4" xfId="10211" xr:uid="{3096D9EB-9C8C-4D3E-A89A-D204B7F1190D}"/>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711ECEF0-3319-425A-ABC8-D5F4AD637FC7}"/>
    <cellStyle name="Normal 4 3 2 2 2 3 5 2 3" xfId="12769" xr:uid="{D492F750-40F4-4F5D-8CED-6DED8FC5729A}"/>
    <cellStyle name="Normal 4 3 2 2 2 3 5 3" xfId="6400" xr:uid="{00000000-0005-0000-0000-000043140000}"/>
    <cellStyle name="Normal 4 3 2 2 2 3 5 3 2" xfId="14842" xr:uid="{A576B5A3-417F-4C17-B52D-174A17BBE1D7}"/>
    <cellStyle name="Normal 4 3 2 2 2 3 5 4" xfId="10624" xr:uid="{0B468FB5-0420-4AAB-8A44-BC729371E03F}"/>
    <cellStyle name="Normal 4 3 2 2 2 3 6" xfId="2529" xr:uid="{00000000-0005-0000-0000-000044140000}"/>
    <cellStyle name="Normal 4 3 2 2 2 3 6 2" xfId="6813" xr:uid="{00000000-0005-0000-0000-000045140000}"/>
    <cellStyle name="Normal 4 3 2 2 2 3 6 2 2" xfId="15255" xr:uid="{81FFA421-71C8-4F53-AC71-5017877A0F16}"/>
    <cellStyle name="Normal 4 3 2 2 2 3 6 3" xfId="11037" xr:uid="{B8C2A58D-8103-4724-AAD9-9CF280F98BDC}"/>
    <cellStyle name="Normal 4 3 2 2 2 3 7" xfId="4748" xr:uid="{00000000-0005-0000-0000-000046140000}"/>
    <cellStyle name="Normal 4 3 2 2 2 3 7 2" xfId="13190" xr:uid="{5A53D9D9-5635-4687-950D-5AE0C405343B}"/>
    <cellStyle name="Normal 4 3 2 2 2 3 8" xfId="8972" xr:uid="{36C85499-C77F-4068-B9AF-32E6E5D4B252}"/>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74DA7846-3441-4394-83B8-8E366EAC8CB2}"/>
    <cellStyle name="Normal 4 3 2 2 2 4 2 3" xfId="11527" xr:uid="{ED5C2865-B1ED-4733-88FA-70D0C3221C51}"/>
    <cellStyle name="Normal 4 3 2 2 2 4 3" xfId="5158" xr:uid="{00000000-0005-0000-0000-00004A140000}"/>
    <cellStyle name="Normal 4 3 2 2 2 4 3 2" xfId="13600" xr:uid="{26A97E93-2265-45F0-8AD7-D962FD6ACD4F}"/>
    <cellStyle name="Normal 4 3 2 2 2 4 4" xfId="9382" xr:uid="{06BD94D8-FFEC-4B35-A9BB-D1F59037780F}"/>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94238B47-E2AE-46D9-AB64-05FE3873A918}"/>
    <cellStyle name="Normal 4 3 2 2 2 5 2 3" xfId="11940" xr:uid="{34D761F7-DE1D-48EC-8EF0-640F5619A47A}"/>
    <cellStyle name="Normal 4 3 2 2 2 5 3" xfId="5571" xr:uid="{00000000-0005-0000-0000-00004E140000}"/>
    <cellStyle name="Normal 4 3 2 2 2 5 3 2" xfId="14013" xr:uid="{6BE61025-4E88-4020-B93C-4524D8EF3CCC}"/>
    <cellStyle name="Normal 4 3 2 2 2 5 4" xfId="9795" xr:uid="{217805E6-4A17-4045-A296-2BEBF94081F7}"/>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A190F168-EA83-4A07-9B59-A01E77F97D5B}"/>
    <cellStyle name="Normal 4 3 2 2 2 6 2 3" xfId="12353" xr:uid="{B77D94A7-4D2A-4D3D-87B9-D70AEAB8B2EE}"/>
    <cellStyle name="Normal 4 3 2 2 2 6 3" xfId="5984" xr:uid="{00000000-0005-0000-0000-000052140000}"/>
    <cellStyle name="Normal 4 3 2 2 2 6 3 2" xfId="14426" xr:uid="{2E344C88-3A68-4ECE-9984-75D8A4DE1711}"/>
    <cellStyle name="Normal 4 3 2 2 2 6 4" xfId="10208" xr:uid="{FB148079-9BCA-440C-8D3E-7517EFAFF8B1}"/>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87F0A218-DDA5-4CA0-9C23-E9E029D372D0}"/>
    <cellStyle name="Normal 4 3 2 2 2 7 2 3" xfId="12766" xr:uid="{29AE190C-A4B1-4770-855C-8965211B9E92}"/>
    <cellStyle name="Normal 4 3 2 2 2 7 3" xfId="6397" xr:uid="{00000000-0005-0000-0000-000056140000}"/>
    <cellStyle name="Normal 4 3 2 2 2 7 3 2" xfId="14839" xr:uid="{3712C7F8-2081-4B21-B728-B75C5D941EB6}"/>
    <cellStyle name="Normal 4 3 2 2 2 7 4" xfId="10621" xr:uid="{C0764FBB-0BFE-486F-B57B-F974B8A403D1}"/>
    <cellStyle name="Normal 4 3 2 2 2 8" xfId="2526" xr:uid="{00000000-0005-0000-0000-000057140000}"/>
    <cellStyle name="Normal 4 3 2 2 2 8 2" xfId="6810" xr:uid="{00000000-0005-0000-0000-000058140000}"/>
    <cellStyle name="Normal 4 3 2 2 2 8 2 2" xfId="15252" xr:uid="{847D1C7A-88FA-4465-846F-961397C8EB21}"/>
    <cellStyle name="Normal 4 3 2 2 2 8 3" xfId="11034" xr:uid="{AB426330-359C-43DE-A65D-20966D2E809F}"/>
    <cellStyle name="Normal 4 3 2 2 2 9" xfId="4745" xr:uid="{00000000-0005-0000-0000-000059140000}"/>
    <cellStyle name="Normal 4 3 2 2 2 9 2" xfId="13187" xr:uid="{D687002A-C3A7-497A-A9C2-AE0B255DE37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B165A17B-A8DA-4149-A361-5995B4926EC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DD76C466-FC7D-4FC4-B3B6-1398B652784D}"/>
    <cellStyle name="Normal 4 3 3 2 2 2 2 3" xfId="11533" xr:uid="{546393D6-472A-439E-9D6F-E29920ACD138}"/>
    <cellStyle name="Normal 4 3 3 2 2 2 3" xfId="5164" xr:uid="{00000000-0005-0000-0000-000063140000}"/>
    <cellStyle name="Normal 4 3 3 2 2 2 3 2" xfId="13606" xr:uid="{051545E1-E0BF-4964-B3B2-EC9D150839B8}"/>
    <cellStyle name="Normal 4 3 3 2 2 2 4" xfId="9388" xr:uid="{43712D75-5E97-456E-AA0F-4AF3762F37FA}"/>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36C7060D-F0D0-42E1-B026-D1D46C962913}"/>
    <cellStyle name="Normal 4 3 3 2 2 3 2 3" xfId="11946" xr:uid="{2CEDCF15-7841-442F-993E-64ECDCA3DB6B}"/>
    <cellStyle name="Normal 4 3 3 2 2 3 3" xfId="5577" xr:uid="{00000000-0005-0000-0000-000067140000}"/>
    <cellStyle name="Normal 4 3 3 2 2 3 3 2" xfId="14019" xr:uid="{0B09E8DE-164D-4AAC-91B9-019391A5823A}"/>
    <cellStyle name="Normal 4 3 3 2 2 3 4" xfId="9801" xr:uid="{9EDCB9C7-0E55-4281-BE6E-EE772A7D4DC9}"/>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8757F31F-ACFD-4F32-BB44-5ADCCD0781AC}"/>
    <cellStyle name="Normal 4 3 3 2 2 4 2 3" xfId="12359" xr:uid="{06188E7F-B073-4D71-BCDC-27B994ACFA98}"/>
    <cellStyle name="Normal 4 3 3 2 2 4 3" xfId="5990" xr:uid="{00000000-0005-0000-0000-00006B140000}"/>
    <cellStyle name="Normal 4 3 3 2 2 4 3 2" xfId="14432" xr:uid="{8D29BA73-B252-4856-8E6E-71D43D680321}"/>
    <cellStyle name="Normal 4 3 3 2 2 4 4" xfId="10214" xr:uid="{B3994936-F920-4865-88DE-C8B30CACFC0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EA282FBE-247F-41A0-B00C-BA0906B1B549}"/>
    <cellStyle name="Normal 4 3 3 2 2 5 2 3" xfId="12772" xr:uid="{DBFB3AE3-4701-44F9-923C-9C5B1FC461F5}"/>
    <cellStyle name="Normal 4 3 3 2 2 5 3" xfId="6403" xr:uid="{00000000-0005-0000-0000-00006F140000}"/>
    <cellStyle name="Normal 4 3 3 2 2 5 3 2" xfId="14845" xr:uid="{DBD9445B-B3D0-44A8-B200-03D144F5DAD0}"/>
    <cellStyle name="Normal 4 3 3 2 2 5 4" xfId="10627" xr:uid="{43056B08-BA20-427D-B758-86681E6F0BE2}"/>
    <cellStyle name="Normal 4 3 3 2 2 6" xfId="2532" xr:uid="{00000000-0005-0000-0000-000070140000}"/>
    <cellStyle name="Normal 4 3 3 2 2 6 2" xfId="6816" xr:uid="{00000000-0005-0000-0000-000071140000}"/>
    <cellStyle name="Normal 4 3 3 2 2 6 2 2" xfId="15258" xr:uid="{66513A43-9293-48AC-89ED-79973F459C3B}"/>
    <cellStyle name="Normal 4 3 3 2 2 6 3" xfId="11040" xr:uid="{DE664C0F-B1D3-446E-8D6E-A0D2A25ECA95}"/>
    <cellStyle name="Normal 4 3 3 2 2 7" xfId="4751" xr:uid="{00000000-0005-0000-0000-000072140000}"/>
    <cellStyle name="Normal 4 3 3 2 2 7 2" xfId="13193" xr:uid="{D00155D5-7FD1-425E-8F77-63C0A65540F8}"/>
    <cellStyle name="Normal 4 3 3 2 2 8" xfId="8975" xr:uid="{945FF4BA-0A30-448F-A9A6-B73225B6419A}"/>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2B34528A-DFC0-4D41-A618-B4BC4AE3FFB4}"/>
    <cellStyle name="Normal 4 3 3 2 3 2 3" xfId="11532" xr:uid="{47E1C1A1-E1D6-4BD9-A5E0-2F4D8094F10F}"/>
    <cellStyle name="Normal 4 3 3 2 3 3" xfId="5163" xr:uid="{00000000-0005-0000-0000-000076140000}"/>
    <cellStyle name="Normal 4 3 3 2 3 3 2" xfId="13605" xr:uid="{5EC8285B-3B96-4D7B-93FF-648B65805507}"/>
    <cellStyle name="Normal 4 3 3 2 3 4" xfId="9387" xr:uid="{A4DF76FE-F95B-4C38-B79E-5A321904EB57}"/>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A119D0EC-07D4-4A0A-A66F-FC5613FE832F}"/>
    <cellStyle name="Normal 4 3 3 2 4 2 3" xfId="11945" xr:uid="{5B607824-1617-4AE7-A2F5-9F9AEAB9A0DC}"/>
    <cellStyle name="Normal 4 3 3 2 4 3" xfId="5576" xr:uid="{00000000-0005-0000-0000-00007A140000}"/>
    <cellStyle name="Normal 4 3 3 2 4 3 2" xfId="14018" xr:uid="{457EB04C-FA48-462C-BE6E-57A8D96AC1F1}"/>
    <cellStyle name="Normal 4 3 3 2 4 4" xfId="9800" xr:uid="{2958F980-7CB0-4A28-A8D0-A8BF2C61870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0DA5BF42-84FE-4FE0-A5CB-562492EE7B5B}"/>
    <cellStyle name="Normal 4 3 3 2 5 2 3" xfId="12358" xr:uid="{173A1EC6-3DCE-4FEF-BB33-AFAF06B0D7D7}"/>
    <cellStyle name="Normal 4 3 3 2 5 3" xfId="5989" xr:uid="{00000000-0005-0000-0000-00007E140000}"/>
    <cellStyle name="Normal 4 3 3 2 5 3 2" xfId="14431" xr:uid="{8D0A8C10-4575-45E0-B1E9-69337D20FEB3}"/>
    <cellStyle name="Normal 4 3 3 2 5 4" xfId="10213" xr:uid="{7F0BEE05-3F75-46C5-AD06-3868DBFA8B89}"/>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D9334DB2-0628-495F-A5E5-BF5CDE683B63}"/>
    <cellStyle name="Normal 4 3 3 2 6 2 3" xfId="12771" xr:uid="{4BF4C12B-2D55-4881-9CB1-CBED3B6E0F44}"/>
    <cellStyle name="Normal 4 3 3 2 6 3" xfId="6402" xr:uid="{00000000-0005-0000-0000-000082140000}"/>
    <cellStyle name="Normal 4 3 3 2 6 3 2" xfId="14844" xr:uid="{E08F828E-A8A3-4A18-BB03-6D1EFFEFCC0E}"/>
    <cellStyle name="Normal 4 3 3 2 6 4" xfId="10626" xr:uid="{1E4D8F5F-2601-4B56-8B67-4C7B9484CD06}"/>
    <cellStyle name="Normal 4 3 3 2 7" xfId="2531" xr:uid="{00000000-0005-0000-0000-000083140000}"/>
    <cellStyle name="Normal 4 3 3 2 7 2" xfId="6815" xr:uid="{00000000-0005-0000-0000-000084140000}"/>
    <cellStyle name="Normal 4 3 3 2 7 2 2" xfId="15257" xr:uid="{2B83A039-A43B-4425-B730-3A6DFA49A829}"/>
    <cellStyle name="Normal 4 3 3 2 7 3" xfId="11039" xr:uid="{1477B98C-3683-42F4-8818-97D7C4EA4671}"/>
    <cellStyle name="Normal 4 3 3 2 8" xfId="4750" xr:uid="{00000000-0005-0000-0000-000085140000}"/>
    <cellStyle name="Normal 4 3 3 2 8 2" xfId="13192" xr:uid="{41BF05B2-16CA-451D-9C98-20F775B2DA84}"/>
    <cellStyle name="Normal 4 3 3 2 9" xfId="8974" xr:uid="{E5DFF541-0FA2-4085-B70C-DC5920AAC96B}"/>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2B683CAA-8E19-40AB-B8E3-F3CA463633A9}"/>
    <cellStyle name="Normal 4 3 3 3 2 2 3" xfId="11534" xr:uid="{EB43E614-2A6E-45D7-8327-BC77D7F0180C}"/>
    <cellStyle name="Normal 4 3 3 3 2 3" xfId="5165" xr:uid="{00000000-0005-0000-0000-00008A140000}"/>
    <cellStyle name="Normal 4 3 3 3 2 3 2" xfId="13607" xr:uid="{B1735CE4-462A-4123-9271-DF2DA43EB465}"/>
    <cellStyle name="Normal 4 3 3 3 2 4" xfId="9389" xr:uid="{D3940A2C-CBDB-45C6-8646-CC88973B770E}"/>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58EBFBBC-5668-43BE-B510-641DBC33E92D}"/>
    <cellStyle name="Normal 4 3 3 3 3 2 3" xfId="11947" xr:uid="{9C5578D5-8B4F-4FA8-9959-83542E3B3923}"/>
    <cellStyle name="Normal 4 3 3 3 3 3" xfId="5578" xr:uid="{00000000-0005-0000-0000-00008E140000}"/>
    <cellStyle name="Normal 4 3 3 3 3 3 2" xfId="14020" xr:uid="{93AD2BF7-FF1A-4EE9-B7FF-F74F3B24FCE7}"/>
    <cellStyle name="Normal 4 3 3 3 3 4" xfId="9802" xr:uid="{D30D0271-58E8-4688-BE83-CFB1B326780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0B625D4A-C6F2-44D8-823E-B75288CB6A1D}"/>
    <cellStyle name="Normal 4 3 3 3 4 2 3" xfId="12360" xr:uid="{3FCFBB34-CE2D-4820-A5BA-D0682799A26F}"/>
    <cellStyle name="Normal 4 3 3 3 4 3" xfId="5991" xr:uid="{00000000-0005-0000-0000-000092140000}"/>
    <cellStyle name="Normal 4 3 3 3 4 3 2" xfId="14433" xr:uid="{A0725004-AF30-4E1E-B7DD-C6547ADD5887}"/>
    <cellStyle name="Normal 4 3 3 3 4 4" xfId="10215" xr:uid="{6718C6E9-9C46-4CF7-B730-B8291BF7286E}"/>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9BF170E7-04AB-49B6-8EA6-D6F6BD7EE23B}"/>
    <cellStyle name="Normal 4 3 3 3 5 2 3" xfId="12773" xr:uid="{83BFBC95-9AC6-4571-8038-F03E051FCE78}"/>
    <cellStyle name="Normal 4 3 3 3 5 3" xfId="6404" xr:uid="{00000000-0005-0000-0000-000096140000}"/>
    <cellStyle name="Normal 4 3 3 3 5 3 2" xfId="14846" xr:uid="{147DF11D-D3A6-492A-898E-24246F68E5CC}"/>
    <cellStyle name="Normal 4 3 3 3 5 4" xfId="10628" xr:uid="{31BEF782-3804-4142-A7FA-6F4BA8A75769}"/>
    <cellStyle name="Normal 4 3 3 3 6" xfId="2533" xr:uid="{00000000-0005-0000-0000-000097140000}"/>
    <cellStyle name="Normal 4 3 3 3 6 2" xfId="6817" xr:uid="{00000000-0005-0000-0000-000098140000}"/>
    <cellStyle name="Normal 4 3 3 3 6 2 2" xfId="15259" xr:uid="{BA5F4BF2-FFC0-4E05-9C70-D60E5D857D8C}"/>
    <cellStyle name="Normal 4 3 3 3 6 3" xfId="11041" xr:uid="{F296833C-3940-405D-88F9-513E0887B953}"/>
    <cellStyle name="Normal 4 3 3 3 7" xfId="4752" xr:uid="{00000000-0005-0000-0000-000099140000}"/>
    <cellStyle name="Normal 4 3 3 3 7 2" xfId="13194" xr:uid="{8C83826F-211A-4905-A132-98F527A1D84A}"/>
    <cellStyle name="Normal 4 3 3 3 8" xfId="8976" xr:uid="{92B34146-05FF-4EA5-AF8B-7597458153CF}"/>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3E2DF472-2317-4D6A-B612-1392E0AE1C88}"/>
    <cellStyle name="Normal 4 3 3 4 2 3" xfId="11531" xr:uid="{0FF866B1-54BD-4A4A-BD56-C2545257D5A6}"/>
    <cellStyle name="Normal 4 3 3 4 3" xfId="5162" xr:uid="{00000000-0005-0000-0000-00009D140000}"/>
    <cellStyle name="Normal 4 3 3 4 3 2" xfId="13604" xr:uid="{40A79F23-6C0E-41DA-82CF-7263BD635529}"/>
    <cellStyle name="Normal 4 3 3 4 4" xfId="9386" xr:uid="{CDA6E2DE-D7CA-4F27-AABE-62A8D95B37F8}"/>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6B319FD5-4F7D-4B2D-BF9B-4969568AD3B2}"/>
    <cellStyle name="Normal 4 3 3 5 2 3" xfId="11944" xr:uid="{BA715945-C050-4AD2-B4CF-52B66E8820AE}"/>
    <cellStyle name="Normal 4 3 3 5 3" xfId="5575" xr:uid="{00000000-0005-0000-0000-0000A1140000}"/>
    <cellStyle name="Normal 4 3 3 5 3 2" xfId="14017" xr:uid="{6669FA99-D598-4F6B-94BC-7D300988B70B}"/>
    <cellStyle name="Normal 4 3 3 5 4" xfId="9799" xr:uid="{CEE7D3ED-1A2B-4279-874D-4F0200C6BBEC}"/>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5FA9D583-28EF-46F6-B0B8-B2E11D72A85C}"/>
    <cellStyle name="Normal 4 3 3 6 2 3" xfId="12357" xr:uid="{5B2B23B5-8D06-4CAB-8DD8-022710836DA0}"/>
    <cellStyle name="Normal 4 3 3 6 3" xfId="5988" xr:uid="{00000000-0005-0000-0000-0000A5140000}"/>
    <cellStyle name="Normal 4 3 3 6 3 2" xfId="14430" xr:uid="{3A7620CA-DAED-4381-8619-FC49F138AF36}"/>
    <cellStyle name="Normal 4 3 3 6 4" xfId="10212" xr:uid="{D444F5BF-AEAA-4091-AD5E-8CCAF16602AC}"/>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27C54152-9850-4084-AF6D-F45D2D9F09B6}"/>
    <cellStyle name="Normal 4 3 3 7 2 3" xfId="12770" xr:uid="{91863940-CB2D-4BA8-B6D3-2935D701393F}"/>
    <cellStyle name="Normal 4 3 3 7 3" xfId="6401" xr:uid="{00000000-0005-0000-0000-0000A9140000}"/>
    <cellStyle name="Normal 4 3 3 7 3 2" xfId="14843" xr:uid="{15F30D3C-DEEE-4581-A34A-AEDDD36E80BA}"/>
    <cellStyle name="Normal 4 3 3 7 4" xfId="10625" xr:uid="{D775165C-87C6-4E6E-984E-DED5F5C96DE3}"/>
    <cellStyle name="Normal 4 3 3 8" xfId="2530" xr:uid="{00000000-0005-0000-0000-0000AA140000}"/>
    <cellStyle name="Normal 4 3 3 8 2" xfId="6814" xr:uid="{00000000-0005-0000-0000-0000AB140000}"/>
    <cellStyle name="Normal 4 3 3 8 2 2" xfId="15256" xr:uid="{7456B331-19A6-4185-B585-9EEE1CE83B36}"/>
    <cellStyle name="Normal 4 3 3 8 3" xfId="11038" xr:uid="{1411B72C-77DD-48B2-868C-6950E8E436D2}"/>
    <cellStyle name="Normal 4 3 3 9" xfId="4749" xr:uid="{00000000-0005-0000-0000-0000AC140000}"/>
    <cellStyle name="Normal 4 3 3 9 2" xfId="13191" xr:uid="{7A561402-8AC7-4FA2-8979-A7E9F7D39CD7}"/>
    <cellStyle name="Normal 4 3 4" xfId="842" xr:uid="{00000000-0005-0000-0000-0000AD140000}"/>
    <cellStyle name="Normal 4 3 4 2" xfId="3079" xr:uid="{00000000-0005-0000-0000-0000AE140000}"/>
    <cellStyle name="Normal 4 3 4 2 2" xfId="7302" xr:uid="{00000000-0005-0000-0000-0000AF140000}"/>
    <cellStyle name="Normal 4 3 4 2 2 2" xfId="15744" xr:uid="{8F652451-A1F4-4211-9E9A-6FA50C4DFC90}"/>
    <cellStyle name="Normal 4 3 4 2 3" xfId="11526" xr:uid="{1E167256-95CA-4DEE-AD6D-948D40D225A9}"/>
    <cellStyle name="Normal 4 3 4 3" xfId="5157" xr:uid="{00000000-0005-0000-0000-0000B0140000}"/>
    <cellStyle name="Normal 4 3 4 3 2" xfId="13599" xr:uid="{797EB20F-B809-46B7-8204-94C11271EA61}"/>
    <cellStyle name="Normal 4 3 4 4" xfId="9381" xr:uid="{AD9B0052-3720-41AB-91C4-DF1CD4A86DEF}"/>
    <cellStyle name="Normal 4 3 5" xfId="1262" xr:uid="{00000000-0005-0000-0000-0000B1140000}"/>
    <cellStyle name="Normal 4 3 5 2" xfId="3492" xr:uid="{00000000-0005-0000-0000-0000B2140000}"/>
    <cellStyle name="Normal 4 3 5 2 2" xfId="7715" xr:uid="{00000000-0005-0000-0000-0000B3140000}"/>
    <cellStyle name="Normal 4 3 5 2 2 2" xfId="16157" xr:uid="{080C89A9-8FE5-4128-9579-933CC74D5C09}"/>
    <cellStyle name="Normal 4 3 5 2 3" xfId="11939" xr:uid="{71583410-D250-468C-9361-0156ED813F34}"/>
    <cellStyle name="Normal 4 3 5 3" xfId="5570" xr:uid="{00000000-0005-0000-0000-0000B4140000}"/>
    <cellStyle name="Normal 4 3 5 3 2" xfId="14012" xr:uid="{3475C2ED-CF5B-4B37-B2FB-F6AC37166F0C}"/>
    <cellStyle name="Normal 4 3 5 4" xfId="9794" xr:uid="{CC6A61AD-2703-44E8-BB45-C6ED3E1726CB}"/>
    <cellStyle name="Normal 4 3 6" xfId="1675" xr:uid="{00000000-0005-0000-0000-0000B5140000}"/>
    <cellStyle name="Normal 4 3 6 2" xfId="3905" xr:uid="{00000000-0005-0000-0000-0000B6140000}"/>
    <cellStyle name="Normal 4 3 6 2 2" xfId="8128" xr:uid="{00000000-0005-0000-0000-0000B7140000}"/>
    <cellStyle name="Normal 4 3 6 2 2 2" xfId="16570" xr:uid="{7C9C9D4C-2FCA-442A-837A-4A5B6A12D699}"/>
    <cellStyle name="Normal 4 3 6 2 3" xfId="12352" xr:uid="{DB9D73E3-3F59-4BAC-8BDD-2525FE8860C3}"/>
    <cellStyle name="Normal 4 3 6 3" xfId="5983" xr:uid="{00000000-0005-0000-0000-0000B8140000}"/>
    <cellStyle name="Normal 4 3 6 3 2" xfId="14425" xr:uid="{EB5F3484-5286-4A5D-8A06-9B8A813F807D}"/>
    <cellStyle name="Normal 4 3 6 4" xfId="10207" xr:uid="{AA3AE5A5-F611-4A05-80DE-D75DA86BD573}"/>
    <cellStyle name="Normal 4 3 7" xfId="2089" xr:uid="{00000000-0005-0000-0000-0000B9140000}"/>
    <cellStyle name="Normal 4 3 7 2" xfId="4318" xr:uid="{00000000-0005-0000-0000-0000BA140000}"/>
    <cellStyle name="Normal 4 3 7 2 2" xfId="8541" xr:uid="{00000000-0005-0000-0000-0000BB140000}"/>
    <cellStyle name="Normal 4 3 7 2 2 2" xfId="16983" xr:uid="{E4EBF02F-669C-4337-B6E3-204F8AF00C98}"/>
    <cellStyle name="Normal 4 3 7 2 3" xfId="12765" xr:uid="{FC608B99-6995-4553-BE68-565F05BD39E5}"/>
    <cellStyle name="Normal 4 3 7 3" xfId="6396" xr:uid="{00000000-0005-0000-0000-0000BC140000}"/>
    <cellStyle name="Normal 4 3 7 3 2" xfId="14838" xr:uid="{45DA9BC8-05FA-4105-AA1C-213DBB98BADF}"/>
    <cellStyle name="Normal 4 3 7 4" xfId="10620" xr:uid="{82F1A82A-7033-46D9-B85D-DEE9EC1E3A37}"/>
    <cellStyle name="Normal 4 3 8" xfId="2525" xr:uid="{00000000-0005-0000-0000-0000BD140000}"/>
    <cellStyle name="Normal 4 3 8 2" xfId="6809" xr:uid="{00000000-0005-0000-0000-0000BE140000}"/>
    <cellStyle name="Normal 4 3 8 2 2" xfId="15251" xr:uid="{41860AF4-2ED4-4C64-BFB8-A987648247AE}"/>
    <cellStyle name="Normal 4 3 8 3" xfId="11033" xr:uid="{B1D1FA71-E579-426C-B529-C8B123E68A93}"/>
    <cellStyle name="Normal 4 3 9" xfId="4744" xr:uid="{00000000-0005-0000-0000-0000BF140000}"/>
    <cellStyle name="Normal 4 3 9 2" xfId="13186" xr:uid="{374576BF-363E-4C3E-9C1E-A0379952182D}"/>
    <cellStyle name="Normal 4 4" xfId="378" xr:uid="{00000000-0005-0000-0000-0000C0140000}"/>
    <cellStyle name="Normal 4 4 10" xfId="2534" xr:uid="{00000000-0005-0000-0000-0000C1140000}"/>
    <cellStyle name="Normal 4 4 10 2" xfId="6818" xr:uid="{00000000-0005-0000-0000-0000C2140000}"/>
    <cellStyle name="Normal 4 4 10 2 2" xfId="15260" xr:uid="{41B4853E-2E2E-4B89-AC51-97B5912A5274}"/>
    <cellStyle name="Normal 4 4 10 3" xfId="11042" xr:uid="{1D4952E8-3518-48A9-97AA-08415D47DE21}"/>
    <cellStyle name="Normal 4 4 11" xfId="4753" xr:uid="{00000000-0005-0000-0000-0000C3140000}"/>
    <cellStyle name="Normal 4 4 11 2" xfId="13195" xr:uid="{40DE7DF4-5BA0-4F2B-92EC-5D5C35FFAAB7}"/>
    <cellStyle name="Normal 4 4 12" xfId="8977" xr:uid="{3AD4EDEB-4A19-4815-B564-C34503006543}"/>
    <cellStyle name="Normal 4 4 2" xfId="379" xr:uid="{00000000-0005-0000-0000-0000C4140000}"/>
    <cellStyle name="Normal 4 4 2 10" xfId="4754" xr:uid="{00000000-0005-0000-0000-0000C5140000}"/>
    <cellStyle name="Normal 4 4 2 10 2" xfId="13196" xr:uid="{121E2790-7D25-4129-A482-28412F9A0FF9}"/>
    <cellStyle name="Normal 4 4 2 11" xfId="8978" xr:uid="{4E83F7F9-4603-4D96-BD1E-1341DFE6FEC5}"/>
    <cellStyle name="Normal 4 4 2 2" xfId="380" xr:uid="{00000000-0005-0000-0000-0000C6140000}"/>
    <cellStyle name="Normal 4 4 2 2 10" xfId="8979" xr:uid="{4755BF54-592C-4166-80C5-E4480E4A9BB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7E45B8AD-2B9D-4A5E-B391-FBB68C25DC98}"/>
    <cellStyle name="Normal 4 4 2 2 2 2 2 2 3" xfId="11539" xr:uid="{39815F00-3CDB-4D45-ACF8-421393A6C4FE}"/>
    <cellStyle name="Normal 4 4 2 2 2 2 2 3" xfId="5170" xr:uid="{00000000-0005-0000-0000-0000CC140000}"/>
    <cellStyle name="Normal 4 4 2 2 2 2 2 3 2" xfId="13612" xr:uid="{FA148A16-2536-47EB-A57F-26597E2E37ED}"/>
    <cellStyle name="Normal 4 4 2 2 2 2 2 4" xfId="9394" xr:uid="{E9A5C97F-8DC1-4B7A-A88E-9208E1000E3A}"/>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DC55DA89-646E-4F10-AD9B-338AB5A78FB4}"/>
    <cellStyle name="Normal 4 4 2 2 2 2 3 2 3" xfId="11952" xr:uid="{86731DC0-61FF-41E4-BDE4-1A4897E7EE69}"/>
    <cellStyle name="Normal 4 4 2 2 2 2 3 3" xfId="5583" xr:uid="{00000000-0005-0000-0000-0000D0140000}"/>
    <cellStyle name="Normal 4 4 2 2 2 2 3 3 2" xfId="14025" xr:uid="{8C25A982-DA7A-4C52-A2B5-F6D3A6F3E498}"/>
    <cellStyle name="Normal 4 4 2 2 2 2 3 4" xfId="9807" xr:uid="{66558C05-9B70-411C-844A-B5B3016CD36E}"/>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DBFD4E7A-BCF8-4BDB-8EA4-A966C3A5C176}"/>
    <cellStyle name="Normal 4 4 2 2 2 2 4 2 3" xfId="12365" xr:uid="{3CA54FAE-3315-4F78-97B6-DD98918C1DEB}"/>
    <cellStyle name="Normal 4 4 2 2 2 2 4 3" xfId="5996" xr:uid="{00000000-0005-0000-0000-0000D4140000}"/>
    <cellStyle name="Normal 4 4 2 2 2 2 4 3 2" xfId="14438" xr:uid="{18723211-2F2D-4E3D-9938-5F58477A9283}"/>
    <cellStyle name="Normal 4 4 2 2 2 2 4 4" xfId="10220" xr:uid="{1D1FB7FB-E288-4F7E-929C-FCD0766BFC9F}"/>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A3403AD9-36D4-4003-81EE-941C1D35CE2F}"/>
    <cellStyle name="Normal 4 4 2 2 2 2 5 2 3" xfId="12778" xr:uid="{197EF504-B7A7-40BA-8026-F24460A49E12}"/>
    <cellStyle name="Normal 4 4 2 2 2 2 5 3" xfId="6409" xr:uid="{00000000-0005-0000-0000-0000D8140000}"/>
    <cellStyle name="Normal 4 4 2 2 2 2 5 3 2" xfId="14851" xr:uid="{8A61C5C0-F6F4-4A63-9AAB-146B54CDFCFF}"/>
    <cellStyle name="Normal 4 4 2 2 2 2 5 4" xfId="10633" xr:uid="{111293C4-B164-481C-92CC-BE0357634A16}"/>
    <cellStyle name="Normal 4 4 2 2 2 2 6" xfId="2538" xr:uid="{00000000-0005-0000-0000-0000D9140000}"/>
    <cellStyle name="Normal 4 4 2 2 2 2 6 2" xfId="6822" xr:uid="{00000000-0005-0000-0000-0000DA140000}"/>
    <cellStyle name="Normal 4 4 2 2 2 2 6 2 2" xfId="15264" xr:uid="{1FC0F631-347B-4973-A73C-8729664FF119}"/>
    <cellStyle name="Normal 4 4 2 2 2 2 6 3" xfId="11046" xr:uid="{39F0B03D-65F5-4563-9F1B-A7CB7F903A45}"/>
    <cellStyle name="Normal 4 4 2 2 2 2 7" xfId="4757" xr:uid="{00000000-0005-0000-0000-0000DB140000}"/>
    <cellStyle name="Normal 4 4 2 2 2 2 7 2" xfId="13199" xr:uid="{78B18CAC-5B9E-4EA3-8288-235B77AAF2F6}"/>
    <cellStyle name="Normal 4 4 2 2 2 2 8" xfId="8981" xr:uid="{FCBFC4AF-92C7-435B-AB84-87F83DF523A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459BD19C-72E8-4F3B-9EE6-CDAD1E4F6EC9}"/>
    <cellStyle name="Normal 4 4 2 2 2 3 2 3" xfId="11538" xr:uid="{4C0684D3-AEEA-4C64-A30F-0C248DFCB149}"/>
    <cellStyle name="Normal 4 4 2 2 2 3 3" xfId="5169" xr:uid="{00000000-0005-0000-0000-0000DF140000}"/>
    <cellStyle name="Normal 4 4 2 2 2 3 3 2" xfId="13611" xr:uid="{56F12657-7C5B-4EDA-87D6-9CE2DBF9331B}"/>
    <cellStyle name="Normal 4 4 2 2 2 3 4" xfId="9393" xr:uid="{23D28520-843A-402F-BF83-971A0E3359C8}"/>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D90C671E-03D2-408D-93F6-9BB469A063F7}"/>
    <cellStyle name="Normal 4 4 2 2 2 4 2 3" xfId="11951" xr:uid="{0A342A18-4D98-4F5F-8FA5-E842A21DB82D}"/>
    <cellStyle name="Normal 4 4 2 2 2 4 3" xfId="5582" xr:uid="{00000000-0005-0000-0000-0000E3140000}"/>
    <cellStyle name="Normal 4 4 2 2 2 4 3 2" xfId="14024" xr:uid="{1CAB66E8-E6C0-4470-8602-CBCD1852CF74}"/>
    <cellStyle name="Normal 4 4 2 2 2 4 4" xfId="9806" xr:uid="{E9BC65B4-C668-431F-876F-308577698C65}"/>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45816235-53B0-49B3-8E33-491D43043B70}"/>
    <cellStyle name="Normal 4 4 2 2 2 5 2 3" xfId="12364" xr:uid="{3B8EBB77-9D6D-4340-8F00-43DA807DD651}"/>
    <cellStyle name="Normal 4 4 2 2 2 5 3" xfId="5995" xr:uid="{00000000-0005-0000-0000-0000E7140000}"/>
    <cellStyle name="Normal 4 4 2 2 2 5 3 2" xfId="14437" xr:uid="{020809FB-229F-4C3E-BEDD-C741E1B039DA}"/>
    <cellStyle name="Normal 4 4 2 2 2 5 4" xfId="10219" xr:uid="{A42E1A38-8F1C-4A58-BE2A-4EDFBB19B605}"/>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3040D6BC-C226-4EC3-B0EF-0AEEC52A7A8D}"/>
    <cellStyle name="Normal 4 4 2 2 2 6 2 3" xfId="12777" xr:uid="{EF16FB18-59EE-4F47-AF5B-F13BD42AAEB2}"/>
    <cellStyle name="Normal 4 4 2 2 2 6 3" xfId="6408" xr:uid="{00000000-0005-0000-0000-0000EB140000}"/>
    <cellStyle name="Normal 4 4 2 2 2 6 3 2" xfId="14850" xr:uid="{FFCC20E9-6014-4D80-A994-F3F149AA97DC}"/>
    <cellStyle name="Normal 4 4 2 2 2 6 4" xfId="10632" xr:uid="{A5698999-D3BE-4000-8CB3-2AD7BEBD56C5}"/>
    <cellStyle name="Normal 4 4 2 2 2 7" xfId="2537" xr:uid="{00000000-0005-0000-0000-0000EC140000}"/>
    <cellStyle name="Normal 4 4 2 2 2 7 2" xfId="6821" xr:uid="{00000000-0005-0000-0000-0000ED140000}"/>
    <cellStyle name="Normal 4 4 2 2 2 7 2 2" xfId="15263" xr:uid="{1B279BC1-1263-403A-A813-116F75F5AA88}"/>
    <cellStyle name="Normal 4 4 2 2 2 7 3" xfId="11045" xr:uid="{D6C76928-7358-4C3E-8AE2-A0646053BD94}"/>
    <cellStyle name="Normal 4 4 2 2 2 8" xfId="4756" xr:uid="{00000000-0005-0000-0000-0000EE140000}"/>
    <cellStyle name="Normal 4 4 2 2 2 8 2" xfId="13198" xr:uid="{444BEDBE-6251-4ADB-ABFC-B14AB21CC344}"/>
    <cellStyle name="Normal 4 4 2 2 2 9" xfId="8980" xr:uid="{F4CD9C74-9ED4-4E6D-A0D4-FE0C23DBD3C1}"/>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81DB9E9A-1B58-4C71-B108-A8E1FBAE160D}"/>
    <cellStyle name="Normal 4 4 2 2 3 2 2 3" xfId="11540" xr:uid="{A8CAB006-0C33-4E0F-BC90-2E15AE0E5D3A}"/>
    <cellStyle name="Normal 4 4 2 2 3 2 3" xfId="5171" xr:uid="{00000000-0005-0000-0000-0000F3140000}"/>
    <cellStyle name="Normal 4 4 2 2 3 2 3 2" xfId="13613" xr:uid="{A831C386-10BE-48BA-84D9-4E95A55AE77A}"/>
    <cellStyle name="Normal 4 4 2 2 3 2 4" xfId="9395" xr:uid="{061FF338-80EE-413B-B859-68D9AF30240A}"/>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1E00BD03-1989-4325-8C1F-9C493A3714A4}"/>
    <cellStyle name="Normal 4 4 2 2 3 3 2 3" xfId="11953" xr:uid="{8C52E043-9911-4AE6-8B3E-30ED83DB85CD}"/>
    <cellStyle name="Normal 4 4 2 2 3 3 3" xfId="5584" xr:uid="{00000000-0005-0000-0000-0000F7140000}"/>
    <cellStyle name="Normal 4 4 2 2 3 3 3 2" xfId="14026" xr:uid="{6ACA5383-1CB8-48DF-A54A-3B340963FFDF}"/>
    <cellStyle name="Normal 4 4 2 2 3 3 4" xfId="9808" xr:uid="{701BD73E-9595-49D4-9FF0-62852A9BACA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28CF667F-9EFE-4E23-A032-CBFF36C6DEE3}"/>
    <cellStyle name="Normal 4 4 2 2 3 4 2 3" xfId="12366" xr:uid="{9EB1FFC6-86C2-4162-967B-B5136089D132}"/>
    <cellStyle name="Normal 4 4 2 2 3 4 3" xfId="5997" xr:uid="{00000000-0005-0000-0000-0000FB140000}"/>
    <cellStyle name="Normal 4 4 2 2 3 4 3 2" xfId="14439" xr:uid="{F2575A51-6525-4E95-AA08-D72D51603B2C}"/>
    <cellStyle name="Normal 4 4 2 2 3 4 4" xfId="10221" xr:uid="{E90184E2-63D7-41D1-8F18-965E94A3E4C1}"/>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2E7D63E9-6948-4061-B35D-A33FBCFCE842}"/>
    <cellStyle name="Normal 4 4 2 2 3 5 2 3" xfId="12779" xr:uid="{4769F4FE-1AE2-4E72-B903-038BAE4C2741}"/>
    <cellStyle name="Normal 4 4 2 2 3 5 3" xfId="6410" xr:uid="{00000000-0005-0000-0000-0000FF140000}"/>
    <cellStyle name="Normal 4 4 2 2 3 5 3 2" xfId="14852" xr:uid="{29847CAE-D6D6-4D8B-9923-272FD652A4BF}"/>
    <cellStyle name="Normal 4 4 2 2 3 5 4" xfId="10634" xr:uid="{C86BE01B-313F-46B7-90F0-AE97E7EB1B09}"/>
    <cellStyle name="Normal 4 4 2 2 3 6" xfId="2539" xr:uid="{00000000-0005-0000-0000-000000150000}"/>
    <cellStyle name="Normal 4 4 2 2 3 6 2" xfId="6823" xr:uid="{00000000-0005-0000-0000-000001150000}"/>
    <cellStyle name="Normal 4 4 2 2 3 6 2 2" xfId="15265" xr:uid="{EE769726-3AB7-4C56-8291-79086E83018F}"/>
    <cellStyle name="Normal 4 4 2 2 3 6 3" xfId="11047" xr:uid="{79C36F06-62A2-480F-B6AC-6480AB0FD743}"/>
    <cellStyle name="Normal 4 4 2 2 3 7" xfId="4758" xr:uid="{00000000-0005-0000-0000-000002150000}"/>
    <cellStyle name="Normal 4 4 2 2 3 7 2" xfId="13200" xr:uid="{27693622-B7F9-41FB-BAD7-776174F2F7A0}"/>
    <cellStyle name="Normal 4 4 2 2 3 8" xfId="8982" xr:uid="{F788B16E-93E3-48E3-AA45-4A2A71E5FB1B}"/>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0EFB04ED-DC85-4375-92AE-70BD3CB17E57}"/>
    <cellStyle name="Normal 4 4 2 2 4 2 3" xfId="11537" xr:uid="{7B9E532F-912F-42B0-BDDE-D6DAD31E8FD9}"/>
    <cellStyle name="Normal 4 4 2 2 4 3" xfId="5168" xr:uid="{00000000-0005-0000-0000-000006150000}"/>
    <cellStyle name="Normal 4 4 2 2 4 3 2" xfId="13610" xr:uid="{49D93034-CDE0-4E1E-887B-011DD0EEE46F}"/>
    <cellStyle name="Normal 4 4 2 2 4 4" xfId="9392" xr:uid="{4AFB0958-0A5E-4DCC-8688-33FCC4971DC9}"/>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BF8558F3-9C51-4EE7-A4A2-C20E993EBC00}"/>
    <cellStyle name="Normal 4 4 2 2 5 2 3" xfId="11950" xr:uid="{577C5E8A-180A-4A95-B49A-F23A1DE8F580}"/>
    <cellStyle name="Normal 4 4 2 2 5 3" xfId="5581" xr:uid="{00000000-0005-0000-0000-00000A150000}"/>
    <cellStyle name="Normal 4 4 2 2 5 3 2" xfId="14023" xr:uid="{61C9991D-7F48-46B4-838B-597078E2CD4B}"/>
    <cellStyle name="Normal 4 4 2 2 5 4" xfId="9805" xr:uid="{38E2044D-1ED9-4CEF-A2A5-4F093E40151C}"/>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44C6A943-7817-44EF-A4FA-2BDE030A3212}"/>
    <cellStyle name="Normal 4 4 2 2 6 2 3" xfId="12363" xr:uid="{0D5A1333-99E1-4632-8A1B-DE0D5B57DEA8}"/>
    <cellStyle name="Normal 4 4 2 2 6 3" xfId="5994" xr:uid="{00000000-0005-0000-0000-00000E150000}"/>
    <cellStyle name="Normal 4 4 2 2 6 3 2" xfId="14436" xr:uid="{2766A461-6E47-492D-A024-3BA0F0A34A85}"/>
    <cellStyle name="Normal 4 4 2 2 6 4" xfId="10218" xr:uid="{59B01E09-3730-4051-B0B4-8B7F95039E83}"/>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7F63E370-CCA2-4EE9-9FB1-95300C644AFC}"/>
    <cellStyle name="Normal 4 4 2 2 7 2 3" xfId="12776" xr:uid="{A8278C03-F3F0-4C25-B9AD-3776780EC40E}"/>
    <cellStyle name="Normal 4 4 2 2 7 3" xfId="6407" xr:uid="{00000000-0005-0000-0000-000012150000}"/>
    <cellStyle name="Normal 4 4 2 2 7 3 2" xfId="14849" xr:uid="{878EEB1F-7EA6-47E4-BA63-6EAD276FAA86}"/>
    <cellStyle name="Normal 4 4 2 2 7 4" xfId="10631" xr:uid="{DE64172E-0371-4B04-8ED6-E24A2F1E2D93}"/>
    <cellStyle name="Normal 4 4 2 2 8" xfId="2536" xr:uid="{00000000-0005-0000-0000-000013150000}"/>
    <cellStyle name="Normal 4 4 2 2 8 2" xfId="6820" xr:uid="{00000000-0005-0000-0000-000014150000}"/>
    <cellStyle name="Normal 4 4 2 2 8 2 2" xfId="15262" xr:uid="{BAD455FA-70D6-49B5-BC9C-5DFAEC84C269}"/>
    <cellStyle name="Normal 4 4 2 2 8 3" xfId="11044" xr:uid="{368D37B3-4AEE-40F9-A10D-436EDA178235}"/>
    <cellStyle name="Normal 4 4 2 2 9" xfId="4755" xr:uid="{00000000-0005-0000-0000-000015150000}"/>
    <cellStyle name="Normal 4 4 2 2 9 2" xfId="13197" xr:uid="{46128798-CE59-4C2E-A619-A18FA179F6B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339CFE36-62EA-4561-8F58-5DDEFD666B21}"/>
    <cellStyle name="Normal 4 4 2 3 2 2 2 3" xfId="11542" xr:uid="{7732FBFF-9D87-46FB-B0A7-9AC34ACE7EB6}"/>
    <cellStyle name="Normal 4 4 2 3 2 2 3" xfId="5173" xr:uid="{00000000-0005-0000-0000-00001B150000}"/>
    <cellStyle name="Normal 4 4 2 3 2 2 3 2" xfId="13615" xr:uid="{825677EA-09D3-480E-B61A-61FBCAFA1758}"/>
    <cellStyle name="Normal 4 4 2 3 2 2 4" xfId="9397" xr:uid="{679BE667-EA28-49E5-9723-C46E1243C9FA}"/>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2D03EC63-4AEB-45D0-BEB2-15D015AC80F4}"/>
    <cellStyle name="Normal 4 4 2 3 2 3 2 3" xfId="11955" xr:uid="{923E92CD-5709-4456-9D14-06F83F228749}"/>
    <cellStyle name="Normal 4 4 2 3 2 3 3" xfId="5586" xr:uid="{00000000-0005-0000-0000-00001F150000}"/>
    <cellStyle name="Normal 4 4 2 3 2 3 3 2" xfId="14028" xr:uid="{04A22006-CA8F-4A9E-A101-A26DC8E2E735}"/>
    <cellStyle name="Normal 4 4 2 3 2 3 4" xfId="9810" xr:uid="{44E50F9C-B981-4CFB-8417-9BD69BA711D8}"/>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A095BEF0-90FD-460B-8E61-C940ED0D609A}"/>
    <cellStyle name="Normal 4 4 2 3 2 4 2 3" xfId="12368" xr:uid="{A11604AA-29B9-4010-89E7-7C8E7A7DC905}"/>
    <cellStyle name="Normal 4 4 2 3 2 4 3" xfId="5999" xr:uid="{00000000-0005-0000-0000-000023150000}"/>
    <cellStyle name="Normal 4 4 2 3 2 4 3 2" xfId="14441" xr:uid="{4D37B96E-5AD4-45A3-AD50-0CB15A91AC7D}"/>
    <cellStyle name="Normal 4 4 2 3 2 4 4" xfId="10223" xr:uid="{05CC0425-3A7B-4CEA-89D0-F1B3C05BBB15}"/>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6F60AD21-A595-40A7-817C-6A469838A696}"/>
    <cellStyle name="Normal 4 4 2 3 2 5 2 3" xfId="12781" xr:uid="{DE306D64-34D1-46DE-945C-EA7F3E741C28}"/>
    <cellStyle name="Normal 4 4 2 3 2 5 3" xfId="6412" xr:uid="{00000000-0005-0000-0000-000027150000}"/>
    <cellStyle name="Normal 4 4 2 3 2 5 3 2" xfId="14854" xr:uid="{8D18C1E2-A841-4B7D-AACA-B6C97FFD630A}"/>
    <cellStyle name="Normal 4 4 2 3 2 5 4" xfId="10636" xr:uid="{B77CE766-C330-47ED-A189-328E830EE201}"/>
    <cellStyle name="Normal 4 4 2 3 2 6" xfId="2541" xr:uid="{00000000-0005-0000-0000-000028150000}"/>
    <cellStyle name="Normal 4 4 2 3 2 6 2" xfId="6825" xr:uid="{00000000-0005-0000-0000-000029150000}"/>
    <cellStyle name="Normal 4 4 2 3 2 6 2 2" xfId="15267" xr:uid="{E77A762B-1CE6-4C5F-A25C-E9E9CA047CC2}"/>
    <cellStyle name="Normal 4 4 2 3 2 6 3" xfId="11049" xr:uid="{D378474F-0D25-42D7-93B8-D1F19225E3A7}"/>
    <cellStyle name="Normal 4 4 2 3 2 7" xfId="4760" xr:uid="{00000000-0005-0000-0000-00002A150000}"/>
    <cellStyle name="Normal 4 4 2 3 2 7 2" xfId="13202" xr:uid="{FEFEE47E-3411-4D91-B69B-6B1EFB929C73}"/>
    <cellStyle name="Normal 4 4 2 3 2 8" xfId="8984" xr:uid="{F81FA904-E82A-4704-BFCA-7670D71C86DD}"/>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6EE60B84-6E45-483A-9E63-6594514DBFE9}"/>
    <cellStyle name="Normal 4 4 2 3 3 2 3" xfId="11541" xr:uid="{A9677912-BA19-44B5-8788-5947A5190269}"/>
    <cellStyle name="Normal 4 4 2 3 3 3" xfId="5172" xr:uid="{00000000-0005-0000-0000-00002E150000}"/>
    <cellStyle name="Normal 4 4 2 3 3 3 2" xfId="13614" xr:uid="{5D1CF705-86D0-47E0-AA90-38A22419105F}"/>
    <cellStyle name="Normal 4 4 2 3 3 4" xfId="9396" xr:uid="{4DE41E2D-B475-41D5-A74C-9AE689216255}"/>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71C6C178-FF88-4BCF-B4F7-44849BE3DE56}"/>
    <cellStyle name="Normal 4 4 2 3 4 2 3" xfId="11954" xr:uid="{5D4DA556-9EE1-4EEE-B692-2CB8890354AB}"/>
    <cellStyle name="Normal 4 4 2 3 4 3" xfId="5585" xr:uid="{00000000-0005-0000-0000-000032150000}"/>
    <cellStyle name="Normal 4 4 2 3 4 3 2" xfId="14027" xr:uid="{1949900E-7087-431A-AB6B-EB4BD203A18F}"/>
    <cellStyle name="Normal 4 4 2 3 4 4" xfId="9809" xr:uid="{3298FB6D-5A9A-4391-8EAE-49CD4F1AE1DF}"/>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A6A42CF9-09D7-41BA-A885-4B81D53D085E}"/>
    <cellStyle name="Normal 4 4 2 3 5 2 3" xfId="12367" xr:uid="{C3FE6BA1-9AC5-43B1-9960-4D56339EF63F}"/>
    <cellStyle name="Normal 4 4 2 3 5 3" xfId="5998" xr:uid="{00000000-0005-0000-0000-000036150000}"/>
    <cellStyle name="Normal 4 4 2 3 5 3 2" xfId="14440" xr:uid="{8F73081C-6804-4265-9053-816C62AA9A94}"/>
    <cellStyle name="Normal 4 4 2 3 5 4" xfId="10222" xr:uid="{2FC2B4E1-7473-49EB-90F6-CD82DB2E4367}"/>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21647436-2453-4D84-B24C-9383704F4298}"/>
    <cellStyle name="Normal 4 4 2 3 6 2 3" xfId="12780" xr:uid="{DB4BCDD9-42FA-4782-AF1B-BED5CD0E7C88}"/>
    <cellStyle name="Normal 4 4 2 3 6 3" xfId="6411" xr:uid="{00000000-0005-0000-0000-00003A150000}"/>
    <cellStyle name="Normal 4 4 2 3 6 3 2" xfId="14853" xr:uid="{ABCEDE22-030B-4028-9772-0FBF80D7EAE5}"/>
    <cellStyle name="Normal 4 4 2 3 6 4" xfId="10635" xr:uid="{E9DFFE2C-1E00-4C6E-A393-9EFC0A875817}"/>
    <cellStyle name="Normal 4 4 2 3 7" xfId="2540" xr:uid="{00000000-0005-0000-0000-00003B150000}"/>
    <cellStyle name="Normal 4 4 2 3 7 2" xfId="6824" xr:uid="{00000000-0005-0000-0000-00003C150000}"/>
    <cellStyle name="Normal 4 4 2 3 7 2 2" xfId="15266" xr:uid="{C7D45071-DFF0-4881-ACF4-7BD7431BCE4B}"/>
    <cellStyle name="Normal 4 4 2 3 7 3" xfId="11048" xr:uid="{92D76AF4-ACE0-4B1A-AD07-0A930A3FEFD1}"/>
    <cellStyle name="Normal 4 4 2 3 8" xfId="4759" xr:uid="{00000000-0005-0000-0000-00003D150000}"/>
    <cellStyle name="Normal 4 4 2 3 8 2" xfId="13201" xr:uid="{1DBBE563-F232-44AE-B400-33BAC0ECB3A3}"/>
    <cellStyle name="Normal 4 4 2 3 9" xfId="8983" xr:uid="{44B6CC68-BCF0-4734-AB04-D9B8EB18F6A9}"/>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384F162-5021-4DA1-BEF6-9713905C058D}"/>
    <cellStyle name="Normal 4 4 2 4 2 2 3" xfId="11543" xr:uid="{12AFE37D-BE2B-4645-B8DE-549E75A2A157}"/>
    <cellStyle name="Normal 4 4 2 4 2 3" xfId="5174" xr:uid="{00000000-0005-0000-0000-000042150000}"/>
    <cellStyle name="Normal 4 4 2 4 2 3 2" xfId="13616" xr:uid="{3B7EDF6F-7E68-4EC7-B29D-26963AD386DC}"/>
    <cellStyle name="Normal 4 4 2 4 2 4" xfId="9398" xr:uid="{15C0D4DB-1A80-4F8D-9A4A-34D84EA3EEC5}"/>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4829F6FA-108E-42F0-AB77-C5058E196F82}"/>
    <cellStyle name="Normal 4 4 2 4 3 2 3" xfId="11956" xr:uid="{A9AA04A6-E64F-4EED-9F35-637479A4B923}"/>
    <cellStyle name="Normal 4 4 2 4 3 3" xfId="5587" xr:uid="{00000000-0005-0000-0000-000046150000}"/>
    <cellStyle name="Normal 4 4 2 4 3 3 2" xfId="14029" xr:uid="{52DF23F0-C3AD-4D77-9854-FB93B65903B4}"/>
    <cellStyle name="Normal 4 4 2 4 3 4" xfId="9811" xr:uid="{6F1A9540-4984-4C99-B258-897FEF6AF6A1}"/>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BBEE1F70-3E09-45EA-BE75-A90B03B8C6BC}"/>
    <cellStyle name="Normal 4 4 2 4 4 2 3" xfId="12369" xr:uid="{34932BB7-1904-4F7C-A9E9-A5D316A7B111}"/>
    <cellStyle name="Normal 4 4 2 4 4 3" xfId="6000" xr:uid="{00000000-0005-0000-0000-00004A150000}"/>
    <cellStyle name="Normal 4 4 2 4 4 3 2" xfId="14442" xr:uid="{56539828-BD0C-4332-8AC3-321B6777BE38}"/>
    <cellStyle name="Normal 4 4 2 4 4 4" xfId="10224" xr:uid="{AEAC795C-6EE8-4F32-A305-2D56562475B4}"/>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D5399EF2-D09A-41B3-89C8-B38A58C0F2E7}"/>
    <cellStyle name="Normal 4 4 2 4 5 2 3" xfId="12782" xr:uid="{421190AA-A75A-4D8C-AA95-3A3F5AC3A936}"/>
    <cellStyle name="Normal 4 4 2 4 5 3" xfId="6413" xr:uid="{00000000-0005-0000-0000-00004E150000}"/>
    <cellStyle name="Normal 4 4 2 4 5 3 2" xfId="14855" xr:uid="{CA1E5A5F-1937-42F6-95B9-A541335B38AF}"/>
    <cellStyle name="Normal 4 4 2 4 5 4" xfId="10637" xr:uid="{667123CD-2454-4D39-9661-6D7BE52EB968}"/>
    <cellStyle name="Normal 4 4 2 4 6" xfId="2542" xr:uid="{00000000-0005-0000-0000-00004F150000}"/>
    <cellStyle name="Normal 4 4 2 4 6 2" xfId="6826" xr:uid="{00000000-0005-0000-0000-000050150000}"/>
    <cellStyle name="Normal 4 4 2 4 6 2 2" xfId="15268" xr:uid="{6CDB834E-20CE-43A4-BF84-FF02419EB9D2}"/>
    <cellStyle name="Normal 4 4 2 4 6 3" xfId="11050" xr:uid="{D1DDD962-DE36-40F0-B3FE-1C5E76108B02}"/>
    <cellStyle name="Normal 4 4 2 4 7" xfId="4761" xr:uid="{00000000-0005-0000-0000-000051150000}"/>
    <cellStyle name="Normal 4 4 2 4 7 2" xfId="13203" xr:uid="{DD2C9D76-3AB1-4395-A398-FBB85F6E6A81}"/>
    <cellStyle name="Normal 4 4 2 4 8" xfId="8985" xr:uid="{44AF6668-53B8-4EF4-9BC8-36FB699B826C}"/>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24FAF4EA-F20A-4D52-8FEA-8F2771090318}"/>
    <cellStyle name="Normal 4 4 2 5 2 3" xfId="11536" xr:uid="{ED57E428-C7DA-4FE1-9E12-00C1413999A4}"/>
    <cellStyle name="Normal 4 4 2 5 3" xfId="5167" xr:uid="{00000000-0005-0000-0000-000055150000}"/>
    <cellStyle name="Normal 4 4 2 5 3 2" xfId="13609" xr:uid="{2F1A3BB0-BEE3-4F15-AA83-26E8E7D381DD}"/>
    <cellStyle name="Normal 4 4 2 5 4" xfId="9391" xr:uid="{F2D89E1B-FDF0-4AFE-8F80-F433CA1052AE}"/>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3EF3AAD7-A179-4CCF-9DD3-9AE1F6168B97}"/>
    <cellStyle name="Normal 4 4 2 6 2 3" xfId="11949" xr:uid="{121A0DE6-61D6-4E78-B736-F2B695236CEF}"/>
    <cellStyle name="Normal 4 4 2 6 3" xfId="5580" xr:uid="{00000000-0005-0000-0000-000059150000}"/>
    <cellStyle name="Normal 4 4 2 6 3 2" xfId="14022" xr:uid="{78832278-5614-4E5C-B5E0-F0216EE1A2C8}"/>
    <cellStyle name="Normal 4 4 2 6 4" xfId="9804" xr:uid="{D02A93B7-3E3C-425E-B43B-87296658CDBC}"/>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92EB4612-C650-4C58-82DC-90A209828615}"/>
    <cellStyle name="Normal 4 4 2 7 2 3" xfId="12362" xr:uid="{87DAB0EC-2FF1-494E-B447-E4F95BEB0394}"/>
    <cellStyle name="Normal 4 4 2 7 3" xfId="5993" xr:uid="{00000000-0005-0000-0000-00005D150000}"/>
    <cellStyle name="Normal 4 4 2 7 3 2" xfId="14435" xr:uid="{824E550A-C210-4814-A409-AD7F1FCF13FC}"/>
    <cellStyle name="Normal 4 4 2 7 4" xfId="10217" xr:uid="{8DA72C96-98FB-4EAB-A858-8306D12BB54A}"/>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3B4DB710-8FC9-4102-92C3-334427457D53}"/>
    <cellStyle name="Normal 4 4 2 8 2 3" xfId="12775" xr:uid="{E4D9FA30-DF1D-4DE5-81C5-3974AA00FFED}"/>
    <cellStyle name="Normal 4 4 2 8 3" xfId="6406" xr:uid="{00000000-0005-0000-0000-000061150000}"/>
    <cellStyle name="Normal 4 4 2 8 3 2" xfId="14848" xr:uid="{87F45996-0B7B-430C-9E9E-BAA0C1076EBF}"/>
    <cellStyle name="Normal 4 4 2 8 4" xfId="10630" xr:uid="{C59ED5F9-053C-4D00-97F0-E88933871A04}"/>
    <cellStyle name="Normal 4 4 2 9" xfId="2535" xr:uid="{00000000-0005-0000-0000-000062150000}"/>
    <cellStyle name="Normal 4 4 2 9 2" xfId="6819" xr:uid="{00000000-0005-0000-0000-000063150000}"/>
    <cellStyle name="Normal 4 4 2 9 2 2" xfId="15261" xr:uid="{08908450-3D07-431B-9E57-935D25580506}"/>
    <cellStyle name="Normal 4 4 2 9 3" xfId="11043" xr:uid="{40DB5599-37BE-45B8-B968-90D8F0747196}"/>
    <cellStyle name="Normal 4 4 3" xfId="387" xr:uid="{00000000-0005-0000-0000-000064150000}"/>
    <cellStyle name="Normal 4 4 3 10" xfId="8986" xr:uid="{AED26AA3-8CD7-41CF-8347-0B75A299300B}"/>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D0F9AE36-1AAA-4A9F-83F7-435EDAA21EFE}"/>
    <cellStyle name="Normal 4 4 3 2 2 2 2 3" xfId="11546" xr:uid="{C90BFC62-1045-45F5-9D06-DC2EB3FED566}"/>
    <cellStyle name="Normal 4 4 3 2 2 2 3" xfId="5177" xr:uid="{00000000-0005-0000-0000-00006A150000}"/>
    <cellStyle name="Normal 4 4 3 2 2 2 3 2" xfId="13619" xr:uid="{C68E5A20-1C0E-43DE-996B-BF56D094E945}"/>
    <cellStyle name="Normal 4 4 3 2 2 2 4" xfId="9401" xr:uid="{A96B35FD-8B9C-402C-BA2B-7E06FF4DB953}"/>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8C6BD1AF-84A5-4418-B5C0-309C0610264C}"/>
    <cellStyle name="Normal 4 4 3 2 2 3 2 3" xfId="11959" xr:uid="{1DD7E704-1807-4079-8310-716DB8383A39}"/>
    <cellStyle name="Normal 4 4 3 2 2 3 3" xfId="5590" xr:uid="{00000000-0005-0000-0000-00006E150000}"/>
    <cellStyle name="Normal 4 4 3 2 2 3 3 2" xfId="14032" xr:uid="{AF919A0F-806D-4428-85E6-68B54E87E5CA}"/>
    <cellStyle name="Normal 4 4 3 2 2 3 4" xfId="9814" xr:uid="{593E6673-FA04-455D-B14B-ED78E8C614F8}"/>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6263D851-8833-4D00-BD1D-A32813432B9B}"/>
    <cellStyle name="Normal 4 4 3 2 2 4 2 3" xfId="12372" xr:uid="{07456D0B-87C5-4AD8-A746-F6C66978EC6B}"/>
    <cellStyle name="Normal 4 4 3 2 2 4 3" xfId="6003" xr:uid="{00000000-0005-0000-0000-000072150000}"/>
    <cellStyle name="Normal 4 4 3 2 2 4 3 2" xfId="14445" xr:uid="{CE439DA2-CF83-4B0F-B14F-06467E010782}"/>
    <cellStyle name="Normal 4 4 3 2 2 4 4" xfId="10227" xr:uid="{6887B4A6-2057-4A92-BC45-236F6ECCF658}"/>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B2013D4B-E3CA-4752-AD3A-0871665F43AE}"/>
    <cellStyle name="Normal 4 4 3 2 2 5 2 3" xfId="12785" xr:uid="{288C2C32-E568-43E6-ABFB-F6EC53E1AA15}"/>
    <cellStyle name="Normal 4 4 3 2 2 5 3" xfId="6416" xr:uid="{00000000-0005-0000-0000-000076150000}"/>
    <cellStyle name="Normal 4 4 3 2 2 5 3 2" xfId="14858" xr:uid="{E7533DCE-7F3D-4C99-AC87-C07652588C64}"/>
    <cellStyle name="Normal 4 4 3 2 2 5 4" xfId="10640" xr:uid="{C76E3DC2-659D-4E17-AA47-36477E0C449E}"/>
    <cellStyle name="Normal 4 4 3 2 2 6" xfId="2545" xr:uid="{00000000-0005-0000-0000-000077150000}"/>
    <cellStyle name="Normal 4 4 3 2 2 6 2" xfId="6829" xr:uid="{00000000-0005-0000-0000-000078150000}"/>
    <cellStyle name="Normal 4 4 3 2 2 6 2 2" xfId="15271" xr:uid="{7CD5848B-3D68-45E1-80AA-85518E641A65}"/>
    <cellStyle name="Normal 4 4 3 2 2 6 3" xfId="11053" xr:uid="{AC0C8250-694A-4E62-BD16-3C45EEAC37D5}"/>
    <cellStyle name="Normal 4 4 3 2 2 7" xfId="4764" xr:uid="{00000000-0005-0000-0000-000079150000}"/>
    <cellStyle name="Normal 4 4 3 2 2 7 2" xfId="13206" xr:uid="{041B378E-98EB-4AF9-832B-36C8F5960ED9}"/>
    <cellStyle name="Normal 4 4 3 2 2 8" xfId="8988" xr:uid="{6ADA67D8-30DC-4572-BA73-362C1659247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EE0DBEA4-B9B4-4B1A-9367-BD63E9F57D61}"/>
    <cellStyle name="Normal 4 4 3 2 3 2 3" xfId="11545" xr:uid="{C10BBCF9-8F1A-4067-B45C-26C5308D800B}"/>
    <cellStyle name="Normal 4 4 3 2 3 3" xfId="5176" xr:uid="{00000000-0005-0000-0000-00007D150000}"/>
    <cellStyle name="Normal 4 4 3 2 3 3 2" xfId="13618" xr:uid="{581D4EDC-444A-4845-80BD-115E1499E30A}"/>
    <cellStyle name="Normal 4 4 3 2 3 4" xfId="9400" xr:uid="{8F99E89E-3184-493A-A279-7C8C75C49C9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87981EFA-D44E-40E5-88B2-B2671A98E505}"/>
    <cellStyle name="Normal 4 4 3 2 4 2 3" xfId="11958" xr:uid="{9C835C27-D261-4597-B084-388B8ABE3A8A}"/>
    <cellStyle name="Normal 4 4 3 2 4 3" xfId="5589" xr:uid="{00000000-0005-0000-0000-000081150000}"/>
    <cellStyle name="Normal 4 4 3 2 4 3 2" xfId="14031" xr:uid="{ADA09655-1DD5-41A1-85EC-4E68795C1383}"/>
    <cellStyle name="Normal 4 4 3 2 4 4" xfId="9813" xr:uid="{1B7AAAAC-4C17-43DD-B655-D1469DD5D06F}"/>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95200E72-EB89-490B-BFB6-5E7A869D03E8}"/>
    <cellStyle name="Normal 4 4 3 2 5 2 3" xfId="12371" xr:uid="{E41633F9-32F9-49D1-B4EF-98F410B3A2D6}"/>
    <cellStyle name="Normal 4 4 3 2 5 3" xfId="6002" xr:uid="{00000000-0005-0000-0000-000085150000}"/>
    <cellStyle name="Normal 4 4 3 2 5 3 2" xfId="14444" xr:uid="{A0DC4A63-C147-494C-AAE6-0776A251744F}"/>
    <cellStyle name="Normal 4 4 3 2 5 4" xfId="10226" xr:uid="{F2C8F17B-CA1F-4213-8010-610B323AE6AB}"/>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8407F82F-1BB5-44F2-91C3-EA857AC86767}"/>
    <cellStyle name="Normal 4 4 3 2 6 2 3" xfId="12784" xr:uid="{7825B7BE-3EE0-4725-BB5A-72793C9CF230}"/>
    <cellStyle name="Normal 4 4 3 2 6 3" xfId="6415" xr:uid="{00000000-0005-0000-0000-000089150000}"/>
    <cellStyle name="Normal 4 4 3 2 6 3 2" xfId="14857" xr:uid="{7302B9A0-0E59-4256-A835-93052FF05295}"/>
    <cellStyle name="Normal 4 4 3 2 6 4" xfId="10639" xr:uid="{10FF7D4B-D9BB-46B4-A790-25301F08958D}"/>
    <cellStyle name="Normal 4 4 3 2 7" xfId="2544" xr:uid="{00000000-0005-0000-0000-00008A150000}"/>
    <cellStyle name="Normal 4 4 3 2 7 2" xfId="6828" xr:uid="{00000000-0005-0000-0000-00008B150000}"/>
    <cellStyle name="Normal 4 4 3 2 7 2 2" xfId="15270" xr:uid="{E67D30A5-C05A-4645-8F23-531F44737E1D}"/>
    <cellStyle name="Normal 4 4 3 2 7 3" xfId="11052" xr:uid="{9B574F45-7E93-424D-B815-DBF40EBF3F6D}"/>
    <cellStyle name="Normal 4 4 3 2 8" xfId="4763" xr:uid="{00000000-0005-0000-0000-00008C150000}"/>
    <cellStyle name="Normal 4 4 3 2 8 2" xfId="13205" xr:uid="{202A4D22-0C5B-4A84-B6B5-F4ACCF269E76}"/>
    <cellStyle name="Normal 4 4 3 2 9" xfId="8987" xr:uid="{253BC326-9A2E-4A61-94BE-3D8D9A80F1D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B28474A3-D2E3-481A-8337-824BBA33578E}"/>
    <cellStyle name="Normal 4 4 3 3 2 2 3" xfId="11547" xr:uid="{646E6AE4-C73F-4E98-9047-056FDF6485C9}"/>
    <cellStyle name="Normal 4 4 3 3 2 3" xfId="5178" xr:uid="{00000000-0005-0000-0000-000091150000}"/>
    <cellStyle name="Normal 4 4 3 3 2 3 2" xfId="13620" xr:uid="{CBE8D407-E187-43A6-A51C-0EB645AE4566}"/>
    <cellStyle name="Normal 4 4 3 3 2 4" xfId="9402" xr:uid="{7B726FE2-F020-4664-84E3-2CFE555BF4A5}"/>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C0525783-B4B9-47FF-8CB1-59438BA6E796}"/>
    <cellStyle name="Normal 4 4 3 3 3 2 3" xfId="11960" xr:uid="{C2DE3944-1C16-47FE-96BB-477B4185B44B}"/>
    <cellStyle name="Normal 4 4 3 3 3 3" xfId="5591" xr:uid="{00000000-0005-0000-0000-000095150000}"/>
    <cellStyle name="Normal 4 4 3 3 3 3 2" xfId="14033" xr:uid="{FEE4C0CF-D162-4E31-87EA-DBC61D753772}"/>
    <cellStyle name="Normal 4 4 3 3 3 4" xfId="9815" xr:uid="{6400FB98-0DD4-4FC6-B19A-BFACD64CC0A1}"/>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D55641CE-CEF3-43EE-B365-0CE1353051BE}"/>
    <cellStyle name="Normal 4 4 3 3 4 2 3" xfId="12373" xr:uid="{93706F79-B585-4215-ADA2-B0C019F0C3CF}"/>
    <cellStyle name="Normal 4 4 3 3 4 3" xfId="6004" xr:uid="{00000000-0005-0000-0000-000099150000}"/>
    <cellStyle name="Normal 4 4 3 3 4 3 2" xfId="14446" xr:uid="{B5BE123C-FB15-4E75-82EB-996AB2D15077}"/>
    <cellStyle name="Normal 4 4 3 3 4 4" xfId="10228" xr:uid="{E0CC86AB-9408-4A40-893E-81C50D20A9DE}"/>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84F12AC3-ACDB-419F-BC7B-443746A6C1F2}"/>
    <cellStyle name="Normal 4 4 3 3 5 2 3" xfId="12786" xr:uid="{2D44C15E-0523-46D5-8C37-332AB942B621}"/>
    <cellStyle name="Normal 4 4 3 3 5 3" xfId="6417" xr:uid="{00000000-0005-0000-0000-00009D150000}"/>
    <cellStyle name="Normal 4 4 3 3 5 3 2" xfId="14859" xr:uid="{A96B2D87-722A-47B2-80F5-4BEF9C389D62}"/>
    <cellStyle name="Normal 4 4 3 3 5 4" xfId="10641" xr:uid="{260E4F0C-8F8D-4358-86ED-AD9B89A96BEE}"/>
    <cellStyle name="Normal 4 4 3 3 6" xfId="2546" xr:uid="{00000000-0005-0000-0000-00009E150000}"/>
    <cellStyle name="Normal 4 4 3 3 6 2" xfId="6830" xr:uid="{00000000-0005-0000-0000-00009F150000}"/>
    <cellStyle name="Normal 4 4 3 3 6 2 2" xfId="15272" xr:uid="{0D7AE289-FF66-4F5B-8A99-17FBA2CB38A6}"/>
    <cellStyle name="Normal 4 4 3 3 6 3" xfId="11054" xr:uid="{C4AD09F7-423D-49C1-95AD-A99679DE835F}"/>
    <cellStyle name="Normal 4 4 3 3 7" xfId="4765" xr:uid="{00000000-0005-0000-0000-0000A0150000}"/>
    <cellStyle name="Normal 4 4 3 3 7 2" xfId="13207" xr:uid="{2342ED39-2DC3-4EB7-9302-C17D639B93D4}"/>
    <cellStyle name="Normal 4 4 3 3 8" xfId="8989" xr:uid="{5E92A0B1-F728-4C43-BDFC-7F484B9E1107}"/>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F9917C3A-5A3B-4881-9DD1-86DA91AA4735}"/>
    <cellStyle name="Normal 4 4 3 4 2 3" xfId="11544" xr:uid="{5CC8DE25-B8F6-4817-9125-DC0996759A19}"/>
    <cellStyle name="Normal 4 4 3 4 3" xfId="5175" xr:uid="{00000000-0005-0000-0000-0000A4150000}"/>
    <cellStyle name="Normal 4 4 3 4 3 2" xfId="13617" xr:uid="{7950A65F-5E7A-4ED0-8BB5-DEF57C25AA01}"/>
    <cellStyle name="Normal 4 4 3 4 4" xfId="9399" xr:uid="{BCEFAC47-DFA7-497A-A22D-8451F9EAD28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12867F04-61BD-4743-831A-EC7B5E031F98}"/>
    <cellStyle name="Normal 4 4 3 5 2 3" xfId="11957" xr:uid="{9C2BB8CC-6B32-453F-A730-D1BF0C21A59A}"/>
    <cellStyle name="Normal 4 4 3 5 3" xfId="5588" xr:uid="{00000000-0005-0000-0000-0000A8150000}"/>
    <cellStyle name="Normal 4 4 3 5 3 2" xfId="14030" xr:uid="{46957DBC-0756-4A61-BDD2-C96627FC4D5B}"/>
    <cellStyle name="Normal 4 4 3 5 4" xfId="9812" xr:uid="{2F70EAF9-39E0-4AAA-B1D9-1BB17E3564C3}"/>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5B89CAD8-E50A-4371-B4D2-6ED026DF0903}"/>
    <cellStyle name="Normal 4 4 3 6 2 3" xfId="12370" xr:uid="{71BC16F2-FB29-4583-A4EE-4BD6AD4F80B9}"/>
    <cellStyle name="Normal 4 4 3 6 3" xfId="6001" xr:uid="{00000000-0005-0000-0000-0000AC150000}"/>
    <cellStyle name="Normal 4 4 3 6 3 2" xfId="14443" xr:uid="{957AD011-ECA0-4F7D-A8BC-74B82894FC1F}"/>
    <cellStyle name="Normal 4 4 3 6 4" xfId="10225" xr:uid="{3CF4B8F0-6F2C-47EC-B736-75792C9DB0F3}"/>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9C31FFF0-9865-41CD-A709-D4C6CCC588DA}"/>
    <cellStyle name="Normal 4 4 3 7 2 3" xfId="12783" xr:uid="{3A085C4B-794A-4CF6-B3DF-350EAF3D4A34}"/>
    <cellStyle name="Normal 4 4 3 7 3" xfId="6414" xr:uid="{00000000-0005-0000-0000-0000B0150000}"/>
    <cellStyle name="Normal 4 4 3 7 3 2" xfId="14856" xr:uid="{626C3F09-96C8-4FB5-B7FD-E119DD050D61}"/>
    <cellStyle name="Normal 4 4 3 7 4" xfId="10638" xr:uid="{30046DCE-478A-4B8A-B5F2-B2645BC12CEA}"/>
    <cellStyle name="Normal 4 4 3 8" xfId="2543" xr:uid="{00000000-0005-0000-0000-0000B1150000}"/>
    <cellStyle name="Normal 4 4 3 8 2" xfId="6827" xr:uid="{00000000-0005-0000-0000-0000B2150000}"/>
    <cellStyle name="Normal 4 4 3 8 2 2" xfId="15269" xr:uid="{08663B4E-54D8-4A06-BC17-079C1028F578}"/>
    <cellStyle name="Normal 4 4 3 8 3" xfId="11051" xr:uid="{B8CF405A-BF57-44F8-9110-129114E94E91}"/>
    <cellStyle name="Normal 4 4 3 9" xfId="4762" xr:uid="{00000000-0005-0000-0000-0000B3150000}"/>
    <cellStyle name="Normal 4 4 3 9 2" xfId="13204" xr:uid="{8F15C6AA-705E-4872-85E7-C48EFC40A59A}"/>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BFC4F6D3-DE6D-4264-A0CC-5DF7E75C0EEE}"/>
    <cellStyle name="Normal 4 4 4 2 2 2 3" xfId="11549" xr:uid="{03665EC1-FEC2-4CE0-B521-753553EF5CB5}"/>
    <cellStyle name="Normal 4 4 4 2 2 3" xfId="5180" xr:uid="{00000000-0005-0000-0000-0000B9150000}"/>
    <cellStyle name="Normal 4 4 4 2 2 3 2" xfId="13622" xr:uid="{094C5A24-7E7D-430B-B07E-F19593F510CD}"/>
    <cellStyle name="Normal 4 4 4 2 2 4" xfId="9404" xr:uid="{6410B8B9-5B72-4C8F-90D1-355A8B3B5983}"/>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98433919-05C9-48BE-A486-B9E143E60CB2}"/>
    <cellStyle name="Normal 4 4 4 2 3 2 3" xfId="11962" xr:uid="{21624460-4B96-4E61-9BCE-F066391ED140}"/>
    <cellStyle name="Normal 4 4 4 2 3 3" xfId="5593" xr:uid="{00000000-0005-0000-0000-0000BD150000}"/>
    <cellStyle name="Normal 4 4 4 2 3 3 2" xfId="14035" xr:uid="{F13AAF87-8F0C-4C25-8651-1861F63C4C34}"/>
    <cellStyle name="Normal 4 4 4 2 3 4" xfId="9817" xr:uid="{201F6851-7DE5-4EC8-A06C-7F54CC68A641}"/>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F1D36A46-9089-4BD7-B032-220B9AC89FB4}"/>
    <cellStyle name="Normal 4 4 4 2 4 2 3" xfId="12375" xr:uid="{F7010632-D14A-4308-B9A6-41D8D9934142}"/>
    <cellStyle name="Normal 4 4 4 2 4 3" xfId="6006" xr:uid="{00000000-0005-0000-0000-0000C1150000}"/>
    <cellStyle name="Normal 4 4 4 2 4 3 2" xfId="14448" xr:uid="{58F7B62F-7F22-4D2D-9EA6-6E829E2F304F}"/>
    <cellStyle name="Normal 4 4 4 2 4 4" xfId="10230" xr:uid="{486739FF-839F-4A00-9946-985CCD356A29}"/>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B0CBF37E-976C-4535-AE0B-5F4FD56A5971}"/>
    <cellStyle name="Normal 4 4 4 2 5 2 3" xfId="12788" xr:uid="{0FD99570-D842-453F-B3EF-470175699399}"/>
    <cellStyle name="Normal 4 4 4 2 5 3" xfId="6419" xr:uid="{00000000-0005-0000-0000-0000C5150000}"/>
    <cellStyle name="Normal 4 4 4 2 5 3 2" xfId="14861" xr:uid="{CBE5EEA9-6197-424B-9DF0-37EF99A77CE1}"/>
    <cellStyle name="Normal 4 4 4 2 5 4" xfId="10643" xr:uid="{49369314-E3FB-44E1-82CA-8C651495DD9E}"/>
    <cellStyle name="Normal 4 4 4 2 6" xfId="2548" xr:uid="{00000000-0005-0000-0000-0000C6150000}"/>
    <cellStyle name="Normal 4 4 4 2 6 2" xfId="6832" xr:uid="{00000000-0005-0000-0000-0000C7150000}"/>
    <cellStyle name="Normal 4 4 4 2 6 2 2" xfId="15274" xr:uid="{A80DBEA5-C34C-4D5E-B968-31194BF9A585}"/>
    <cellStyle name="Normal 4 4 4 2 6 3" xfId="11056" xr:uid="{2B70DEB2-E176-4521-81EF-38F784F53F1E}"/>
    <cellStyle name="Normal 4 4 4 2 7" xfId="4767" xr:uid="{00000000-0005-0000-0000-0000C8150000}"/>
    <cellStyle name="Normal 4 4 4 2 7 2" xfId="13209" xr:uid="{CD5F9BB3-06CF-4D3C-92E7-4710815671A3}"/>
    <cellStyle name="Normal 4 4 4 2 8" xfId="8991" xr:uid="{04A35FCD-D4AA-4B03-A82D-798335687424}"/>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1E466594-0D13-43A7-8F06-79F8010A0F21}"/>
    <cellStyle name="Normal 4 4 4 3 2 3" xfId="11548" xr:uid="{200010B7-15EB-4C8D-A48E-00F7B5C3730B}"/>
    <cellStyle name="Normal 4 4 4 3 3" xfId="5179" xr:uid="{00000000-0005-0000-0000-0000CC150000}"/>
    <cellStyle name="Normal 4 4 4 3 3 2" xfId="13621" xr:uid="{B6CAEE54-E99E-472C-A73E-449DD79D47F2}"/>
    <cellStyle name="Normal 4 4 4 3 4" xfId="9403" xr:uid="{66CB0E68-F975-47D0-A1A4-000505D69F21}"/>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CD0A0DD3-7EB6-40B3-B7AE-B3EA1986B659}"/>
    <cellStyle name="Normal 4 4 4 4 2 3" xfId="11961" xr:uid="{830F2EC3-536B-4EFC-A958-307D02EFE7CD}"/>
    <cellStyle name="Normal 4 4 4 4 3" xfId="5592" xr:uid="{00000000-0005-0000-0000-0000D0150000}"/>
    <cellStyle name="Normal 4 4 4 4 3 2" xfId="14034" xr:uid="{A6356A57-A19F-4ACB-A7F4-4361FD3730F7}"/>
    <cellStyle name="Normal 4 4 4 4 4" xfId="9816" xr:uid="{9BDE4B02-473D-45BA-AF4C-82E439AABCCA}"/>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6C7BE15E-6D3C-47F0-8B3D-BBBE2DFA9158}"/>
    <cellStyle name="Normal 4 4 4 5 2 3" xfId="12374" xr:uid="{E1801F43-288E-4A33-931C-3D7A34B5E932}"/>
    <cellStyle name="Normal 4 4 4 5 3" xfId="6005" xr:uid="{00000000-0005-0000-0000-0000D4150000}"/>
    <cellStyle name="Normal 4 4 4 5 3 2" xfId="14447" xr:uid="{60C15362-D0C1-4C65-BCCD-9692C969940C}"/>
    <cellStyle name="Normal 4 4 4 5 4" xfId="10229" xr:uid="{64259C7F-8833-4168-B78E-E18600FFF3DF}"/>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8797D15C-B941-47DC-9CCC-C96E18AB3630}"/>
    <cellStyle name="Normal 4 4 4 6 2 3" xfId="12787" xr:uid="{0E76C043-8396-45F1-97A1-369EA1F33B83}"/>
    <cellStyle name="Normal 4 4 4 6 3" xfId="6418" xr:uid="{00000000-0005-0000-0000-0000D8150000}"/>
    <cellStyle name="Normal 4 4 4 6 3 2" xfId="14860" xr:uid="{BF4EF3D8-BD0E-4F09-BD2B-05C6D680511C}"/>
    <cellStyle name="Normal 4 4 4 6 4" xfId="10642" xr:uid="{197FAE98-7EF5-494C-8309-97CCB976E0FB}"/>
    <cellStyle name="Normal 4 4 4 7" xfId="2547" xr:uid="{00000000-0005-0000-0000-0000D9150000}"/>
    <cellStyle name="Normal 4 4 4 7 2" xfId="6831" xr:uid="{00000000-0005-0000-0000-0000DA150000}"/>
    <cellStyle name="Normal 4 4 4 7 2 2" xfId="15273" xr:uid="{6D13D0B2-8568-479C-94A9-9FAAE22789A9}"/>
    <cellStyle name="Normal 4 4 4 7 3" xfId="11055" xr:uid="{17EB2E8A-1EC1-4B46-AC60-7396D4DF6ED9}"/>
    <cellStyle name="Normal 4 4 4 8" xfId="4766" xr:uid="{00000000-0005-0000-0000-0000DB150000}"/>
    <cellStyle name="Normal 4 4 4 8 2" xfId="13208" xr:uid="{8E115CC4-8D99-440E-A6CF-73CE0F543297}"/>
    <cellStyle name="Normal 4 4 4 9" xfId="8990" xr:uid="{11B5C03B-1E2F-41FA-A313-52987F88F018}"/>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6A70B3A4-15A0-4315-8CDA-DF200A9085CB}"/>
    <cellStyle name="Normal 4 4 5 2 2 3" xfId="11550" xr:uid="{D203A4C3-7D94-4A33-A8F7-F42E09F51C54}"/>
    <cellStyle name="Normal 4 4 5 2 3" xfId="5181" xr:uid="{00000000-0005-0000-0000-0000E0150000}"/>
    <cellStyle name="Normal 4 4 5 2 3 2" xfId="13623" xr:uid="{B74268FD-DB92-43FF-9C39-53339AE299F2}"/>
    <cellStyle name="Normal 4 4 5 2 4" xfId="9405" xr:uid="{D200BE9E-264B-45D9-A1DC-81E70340B17E}"/>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BA0DEE4C-B1C3-4930-8892-F3350C130946}"/>
    <cellStyle name="Normal 4 4 5 3 2 3" xfId="11963" xr:uid="{3DD7287A-890A-4224-9147-F7DAC4520D9D}"/>
    <cellStyle name="Normal 4 4 5 3 3" xfId="5594" xr:uid="{00000000-0005-0000-0000-0000E4150000}"/>
    <cellStyle name="Normal 4 4 5 3 3 2" xfId="14036" xr:uid="{79D6E99A-BF3E-429B-BBB7-59A0ADCB6830}"/>
    <cellStyle name="Normal 4 4 5 3 4" xfId="9818" xr:uid="{F6E8B716-17CB-4DED-BD52-4B1C5BDC75A3}"/>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87593F6D-9EFE-44BC-8864-F80937A735BC}"/>
    <cellStyle name="Normal 4 4 5 4 2 3" xfId="12376" xr:uid="{14BAC9B5-1F04-444D-9D12-D72B5D63E556}"/>
    <cellStyle name="Normal 4 4 5 4 3" xfId="6007" xr:uid="{00000000-0005-0000-0000-0000E8150000}"/>
    <cellStyle name="Normal 4 4 5 4 3 2" xfId="14449" xr:uid="{D19BB88C-4457-460D-8BFC-CA5724BFCEE9}"/>
    <cellStyle name="Normal 4 4 5 4 4" xfId="10231" xr:uid="{EF074EF0-2C7E-40F1-8EE7-B830185BC416}"/>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06392900-99C7-4822-BB36-8E6D652B691C}"/>
    <cellStyle name="Normal 4 4 5 5 2 3" xfId="12789" xr:uid="{C97B4B19-5E0A-437A-95D9-8B2982CA6587}"/>
    <cellStyle name="Normal 4 4 5 5 3" xfId="6420" xr:uid="{00000000-0005-0000-0000-0000EC150000}"/>
    <cellStyle name="Normal 4 4 5 5 3 2" xfId="14862" xr:uid="{2A51F2AF-C2B8-4C6E-91BE-429934869859}"/>
    <cellStyle name="Normal 4 4 5 5 4" xfId="10644" xr:uid="{C7936532-5AD4-473B-8541-CE74319318AF}"/>
    <cellStyle name="Normal 4 4 5 6" xfId="2549" xr:uid="{00000000-0005-0000-0000-0000ED150000}"/>
    <cellStyle name="Normal 4 4 5 6 2" xfId="6833" xr:uid="{00000000-0005-0000-0000-0000EE150000}"/>
    <cellStyle name="Normal 4 4 5 6 2 2" xfId="15275" xr:uid="{628A4FBE-2409-4E1E-9ED3-2AF95384242C}"/>
    <cellStyle name="Normal 4 4 5 6 3" xfId="11057" xr:uid="{5A275551-9488-4124-B57F-AD415C9897FB}"/>
    <cellStyle name="Normal 4 4 5 7" xfId="4768" xr:uid="{00000000-0005-0000-0000-0000EF150000}"/>
    <cellStyle name="Normal 4 4 5 7 2" xfId="13210" xr:uid="{A2EAEF95-9343-4649-AFC4-2467402062DC}"/>
    <cellStyle name="Normal 4 4 5 8" xfId="8992" xr:uid="{98298914-D803-4418-84FC-975B99C64854}"/>
    <cellStyle name="Normal 4 4 6" xfId="853" xr:uid="{00000000-0005-0000-0000-0000F0150000}"/>
    <cellStyle name="Normal 4 4 6 2" xfId="3088" xr:uid="{00000000-0005-0000-0000-0000F1150000}"/>
    <cellStyle name="Normal 4 4 6 2 2" xfId="7311" xr:uid="{00000000-0005-0000-0000-0000F2150000}"/>
    <cellStyle name="Normal 4 4 6 2 2 2" xfId="15753" xr:uid="{DF283AE1-3A31-4AA8-92AB-FD81F915CB2A}"/>
    <cellStyle name="Normal 4 4 6 2 3" xfId="11535" xr:uid="{4356C266-0E9E-4E26-960A-E219FE815C8A}"/>
    <cellStyle name="Normal 4 4 6 3" xfId="5166" xr:uid="{00000000-0005-0000-0000-0000F3150000}"/>
    <cellStyle name="Normal 4 4 6 3 2" xfId="13608" xr:uid="{3CC7D686-4BA3-47EF-8C81-0F17E5A564F6}"/>
    <cellStyle name="Normal 4 4 6 4" xfId="9390" xr:uid="{FC1EBCA5-75EC-4DFA-8134-90CD323F8C8A}"/>
    <cellStyle name="Normal 4 4 7" xfId="1271" xr:uid="{00000000-0005-0000-0000-0000F4150000}"/>
    <cellStyle name="Normal 4 4 7 2" xfId="3501" xr:uid="{00000000-0005-0000-0000-0000F5150000}"/>
    <cellStyle name="Normal 4 4 7 2 2" xfId="7724" xr:uid="{00000000-0005-0000-0000-0000F6150000}"/>
    <cellStyle name="Normal 4 4 7 2 2 2" xfId="16166" xr:uid="{09B01B56-37BC-4229-9FC4-7723586178DB}"/>
    <cellStyle name="Normal 4 4 7 2 3" xfId="11948" xr:uid="{51846B74-A4F0-413A-9B6D-4BBF9E11C6DD}"/>
    <cellStyle name="Normal 4 4 7 3" xfId="5579" xr:uid="{00000000-0005-0000-0000-0000F7150000}"/>
    <cellStyle name="Normal 4 4 7 3 2" xfId="14021" xr:uid="{74417485-77DE-4B1A-A16F-13554FD36B51}"/>
    <cellStyle name="Normal 4 4 7 4" xfId="9803" xr:uid="{5D3BE770-515E-4B64-9FFC-0F1FDA78B1CD}"/>
    <cellStyle name="Normal 4 4 8" xfId="1684" xr:uid="{00000000-0005-0000-0000-0000F8150000}"/>
    <cellStyle name="Normal 4 4 8 2" xfId="3914" xr:uid="{00000000-0005-0000-0000-0000F9150000}"/>
    <cellStyle name="Normal 4 4 8 2 2" xfId="8137" xr:uid="{00000000-0005-0000-0000-0000FA150000}"/>
    <cellStyle name="Normal 4 4 8 2 2 2" xfId="16579" xr:uid="{B58E9A13-AACA-44DE-B3F7-344FBB28F71D}"/>
    <cellStyle name="Normal 4 4 8 2 3" xfId="12361" xr:uid="{739326D3-4CC4-4E58-A7FA-428D9A76642E}"/>
    <cellStyle name="Normal 4 4 8 3" xfId="5992" xr:uid="{00000000-0005-0000-0000-0000FB150000}"/>
    <cellStyle name="Normal 4 4 8 3 2" xfId="14434" xr:uid="{1CE585B3-1403-4D23-ACA2-351B5938CC38}"/>
    <cellStyle name="Normal 4 4 8 4" xfId="10216" xr:uid="{2D09B261-00CF-478B-90A8-AEF20F27ECBD}"/>
    <cellStyle name="Normal 4 4 9" xfId="2098" xr:uid="{00000000-0005-0000-0000-0000FC150000}"/>
    <cellStyle name="Normal 4 4 9 2" xfId="4327" xr:uid="{00000000-0005-0000-0000-0000FD150000}"/>
    <cellStyle name="Normal 4 4 9 2 2" xfId="8550" xr:uid="{00000000-0005-0000-0000-0000FE150000}"/>
    <cellStyle name="Normal 4 4 9 2 2 2" xfId="16992" xr:uid="{01C17235-7C06-4BF8-9E49-DF9AE8C0959C}"/>
    <cellStyle name="Normal 4 4 9 2 3" xfId="12774" xr:uid="{3CC871CD-CD28-4702-BAB8-F980C67E20D0}"/>
    <cellStyle name="Normal 4 4 9 3" xfId="6405" xr:uid="{00000000-0005-0000-0000-0000FF150000}"/>
    <cellStyle name="Normal 4 4 9 3 2" xfId="14847" xr:uid="{C1F523C9-A213-48C3-BD56-BE7A8FD84915}"/>
    <cellStyle name="Normal 4 4 9 4" xfId="10629" xr:uid="{93CF252D-5179-421B-990D-8E3500DA6E0F}"/>
    <cellStyle name="Normal 4 5" xfId="394" xr:uid="{00000000-0005-0000-0000-000000160000}"/>
    <cellStyle name="Normal 4 6" xfId="395" xr:uid="{00000000-0005-0000-0000-000001160000}"/>
    <cellStyle name="Normal 4 6 10" xfId="4769" xr:uid="{00000000-0005-0000-0000-000002160000}"/>
    <cellStyle name="Normal 4 6 10 2" xfId="13211" xr:uid="{9C43B954-33CE-498A-9795-DBFE27C7E01D}"/>
    <cellStyle name="Normal 4 6 11" xfId="8993" xr:uid="{D76B45B6-AE4A-4AE9-9678-286AE3B10958}"/>
    <cellStyle name="Normal 4 6 2" xfId="396" xr:uid="{00000000-0005-0000-0000-000003160000}"/>
    <cellStyle name="Normal 4 6 2 10" xfId="8994" xr:uid="{980B01C8-3EB6-4305-BC9F-C1AD4D86CF91}"/>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F407F527-1005-490C-A14E-E6AA576807B8}"/>
    <cellStyle name="Normal 4 6 2 2 2 2 2 3" xfId="11554" xr:uid="{075868DE-D964-4E6A-BC65-93E3520323B2}"/>
    <cellStyle name="Normal 4 6 2 2 2 2 3" xfId="5185" xr:uid="{00000000-0005-0000-0000-000009160000}"/>
    <cellStyle name="Normal 4 6 2 2 2 2 3 2" xfId="13627" xr:uid="{DB3638BA-EABD-4644-A82E-8F581F62FE13}"/>
    <cellStyle name="Normal 4 6 2 2 2 2 4" xfId="9409" xr:uid="{AA42FB94-5A1B-4D67-AD7F-5E7B7B2FB95A}"/>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C0E7F9E1-D01B-4A06-91C5-014591BCC3E1}"/>
    <cellStyle name="Normal 4 6 2 2 2 3 2 3" xfId="11967" xr:uid="{AA2EC260-5F97-46FE-BB5F-E23A57B0B5DF}"/>
    <cellStyle name="Normal 4 6 2 2 2 3 3" xfId="5598" xr:uid="{00000000-0005-0000-0000-00000D160000}"/>
    <cellStyle name="Normal 4 6 2 2 2 3 3 2" xfId="14040" xr:uid="{D19985C9-36E1-4BBB-98E0-60F024E39935}"/>
    <cellStyle name="Normal 4 6 2 2 2 3 4" xfId="9822" xr:uid="{A9C45FC7-28DB-4EA1-9C18-8F5E8542586C}"/>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6597CBFD-CEAB-47BC-96B0-435C981EA8A2}"/>
    <cellStyle name="Normal 4 6 2 2 2 4 2 3" xfId="12380" xr:uid="{BE3BF9D0-F9C7-4D15-90D4-6AA48B8F0C6F}"/>
    <cellStyle name="Normal 4 6 2 2 2 4 3" xfId="6011" xr:uid="{00000000-0005-0000-0000-000011160000}"/>
    <cellStyle name="Normal 4 6 2 2 2 4 3 2" xfId="14453" xr:uid="{14B21BC7-032B-4608-8C6D-E660140F7D3D}"/>
    <cellStyle name="Normal 4 6 2 2 2 4 4" xfId="10235" xr:uid="{16DA0C59-995C-4179-B224-AED586F734FF}"/>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3B7749C8-5FB9-4788-8036-FD60DF37A0A0}"/>
    <cellStyle name="Normal 4 6 2 2 2 5 2 3" xfId="12793" xr:uid="{171F7902-D10E-4D92-BB4C-A003162CBBEE}"/>
    <cellStyle name="Normal 4 6 2 2 2 5 3" xfId="6424" xr:uid="{00000000-0005-0000-0000-000015160000}"/>
    <cellStyle name="Normal 4 6 2 2 2 5 3 2" xfId="14866" xr:uid="{D58EFBE7-C88B-47DE-82C4-769FA1748962}"/>
    <cellStyle name="Normal 4 6 2 2 2 5 4" xfId="10648" xr:uid="{C3FFC3A5-8BE9-4F52-8A5E-C8E8AB9A1BCB}"/>
    <cellStyle name="Normal 4 6 2 2 2 6" xfId="2553" xr:uid="{00000000-0005-0000-0000-000016160000}"/>
    <cellStyle name="Normal 4 6 2 2 2 6 2" xfId="6837" xr:uid="{00000000-0005-0000-0000-000017160000}"/>
    <cellStyle name="Normal 4 6 2 2 2 6 2 2" xfId="15279" xr:uid="{DE513A81-BDDE-4EE8-B1E0-E700C5585DFE}"/>
    <cellStyle name="Normal 4 6 2 2 2 6 3" xfId="11061" xr:uid="{7FB97C9C-9288-42FE-A92E-ED4CEF609948}"/>
    <cellStyle name="Normal 4 6 2 2 2 7" xfId="4772" xr:uid="{00000000-0005-0000-0000-000018160000}"/>
    <cellStyle name="Normal 4 6 2 2 2 7 2" xfId="13214" xr:uid="{293323FF-CA0D-4531-B80E-1E43A86D12ED}"/>
    <cellStyle name="Normal 4 6 2 2 2 8" xfId="8996" xr:uid="{31785991-E082-48A1-A1F5-9D6E81D587B1}"/>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0C381E55-E2D4-40B1-BAC0-9868C36239FF}"/>
    <cellStyle name="Normal 4 6 2 2 3 2 3" xfId="11553" xr:uid="{F0EA7E89-29B3-44EB-8701-45E21EF04C9E}"/>
    <cellStyle name="Normal 4 6 2 2 3 3" xfId="5184" xr:uid="{00000000-0005-0000-0000-00001C160000}"/>
    <cellStyle name="Normal 4 6 2 2 3 3 2" xfId="13626" xr:uid="{0A0F757E-995C-4D21-BEFE-B0DD40192AC8}"/>
    <cellStyle name="Normal 4 6 2 2 3 4" xfId="9408" xr:uid="{D627B70E-3845-4A90-90E2-E9794D29D4DE}"/>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A7BF4C5C-3060-4B9F-880B-119C283CBECC}"/>
    <cellStyle name="Normal 4 6 2 2 4 2 3" xfId="11966" xr:uid="{103D01EE-7117-45A9-927B-7A488117FB80}"/>
    <cellStyle name="Normal 4 6 2 2 4 3" xfId="5597" xr:uid="{00000000-0005-0000-0000-000020160000}"/>
    <cellStyle name="Normal 4 6 2 2 4 3 2" xfId="14039" xr:uid="{72156276-041C-411E-ABF3-FDCCF22EBF87}"/>
    <cellStyle name="Normal 4 6 2 2 4 4" xfId="9821" xr:uid="{2418AB25-176A-48CC-8FDF-2E0948812E20}"/>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01D0E805-9FAB-49B3-B742-9F61768370BA}"/>
    <cellStyle name="Normal 4 6 2 2 5 2 3" xfId="12379" xr:uid="{934B6B27-E510-4AAC-A03C-B2B2EF6110C7}"/>
    <cellStyle name="Normal 4 6 2 2 5 3" xfId="6010" xr:uid="{00000000-0005-0000-0000-000024160000}"/>
    <cellStyle name="Normal 4 6 2 2 5 3 2" xfId="14452" xr:uid="{9FF3A2D7-FC7B-4506-99E1-4B9212B45E0B}"/>
    <cellStyle name="Normal 4 6 2 2 5 4" xfId="10234" xr:uid="{67812F65-5682-49E1-9A6F-6451F62E7461}"/>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528A5AB5-303D-4B50-8872-4ECF8FEC022A}"/>
    <cellStyle name="Normal 4 6 2 2 6 2 3" xfId="12792" xr:uid="{AA9A009A-8F32-4803-9A0F-81D314CC5611}"/>
    <cellStyle name="Normal 4 6 2 2 6 3" xfId="6423" xr:uid="{00000000-0005-0000-0000-000028160000}"/>
    <cellStyle name="Normal 4 6 2 2 6 3 2" xfId="14865" xr:uid="{922BDFEB-BC19-43C7-8138-E6A88BC9DF94}"/>
    <cellStyle name="Normal 4 6 2 2 6 4" xfId="10647" xr:uid="{C43EB567-8ECE-44F5-B56E-655A27EF065E}"/>
    <cellStyle name="Normal 4 6 2 2 7" xfId="2552" xr:uid="{00000000-0005-0000-0000-000029160000}"/>
    <cellStyle name="Normal 4 6 2 2 7 2" xfId="6836" xr:uid="{00000000-0005-0000-0000-00002A160000}"/>
    <cellStyle name="Normal 4 6 2 2 7 2 2" xfId="15278" xr:uid="{E6355A40-7453-4DBC-8991-FBE7B33A0F45}"/>
    <cellStyle name="Normal 4 6 2 2 7 3" xfId="11060" xr:uid="{BF6E27B3-304D-41DF-BD5D-33630EDB75AA}"/>
    <cellStyle name="Normal 4 6 2 2 8" xfId="4771" xr:uid="{00000000-0005-0000-0000-00002B160000}"/>
    <cellStyle name="Normal 4 6 2 2 8 2" xfId="13213" xr:uid="{FA1B9AB5-A2E5-4945-998E-01B8CFBFA39A}"/>
    <cellStyle name="Normal 4 6 2 2 9" xfId="8995" xr:uid="{7448ABF7-8E64-4D40-8A73-55320EB6989D}"/>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64C255D4-823A-451B-8BB9-608002342497}"/>
    <cellStyle name="Normal 4 6 2 3 2 2 3" xfId="11555" xr:uid="{89F0373E-EE68-469D-B7B6-DFEFCA399FDF}"/>
    <cellStyle name="Normal 4 6 2 3 2 3" xfId="5186" xr:uid="{00000000-0005-0000-0000-000030160000}"/>
    <cellStyle name="Normal 4 6 2 3 2 3 2" xfId="13628" xr:uid="{2ACF0CD2-6C28-4B28-BC7A-8C62E653098C}"/>
    <cellStyle name="Normal 4 6 2 3 2 4" xfId="9410" xr:uid="{41981304-D274-4A7B-B4DF-B0D0CD273B7B}"/>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A67FE659-19C5-46A1-96D8-285F1187B993}"/>
    <cellStyle name="Normal 4 6 2 3 3 2 3" xfId="11968" xr:uid="{5A4D1E69-EE04-4E92-BE8F-0FB7CAB32774}"/>
    <cellStyle name="Normal 4 6 2 3 3 3" xfId="5599" xr:uid="{00000000-0005-0000-0000-000034160000}"/>
    <cellStyle name="Normal 4 6 2 3 3 3 2" xfId="14041" xr:uid="{CD5239ED-E51B-4AE6-87AF-7EA644D6C134}"/>
    <cellStyle name="Normal 4 6 2 3 3 4" xfId="9823" xr:uid="{C0278B63-A372-4AA3-8B44-BBE8C0999101}"/>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56189552-0DF2-42A0-A5F9-4B5D1024BC25}"/>
    <cellStyle name="Normal 4 6 2 3 4 2 3" xfId="12381" xr:uid="{6B5E1F65-AF2F-4547-93BF-217B95CE3436}"/>
    <cellStyle name="Normal 4 6 2 3 4 3" xfId="6012" xr:uid="{00000000-0005-0000-0000-000038160000}"/>
    <cellStyle name="Normal 4 6 2 3 4 3 2" xfId="14454" xr:uid="{F80C1130-982D-465D-9406-F95FD801FA05}"/>
    <cellStyle name="Normal 4 6 2 3 4 4" xfId="10236" xr:uid="{62FAABEA-BF51-42B6-8F96-C15241FC38CE}"/>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0B7258D7-B04A-4791-A4C7-EC522200811D}"/>
    <cellStyle name="Normal 4 6 2 3 5 2 3" xfId="12794" xr:uid="{76381DEE-037E-4138-8FD8-EB8460EA0C59}"/>
    <cellStyle name="Normal 4 6 2 3 5 3" xfId="6425" xr:uid="{00000000-0005-0000-0000-00003C160000}"/>
    <cellStyle name="Normal 4 6 2 3 5 3 2" xfId="14867" xr:uid="{CE97E60D-9830-4B30-B538-935368159D64}"/>
    <cellStyle name="Normal 4 6 2 3 5 4" xfId="10649" xr:uid="{00ED4EFC-A810-49AB-A52B-1C7901300503}"/>
    <cellStyle name="Normal 4 6 2 3 6" xfId="2554" xr:uid="{00000000-0005-0000-0000-00003D160000}"/>
    <cellStyle name="Normal 4 6 2 3 6 2" xfId="6838" xr:uid="{00000000-0005-0000-0000-00003E160000}"/>
    <cellStyle name="Normal 4 6 2 3 6 2 2" xfId="15280" xr:uid="{9ACDD5C0-3B8C-4D5C-8845-6B8B99C6F8C9}"/>
    <cellStyle name="Normal 4 6 2 3 6 3" xfId="11062" xr:uid="{6E69904B-5183-4C26-9E2B-2A325409A522}"/>
    <cellStyle name="Normal 4 6 2 3 7" xfId="4773" xr:uid="{00000000-0005-0000-0000-00003F160000}"/>
    <cellStyle name="Normal 4 6 2 3 7 2" xfId="13215" xr:uid="{C695E320-B70D-467C-BD82-BDBC22CF88B7}"/>
    <cellStyle name="Normal 4 6 2 3 8" xfId="8997" xr:uid="{DC35C66D-02BB-4C79-9776-89495B3D3B89}"/>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14E01819-00D6-4A37-A76C-9127065E9FC8}"/>
    <cellStyle name="Normal 4 6 2 4 2 3" xfId="11552" xr:uid="{FA47AA3B-1513-4A8B-AB33-EBC7054EE1D4}"/>
    <cellStyle name="Normal 4 6 2 4 3" xfId="5183" xr:uid="{00000000-0005-0000-0000-000043160000}"/>
    <cellStyle name="Normal 4 6 2 4 3 2" xfId="13625" xr:uid="{EA05D64C-5228-4E66-B3A3-CA6F99D8B1C5}"/>
    <cellStyle name="Normal 4 6 2 4 4" xfId="9407" xr:uid="{6FE0CAE2-C53C-45DC-B299-65DEF570DE50}"/>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492B36E-3C18-47A7-8DE7-61D0140DD939}"/>
    <cellStyle name="Normal 4 6 2 5 2 3" xfId="11965" xr:uid="{DB58718A-6913-45F9-AC56-675456D7D845}"/>
    <cellStyle name="Normal 4 6 2 5 3" xfId="5596" xr:uid="{00000000-0005-0000-0000-000047160000}"/>
    <cellStyle name="Normal 4 6 2 5 3 2" xfId="14038" xr:uid="{3596786C-5B09-46D7-A681-D5E529013996}"/>
    <cellStyle name="Normal 4 6 2 5 4" xfId="9820" xr:uid="{1E80CAF8-00B4-47F2-BD80-726AFB53E0BC}"/>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80DA039F-8E61-439A-8412-10DFA943EC56}"/>
    <cellStyle name="Normal 4 6 2 6 2 3" xfId="12378" xr:uid="{3D720873-6D97-4673-92A0-53100B99832A}"/>
    <cellStyle name="Normal 4 6 2 6 3" xfId="6009" xr:uid="{00000000-0005-0000-0000-00004B160000}"/>
    <cellStyle name="Normal 4 6 2 6 3 2" xfId="14451" xr:uid="{F7C0E1C5-FA50-46F5-ACC4-81B56CD51F2E}"/>
    <cellStyle name="Normal 4 6 2 6 4" xfId="10233" xr:uid="{4D7C6629-6080-4241-90F6-97EB585A9798}"/>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28332E1B-D3DD-4F78-9D8E-0DE8CA065BDA}"/>
    <cellStyle name="Normal 4 6 2 7 2 3" xfId="12791" xr:uid="{BB18B082-6E0C-43F6-BBFE-C59B18DB5552}"/>
    <cellStyle name="Normal 4 6 2 7 3" xfId="6422" xr:uid="{00000000-0005-0000-0000-00004F160000}"/>
    <cellStyle name="Normal 4 6 2 7 3 2" xfId="14864" xr:uid="{15A85231-CBA1-4880-912B-3164F129280F}"/>
    <cellStyle name="Normal 4 6 2 7 4" xfId="10646" xr:uid="{AF0CE90C-1A42-4A11-BB7C-521DA43B3C07}"/>
    <cellStyle name="Normal 4 6 2 8" xfId="2551" xr:uid="{00000000-0005-0000-0000-000050160000}"/>
    <cellStyle name="Normal 4 6 2 8 2" xfId="6835" xr:uid="{00000000-0005-0000-0000-000051160000}"/>
    <cellStyle name="Normal 4 6 2 8 2 2" xfId="15277" xr:uid="{086AEAD5-4694-472D-B6AA-49ABA3CF154F}"/>
    <cellStyle name="Normal 4 6 2 8 3" xfId="11059" xr:uid="{47A2553F-B03F-4DB4-A8C3-52D9DE6921A5}"/>
    <cellStyle name="Normal 4 6 2 9" xfId="4770" xr:uid="{00000000-0005-0000-0000-000052160000}"/>
    <cellStyle name="Normal 4 6 2 9 2" xfId="13212" xr:uid="{EE3CEFBA-1AB8-4E05-B349-1BA0593C3D41}"/>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63B0B785-E66C-4EEA-BA0B-BB282EA56616}"/>
    <cellStyle name="Normal 4 6 3 2 2 2 3" xfId="11557" xr:uid="{E5C381F0-D289-4144-A8EA-C179B472B383}"/>
    <cellStyle name="Normal 4 6 3 2 2 3" xfId="5188" xr:uid="{00000000-0005-0000-0000-000058160000}"/>
    <cellStyle name="Normal 4 6 3 2 2 3 2" xfId="13630" xr:uid="{DE3C4771-7FBD-401D-A0C9-3BF503AA00E7}"/>
    <cellStyle name="Normal 4 6 3 2 2 4" xfId="9412" xr:uid="{3DEA094F-9244-428C-AC1F-60B615D3D2D8}"/>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9E1AC7EF-B0CB-4BBC-94FD-20F8640EF2B8}"/>
    <cellStyle name="Normal 4 6 3 2 3 2 3" xfId="11970" xr:uid="{3524D975-1C29-4CF9-B602-6A0B065A1BD4}"/>
    <cellStyle name="Normal 4 6 3 2 3 3" xfId="5601" xr:uid="{00000000-0005-0000-0000-00005C160000}"/>
    <cellStyle name="Normal 4 6 3 2 3 3 2" xfId="14043" xr:uid="{F59081E7-3F0B-44D5-AA20-4D3F54182721}"/>
    <cellStyle name="Normal 4 6 3 2 3 4" xfId="9825" xr:uid="{1F7EC58B-A391-4D8E-B0C3-52CDD7D759BD}"/>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89BC9A8D-EDD8-4F75-A6F1-CDE87EE5AE56}"/>
    <cellStyle name="Normal 4 6 3 2 4 2 3" xfId="12383" xr:uid="{A153705D-B8CA-463E-8EAC-A9E69465726B}"/>
    <cellStyle name="Normal 4 6 3 2 4 3" xfId="6014" xr:uid="{00000000-0005-0000-0000-000060160000}"/>
    <cellStyle name="Normal 4 6 3 2 4 3 2" xfId="14456" xr:uid="{D68ABA5A-95E2-47E5-8EBF-7B116D52F2E0}"/>
    <cellStyle name="Normal 4 6 3 2 4 4" xfId="10238" xr:uid="{B73EDF17-1B8B-44AB-8491-CB18875489F6}"/>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285C1FC4-1973-40E6-BBCA-0A953FDAD56A}"/>
    <cellStyle name="Normal 4 6 3 2 5 2 3" xfId="12796" xr:uid="{CD1BC564-FAEE-4878-AEF7-E8AF417005AB}"/>
    <cellStyle name="Normal 4 6 3 2 5 3" xfId="6427" xr:uid="{00000000-0005-0000-0000-000064160000}"/>
    <cellStyle name="Normal 4 6 3 2 5 3 2" xfId="14869" xr:uid="{B552F0AE-2B69-4D2C-BC16-27C86DE0E046}"/>
    <cellStyle name="Normal 4 6 3 2 5 4" xfId="10651" xr:uid="{BACB8E8E-CAA1-48DF-8D2E-329AB2C4374D}"/>
    <cellStyle name="Normal 4 6 3 2 6" xfId="2556" xr:uid="{00000000-0005-0000-0000-000065160000}"/>
    <cellStyle name="Normal 4 6 3 2 6 2" xfId="6840" xr:uid="{00000000-0005-0000-0000-000066160000}"/>
    <cellStyle name="Normal 4 6 3 2 6 2 2" xfId="15282" xr:uid="{94600A51-0B86-4E69-BDC8-36C9272640D4}"/>
    <cellStyle name="Normal 4 6 3 2 6 3" xfId="11064" xr:uid="{E621AE14-9DEA-42A6-AC5D-D28FC9E3F2BE}"/>
    <cellStyle name="Normal 4 6 3 2 7" xfId="4775" xr:uid="{00000000-0005-0000-0000-000067160000}"/>
    <cellStyle name="Normal 4 6 3 2 7 2" xfId="13217" xr:uid="{219C258A-D2D1-424A-A456-404CC56DF582}"/>
    <cellStyle name="Normal 4 6 3 2 8" xfId="8999" xr:uid="{9644096E-2AF7-4E4C-A5D9-4F0115119929}"/>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B1DA0252-D985-4DE0-9DAD-040E103E76E5}"/>
    <cellStyle name="Normal 4 6 3 3 2 3" xfId="11556" xr:uid="{F2ADB297-BA68-4CAE-A1A9-FC5840C49466}"/>
    <cellStyle name="Normal 4 6 3 3 3" xfId="5187" xr:uid="{00000000-0005-0000-0000-00006B160000}"/>
    <cellStyle name="Normal 4 6 3 3 3 2" xfId="13629" xr:uid="{586D02EE-E232-4DC3-924F-9F2BBB5AFB4A}"/>
    <cellStyle name="Normal 4 6 3 3 4" xfId="9411" xr:uid="{A5FB6044-7B24-4271-845E-C37A07DF6D49}"/>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A80731B8-8639-4719-8BCC-93873EF9CFFD}"/>
    <cellStyle name="Normal 4 6 3 4 2 3" xfId="11969" xr:uid="{208CBA16-2DE7-4865-AE8A-A311579D3DDD}"/>
    <cellStyle name="Normal 4 6 3 4 3" xfId="5600" xr:uid="{00000000-0005-0000-0000-00006F160000}"/>
    <cellStyle name="Normal 4 6 3 4 3 2" xfId="14042" xr:uid="{7E30295C-904A-49CD-8164-BE7791C82CF3}"/>
    <cellStyle name="Normal 4 6 3 4 4" xfId="9824" xr:uid="{8436D76A-377D-4B18-A7F0-4EF0868F5F70}"/>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F585866D-622D-4249-A39D-B164547E6D0F}"/>
    <cellStyle name="Normal 4 6 3 5 2 3" xfId="12382" xr:uid="{32A2A320-3FC7-4517-8C97-9E4D64840F0F}"/>
    <cellStyle name="Normal 4 6 3 5 3" xfId="6013" xr:uid="{00000000-0005-0000-0000-000073160000}"/>
    <cellStyle name="Normal 4 6 3 5 3 2" xfId="14455" xr:uid="{7051020D-C338-44A8-942A-13B2DB795E47}"/>
    <cellStyle name="Normal 4 6 3 5 4" xfId="10237" xr:uid="{C4E4418E-184A-49F6-9D63-1703F7D1C0EE}"/>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0D48602D-08F9-486D-BF19-A2289CD93F19}"/>
    <cellStyle name="Normal 4 6 3 6 2 3" xfId="12795" xr:uid="{E9FF8C4D-6A3D-408C-ACA5-6E41F1D32F79}"/>
    <cellStyle name="Normal 4 6 3 6 3" xfId="6426" xr:uid="{00000000-0005-0000-0000-000077160000}"/>
    <cellStyle name="Normal 4 6 3 6 3 2" xfId="14868" xr:uid="{1899B39D-95CD-46FA-95C5-3AC8DA59D1BC}"/>
    <cellStyle name="Normal 4 6 3 6 4" xfId="10650" xr:uid="{2BFEBDE2-61D1-4B5E-AC08-992417AAA3BE}"/>
    <cellStyle name="Normal 4 6 3 7" xfId="2555" xr:uid="{00000000-0005-0000-0000-000078160000}"/>
    <cellStyle name="Normal 4 6 3 7 2" xfId="6839" xr:uid="{00000000-0005-0000-0000-000079160000}"/>
    <cellStyle name="Normal 4 6 3 7 2 2" xfId="15281" xr:uid="{5F99BA3D-1BD8-453F-8765-36A999DDC384}"/>
    <cellStyle name="Normal 4 6 3 7 3" xfId="11063" xr:uid="{987394BC-CC55-4CC6-977E-0A93E605B6D6}"/>
    <cellStyle name="Normal 4 6 3 8" xfId="4774" xr:uid="{00000000-0005-0000-0000-00007A160000}"/>
    <cellStyle name="Normal 4 6 3 8 2" xfId="13216" xr:uid="{E8863421-1A07-42B3-89F5-3E91FFF31A94}"/>
    <cellStyle name="Normal 4 6 3 9" xfId="8998" xr:uid="{091DB723-0D5B-48C9-8444-9B16698139F3}"/>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8475E017-2944-4C19-92EB-D1976781A43E}"/>
    <cellStyle name="Normal 4 6 4 2 2 3" xfId="11558" xr:uid="{916189E9-A45F-4956-A9AB-7E4BAC309A95}"/>
    <cellStyle name="Normal 4 6 4 2 3" xfId="5189" xr:uid="{00000000-0005-0000-0000-00007F160000}"/>
    <cellStyle name="Normal 4 6 4 2 3 2" xfId="13631" xr:uid="{A6B51095-441B-4670-91C9-56F397E01572}"/>
    <cellStyle name="Normal 4 6 4 2 4" xfId="9413" xr:uid="{689B3247-9012-4E60-89B5-CAA45CDD771C}"/>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365AA412-AFE2-442C-8312-8C1C088C3423}"/>
    <cellStyle name="Normal 4 6 4 3 2 3" xfId="11971" xr:uid="{73CDC731-A79C-4E37-B44F-915BA8AEFA7B}"/>
    <cellStyle name="Normal 4 6 4 3 3" xfId="5602" xr:uid="{00000000-0005-0000-0000-000083160000}"/>
    <cellStyle name="Normal 4 6 4 3 3 2" xfId="14044" xr:uid="{100C2EA7-5E56-4208-82D8-8EC59FDCDC89}"/>
    <cellStyle name="Normal 4 6 4 3 4" xfId="9826" xr:uid="{F2A52B5E-35CF-496F-8B85-5230CF3B826F}"/>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DF73ECE9-079B-411D-8A79-56C52FE44BBD}"/>
    <cellStyle name="Normal 4 6 4 4 2 3" xfId="12384" xr:uid="{042648D9-CF16-4E1E-9242-E0261DF17D93}"/>
    <cellStyle name="Normal 4 6 4 4 3" xfId="6015" xr:uid="{00000000-0005-0000-0000-000087160000}"/>
    <cellStyle name="Normal 4 6 4 4 3 2" xfId="14457" xr:uid="{19855E39-1BB2-4FE9-96FF-A8E75F5E9C42}"/>
    <cellStyle name="Normal 4 6 4 4 4" xfId="10239" xr:uid="{526761A8-678F-4B0F-A158-6CEE46428713}"/>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D4B4E644-FD25-47E9-94C3-A5B31B59892A}"/>
    <cellStyle name="Normal 4 6 4 5 2 3" xfId="12797" xr:uid="{2FEEFB74-9646-48F8-8F79-FA6C2D8CF3F5}"/>
    <cellStyle name="Normal 4 6 4 5 3" xfId="6428" xr:uid="{00000000-0005-0000-0000-00008B160000}"/>
    <cellStyle name="Normal 4 6 4 5 3 2" xfId="14870" xr:uid="{81F70135-386B-43B9-840F-647D4CB4F0CC}"/>
    <cellStyle name="Normal 4 6 4 5 4" xfId="10652" xr:uid="{263C94B8-53DD-45CD-B8DF-FD3A4F3C6BF2}"/>
    <cellStyle name="Normal 4 6 4 6" xfId="2557" xr:uid="{00000000-0005-0000-0000-00008C160000}"/>
    <cellStyle name="Normal 4 6 4 6 2" xfId="6841" xr:uid="{00000000-0005-0000-0000-00008D160000}"/>
    <cellStyle name="Normal 4 6 4 6 2 2" xfId="15283" xr:uid="{BC8A3E37-F57E-4998-9ACD-E9606084AEFB}"/>
    <cellStyle name="Normal 4 6 4 6 3" xfId="11065" xr:uid="{13AFD901-9492-45EF-9916-A69C2C366BC9}"/>
    <cellStyle name="Normal 4 6 4 7" xfId="4776" xr:uid="{00000000-0005-0000-0000-00008E160000}"/>
    <cellStyle name="Normal 4 6 4 7 2" xfId="13218" xr:uid="{C4F8C559-9205-4448-9215-7DE7B1B2DD85}"/>
    <cellStyle name="Normal 4 6 4 8" xfId="9000" xr:uid="{1D6A153F-2709-4442-8433-79ADC22E4847}"/>
    <cellStyle name="Normal 4 6 5" xfId="869" xr:uid="{00000000-0005-0000-0000-00008F160000}"/>
    <cellStyle name="Normal 4 6 5 2" xfId="3104" xr:uid="{00000000-0005-0000-0000-000090160000}"/>
    <cellStyle name="Normal 4 6 5 2 2" xfId="7327" xr:uid="{00000000-0005-0000-0000-000091160000}"/>
    <cellStyle name="Normal 4 6 5 2 2 2" xfId="15769" xr:uid="{87D1051C-A0E7-4932-A8FF-A480B361D31C}"/>
    <cellStyle name="Normal 4 6 5 2 3" xfId="11551" xr:uid="{9CD9FA49-C1C3-4E15-BCD8-F7ED7A529880}"/>
    <cellStyle name="Normal 4 6 5 3" xfId="5182" xr:uid="{00000000-0005-0000-0000-000092160000}"/>
    <cellStyle name="Normal 4 6 5 3 2" xfId="13624" xr:uid="{BAA169DC-BACF-497E-A52D-079D56C3E008}"/>
    <cellStyle name="Normal 4 6 5 4" xfId="9406" xr:uid="{66D121CC-E90C-4062-AD97-D1580DD338F9}"/>
    <cellStyle name="Normal 4 6 6" xfId="1287" xr:uid="{00000000-0005-0000-0000-000093160000}"/>
    <cellStyle name="Normal 4 6 6 2" xfId="3517" xr:uid="{00000000-0005-0000-0000-000094160000}"/>
    <cellStyle name="Normal 4 6 6 2 2" xfId="7740" xr:uid="{00000000-0005-0000-0000-000095160000}"/>
    <cellStyle name="Normal 4 6 6 2 2 2" xfId="16182" xr:uid="{2BC6AEE7-6BDB-464D-91C0-C64EC985BD37}"/>
    <cellStyle name="Normal 4 6 6 2 3" xfId="11964" xr:uid="{D98370D6-868C-4F1F-95C1-8BBB3C238CE0}"/>
    <cellStyle name="Normal 4 6 6 3" xfId="5595" xr:uid="{00000000-0005-0000-0000-000096160000}"/>
    <cellStyle name="Normal 4 6 6 3 2" xfId="14037" xr:uid="{4DCC878D-FE81-4026-A7DC-C4B3487D0F24}"/>
    <cellStyle name="Normal 4 6 6 4" xfId="9819" xr:uid="{0C2DE322-8CB4-48B2-AC2E-903002C7AE3D}"/>
    <cellStyle name="Normal 4 6 7" xfId="1700" xr:uid="{00000000-0005-0000-0000-000097160000}"/>
    <cellStyle name="Normal 4 6 7 2" xfId="3930" xr:uid="{00000000-0005-0000-0000-000098160000}"/>
    <cellStyle name="Normal 4 6 7 2 2" xfId="8153" xr:uid="{00000000-0005-0000-0000-000099160000}"/>
    <cellStyle name="Normal 4 6 7 2 2 2" xfId="16595" xr:uid="{050E6789-743C-4CBA-ABB2-54698003799A}"/>
    <cellStyle name="Normal 4 6 7 2 3" xfId="12377" xr:uid="{E4439D2A-50DD-4244-8405-64F49E27A66C}"/>
    <cellStyle name="Normal 4 6 7 3" xfId="6008" xr:uid="{00000000-0005-0000-0000-00009A160000}"/>
    <cellStyle name="Normal 4 6 7 3 2" xfId="14450" xr:uid="{95AE86DB-FBF5-4D29-B694-22EE8DA419DE}"/>
    <cellStyle name="Normal 4 6 7 4" xfId="10232" xr:uid="{5A15C77A-BA26-42F3-AB30-ECC298B91D4C}"/>
    <cellStyle name="Normal 4 6 8" xfId="2114" xr:uid="{00000000-0005-0000-0000-00009B160000}"/>
    <cellStyle name="Normal 4 6 8 2" xfId="4343" xr:uid="{00000000-0005-0000-0000-00009C160000}"/>
    <cellStyle name="Normal 4 6 8 2 2" xfId="8566" xr:uid="{00000000-0005-0000-0000-00009D160000}"/>
    <cellStyle name="Normal 4 6 8 2 2 2" xfId="17008" xr:uid="{53002A67-D823-4162-8027-C11D98F6D3DB}"/>
    <cellStyle name="Normal 4 6 8 2 3" xfId="12790" xr:uid="{B44B232B-4A8D-4BAE-810F-742A0D5C1233}"/>
    <cellStyle name="Normal 4 6 8 3" xfId="6421" xr:uid="{00000000-0005-0000-0000-00009E160000}"/>
    <cellStyle name="Normal 4 6 8 3 2" xfId="14863" xr:uid="{C40EFAF8-1718-4DB6-B2AC-6455B4C13B5B}"/>
    <cellStyle name="Normal 4 6 8 4" xfId="10645" xr:uid="{14E464C2-2D78-40BC-99B5-3282FD003E5C}"/>
    <cellStyle name="Normal 4 6 9" xfId="2550" xr:uid="{00000000-0005-0000-0000-00009F160000}"/>
    <cellStyle name="Normal 4 6 9 2" xfId="6834" xr:uid="{00000000-0005-0000-0000-0000A0160000}"/>
    <cellStyle name="Normal 4 6 9 2 2" xfId="15276" xr:uid="{A30B19B7-58C9-4198-A710-5CFE4D177B0E}"/>
    <cellStyle name="Normal 4 6 9 3" xfId="11058" xr:uid="{DC2EC8DA-9306-4B8A-A749-1368D7591CA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1100C165-66FA-4428-AD00-516EDFB0656E}"/>
    <cellStyle name="Normal 4 7 2 2 2 3" xfId="11560" xr:uid="{EA096C79-182C-432E-A0B1-B1047AB22022}"/>
    <cellStyle name="Normal 4 7 2 2 3" xfId="5191" xr:uid="{00000000-0005-0000-0000-0000A6160000}"/>
    <cellStyle name="Normal 4 7 2 2 3 2" xfId="13633" xr:uid="{A958E4E0-4C6A-4EB1-8BF5-59D1A27893B8}"/>
    <cellStyle name="Normal 4 7 2 2 4" xfId="9415" xr:uid="{EE789AC2-D043-4D56-83DC-15B895155077}"/>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1C4002E4-88BA-49D7-972D-8968AAD85768}"/>
    <cellStyle name="Normal 4 7 2 3 2 3" xfId="11973" xr:uid="{9CFBD204-9007-4829-B739-03C644D8EB92}"/>
    <cellStyle name="Normal 4 7 2 3 3" xfId="5604" xr:uid="{00000000-0005-0000-0000-0000AA160000}"/>
    <cellStyle name="Normal 4 7 2 3 3 2" xfId="14046" xr:uid="{5BE3C149-A19D-4743-BE02-0BEE5BB339F9}"/>
    <cellStyle name="Normal 4 7 2 3 4" xfId="9828" xr:uid="{FE794091-44F3-4915-B0D4-BAB394A1A47B}"/>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EDD77376-46D7-4EC3-A1CD-A02F0A2DCD61}"/>
    <cellStyle name="Normal 4 7 2 4 2 3" xfId="12386" xr:uid="{ED8B9CE8-0FCB-47F4-BD0E-7CB19F0E7BA2}"/>
    <cellStyle name="Normal 4 7 2 4 3" xfId="6017" xr:uid="{00000000-0005-0000-0000-0000AE160000}"/>
    <cellStyle name="Normal 4 7 2 4 3 2" xfId="14459" xr:uid="{DEB7DA6E-F6AA-4530-85D7-E394183687A4}"/>
    <cellStyle name="Normal 4 7 2 4 4" xfId="10241" xr:uid="{45710107-E35C-401B-8D9C-B83230516A5C}"/>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29BB39EA-7C3D-4847-B5B7-CD5D8B40F347}"/>
    <cellStyle name="Normal 4 7 2 5 2 3" xfId="12799" xr:uid="{CC6F95BA-9214-4989-BAB9-B3A4396642D9}"/>
    <cellStyle name="Normal 4 7 2 5 3" xfId="6430" xr:uid="{00000000-0005-0000-0000-0000B2160000}"/>
    <cellStyle name="Normal 4 7 2 5 3 2" xfId="14872" xr:uid="{609C675A-FB13-4569-92B1-3E545EF045AF}"/>
    <cellStyle name="Normal 4 7 2 5 4" xfId="10654" xr:uid="{33B0C970-A116-4101-9EBC-B581D2F1C29A}"/>
    <cellStyle name="Normal 4 7 2 6" xfId="2559" xr:uid="{00000000-0005-0000-0000-0000B3160000}"/>
    <cellStyle name="Normal 4 7 2 6 2" xfId="6843" xr:uid="{00000000-0005-0000-0000-0000B4160000}"/>
    <cellStyle name="Normal 4 7 2 6 2 2" xfId="15285" xr:uid="{1298AFAF-36C7-474D-96EB-14E21F381852}"/>
    <cellStyle name="Normal 4 7 2 6 3" xfId="11067" xr:uid="{093563C6-D137-4559-B438-6E0D94E36D12}"/>
    <cellStyle name="Normal 4 7 2 7" xfId="4778" xr:uid="{00000000-0005-0000-0000-0000B5160000}"/>
    <cellStyle name="Normal 4 7 2 7 2" xfId="13220" xr:uid="{D7BC3ED2-0C43-4281-9F7D-3C43BEFFA15A}"/>
    <cellStyle name="Normal 4 7 2 8" xfId="9002" xr:uid="{823B70CA-5055-4DCC-849D-CF6D31867C23}"/>
    <cellStyle name="Normal 4 7 3" xfId="877" xr:uid="{00000000-0005-0000-0000-0000B6160000}"/>
    <cellStyle name="Normal 4 7 3 2" xfId="3112" xr:uid="{00000000-0005-0000-0000-0000B7160000}"/>
    <cellStyle name="Normal 4 7 3 2 2" xfId="7335" xr:uid="{00000000-0005-0000-0000-0000B8160000}"/>
    <cellStyle name="Normal 4 7 3 2 2 2" xfId="15777" xr:uid="{5668B531-CEA5-4A55-AA11-1A922CB2702A}"/>
    <cellStyle name="Normal 4 7 3 2 3" xfId="11559" xr:uid="{0AB1BDAE-C792-417E-9A9F-6EA35CFF7591}"/>
    <cellStyle name="Normal 4 7 3 3" xfId="5190" xr:uid="{00000000-0005-0000-0000-0000B9160000}"/>
    <cellStyle name="Normal 4 7 3 3 2" xfId="13632" xr:uid="{4E3D4A88-88B8-419A-AA12-D6A62FE465C0}"/>
    <cellStyle name="Normal 4 7 3 4" xfId="9414" xr:uid="{8AB7B245-64A9-417F-BF81-D55DD5C8A6CF}"/>
    <cellStyle name="Normal 4 7 4" xfId="1295" xr:uid="{00000000-0005-0000-0000-0000BA160000}"/>
    <cellStyle name="Normal 4 7 4 2" xfId="3525" xr:uid="{00000000-0005-0000-0000-0000BB160000}"/>
    <cellStyle name="Normal 4 7 4 2 2" xfId="7748" xr:uid="{00000000-0005-0000-0000-0000BC160000}"/>
    <cellStyle name="Normal 4 7 4 2 2 2" xfId="16190" xr:uid="{DA2754E2-2E79-4313-A8D4-03C6F5B37ACE}"/>
    <cellStyle name="Normal 4 7 4 2 3" xfId="11972" xr:uid="{E78CB462-A7DC-4C16-AA52-D3C31BADE596}"/>
    <cellStyle name="Normal 4 7 4 3" xfId="5603" xr:uid="{00000000-0005-0000-0000-0000BD160000}"/>
    <cellStyle name="Normal 4 7 4 3 2" xfId="14045" xr:uid="{3AFA5C80-1E87-40B5-997E-CB90512C5F7C}"/>
    <cellStyle name="Normal 4 7 4 4" xfId="9827" xr:uid="{C792822E-0456-4D85-A2B5-6D7A741B55FE}"/>
    <cellStyle name="Normal 4 7 5" xfId="1708" xr:uid="{00000000-0005-0000-0000-0000BE160000}"/>
    <cellStyle name="Normal 4 7 5 2" xfId="3938" xr:uid="{00000000-0005-0000-0000-0000BF160000}"/>
    <cellStyle name="Normal 4 7 5 2 2" xfId="8161" xr:uid="{00000000-0005-0000-0000-0000C0160000}"/>
    <cellStyle name="Normal 4 7 5 2 2 2" xfId="16603" xr:uid="{F74C18FB-97EC-427B-8555-E01E24499411}"/>
    <cellStyle name="Normal 4 7 5 2 3" xfId="12385" xr:uid="{6497795B-D01A-4D39-B4DF-ADCB8AE247AF}"/>
    <cellStyle name="Normal 4 7 5 3" xfId="6016" xr:uid="{00000000-0005-0000-0000-0000C1160000}"/>
    <cellStyle name="Normal 4 7 5 3 2" xfId="14458" xr:uid="{A1346434-CA5A-45AA-B0D7-2DC5A92DCAE3}"/>
    <cellStyle name="Normal 4 7 5 4" xfId="10240" xr:uid="{E9A305FC-5E72-4D05-8599-18D77C9E2B1C}"/>
    <cellStyle name="Normal 4 7 6" xfId="2122" xr:uid="{00000000-0005-0000-0000-0000C2160000}"/>
    <cellStyle name="Normal 4 7 6 2" xfId="4351" xr:uid="{00000000-0005-0000-0000-0000C3160000}"/>
    <cellStyle name="Normal 4 7 6 2 2" xfId="8574" xr:uid="{00000000-0005-0000-0000-0000C4160000}"/>
    <cellStyle name="Normal 4 7 6 2 2 2" xfId="17016" xr:uid="{6B590780-B34B-4351-9E3E-96B2DDA07067}"/>
    <cellStyle name="Normal 4 7 6 2 3" xfId="12798" xr:uid="{D4D0F161-B5F7-4BCC-83AC-8B98A43E7C33}"/>
    <cellStyle name="Normal 4 7 6 3" xfId="6429" xr:uid="{00000000-0005-0000-0000-0000C5160000}"/>
    <cellStyle name="Normal 4 7 6 3 2" xfId="14871" xr:uid="{0353B105-6751-4AD8-881D-C89709E4BF12}"/>
    <cellStyle name="Normal 4 7 6 4" xfId="10653" xr:uid="{ED1BE5AD-0584-4611-9B51-73B2DB190A1F}"/>
    <cellStyle name="Normal 4 7 7" xfId="2558" xr:uid="{00000000-0005-0000-0000-0000C6160000}"/>
    <cellStyle name="Normal 4 7 7 2" xfId="6842" xr:uid="{00000000-0005-0000-0000-0000C7160000}"/>
    <cellStyle name="Normal 4 7 7 2 2" xfId="15284" xr:uid="{57E602BB-C8AD-4A6F-8FD4-8112688A938A}"/>
    <cellStyle name="Normal 4 7 7 3" xfId="11066" xr:uid="{45BCBA6A-C966-4C54-870A-E6C25CB04138}"/>
    <cellStyle name="Normal 4 7 8" xfId="4777" xr:uid="{00000000-0005-0000-0000-0000C8160000}"/>
    <cellStyle name="Normal 4 7 8 2" xfId="13219" xr:uid="{662D1832-A93D-4F6C-BE9A-FD0F0FCC6C86}"/>
    <cellStyle name="Normal 4 7 9" xfId="9001" xr:uid="{4AC50DAB-031C-4333-A06E-C131D3AF12C8}"/>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83ADA4AA-D0BC-4DF8-9DDA-DE4A01C5B43F}"/>
    <cellStyle name="Normal 4 8 2 2 3" xfId="11561" xr:uid="{1336B4CD-7EE7-455E-8109-4DC2256F2344}"/>
    <cellStyle name="Normal 4 8 2 3" xfId="5192" xr:uid="{00000000-0005-0000-0000-0000CD160000}"/>
    <cellStyle name="Normal 4 8 2 3 2" xfId="13634" xr:uid="{038B9DBF-A99B-4BDF-8A3E-5A56CEAA95AD}"/>
    <cellStyle name="Normal 4 8 2 4" xfId="9416" xr:uid="{C2C23D2F-4412-4842-93BA-130C283C6D68}"/>
    <cellStyle name="Normal 4 8 3" xfId="1297" xr:uid="{00000000-0005-0000-0000-0000CE160000}"/>
    <cellStyle name="Normal 4 8 3 2" xfId="3527" xr:uid="{00000000-0005-0000-0000-0000CF160000}"/>
    <cellStyle name="Normal 4 8 3 2 2" xfId="7750" xr:uid="{00000000-0005-0000-0000-0000D0160000}"/>
    <cellStyle name="Normal 4 8 3 2 2 2" xfId="16192" xr:uid="{661371FF-E038-4217-8F1C-ADA0F32DE328}"/>
    <cellStyle name="Normal 4 8 3 2 3" xfId="11974" xr:uid="{C64FAA45-E75F-4A7C-8E8B-C35B4545CFCC}"/>
    <cellStyle name="Normal 4 8 3 3" xfId="5605" xr:uid="{00000000-0005-0000-0000-0000D1160000}"/>
    <cellStyle name="Normal 4 8 3 3 2" xfId="14047" xr:uid="{976340D4-B7CB-4E29-8204-8CFBBBC9AB95}"/>
    <cellStyle name="Normal 4 8 3 4" xfId="9829" xr:uid="{6B35C96F-A01F-42F1-A3A6-B740B0C67CA2}"/>
    <cellStyle name="Normal 4 8 4" xfId="1710" xr:uid="{00000000-0005-0000-0000-0000D2160000}"/>
    <cellStyle name="Normal 4 8 4 2" xfId="3940" xr:uid="{00000000-0005-0000-0000-0000D3160000}"/>
    <cellStyle name="Normal 4 8 4 2 2" xfId="8163" xr:uid="{00000000-0005-0000-0000-0000D4160000}"/>
    <cellStyle name="Normal 4 8 4 2 2 2" xfId="16605" xr:uid="{568977DB-017F-40AE-859B-54CBFA337CB2}"/>
    <cellStyle name="Normal 4 8 4 2 3" xfId="12387" xr:uid="{FCA6FBCD-A57F-4AFC-ABC0-7E5034868362}"/>
    <cellStyle name="Normal 4 8 4 3" xfId="6018" xr:uid="{00000000-0005-0000-0000-0000D5160000}"/>
    <cellStyle name="Normal 4 8 4 3 2" xfId="14460" xr:uid="{93303EF7-3AF3-43D8-AD37-E5BFFABB4C20}"/>
    <cellStyle name="Normal 4 8 4 4" xfId="10242" xr:uid="{7CD1ADF8-8FF1-481E-A4D0-3BF1EE6EA940}"/>
    <cellStyle name="Normal 4 8 5" xfId="2124" xr:uid="{00000000-0005-0000-0000-0000D6160000}"/>
    <cellStyle name="Normal 4 8 5 2" xfId="4353" xr:uid="{00000000-0005-0000-0000-0000D7160000}"/>
    <cellStyle name="Normal 4 8 5 2 2" xfId="8576" xr:uid="{00000000-0005-0000-0000-0000D8160000}"/>
    <cellStyle name="Normal 4 8 5 2 2 2" xfId="17018" xr:uid="{86A292D8-B57A-48C9-97F8-87362E1E2752}"/>
    <cellStyle name="Normal 4 8 5 2 3" xfId="12800" xr:uid="{2DEE25EE-763B-43D1-84B2-BDC5C08C1650}"/>
    <cellStyle name="Normal 4 8 5 3" xfId="6431" xr:uid="{00000000-0005-0000-0000-0000D9160000}"/>
    <cellStyle name="Normal 4 8 5 3 2" xfId="14873" xr:uid="{BFCF7B18-A31B-4ABB-91A9-F701F460B07F}"/>
    <cellStyle name="Normal 4 8 5 4" xfId="10655" xr:uid="{860A182B-F9D9-4C1E-ACB0-6621105F1CA3}"/>
    <cellStyle name="Normal 4 8 6" xfId="2560" xr:uid="{00000000-0005-0000-0000-0000DA160000}"/>
    <cellStyle name="Normal 4 8 6 2" xfId="6844" xr:uid="{00000000-0005-0000-0000-0000DB160000}"/>
    <cellStyle name="Normal 4 8 6 2 2" xfId="15286" xr:uid="{50D8D78F-6E30-40FA-A720-F129263313A6}"/>
    <cellStyle name="Normal 4 8 6 3" xfId="11068" xr:uid="{1FC552C6-F518-42D1-8F8C-48BD77015E31}"/>
    <cellStyle name="Normal 4 8 7" xfId="4779" xr:uid="{00000000-0005-0000-0000-0000DC160000}"/>
    <cellStyle name="Normal 4 8 7 2" xfId="13221" xr:uid="{EE3FF18A-AAE4-4087-B3D0-9B84D87903E0}"/>
    <cellStyle name="Normal 4 8 8" xfId="9003" xr:uid="{BAA1AE98-8D81-4107-8EA9-4702F8B1AB54}"/>
    <cellStyle name="Normal 4 9" xfId="4716" xr:uid="{00000000-0005-0000-0000-0000DD160000}"/>
    <cellStyle name="Normal 4 9 2" xfId="13158" xr:uid="{71EA3261-BEED-489B-A6E0-5E760F1C4CC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2EA009A3-4677-4C98-9D73-BF0EFFF105A9}"/>
    <cellStyle name="Normal 5 10 2 3" xfId="12388" xr:uid="{0CE545BB-4B70-49B2-87C4-88A06F15EAE5}"/>
    <cellStyle name="Normal 5 10 3" xfId="6019" xr:uid="{00000000-0005-0000-0000-0000E2160000}"/>
    <cellStyle name="Normal 5 10 3 2" xfId="14461" xr:uid="{09D4FEB2-B548-4678-BCBC-3A24AACDC225}"/>
    <cellStyle name="Normal 5 10 4" xfId="10243" xr:uid="{47A0A5B9-DC72-431B-9C8E-34E3DED60A44}"/>
    <cellStyle name="Normal 5 11" xfId="2125" xr:uid="{00000000-0005-0000-0000-0000E3160000}"/>
    <cellStyle name="Normal 5 11 2" xfId="4354" xr:uid="{00000000-0005-0000-0000-0000E4160000}"/>
    <cellStyle name="Normal 5 11 2 2" xfId="8577" xr:uid="{00000000-0005-0000-0000-0000E5160000}"/>
    <cellStyle name="Normal 5 11 2 2 2" xfId="17019" xr:uid="{41D550CB-1AE9-4165-A5E8-6ACF7C94D254}"/>
    <cellStyle name="Normal 5 11 2 3" xfId="12801" xr:uid="{31DC7187-289C-4A32-A645-213EF6270969}"/>
    <cellStyle name="Normal 5 11 3" xfId="6432" xr:uid="{00000000-0005-0000-0000-0000E6160000}"/>
    <cellStyle name="Normal 5 11 3 2" xfId="14874" xr:uid="{F37D1AA9-2DF9-49D5-B88E-E0B07F3EF539}"/>
    <cellStyle name="Normal 5 11 4" xfId="10656" xr:uid="{E55DF2D0-A3CE-4F50-857E-B7DCD906A8FE}"/>
    <cellStyle name="Normal 5 12" xfId="2561" xr:uid="{00000000-0005-0000-0000-0000E7160000}"/>
    <cellStyle name="Normal 5 12 2" xfId="6845" xr:uid="{00000000-0005-0000-0000-0000E8160000}"/>
    <cellStyle name="Normal 5 12 2 2" xfId="15287" xr:uid="{1872CE11-CDB3-460C-8B19-D34FAA6B8F48}"/>
    <cellStyle name="Normal 5 12 3" xfId="11069" xr:uid="{B91E2F14-BB5E-486D-91F1-9EE76C5F370E}"/>
    <cellStyle name="Normal 5 13" xfId="4780" xr:uid="{00000000-0005-0000-0000-0000E9160000}"/>
    <cellStyle name="Normal 5 13 2" xfId="13222" xr:uid="{9804AE74-1078-477F-BC55-21B136EA2188}"/>
    <cellStyle name="Normal 5 14" xfId="9004" xr:uid="{099AD5B2-1093-470A-A4A4-42A1CAEFFCF7}"/>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254E5906-E319-4734-8558-D76499D5B991}"/>
    <cellStyle name="Normal 5 2 10 2 3" xfId="12802" xr:uid="{4E22697A-F2E3-4D0A-B7CD-2ED5280E7E3C}"/>
    <cellStyle name="Normal 5 2 10 3" xfId="6433" xr:uid="{00000000-0005-0000-0000-0000EE160000}"/>
    <cellStyle name="Normal 5 2 10 3 2" xfId="14875" xr:uid="{01C1F903-1EE6-4436-B187-48B4C686B6B2}"/>
    <cellStyle name="Normal 5 2 10 4" xfId="10657" xr:uid="{F782E3A5-B03B-4082-B571-9E07CC0FBFC3}"/>
    <cellStyle name="Normal 5 2 11" xfId="2562" xr:uid="{00000000-0005-0000-0000-0000EF160000}"/>
    <cellStyle name="Normal 5 2 11 2" xfId="6846" xr:uid="{00000000-0005-0000-0000-0000F0160000}"/>
    <cellStyle name="Normal 5 2 11 2 2" xfId="15288" xr:uid="{B9F7EC68-A137-4907-8922-A5BFE0F2548E}"/>
    <cellStyle name="Normal 5 2 11 3" xfId="11070" xr:uid="{32B2959F-4560-4BB0-989B-3F74ABD834FE}"/>
    <cellStyle name="Normal 5 2 12" xfId="4781" xr:uid="{00000000-0005-0000-0000-0000F1160000}"/>
    <cellStyle name="Normal 5 2 12 2" xfId="13223" xr:uid="{6117A16B-A847-41B8-9AAA-29D7A315F1D3}"/>
    <cellStyle name="Normal 5 2 13" xfId="9005" xr:uid="{871CBFF3-7C7D-4E69-9A39-8A2B35232D98}"/>
    <cellStyle name="Normal 5 2 2" xfId="408" xr:uid="{00000000-0005-0000-0000-0000F2160000}"/>
    <cellStyle name="Normal 5 2 2 10" xfId="2563" xr:uid="{00000000-0005-0000-0000-0000F3160000}"/>
    <cellStyle name="Normal 5 2 2 10 2" xfId="6847" xr:uid="{00000000-0005-0000-0000-0000F4160000}"/>
    <cellStyle name="Normal 5 2 2 10 2 2" xfId="15289" xr:uid="{C9A4E1E9-6197-4BE6-93AB-C4A70F09FAFF}"/>
    <cellStyle name="Normal 5 2 2 10 3" xfId="11071" xr:uid="{5D58EE66-A0A2-4C02-BC22-3A61631DF479}"/>
    <cellStyle name="Normal 5 2 2 11" xfId="4782" xr:uid="{00000000-0005-0000-0000-0000F5160000}"/>
    <cellStyle name="Normal 5 2 2 11 2" xfId="13224" xr:uid="{1AA87046-1010-4B7A-967A-BBB9F51EBE30}"/>
    <cellStyle name="Normal 5 2 2 12" xfId="9006" xr:uid="{D64448FF-281B-4D62-A535-E89D58024BDB}"/>
    <cellStyle name="Normal 5 2 2 2" xfId="409" xr:uid="{00000000-0005-0000-0000-0000F6160000}"/>
    <cellStyle name="Normal 5 2 2 2 10" xfId="4783" xr:uid="{00000000-0005-0000-0000-0000F7160000}"/>
    <cellStyle name="Normal 5 2 2 2 10 2" xfId="13225" xr:uid="{EB399B54-6E26-4FEC-B4EE-1150F7543436}"/>
    <cellStyle name="Normal 5 2 2 2 11" xfId="9007" xr:uid="{20E7D1CB-79AD-4DF1-A85C-D35423064444}"/>
    <cellStyle name="Normal 5 2 2 2 2" xfId="410" xr:uid="{00000000-0005-0000-0000-0000F8160000}"/>
    <cellStyle name="Normal 5 2 2 2 2 10" xfId="9008" xr:uid="{CF5FF25A-04DA-4368-A4EA-3CD7765B978E}"/>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7AA8376F-F3C4-4108-9D57-F1B4905DB4B1}"/>
    <cellStyle name="Normal 5 2 2 2 2 2 2 2 2 3" xfId="11568" xr:uid="{90198F6B-6D4B-40E3-8BA1-9B586C7B8543}"/>
    <cellStyle name="Normal 5 2 2 2 2 2 2 2 3" xfId="5199" xr:uid="{00000000-0005-0000-0000-0000FE160000}"/>
    <cellStyle name="Normal 5 2 2 2 2 2 2 2 3 2" xfId="13641" xr:uid="{3F646B76-B2C5-4C12-BEEE-18E459E80987}"/>
    <cellStyle name="Normal 5 2 2 2 2 2 2 2 4" xfId="9423" xr:uid="{A3F4C9CC-F04B-4318-9033-1F5542F30356}"/>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D92853E4-2F76-433E-A408-D9E39A862342}"/>
    <cellStyle name="Normal 5 2 2 2 2 2 2 3 2 3" xfId="11981" xr:uid="{BAC177A4-B52E-4172-8D53-17F9315A04FF}"/>
    <cellStyle name="Normal 5 2 2 2 2 2 2 3 3" xfId="5612" xr:uid="{00000000-0005-0000-0000-000002170000}"/>
    <cellStyle name="Normal 5 2 2 2 2 2 2 3 3 2" xfId="14054" xr:uid="{C43420F3-AC93-4A12-B909-C68AFB7B2556}"/>
    <cellStyle name="Normal 5 2 2 2 2 2 2 3 4" xfId="9836" xr:uid="{8E49FDC4-EACD-419D-86E2-35EC0E32C7B5}"/>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F6FFB85A-9751-4438-993F-E1B4638B952D}"/>
    <cellStyle name="Normal 5 2 2 2 2 2 2 4 2 3" xfId="12394" xr:uid="{5FC03BF9-43CD-4DBF-BDA6-943CA453BF12}"/>
    <cellStyle name="Normal 5 2 2 2 2 2 2 4 3" xfId="6025" xr:uid="{00000000-0005-0000-0000-000006170000}"/>
    <cellStyle name="Normal 5 2 2 2 2 2 2 4 3 2" xfId="14467" xr:uid="{03DD382C-DE0C-40B2-9323-4F5B84AE2906}"/>
    <cellStyle name="Normal 5 2 2 2 2 2 2 4 4" xfId="10249" xr:uid="{2F8A540F-11D7-459E-B030-695A7A297DB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9F4097E8-4EB7-45DA-91DE-90FA35AB6EAA}"/>
    <cellStyle name="Normal 5 2 2 2 2 2 2 5 2 3" xfId="12807" xr:uid="{54F82066-5766-415C-A45A-92F3913A87CF}"/>
    <cellStyle name="Normal 5 2 2 2 2 2 2 5 3" xfId="6438" xr:uid="{00000000-0005-0000-0000-00000A170000}"/>
    <cellStyle name="Normal 5 2 2 2 2 2 2 5 3 2" xfId="14880" xr:uid="{66885980-A5AF-404B-B0C0-65439D172764}"/>
    <cellStyle name="Normal 5 2 2 2 2 2 2 5 4" xfId="10662" xr:uid="{61CBD8AA-BF39-4F50-B142-843D49C123F6}"/>
    <cellStyle name="Normal 5 2 2 2 2 2 2 6" xfId="2567" xr:uid="{00000000-0005-0000-0000-00000B170000}"/>
    <cellStyle name="Normal 5 2 2 2 2 2 2 6 2" xfId="6851" xr:uid="{00000000-0005-0000-0000-00000C170000}"/>
    <cellStyle name="Normal 5 2 2 2 2 2 2 6 2 2" xfId="15293" xr:uid="{EAD5CE2C-50A8-4618-8346-AA678B774475}"/>
    <cellStyle name="Normal 5 2 2 2 2 2 2 6 3" xfId="11075" xr:uid="{1BE36A4C-850A-4EF0-896A-B40D87792733}"/>
    <cellStyle name="Normal 5 2 2 2 2 2 2 7" xfId="4786" xr:uid="{00000000-0005-0000-0000-00000D170000}"/>
    <cellStyle name="Normal 5 2 2 2 2 2 2 7 2" xfId="13228" xr:uid="{9C3110F2-B8B9-45AB-ADF4-E2578DAD4592}"/>
    <cellStyle name="Normal 5 2 2 2 2 2 2 8" xfId="9010" xr:uid="{595CD2FD-393D-41C9-BC22-B41493AF9848}"/>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C423F475-5831-4321-BB48-C9CADB462CCC}"/>
    <cellStyle name="Normal 5 2 2 2 2 2 3 2 3" xfId="11567" xr:uid="{35D50761-541C-42A5-AB67-68E4A6B9F984}"/>
    <cellStyle name="Normal 5 2 2 2 2 2 3 3" xfId="5198" xr:uid="{00000000-0005-0000-0000-000011170000}"/>
    <cellStyle name="Normal 5 2 2 2 2 2 3 3 2" xfId="13640" xr:uid="{3298BB2E-12DE-4BC9-B08A-B0F36DF9C640}"/>
    <cellStyle name="Normal 5 2 2 2 2 2 3 4" xfId="9422" xr:uid="{AA73F71A-16A2-46D8-B353-2C3F5664ED2C}"/>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3DC3B39D-070E-450C-98DA-933918E096D9}"/>
    <cellStyle name="Normal 5 2 2 2 2 2 4 2 3" xfId="11980" xr:uid="{7471F8C9-10BE-42DF-AE56-DA2760CD2E90}"/>
    <cellStyle name="Normal 5 2 2 2 2 2 4 3" xfId="5611" xr:uid="{00000000-0005-0000-0000-000015170000}"/>
    <cellStyle name="Normal 5 2 2 2 2 2 4 3 2" xfId="14053" xr:uid="{CC9387F4-43BD-4DB5-9A1F-DDFC482C41D7}"/>
    <cellStyle name="Normal 5 2 2 2 2 2 4 4" xfId="9835" xr:uid="{A04111E8-3A4F-4B93-8EA7-3E2C66F7729D}"/>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EA3A5F2A-206F-4EE7-AFC0-C29E5E87E1F1}"/>
    <cellStyle name="Normal 5 2 2 2 2 2 5 2 3" xfId="12393" xr:uid="{138B6A07-A86D-4026-961A-FC06CC1799E5}"/>
    <cellStyle name="Normal 5 2 2 2 2 2 5 3" xfId="6024" xr:uid="{00000000-0005-0000-0000-000019170000}"/>
    <cellStyle name="Normal 5 2 2 2 2 2 5 3 2" xfId="14466" xr:uid="{76213FC7-9D81-461B-BC9F-C6F4060714FC}"/>
    <cellStyle name="Normal 5 2 2 2 2 2 5 4" xfId="10248" xr:uid="{C6AD83B9-5CF0-4AC7-9CD6-A9286245D457}"/>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57097E05-F8B9-4E83-A0DD-D6CEB1D01540}"/>
    <cellStyle name="Normal 5 2 2 2 2 2 6 2 3" xfId="12806" xr:uid="{15E6EDBA-DF2D-4246-9622-EC63813F8F93}"/>
    <cellStyle name="Normal 5 2 2 2 2 2 6 3" xfId="6437" xr:uid="{00000000-0005-0000-0000-00001D170000}"/>
    <cellStyle name="Normal 5 2 2 2 2 2 6 3 2" xfId="14879" xr:uid="{F788DBDE-9734-4F01-B6C8-9074F1170A08}"/>
    <cellStyle name="Normal 5 2 2 2 2 2 6 4" xfId="10661" xr:uid="{3729C1BD-FC0B-418C-B32D-483D875C42F7}"/>
    <cellStyle name="Normal 5 2 2 2 2 2 7" xfId="2566" xr:uid="{00000000-0005-0000-0000-00001E170000}"/>
    <cellStyle name="Normal 5 2 2 2 2 2 7 2" xfId="6850" xr:uid="{00000000-0005-0000-0000-00001F170000}"/>
    <cellStyle name="Normal 5 2 2 2 2 2 7 2 2" xfId="15292" xr:uid="{258597A9-9977-471B-AFF8-ECE4B17253D8}"/>
    <cellStyle name="Normal 5 2 2 2 2 2 7 3" xfId="11074" xr:uid="{0914A1FD-E786-4FD3-912A-08536E440C81}"/>
    <cellStyle name="Normal 5 2 2 2 2 2 8" xfId="4785" xr:uid="{00000000-0005-0000-0000-000020170000}"/>
    <cellStyle name="Normal 5 2 2 2 2 2 8 2" xfId="13227" xr:uid="{372F03B7-CBB3-4102-A358-12C8E246203F}"/>
    <cellStyle name="Normal 5 2 2 2 2 2 9" xfId="9009" xr:uid="{CDE6AE9B-663F-4976-84C7-EAEC99EF0328}"/>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72B683E4-398B-4984-BB7D-900311D37D84}"/>
    <cellStyle name="Normal 5 2 2 2 2 3 2 2 3" xfId="11569" xr:uid="{0EA18AD6-C790-42FD-8F65-746DE4F196B8}"/>
    <cellStyle name="Normal 5 2 2 2 2 3 2 3" xfId="5200" xr:uid="{00000000-0005-0000-0000-000025170000}"/>
    <cellStyle name="Normal 5 2 2 2 2 3 2 3 2" xfId="13642" xr:uid="{78FD7796-F86F-45E2-8EE3-3A6BD172D750}"/>
    <cellStyle name="Normal 5 2 2 2 2 3 2 4" xfId="9424" xr:uid="{64F203C8-CD46-4B10-ACE9-F6C3843A2B2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240D0521-2810-470C-9677-25E2E6C818C3}"/>
    <cellStyle name="Normal 5 2 2 2 2 3 3 2 3" xfId="11982" xr:uid="{8FBE50C3-E74F-4349-ADE1-209B7AC07715}"/>
    <cellStyle name="Normal 5 2 2 2 2 3 3 3" xfId="5613" xr:uid="{00000000-0005-0000-0000-000029170000}"/>
    <cellStyle name="Normal 5 2 2 2 2 3 3 3 2" xfId="14055" xr:uid="{A483B629-EC58-4D36-961F-5F344316E5B0}"/>
    <cellStyle name="Normal 5 2 2 2 2 3 3 4" xfId="9837" xr:uid="{A3619675-C4F3-4026-B76A-80B604E72E8D}"/>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800CD2FB-F967-404D-908F-B074ADBFB907}"/>
    <cellStyle name="Normal 5 2 2 2 2 3 4 2 3" xfId="12395" xr:uid="{9237E1ED-F7B5-4888-9D17-1B71662D9F3D}"/>
    <cellStyle name="Normal 5 2 2 2 2 3 4 3" xfId="6026" xr:uid="{00000000-0005-0000-0000-00002D170000}"/>
    <cellStyle name="Normal 5 2 2 2 2 3 4 3 2" xfId="14468" xr:uid="{CA1B711B-1B31-444A-A61A-8C42C5E70577}"/>
    <cellStyle name="Normal 5 2 2 2 2 3 4 4" xfId="10250" xr:uid="{2972E72D-F44C-4297-9E3F-BFB6F96B6D32}"/>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8D8FECF4-7536-4CE1-8A09-E7B2E9CA4462}"/>
    <cellStyle name="Normal 5 2 2 2 2 3 5 2 3" xfId="12808" xr:uid="{89A4EFF8-579F-4AC9-ADE0-73429F925BDD}"/>
    <cellStyle name="Normal 5 2 2 2 2 3 5 3" xfId="6439" xr:uid="{00000000-0005-0000-0000-000031170000}"/>
    <cellStyle name="Normal 5 2 2 2 2 3 5 3 2" xfId="14881" xr:uid="{8DAFA273-B558-4B12-85E9-467FDEB963F4}"/>
    <cellStyle name="Normal 5 2 2 2 2 3 5 4" xfId="10663" xr:uid="{C988E679-EE3B-4C72-83C7-FE489EB34BB1}"/>
    <cellStyle name="Normal 5 2 2 2 2 3 6" xfId="2568" xr:uid="{00000000-0005-0000-0000-000032170000}"/>
    <cellStyle name="Normal 5 2 2 2 2 3 6 2" xfId="6852" xr:uid="{00000000-0005-0000-0000-000033170000}"/>
    <cellStyle name="Normal 5 2 2 2 2 3 6 2 2" xfId="15294" xr:uid="{77BBDE5F-4C8A-4BA4-91CC-4E26ADD562B5}"/>
    <cellStyle name="Normal 5 2 2 2 2 3 6 3" xfId="11076" xr:uid="{5BA6CD7A-6EEF-4609-96A9-893B3EBF38C6}"/>
    <cellStyle name="Normal 5 2 2 2 2 3 7" xfId="4787" xr:uid="{00000000-0005-0000-0000-000034170000}"/>
    <cellStyle name="Normal 5 2 2 2 2 3 7 2" xfId="13229" xr:uid="{8E608466-08E7-416E-9509-AD90A080CA09}"/>
    <cellStyle name="Normal 5 2 2 2 2 3 8" xfId="9011" xr:uid="{35196714-A5B0-496A-ABBD-47F424C65404}"/>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CAB9369A-7F32-4287-A859-811660BAF8E1}"/>
    <cellStyle name="Normal 5 2 2 2 2 4 2 3" xfId="11566" xr:uid="{04A8AD79-9D8A-4C92-A2EF-B8D949B8301A}"/>
    <cellStyle name="Normal 5 2 2 2 2 4 3" xfId="5197" xr:uid="{00000000-0005-0000-0000-000038170000}"/>
    <cellStyle name="Normal 5 2 2 2 2 4 3 2" xfId="13639" xr:uid="{822C22A4-C675-4947-B41B-CAC996A19853}"/>
    <cellStyle name="Normal 5 2 2 2 2 4 4" xfId="9421" xr:uid="{55756914-B9C2-497D-A121-04705DF66C9C}"/>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DD762363-BDC6-4878-8523-85B64E8BF6BD}"/>
    <cellStyle name="Normal 5 2 2 2 2 5 2 3" xfId="11979" xr:uid="{899D4104-BD85-4644-96AF-4110666A618D}"/>
    <cellStyle name="Normal 5 2 2 2 2 5 3" xfId="5610" xr:uid="{00000000-0005-0000-0000-00003C170000}"/>
    <cellStyle name="Normal 5 2 2 2 2 5 3 2" xfId="14052" xr:uid="{D156BB66-47D0-4E13-87E8-3C0134F5DB92}"/>
    <cellStyle name="Normal 5 2 2 2 2 5 4" xfId="9834" xr:uid="{B72E5721-0151-423A-BA0A-D73F91F89E03}"/>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B41B4A9E-163E-44A2-BFEF-1F9DFA3D38C1}"/>
    <cellStyle name="Normal 5 2 2 2 2 6 2 3" xfId="12392" xr:uid="{B7629C2E-ECD9-4A09-8FF4-5FCAFE090B79}"/>
    <cellStyle name="Normal 5 2 2 2 2 6 3" xfId="6023" xr:uid="{00000000-0005-0000-0000-000040170000}"/>
    <cellStyle name="Normal 5 2 2 2 2 6 3 2" xfId="14465" xr:uid="{79E770F2-B256-4D3C-992D-A3B0DD206BBA}"/>
    <cellStyle name="Normal 5 2 2 2 2 6 4" xfId="10247" xr:uid="{5F754367-196D-4B9D-B6C9-BDF583504F5E}"/>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BDB0EA9C-BC29-479C-9043-BD06629747E9}"/>
    <cellStyle name="Normal 5 2 2 2 2 7 2 3" xfId="12805" xr:uid="{2B49EF7A-E209-471A-9F41-7D32888264FC}"/>
    <cellStyle name="Normal 5 2 2 2 2 7 3" xfId="6436" xr:uid="{00000000-0005-0000-0000-000044170000}"/>
    <cellStyle name="Normal 5 2 2 2 2 7 3 2" xfId="14878" xr:uid="{3F41A8C9-C5EA-4515-AADA-5653AE004D0B}"/>
    <cellStyle name="Normal 5 2 2 2 2 7 4" xfId="10660" xr:uid="{1BFA70D6-5F9F-4EF5-827D-65180CFB6E75}"/>
    <cellStyle name="Normal 5 2 2 2 2 8" xfId="2565" xr:uid="{00000000-0005-0000-0000-000045170000}"/>
    <cellStyle name="Normal 5 2 2 2 2 8 2" xfId="6849" xr:uid="{00000000-0005-0000-0000-000046170000}"/>
    <cellStyle name="Normal 5 2 2 2 2 8 2 2" xfId="15291" xr:uid="{AF8C641C-0EF8-470E-BDE9-1C436FE33528}"/>
    <cellStyle name="Normal 5 2 2 2 2 8 3" xfId="11073" xr:uid="{B69CD735-E0BD-47EB-963C-802345A9E8FD}"/>
    <cellStyle name="Normal 5 2 2 2 2 9" xfId="4784" xr:uid="{00000000-0005-0000-0000-000047170000}"/>
    <cellStyle name="Normal 5 2 2 2 2 9 2" xfId="13226" xr:uid="{29D4A247-3C01-4184-B370-D8B9078F2B3D}"/>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8A4EA316-72F9-4CF6-8617-F464880782BA}"/>
    <cellStyle name="Normal 5 2 2 2 3 2 2 2 3" xfId="11571" xr:uid="{38D7E144-5593-4D26-B1C6-2B6BE5993575}"/>
    <cellStyle name="Normal 5 2 2 2 3 2 2 3" xfId="5202" xr:uid="{00000000-0005-0000-0000-00004D170000}"/>
    <cellStyle name="Normal 5 2 2 2 3 2 2 3 2" xfId="13644" xr:uid="{1A08638E-6695-4D10-A40E-8DB9AB344FE0}"/>
    <cellStyle name="Normal 5 2 2 2 3 2 2 4" xfId="9426" xr:uid="{6001CB98-7A27-4E52-97C7-59C5C8655281}"/>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943D40B1-D55A-46C8-8BB7-8F036FBF7B8B}"/>
    <cellStyle name="Normal 5 2 2 2 3 2 3 2 3" xfId="11984" xr:uid="{7B7F241C-1A59-4A75-B9D2-E093CB3A85F8}"/>
    <cellStyle name="Normal 5 2 2 2 3 2 3 3" xfId="5615" xr:uid="{00000000-0005-0000-0000-000051170000}"/>
    <cellStyle name="Normal 5 2 2 2 3 2 3 3 2" xfId="14057" xr:uid="{3389A954-24E3-417E-90D7-43CF68DDF44F}"/>
    <cellStyle name="Normal 5 2 2 2 3 2 3 4" xfId="9839" xr:uid="{033F91EA-4DF5-4B5E-92C9-3DC01A8C31B5}"/>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DF85A8FD-9F89-4182-A836-A28BD889B75D}"/>
    <cellStyle name="Normal 5 2 2 2 3 2 4 2 3" xfId="12397" xr:uid="{F04EF61A-CB42-43B8-8A15-A13986DB0FCA}"/>
    <cellStyle name="Normal 5 2 2 2 3 2 4 3" xfId="6028" xr:uid="{00000000-0005-0000-0000-000055170000}"/>
    <cellStyle name="Normal 5 2 2 2 3 2 4 3 2" xfId="14470" xr:uid="{5FD37A32-82B2-4E73-A90A-7A9C26653337}"/>
    <cellStyle name="Normal 5 2 2 2 3 2 4 4" xfId="10252" xr:uid="{A8020B7B-3539-4CEF-8095-8D94BEBCC209}"/>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729DD39A-8B5D-4F60-85A3-E5D8273EB7EE}"/>
    <cellStyle name="Normal 5 2 2 2 3 2 5 2 3" xfId="12810" xr:uid="{4773292B-B028-4B9F-8416-AD05906B2638}"/>
    <cellStyle name="Normal 5 2 2 2 3 2 5 3" xfId="6441" xr:uid="{00000000-0005-0000-0000-000059170000}"/>
    <cellStyle name="Normal 5 2 2 2 3 2 5 3 2" xfId="14883" xr:uid="{6108FBDC-2C04-4DD6-BBAD-A82B6D6639C9}"/>
    <cellStyle name="Normal 5 2 2 2 3 2 5 4" xfId="10665" xr:uid="{76FC9A67-728F-4ACF-968F-227145800C3C}"/>
    <cellStyle name="Normal 5 2 2 2 3 2 6" xfId="2570" xr:uid="{00000000-0005-0000-0000-00005A170000}"/>
    <cellStyle name="Normal 5 2 2 2 3 2 6 2" xfId="6854" xr:uid="{00000000-0005-0000-0000-00005B170000}"/>
    <cellStyle name="Normal 5 2 2 2 3 2 6 2 2" xfId="15296" xr:uid="{FBA964B0-578A-4D33-810C-3EB7F8E8574A}"/>
    <cellStyle name="Normal 5 2 2 2 3 2 6 3" xfId="11078" xr:uid="{34621825-9E9B-429B-A247-2A3FB61A63C8}"/>
    <cellStyle name="Normal 5 2 2 2 3 2 7" xfId="4789" xr:uid="{00000000-0005-0000-0000-00005C170000}"/>
    <cellStyle name="Normal 5 2 2 2 3 2 7 2" xfId="13231" xr:uid="{1C46837F-FA4B-404B-9916-892C80C32E69}"/>
    <cellStyle name="Normal 5 2 2 2 3 2 8" xfId="9013" xr:uid="{47765A74-F86F-4ABC-B608-D0F33A889C0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210DFFC8-949B-4AB8-B365-1A8BDD76DDB8}"/>
    <cellStyle name="Normal 5 2 2 2 3 3 2 3" xfId="11570" xr:uid="{5ACCADBB-ECD6-43AF-AE41-EB2D2206DDAE}"/>
    <cellStyle name="Normal 5 2 2 2 3 3 3" xfId="5201" xr:uid="{00000000-0005-0000-0000-000060170000}"/>
    <cellStyle name="Normal 5 2 2 2 3 3 3 2" xfId="13643" xr:uid="{16E52671-74AE-40C2-953A-929578A86E5F}"/>
    <cellStyle name="Normal 5 2 2 2 3 3 4" xfId="9425" xr:uid="{5B7F369C-0A4F-484F-8E8C-51DC6EAAF534}"/>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1448E671-BD15-4DC9-A55F-807BBA84868B}"/>
    <cellStyle name="Normal 5 2 2 2 3 4 2 3" xfId="11983" xr:uid="{8166F156-908C-4B59-89BD-40A401313961}"/>
    <cellStyle name="Normal 5 2 2 2 3 4 3" xfId="5614" xr:uid="{00000000-0005-0000-0000-000064170000}"/>
    <cellStyle name="Normal 5 2 2 2 3 4 3 2" xfId="14056" xr:uid="{19BBB560-BF4B-4E0A-A186-803508D4ABF0}"/>
    <cellStyle name="Normal 5 2 2 2 3 4 4" xfId="9838" xr:uid="{1A55BC9E-FE5C-4493-86E8-A76D5A64BA89}"/>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A2680905-4419-412A-A2F9-2BB7E834BCDE}"/>
    <cellStyle name="Normal 5 2 2 2 3 5 2 3" xfId="12396" xr:uid="{DCEC7840-4435-4DD7-882D-262DF5008F15}"/>
    <cellStyle name="Normal 5 2 2 2 3 5 3" xfId="6027" xr:uid="{00000000-0005-0000-0000-000068170000}"/>
    <cellStyle name="Normal 5 2 2 2 3 5 3 2" xfId="14469" xr:uid="{127295DD-EFD0-4AF1-951C-3256D97C2C03}"/>
    <cellStyle name="Normal 5 2 2 2 3 5 4" xfId="10251" xr:uid="{B3D835B5-D999-491F-8240-3568DF63E7F4}"/>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A42C8714-4DA2-467D-A9D2-1372435DC0EC}"/>
    <cellStyle name="Normal 5 2 2 2 3 6 2 3" xfId="12809" xr:uid="{8B140996-A613-4737-B787-509B9F9ED5C7}"/>
    <cellStyle name="Normal 5 2 2 2 3 6 3" xfId="6440" xr:uid="{00000000-0005-0000-0000-00006C170000}"/>
    <cellStyle name="Normal 5 2 2 2 3 6 3 2" xfId="14882" xr:uid="{48867091-989B-40CD-BC54-4E835C655168}"/>
    <cellStyle name="Normal 5 2 2 2 3 6 4" xfId="10664" xr:uid="{CF987D93-866A-4870-804D-D01BD1C3D226}"/>
    <cellStyle name="Normal 5 2 2 2 3 7" xfId="2569" xr:uid="{00000000-0005-0000-0000-00006D170000}"/>
    <cellStyle name="Normal 5 2 2 2 3 7 2" xfId="6853" xr:uid="{00000000-0005-0000-0000-00006E170000}"/>
    <cellStyle name="Normal 5 2 2 2 3 7 2 2" xfId="15295" xr:uid="{E9120F52-7CBB-4453-A719-277D14574637}"/>
    <cellStyle name="Normal 5 2 2 2 3 7 3" xfId="11077" xr:uid="{58C767F3-DBCB-4C22-A2BD-94CE98FD7DE9}"/>
    <cellStyle name="Normal 5 2 2 2 3 8" xfId="4788" xr:uid="{00000000-0005-0000-0000-00006F170000}"/>
    <cellStyle name="Normal 5 2 2 2 3 8 2" xfId="13230" xr:uid="{E90F3B16-1702-420A-8A96-C38DE880ECA6}"/>
    <cellStyle name="Normal 5 2 2 2 3 9" xfId="9012" xr:uid="{1BA2AF36-EB1B-44E3-8C3F-A7421A0D69F6}"/>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D7EF7D33-F4D2-4B20-986B-F493B485F7D6}"/>
    <cellStyle name="Normal 5 2 2 2 4 2 2 3" xfId="11572" xr:uid="{97DDE7D3-FA96-42B3-86E7-9B99319CA4A0}"/>
    <cellStyle name="Normal 5 2 2 2 4 2 3" xfId="5203" xr:uid="{00000000-0005-0000-0000-000074170000}"/>
    <cellStyle name="Normal 5 2 2 2 4 2 3 2" xfId="13645" xr:uid="{5D28E639-B7C9-4EFA-9994-467E2943CBB5}"/>
    <cellStyle name="Normal 5 2 2 2 4 2 4" xfId="9427" xr:uid="{A789450B-33EA-45D0-8AB8-37CFD1246E93}"/>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9FD941AB-1101-4CD3-AFFF-63E17C5C1D88}"/>
    <cellStyle name="Normal 5 2 2 2 4 3 2 3" xfId="11985" xr:uid="{A0D7C487-68BB-42E9-B967-384C7C233E0B}"/>
    <cellStyle name="Normal 5 2 2 2 4 3 3" xfId="5616" xr:uid="{00000000-0005-0000-0000-000078170000}"/>
    <cellStyle name="Normal 5 2 2 2 4 3 3 2" xfId="14058" xr:uid="{81903F98-2A7A-494A-9C8E-851AEDB566AB}"/>
    <cellStyle name="Normal 5 2 2 2 4 3 4" xfId="9840" xr:uid="{617497F4-421D-4DC7-861E-3D2577E9DC7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3861BAA8-ACED-4AE5-9EA7-D2131D3E537C}"/>
    <cellStyle name="Normal 5 2 2 2 4 4 2 3" xfId="12398" xr:uid="{29517FC6-9EFA-48DD-ADED-2252139F3AE7}"/>
    <cellStyle name="Normal 5 2 2 2 4 4 3" xfId="6029" xr:uid="{00000000-0005-0000-0000-00007C170000}"/>
    <cellStyle name="Normal 5 2 2 2 4 4 3 2" xfId="14471" xr:uid="{3CAF3065-F434-4296-8DDE-E6904418C057}"/>
    <cellStyle name="Normal 5 2 2 2 4 4 4" xfId="10253" xr:uid="{07D1C3A8-0BA5-4C31-ADA9-CF6B7A914802}"/>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BEBE1141-820B-4B86-84C9-518E62315BC8}"/>
    <cellStyle name="Normal 5 2 2 2 4 5 2 3" xfId="12811" xr:uid="{4297CE3A-E253-4C87-8F0C-74381A4F97A5}"/>
    <cellStyle name="Normal 5 2 2 2 4 5 3" xfId="6442" xr:uid="{00000000-0005-0000-0000-000080170000}"/>
    <cellStyle name="Normal 5 2 2 2 4 5 3 2" xfId="14884" xr:uid="{CD040CF7-DF76-42E5-8644-68A936BB8AB9}"/>
    <cellStyle name="Normal 5 2 2 2 4 5 4" xfId="10666" xr:uid="{E63D7BFE-4FC0-40A8-A923-63B0F8323BF1}"/>
    <cellStyle name="Normal 5 2 2 2 4 6" xfId="2571" xr:uid="{00000000-0005-0000-0000-000081170000}"/>
    <cellStyle name="Normal 5 2 2 2 4 6 2" xfId="6855" xr:uid="{00000000-0005-0000-0000-000082170000}"/>
    <cellStyle name="Normal 5 2 2 2 4 6 2 2" xfId="15297" xr:uid="{7883039A-5601-4B6A-A662-9166091660D2}"/>
    <cellStyle name="Normal 5 2 2 2 4 6 3" xfId="11079" xr:uid="{C04F476C-12DF-4FD0-9561-54667FED33BB}"/>
    <cellStyle name="Normal 5 2 2 2 4 7" xfId="4790" xr:uid="{00000000-0005-0000-0000-000083170000}"/>
    <cellStyle name="Normal 5 2 2 2 4 7 2" xfId="13232" xr:uid="{11260151-9171-4A62-AC28-F447F2EC00B1}"/>
    <cellStyle name="Normal 5 2 2 2 4 8" xfId="9014" xr:uid="{80B9CD9B-CA05-4FB6-A997-D9702AB61C25}"/>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D7F1331E-7191-4F93-B264-ACB35F0905CB}"/>
    <cellStyle name="Normal 5 2 2 2 5 2 3" xfId="11565" xr:uid="{60D5B9D9-0055-46F3-80AA-77B1EA88D3AC}"/>
    <cellStyle name="Normal 5 2 2 2 5 3" xfId="5196" xr:uid="{00000000-0005-0000-0000-000087170000}"/>
    <cellStyle name="Normal 5 2 2 2 5 3 2" xfId="13638" xr:uid="{082DAC23-C45F-466E-AF78-1141C2C39B9E}"/>
    <cellStyle name="Normal 5 2 2 2 5 4" xfId="9420" xr:uid="{553F412F-174B-40FB-941C-FD9AED039B7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6550249C-907E-429F-B04F-F665A786791D}"/>
    <cellStyle name="Normal 5 2 2 2 6 2 3" xfId="11978" xr:uid="{5764AB88-8634-47E8-B1F4-8ABC52D4A24F}"/>
    <cellStyle name="Normal 5 2 2 2 6 3" xfId="5609" xr:uid="{00000000-0005-0000-0000-00008B170000}"/>
    <cellStyle name="Normal 5 2 2 2 6 3 2" xfId="14051" xr:uid="{91B41093-B253-4E51-984C-61A53BCD2A7F}"/>
    <cellStyle name="Normal 5 2 2 2 6 4" xfId="9833" xr:uid="{028D1736-F338-42EF-B799-A53E185B75F0}"/>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413AC32D-D9C7-45E4-A7FD-737443571DA7}"/>
    <cellStyle name="Normal 5 2 2 2 7 2 3" xfId="12391" xr:uid="{026BA9F2-360F-41BF-86E2-981526627B74}"/>
    <cellStyle name="Normal 5 2 2 2 7 3" xfId="6022" xr:uid="{00000000-0005-0000-0000-00008F170000}"/>
    <cellStyle name="Normal 5 2 2 2 7 3 2" xfId="14464" xr:uid="{28EEF7EE-574B-4EB3-81F1-478FF2859B4E}"/>
    <cellStyle name="Normal 5 2 2 2 7 4" xfId="10246" xr:uid="{90CE989B-AF1E-4549-914F-98240D72F818}"/>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7D979ADE-C7C9-464B-BCB3-DC7D98BA19C2}"/>
    <cellStyle name="Normal 5 2 2 2 8 2 3" xfId="12804" xr:uid="{525B165F-BFAB-493E-B4A8-71B14331D093}"/>
    <cellStyle name="Normal 5 2 2 2 8 3" xfId="6435" xr:uid="{00000000-0005-0000-0000-000093170000}"/>
    <cellStyle name="Normal 5 2 2 2 8 3 2" xfId="14877" xr:uid="{DA53FA7C-B5D2-421A-96C3-C4456EACECEC}"/>
    <cellStyle name="Normal 5 2 2 2 8 4" xfId="10659" xr:uid="{8D68A44A-C206-4E84-B0A1-658BCFD0ED55}"/>
    <cellStyle name="Normal 5 2 2 2 9" xfId="2564" xr:uid="{00000000-0005-0000-0000-000094170000}"/>
    <cellStyle name="Normal 5 2 2 2 9 2" xfId="6848" xr:uid="{00000000-0005-0000-0000-000095170000}"/>
    <cellStyle name="Normal 5 2 2 2 9 2 2" xfId="15290" xr:uid="{5F1AB46A-D9DC-4794-8523-5799F96CBF35}"/>
    <cellStyle name="Normal 5 2 2 2 9 3" xfId="11072" xr:uid="{DDABB161-F68B-4112-82FB-58193AF0E22E}"/>
    <cellStyle name="Normal 5 2 2 3" xfId="417" xr:uid="{00000000-0005-0000-0000-000096170000}"/>
    <cellStyle name="Normal 5 2 2 3 10" xfId="9015" xr:uid="{4EECC466-FB4F-4AEC-BF24-04127E1A5F4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FC31479C-2EA4-43F2-84D8-600E8892B69A}"/>
    <cellStyle name="Normal 5 2 2 3 2 2 2 2 3" xfId="11575" xr:uid="{8DDB2BBA-9939-4386-8E65-0D3212FD0085}"/>
    <cellStyle name="Normal 5 2 2 3 2 2 2 3" xfId="5206" xr:uid="{00000000-0005-0000-0000-00009C170000}"/>
    <cellStyle name="Normal 5 2 2 3 2 2 2 3 2" xfId="13648" xr:uid="{0DCA2D2C-D8B6-4036-9167-9FF2A04AC64D}"/>
    <cellStyle name="Normal 5 2 2 3 2 2 2 4" xfId="9430" xr:uid="{2647DA08-3616-4A76-AA61-3C7895FCDD2D}"/>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B4FD4887-1583-412A-BA4C-63AE0DA3C23A}"/>
    <cellStyle name="Normal 5 2 2 3 2 2 3 2 3" xfId="11988" xr:uid="{763E352F-C128-4C72-8AC8-13AFA54614CC}"/>
    <cellStyle name="Normal 5 2 2 3 2 2 3 3" xfId="5619" xr:uid="{00000000-0005-0000-0000-0000A0170000}"/>
    <cellStyle name="Normal 5 2 2 3 2 2 3 3 2" xfId="14061" xr:uid="{FCAE784D-23B9-46FB-8048-B9B523FAABD1}"/>
    <cellStyle name="Normal 5 2 2 3 2 2 3 4" xfId="9843" xr:uid="{D5DD29FA-1BBF-41C5-B204-450C2EEFD4C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7959E092-3014-4219-8AEA-6BA4078C931E}"/>
    <cellStyle name="Normal 5 2 2 3 2 2 4 2 3" xfId="12401" xr:uid="{75BF7F1A-C3B9-448F-8070-9471EBF64FE7}"/>
    <cellStyle name="Normal 5 2 2 3 2 2 4 3" xfId="6032" xr:uid="{00000000-0005-0000-0000-0000A4170000}"/>
    <cellStyle name="Normal 5 2 2 3 2 2 4 3 2" xfId="14474" xr:uid="{143CC093-6BF0-4BC4-B8A3-1108D6E27ACD}"/>
    <cellStyle name="Normal 5 2 2 3 2 2 4 4" xfId="10256" xr:uid="{AF4DD442-7149-47D3-98DF-628E1B91F4A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DC9C48F3-2F5D-4C61-AC3D-064DE7961097}"/>
    <cellStyle name="Normal 5 2 2 3 2 2 5 2 3" xfId="12814" xr:uid="{B3BA55AD-CF1B-4C6A-9315-CC77A4D2BD47}"/>
    <cellStyle name="Normal 5 2 2 3 2 2 5 3" xfId="6445" xr:uid="{00000000-0005-0000-0000-0000A8170000}"/>
    <cellStyle name="Normal 5 2 2 3 2 2 5 3 2" xfId="14887" xr:uid="{888F55D0-FA9A-4BF4-AD2E-E00B28E40397}"/>
    <cellStyle name="Normal 5 2 2 3 2 2 5 4" xfId="10669" xr:uid="{08C3743B-9BB5-4675-8A73-D06CCFDF7D84}"/>
    <cellStyle name="Normal 5 2 2 3 2 2 6" xfId="2574" xr:uid="{00000000-0005-0000-0000-0000A9170000}"/>
    <cellStyle name="Normal 5 2 2 3 2 2 6 2" xfId="6858" xr:uid="{00000000-0005-0000-0000-0000AA170000}"/>
    <cellStyle name="Normal 5 2 2 3 2 2 6 2 2" xfId="15300" xr:uid="{7259EFF7-D4FF-4BC3-8F3D-D568C7A2959B}"/>
    <cellStyle name="Normal 5 2 2 3 2 2 6 3" xfId="11082" xr:uid="{01F517B6-D88D-47B2-BF47-27BA76A162B3}"/>
    <cellStyle name="Normal 5 2 2 3 2 2 7" xfId="4793" xr:uid="{00000000-0005-0000-0000-0000AB170000}"/>
    <cellStyle name="Normal 5 2 2 3 2 2 7 2" xfId="13235" xr:uid="{45226DC3-090F-4229-8A81-BF74C681F2E8}"/>
    <cellStyle name="Normal 5 2 2 3 2 2 8" xfId="9017" xr:uid="{9B984FD1-4D9B-465D-8EC1-8E83FF5FCC8E}"/>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061AC357-D49D-4F4A-9743-E29558CF9B41}"/>
    <cellStyle name="Normal 5 2 2 3 2 3 2 3" xfId="11574" xr:uid="{3BA8BBA3-ABCC-4363-8D4A-2A6AD8EF01DA}"/>
    <cellStyle name="Normal 5 2 2 3 2 3 3" xfId="5205" xr:uid="{00000000-0005-0000-0000-0000AF170000}"/>
    <cellStyle name="Normal 5 2 2 3 2 3 3 2" xfId="13647" xr:uid="{13E72BFF-D1E5-4F8A-AA3E-916B7074C20F}"/>
    <cellStyle name="Normal 5 2 2 3 2 3 4" xfId="9429" xr:uid="{096E0163-9358-4A6B-8CBE-0E07A73F7701}"/>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9509F89E-AECE-4F26-A897-8CC19ED4E580}"/>
    <cellStyle name="Normal 5 2 2 3 2 4 2 3" xfId="11987" xr:uid="{FE916697-A2AF-43AE-A514-97BF3D3BAC16}"/>
    <cellStyle name="Normal 5 2 2 3 2 4 3" xfId="5618" xr:uid="{00000000-0005-0000-0000-0000B3170000}"/>
    <cellStyle name="Normal 5 2 2 3 2 4 3 2" xfId="14060" xr:uid="{523CED4A-649F-4FE8-88A1-CCE8C81BF4C8}"/>
    <cellStyle name="Normal 5 2 2 3 2 4 4" xfId="9842" xr:uid="{509E37ED-5FCB-4FD5-BF30-44ACD9125BEC}"/>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8E65AD9F-1F65-47CA-AA3E-47D7E50E33B3}"/>
    <cellStyle name="Normal 5 2 2 3 2 5 2 3" xfId="12400" xr:uid="{DBC260FD-FA8B-4FCE-816D-EA981F4D02F1}"/>
    <cellStyle name="Normal 5 2 2 3 2 5 3" xfId="6031" xr:uid="{00000000-0005-0000-0000-0000B7170000}"/>
    <cellStyle name="Normal 5 2 2 3 2 5 3 2" xfId="14473" xr:uid="{2F7FF3AA-350D-4C81-8634-21E84A4BF2BF}"/>
    <cellStyle name="Normal 5 2 2 3 2 5 4" xfId="10255" xr:uid="{B042B427-4B77-42EF-8B89-13CA1BF065B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227BC00F-46B8-4A7E-8EB0-1D75F73FE75A}"/>
    <cellStyle name="Normal 5 2 2 3 2 6 2 3" xfId="12813" xr:uid="{AEFFC0A1-12B8-4F1F-A103-A15A597BFB3C}"/>
    <cellStyle name="Normal 5 2 2 3 2 6 3" xfId="6444" xr:uid="{00000000-0005-0000-0000-0000BB170000}"/>
    <cellStyle name="Normal 5 2 2 3 2 6 3 2" xfId="14886" xr:uid="{B64615FA-36B0-424D-922A-E0FA8F5C4CB6}"/>
    <cellStyle name="Normal 5 2 2 3 2 6 4" xfId="10668" xr:uid="{1C71E505-8DDF-4B62-ABB6-8B3249EBD12D}"/>
    <cellStyle name="Normal 5 2 2 3 2 7" xfId="2573" xr:uid="{00000000-0005-0000-0000-0000BC170000}"/>
    <cellStyle name="Normal 5 2 2 3 2 7 2" xfId="6857" xr:uid="{00000000-0005-0000-0000-0000BD170000}"/>
    <cellStyle name="Normal 5 2 2 3 2 7 2 2" xfId="15299" xr:uid="{832966A1-114F-4EBA-9B3A-CEEF19DDEC22}"/>
    <cellStyle name="Normal 5 2 2 3 2 7 3" xfId="11081" xr:uid="{17D93430-0205-4018-935E-F1C64B8A10F5}"/>
    <cellStyle name="Normal 5 2 2 3 2 8" xfId="4792" xr:uid="{00000000-0005-0000-0000-0000BE170000}"/>
    <cellStyle name="Normal 5 2 2 3 2 8 2" xfId="13234" xr:uid="{D999EC71-9790-4774-BF92-23EA05432809}"/>
    <cellStyle name="Normal 5 2 2 3 2 9" xfId="9016" xr:uid="{D94BE6CA-3FD0-47C1-AD26-C44FCCB6B2EA}"/>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C18A43EC-249E-49DC-BC04-114773F8288E}"/>
    <cellStyle name="Normal 5 2 2 3 3 2 2 3" xfId="11576" xr:uid="{E2EA8F05-5D52-45DB-95FB-A9623324CA05}"/>
    <cellStyle name="Normal 5 2 2 3 3 2 3" xfId="5207" xr:uid="{00000000-0005-0000-0000-0000C3170000}"/>
    <cellStyle name="Normal 5 2 2 3 3 2 3 2" xfId="13649" xr:uid="{A55E7095-57E5-447E-89F3-470C3F318D49}"/>
    <cellStyle name="Normal 5 2 2 3 3 2 4" xfId="9431" xr:uid="{B4E6899B-E08E-40D4-A4BB-0A14B3D3B509}"/>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B779DAA4-080A-4DC5-85F2-0278EB798577}"/>
    <cellStyle name="Normal 5 2 2 3 3 3 2 3" xfId="11989" xr:uid="{C0C65F64-4A5B-4A79-BD23-785B24C8DB59}"/>
    <cellStyle name="Normal 5 2 2 3 3 3 3" xfId="5620" xr:uid="{00000000-0005-0000-0000-0000C7170000}"/>
    <cellStyle name="Normal 5 2 2 3 3 3 3 2" xfId="14062" xr:uid="{96C057DD-0023-4201-A9BD-FE851E37D504}"/>
    <cellStyle name="Normal 5 2 2 3 3 3 4" xfId="9844" xr:uid="{BBC42476-A7E8-45F5-9993-7780D031B23B}"/>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782B073D-A455-4C8D-B28D-BD136EDC75CB}"/>
    <cellStyle name="Normal 5 2 2 3 3 4 2 3" xfId="12402" xr:uid="{7DCEBB3F-57FB-47B4-8C39-A5E973151305}"/>
    <cellStyle name="Normal 5 2 2 3 3 4 3" xfId="6033" xr:uid="{00000000-0005-0000-0000-0000CB170000}"/>
    <cellStyle name="Normal 5 2 2 3 3 4 3 2" xfId="14475" xr:uid="{90BB6FD3-9116-42C9-9D3B-8B0CD1F80075}"/>
    <cellStyle name="Normal 5 2 2 3 3 4 4" xfId="10257" xr:uid="{F40355F4-280D-4B8E-991D-FAB3BAFBA77B}"/>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61EC4FBF-625B-461C-AFBD-7C0A04FE4D0B}"/>
    <cellStyle name="Normal 5 2 2 3 3 5 2 3" xfId="12815" xr:uid="{C821C1CB-CDF5-4B3F-A210-CAF04CAA29F4}"/>
    <cellStyle name="Normal 5 2 2 3 3 5 3" xfId="6446" xr:uid="{00000000-0005-0000-0000-0000CF170000}"/>
    <cellStyle name="Normal 5 2 2 3 3 5 3 2" xfId="14888" xr:uid="{70173DE1-54FB-4E7C-B757-5AF3AF73B9B7}"/>
    <cellStyle name="Normal 5 2 2 3 3 5 4" xfId="10670" xr:uid="{7C035599-0CC6-4856-98E1-F14AD1BFE19E}"/>
    <cellStyle name="Normal 5 2 2 3 3 6" xfId="2575" xr:uid="{00000000-0005-0000-0000-0000D0170000}"/>
    <cellStyle name="Normal 5 2 2 3 3 6 2" xfId="6859" xr:uid="{00000000-0005-0000-0000-0000D1170000}"/>
    <cellStyle name="Normal 5 2 2 3 3 6 2 2" xfId="15301" xr:uid="{91E45FAF-0C7E-4FFE-94C1-D0F1E89DCE88}"/>
    <cellStyle name="Normal 5 2 2 3 3 6 3" xfId="11083" xr:uid="{E76067A5-A054-47C6-9969-7876EC81B173}"/>
    <cellStyle name="Normal 5 2 2 3 3 7" xfId="4794" xr:uid="{00000000-0005-0000-0000-0000D2170000}"/>
    <cellStyle name="Normal 5 2 2 3 3 7 2" xfId="13236" xr:uid="{5A81C54D-115D-41A6-892B-7B1BB9C76FA9}"/>
    <cellStyle name="Normal 5 2 2 3 3 8" xfId="9018" xr:uid="{174DF73E-C9E3-489F-9F61-18897FEC3225}"/>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C39B3E1A-5244-409F-A4BB-5E760FA09F1C}"/>
    <cellStyle name="Normal 5 2 2 3 4 2 3" xfId="11573" xr:uid="{77CAA178-BD17-4E1E-A018-7F7C944BC0F4}"/>
    <cellStyle name="Normal 5 2 2 3 4 3" xfId="5204" xr:uid="{00000000-0005-0000-0000-0000D6170000}"/>
    <cellStyle name="Normal 5 2 2 3 4 3 2" xfId="13646" xr:uid="{2B91F2DA-A327-4291-9FB4-0472C3B84E21}"/>
    <cellStyle name="Normal 5 2 2 3 4 4" xfId="9428" xr:uid="{1D419FBA-57DB-4284-B067-9CD36D1CA865}"/>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732F3CDB-09B9-41FF-9B06-98008EBBE198}"/>
    <cellStyle name="Normal 5 2 2 3 5 2 3" xfId="11986" xr:uid="{D0D8D03F-89FA-46EA-9D24-51C74B8FDE9A}"/>
    <cellStyle name="Normal 5 2 2 3 5 3" xfId="5617" xr:uid="{00000000-0005-0000-0000-0000DA170000}"/>
    <cellStyle name="Normal 5 2 2 3 5 3 2" xfId="14059" xr:uid="{A96E3F9A-28EC-4D20-B0AB-D94F2650B55A}"/>
    <cellStyle name="Normal 5 2 2 3 5 4" xfId="9841" xr:uid="{871A334C-BC2D-4CD4-8574-CC02B63BE19C}"/>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86A56CDF-92A3-4643-A3E6-5C2E4B06B162}"/>
    <cellStyle name="Normal 5 2 2 3 6 2 3" xfId="12399" xr:uid="{84BABEFB-A2F2-4632-97DC-CCD3BC0F2811}"/>
    <cellStyle name="Normal 5 2 2 3 6 3" xfId="6030" xr:uid="{00000000-0005-0000-0000-0000DE170000}"/>
    <cellStyle name="Normal 5 2 2 3 6 3 2" xfId="14472" xr:uid="{DB652C50-1926-435C-8FDE-65E1BA980DF2}"/>
    <cellStyle name="Normal 5 2 2 3 6 4" xfId="10254" xr:uid="{AC4EE4A3-9651-4DB5-84BC-07AB49ABFCDB}"/>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C872E491-84DC-4A25-A13B-A0C6B5409D71}"/>
    <cellStyle name="Normal 5 2 2 3 7 2 3" xfId="12812" xr:uid="{A80492F0-0235-479F-A6C2-3FB5F200098D}"/>
    <cellStyle name="Normal 5 2 2 3 7 3" xfId="6443" xr:uid="{00000000-0005-0000-0000-0000E2170000}"/>
    <cellStyle name="Normal 5 2 2 3 7 3 2" xfId="14885" xr:uid="{65A8F1A6-6729-40C8-A9E7-A7BAAB5004EF}"/>
    <cellStyle name="Normal 5 2 2 3 7 4" xfId="10667" xr:uid="{0F4414BC-73B5-4B70-8501-48C8EF9747ED}"/>
    <cellStyle name="Normal 5 2 2 3 8" xfId="2572" xr:uid="{00000000-0005-0000-0000-0000E3170000}"/>
    <cellStyle name="Normal 5 2 2 3 8 2" xfId="6856" xr:uid="{00000000-0005-0000-0000-0000E4170000}"/>
    <cellStyle name="Normal 5 2 2 3 8 2 2" xfId="15298" xr:uid="{416D55B8-CA12-48D8-8C66-E7C5351A0480}"/>
    <cellStyle name="Normal 5 2 2 3 8 3" xfId="11080" xr:uid="{071F1B11-014F-43A4-AFC8-284C70F9962F}"/>
    <cellStyle name="Normal 5 2 2 3 9" xfId="4791" xr:uid="{00000000-0005-0000-0000-0000E5170000}"/>
    <cellStyle name="Normal 5 2 2 3 9 2" xfId="13233" xr:uid="{A4364952-BDAF-4868-8025-4386D70198B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2146F4C9-70E3-48AE-A429-5B945DD97050}"/>
    <cellStyle name="Normal 5 2 2 4 2 2 2 3" xfId="11578" xr:uid="{22FCDF75-18DB-4A53-9585-E81DD09B4329}"/>
    <cellStyle name="Normal 5 2 2 4 2 2 3" xfId="5209" xr:uid="{00000000-0005-0000-0000-0000EB170000}"/>
    <cellStyle name="Normal 5 2 2 4 2 2 3 2" xfId="13651" xr:uid="{D3FA043F-CE45-4A39-86C4-776FCCC53FA7}"/>
    <cellStyle name="Normal 5 2 2 4 2 2 4" xfId="9433" xr:uid="{1449D305-6DA1-4D04-9D39-868280FEF55C}"/>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069A8A95-35B5-43EE-96E0-6D089ABA7567}"/>
    <cellStyle name="Normal 5 2 2 4 2 3 2 3" xfId="11991" xr:uid="{BC6B9180-F3F5-4EC9-8E0B-88BE22694FC3}"/>
    <cellStyle name="Normal 5 2 2 4 2 3 3" xfId="5622" xr:uid="{00000000-0005-0000-0000-0000EF170000}"/>
    <cellStyle name="Normal 5 2 2 4 2 3 3 2" xfId="14064" xr:uid="{B1492E25-BE76-4B74-9CDD-12F078870564}"/>
    <cellStyle name="Normal 5 2 2 4 2 3 4" xfId="9846" xr:uid="{D865D796-1800-4ADB-B479-DD35FFA0A28E}"/>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060E27B5-F609-4C79-8D6F-5AFE6A217C74}"/>
    <cellStyle name="Normal 5 2 2 4 2 4 2 3" xfId="12404" xr:uid="{0E8CC2DD-0986-45A0-84C2-03D7C1BEB030}"/>
    <cellStyle name="Normal 5 2 2 4 2 4 3" xfId="6035" xr:uid="{00000000-0005-0000-0000-0000F3170000}"/>
    <cellStyle name="Normal 5 2 2 4 2 4 3 2" xfId="14477" xr:uid="{26CB72E7-037D-4CFD-A038-C8FD3B23CADA}"/>
    <cellStyle name="Normal 5 2 2 4 2 4 4" xfId="10259" xr:uid="{5FBE8D00-263E-4FFA-A436-96964AF396A3}"/>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5022B19F-881C-4C9E-9EF8-10334010FE04}"/>
    <cellStyle name="Normal 5 2 2 4 2 5 2 3" xfId="12817" xr:uid="{3B1F3B00-7E08-4547-83A5-C5C0DD686D1A}"/>
    <cellStyle name="Normal 5 2 2 4 2 5 3" xfId="6448" xr:uid="{00000000-0005-0000-0000-0000F7170000}"/>
    <cellStyle name="Normal 5 2 2 4 2 5 3 2" xfId="14890" xr:uid="{9A384B97-F6A9-4192-AD79-5CF581D36775}"/>
    <cellStyle name="Normal 5 2 2 4 2 5 4" xfId="10672" xr:uid="{DC0E362B-3028-4F34-B3CE-34EBFEBB85D6}"/>
    <cellStyle name="Normal 5 2 2 4 2 6" xfId="2577" xr:uid="{00000000-0005-0000-0000-0000F8170000}"/>
    <cellStyle name="Normal 5 2 2 4 2 6 2" xfId="6861" xr:uid="{00000000-0005-0000-0000-0000F9170000}"/>
    <cellStyle name="Normal 5 2 2 4 2 6 2 2" xfId="15303" xr:uid="{A00E6838-DAF4-4044-B971-4C3C640FF4FE}"/>
    <cellStyle name="Normal 5 2 2 4 2 6 3" xfId="11085" xr:uid="{91C54C6C-18FF-4FCF-BF43-F6723EE7E7A1}"/>
    <cellStyle name="Normal 5 2 2 4 2 7" xfId="4796" xr:uid="{00000000-0005-0000-0000-0000FA170000}"/>
    <cellStyle name="Normal 5 2 2 4 2 7 2" xfId="13238" xr:uid="{C7486D9A-859A-4322-94EA-70AFA62FB462}"/>
    <cellStyle name="Normal 5 2 2 4 2 8" xfId="9020" xr:uid="{81963331-A6A1-48F4-9BD0-B14E8B07F7A5}"/>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9CB2B020-9256-4A68-83FC-B299E1A548EA}"/>
    <cellStyle name="Normal 5 2 2 4 3 2 3" xfId="11577" xr:uid="{823FE9CC-BC45-475E-9416-9D2CFDCE4B63}"/>
    <cellStyle name="Normal 5 2 2 4 3 3" xfId="5208" xr:uid="{00000000-0005-0000-0000-0000FE170000}"/>
    <cellStyle name="Normal 5 2 2 4 3 3 2" xfId="13650" xr:uid="{D5414280-71D4-4140-821C-853EA8B99FC5}"/>
    <cellStyle name="Normal 5 2 2 4 3 4" xfId="9432" xr:uid="{7EBEFC6A-0176-44BA-99E1-DAD363C04EA5}"/>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B2A8B135-F8C0-4BC0-93FC-A9BBE15D710D}"/>
    <cellStyle name="Normal 5 2 2 4 4 2 3" xfId="11990" xr:uid="{D82C8E91-F0DD-4B92-9955-BD949513BE70}"/>
    <cellStyle name="Normal 5 2 2 4 4 3" xfId="5621" xr:uid="{00000000-0005-0000-0000-000002180000}"/>
    <cellStyle name="Normal 5 2 2 4 4 3 2" xfId="14063" xr:uid="{84A83935-04A1-4270-9EE7-066F2DB4E5CB}"/>
    <cellStyle name="Normal 5 2 2 4 4 4" xfId="9845" xr:uid="{A4879045-EFEF-476B-8D30-F9E5C4032F5A}"/>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9D01B3CF-0C3D-43A6-A11F-626EBA683BC4}"/>
    <cellStyle name="Normal 5 2 2 4 5 2 3" xfId="12403" xr:uid="{E3A44BB6-7735-4266-9EBF-CDA62789E5A3}"/>
    <cellStyle name="Normal 5 2 2 4 5 3" xfId="6034" xr:uid="{00000000-0005-0000-0000-000006180000}"/>
    <cellStyle name="Normal 5 2 2 4 5 3 2" xfId="14476" xr:uid="{1968A28B-D8AC-455C-815A-9F0B24E93436}"/>
    <cellStyle name="Normal 5 2 2 4 5 4" xfId="10258" xr:uid="{CAEC95C1-9B85-4E3F-A069-0FF6BF081AEC}"/>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A57BE30B-F263-4FA8-980F-4E0B168714BF}"/>
    <cellStyle name="Normal 5 2 2 4 6 2 3" xfId="12816" xr:uid="{0FEF5078-2A31-47B2-8F92-4517AC36605C}"/>
    <cellStyle name="Normal 5 2 2 4 6 3" xfId="6447" xr:uid="{00000000-0005-0000-0000-00000A180000}"/>
    <cellStyle name="Normal 5 2 2 4 6 3 2" xfId="14889" xr:uid="{979C7801-2025-42FD-955E-3471A995C230}"/>
    <cellStyle name="Normal 5 2 2 4 6 4" xfId="10671" xr:uid="{D7C56AA3-47BA-42CC-B36C-8EAF247B6A65}"/>
    <cellStyle name="Normal 5 2 2 4 7" xfId="2576" xr:uid="{00000000-0005-0000-0000-00000B180000}"/>
    <cellStyle name="Normal 5 2 2 4 7 2" xfId="6860" xr:uid="{00000000-0005-0000-0000-00000C180000}"/>
    <cellStyle name="Normal 5 2 2 4 7 2 2" xfId="15302" xr:uid="{3C171F8D-99E2-452F-BC51-A8B719926058}"/>
    <cellStyle name="Normal 5 2 2 4 7 3" xfId="11084" xr:uid="{E8FEAFC7-D80D-4618-8C3C-35D7C6C33927}"/>
    <cellStyle name="Normal 5 2 2 4 8" xfId="4795" xr:uid="{00000000-0005-0000-0000-00000D180000}"/>
    <cellStyle name="Normal 5 2 2 4 8 2" xfId="13237" xr:uid="{951182D4-06D1-4EA1-B6EE-5823C561E740}"/>
    <cellStyle name="Normal 5 2 2 4 9" xfId="9019" xr:uid="{22AAF226-711E-44E1-86F5-AA83CB20C6C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21CC7FF6-3811-4649-9CDC-7877CEBD9DEE}"/>
    <cellStyle name="Normal 5 2 2 5 2 2 3" xfId="11579" xr:uid="{7F0673D6-7476-4AB1-8BF4-A292A863E0F5}"/>
    <cellStyle name="Normal 5 2 2 5 2 3" xfId="5210" xr:uid="{00000000-0005-0000-0000-000012180000}"/>
    <cellStyle name="Normal 5 2 2 5 2 3 2" xfId="13652" xr:uid="{563E6FBB-BEFD-4063-809D-517CA83F12C9}"/>
    <cellStyle name="Normal 5 2 2 5 2 4" xfId="9434" xr:uid="{3EE57003-C5AE-439F-98DD-22303A6F6DBA}"/>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944FD904-5E72-403F-96D9-BAEC50C3D877}"/>
    <cellStyle name="Normal 5 2 2 5 3 2 3" xfId="11992" xr:uid="{92B3CF6B-AD1F-4E16-9405-9B55BC12B277}"/>
    <cellStyle name="Normal 5 2 2 5 3 3" xfId="5623" xr:uid="{00000000-0005-0000-0000-000016180000}"/>
    <cellStyle name="Normal 5 2 2 5 3 3 2" xfId="14065" xr:uid="{3D7195B6-6756-487C-A356-1FEB0A73679F}"/>
    <cellStyle name="Normal 5 2 2 5 3 4" xfId="9847" xr:uid="{7935FF5D-7746-4FFB-9F54-E8A0A46E0708}"/>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0A9871DD-6270-4B50-B654-F30041D77A9D}"/>
    <cellStyle name="Normal 5 2 2 5 4 2 3" xfId="12405" xr:uid="{455C1B66-9E6C-4DCF-A9FA-6C534C523EE3}"/>
    <cellStyle name="Normal 5 2 2 5 4 3" xfId="6036" xr:uid="{00000000-0005-0000-0000-00001A180000}"/>
    <cellStyle name="Normal 5 2 2 5 4 3 2" xfId="14478" xr:uid="{B8BC77D7-56D8-4DD2-B9E2-2751A7D1DE43}"/>
    <cellStyle name="Normal 5 2 2 5 4 4" xfId="10260" xr:uid="{DBEA14BE-E41A-4B90-8ED0-B5A723A4ACA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DEA501BD-F81F-4B3B-884D-63D57E22026F}"/>
    <cellStyle name="Normal 5 2 2 5 5 2 3" xfId="12818" xr:uid="{13B2A75C-AED2-4D17-A22F-B50687B4CC6E}"/>
    <cellStyle name="Normal 5 2 2 5 5 3" xfId="6449" xr:uid="{00000000-0005-0000-0000-00001E180000}"/>
    <cellStyle name="Normal 5 2 2 5 5 3 2" xfId="14891" xr:uid="{3189B4A2-CCC8-4712-B017-6692BD05B917}"/>
    <cellStyle name="Normal 5 2 2 5 5 4" xfId="10673" xr:uid="{5192BE50-1B6A-4564-8AFA-9A5F2948F13F}"/>
    <cellStyle name="Normal 5 2 2 5 6" xfId="2578" xr:uid="{00000000-0005-0000-0000-00001F180000}"/>
    <cellStyle name="Normal 5 2 2 5 6 2" xfId="6862" xr:uid="{00000000-0005-0000-0000-000020180000}"/>
    <cellStyle name="Normal 5 2 2 5 6 2 2" xfId="15304" xr:uid="{4DA9D5A4-CD84-402B-A31C-3D1CACD4D847}"/>
    <cellStyle name="Normal 5 2 2 5 6 3" xfId="11086" xr:uid="{3F57944B-ABF9-4A65-A314-8B0E89E1FAED}"/>
    <cellStyle name="Normal 5 2 2 5 7" xfId="4797" xr:uid="{00000000-0005-0000-0000-000021180000}"/>
    <cellStyle name="Normal 5 2 2 5 7 2" xfId="13239" xr:uid="{CC580D94-DDE6-4CC2-BEF6-34A85276063E}"/>
    <cellStyle name="Normal 5 2 2 5 8" xfId="9021" xr:uid="{CC16D404-5A95-4AD9-8F11-5FE3A5A3080E}"/>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AB6435CD-4EDB-40D9-A721-D8AA61C3DCFF}"/>
    <cellStyle name="Normal 5 2 2 6 2 3" xfId="11564" xr:uid="{C371536E-7A35-4994-86A7-F472FDBFD7EF}"/>
    <cellStyle name="Normal 5 2 2 6 3" xfId="5195" xr:uid="{00000000-0005-0000-0000-000025180000}"/>
    <cellStyle name="Normal 5 2 2 6 3 2" xfId="13637" xr:uid="{D8C19D9F-B34B-4455-8E67-8090EE204B2F}"/>
    <cellStyle name="Normal 5 2 2 6 4" xfId="9419" xr:uid="{EA56BDE4-3EB5-4B6C-BC05-A26791835A86}"/>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82504046-6A0C-4981-9E06-B24C371D7F49}"/>
    <cellStyle name="Normal 5 2 2 7 2 3" xfId="11977" xr:uid="{2A3AFD89-9674-4817-A286-F244DB293945}"/>
    <cellStyle name="Normal 5 2 2 7 3" xfId="5608" xr:uid="{00000000-0005-0000-0000-000029180000}"/>
    <cellStyle name="Normal 5 2 2 7 3 2" xfId="14050" xr:uid="{5028BCE6-48AF-499C-A89F-F931D6ED486D}"/>
    <cellStyle name="Normal 5 2 2 7 4" xfId="9832" xr:uid="{640F93D3-CED6-4076-9E1C-29387364658A}"/>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76EC6702-63E4-44DA-88C1-887D7507B53D}"/>
    <cellStyle name="Normal 5 2 2 8 2 3" xfId="12390" xr:uid="{2CBC6CF8-4896-4309-85B6-00BB57276393}"/>
    <cellStyle name="Normal 5 2 2 8 3" xfId="6021" xr:uid="{00000000-0005-0000-0000-00002D180000}"/>
    <cellStyle name="Normal 5 2 2 8 3 2" xfId="14463" xr:uid="{60C82105-4503-4794-90E1-3EE270DA038D}"/>
    <cellStyle name="Normal 5 2 2 8 4" xfId="10245" xr:uid="{C01FDCC0-6716-4BEC-8504-8B731A9ED081}"/>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B1B112A9-3191-4BAF-ABA5-23705DBB0C36}"/>
    <cellStyle name="Normal 5 2 2 9 2 3" xfId="12803" xr:uid="{2422B433-80B5-4E2C-A13A-386FFBB78029}"/>
    <cellStyle name="Normal 5 2 2 9 3" xfId="6434" xr:uid="{00000000-0005-0000-0000-000031180000}"/>
    <cellStyle name="Normal 5 2 2 9 3 2" xfId="14876" xr:uid="{0C0A5070-0628-4117-9B38-00ADBFA52B2D}"/>
    <cellStyle name="Normal 5 2 2 9 4" xfId="10658" xr:uid="{19B872BE-F0A3-42E2-B0DB-5A5062C52A0A}"/>
    <cellStyle name="Normal 5 2 3" xfId="424" xr:uid="{00000000-0005-0000-0000-000032180000}"/>
    <cellStyle name="Normal 5 2 3 10" xfId="4798" xr:uid="{00000000-0005-0000-0000-000033180000}"/>
    <cellStyle name="Normal 5 2 3 10 2" xfId="13240" xr:uid="{DAD137EB-9698-42F5-9C39-B7E794F7AD7C}"/>
    <cellStyle name="Normal 5 2 3 11" xfId="9022" xr:uid="{6E49830F-3A6B-450A-A006-C5124ED75DC6}"/>
    <cellStyle name="Normal 5 2 3 2" xfId="425" xr:uid="{00000000-0005-0000-0000-000034180000}"/>
    <cellStyle name="Normal 5 2 3 2 10" xfId="9023" xr:uid="{42EC954D-476C-4669-9798-45A459252CAB}"/>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7448C84F-489E-4851-8CD2-E2FB7907342A}"/>
    <cellStyle name="Normal 5 2 3 2 2 2 2 2 3" xfId="11583" xr:uid="{7803F15C-448F-49A3-8277-C32DFFE44C3F}"/>
    <cellStyle name="Normal 5 2 3 2 2 2 2 3" xfId="5214" xr:uid="{00000000-0005-0000-0000-00003A180000}"/>
    <cellStyle name="Normal 5 2 3 2 2 2 2 3 2" xfId="13656" xr:uid="{B47FB7C0-B40F-4CA2-A9AD-536F54DCB3C8}"/>
    <cellStyle name="Normal 5 2 3 2 2 2 2 4" xfId="9438" xr:uid="{C7F9691C-0F69-41BD-AF24-8D5120598669}"/>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49D2AE4E-8468-4AAB-AFC9-36834890AD69}"/>
    <cellStyle name="Normal 5 2 3 2 2 2 3 2 3" xfId="11996" xr:uid="{AFBABEDA-B324-4B85-A76E-481E8A54ACB6}"/>
    <cellStyle name="Normal 5 2 3 2 2 2 3 3" xfId="5627" xr:uid="{00000000-0005-0000-0000-00003E180000}"/>
    <cellStyle name="Normal 5 2 3 2 2 2 3 3 2" xfId="14069" xr:uid="{D023AFDC-07E8-4A97-98FC-34BBA8C66844}"/>
    <cellStyle name="Normal 5 2 3 2 2 2 3 4" xfId="9851" xr:uid="{178DD443-39B9-4AD7-ABCC-82C109296A9B}"/>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47363590-2318-44C6-BED5-7C4F006F1225}"/>
    <cellStyle name="Normal 5 2 3 2 2 2 4 2 3" xfId="12409" xr:uid="{7EBA084B-E030-4212-8965-906A1429E290}"/>
    <cellStyle name="Normal 5 2 3 2 2 2 4 3" xfId="6040" xr:uid="{00000000-0005-0000-0000-000042180000}"/>
    <cellStyle name="Normal 5 2 3 2 2 2 4 3 2" xfId="14482" xr:uid="{9A448527-FC1F-428E-91B5-DBB74DB8452C}"/>
    <cellStyle name="Normal 5 2 3 2 2 2 4 4" xfId="10264" xr:uid="{3A4D04DD-690A-4EA5-834E-146E837C7069}"/>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1F622B9D-1C77-4261-B0DA-9DE4E6101AA5}"/>
    <cellStyle name="Normal 5 2 3 2 2 2 5 2 3" xfId="12822" xr:uid="{83B615A4-939E-412C-B29E-CB47BA298F8C}"/>
    <cellStyle name="Normal 5 2 3 2 2 2 5 3" xfId="6453" xr:uid="{00000000-0005-0000-0000-000046180000}"/>
    <cellStyle name="Normal 5 2 3 2 2 2 5 3 2" xfId="14895" xr:uid="{A93D962A-ED5D-46A1-8A5E-A3D3262FBF41}"/>
    <cellStyle name="Normal 5 2 3 2 2 2 5 4" xfId="10677" xr:uid="{ABCEF46C-C009-4A3E-88FD-8FD6B1584689}"/>
    <cellStyle name="Normal 5 2 3 2 2 2 6" xfId="2582" xr:uid="{00000000-0005-0000-0000-000047180000}"/>
    <cellStyle name="Normal 5 2 3 2 2 2 6 2" xfId="6866" xr:uid="{00000000-0005-0000-0000-000048180000}"/>
    <cellStyle name="Normal 5 2 3 2 2 2 6 2 2" xfId="15308" xr:uid="{2536CCB3-CD53-4B07-B0BE-FBDD1C0889E7}"/>
    <cellStyle name="Normal 5 2 3 2 2 2 6 3" xfId="11090" xr:uid="{48EDD047-C8E0-44FB-A7E4-11191AA0659F}"/>
    <cellStyle name="Normal 5 2 3 2 2 2 7" xfId="4801" xr:uid="{00000000-0005-0000-0000-000049180000}"/>
    <cellStyle name="Normal 5 2 3 2 2 2 7 2" xfId="13243" xr:uid="{F2D513EB-2654-4123-B4B0-B71622541709}"/>
    <cellStyle name="Normal 5 2 3 2 2 2 8" xfId="9025" xr:uid="{40704A97-255E-44F4-8226-3D47CB2261D8}"/>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1DD28CC8-4658-42FD-AEFA-56CF81598944}"/>
    <cellStyle name="Normal 5 2 3 2 2 3 2 3" xfId="11582" xr:uid="{CC7DC613-9242-4681-9C66-108DC3F52EC3}"/>
    <cellStyle name="Normal 5 2 3 2 2 3 3" xfId="5213" xr:uid="{00000000-0005-0000-0000-00004D180000}"/>
    <cellStyle name="Normal 5 2 3 2 2 3 3 2" xfId="13655" xr:uid="{6A1DD2CA-EC77-4D82-A9E4-72A85BEA322A}"/>
    <cellStyle name="Normal 5 2 3 2 2 3 4" xfId="9437" xr:uid="{1D19B86A-8380-4474-8436-1C05A05D73CD}"/>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9F50E0D0-D5AF-4056-8F4C-EC73DF8940E0}"/>
    <cellStyle name="Normal 5 2 3 2 2 4 2 3" xfId="11995" xr:uid="{7A0B1234-5B11-43A8-8120-148B5B92A74E}"/>
    <cellStyle name="Normal 5 2 3 2 2 4 3" xfId="5626" xr:uid="{00000000-0005-0000-0000-000051180000}"/>
    <cellStyle name="Normal 5 2 3 2 2 4 3 2" xfId="14068" xr:uid="{414A888C-F4B8-43B5-96CF-8FCD95860658}"/>
    <cellStyle name="Normal 5 2 3 2 2 4 4" xfId="9850" xr:uid="{64A6146A-9904-4556-81CA-F2DF141D5F6D}"/>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549CAFA9-DCA2-4C9B-9A63-90983AB157FB}"/>
    <cellStyle name="Normal 5 2 3 2 2 5 2 3" xfId="12408" xr:uid="{84421483-0C28-4FF1-B0DF-05D1BE70B7A6}"/>
    <cellStyle name="Normal 5 2 3 2 2 5 3" xfId="6039" xr:uid="{00000000-0005-0000-0000-000055180000}"/>
    <cellStyle name="Normal 5 2 3 2 2 5 3 2" xfId="14481" xr:uid="{4C58341D-251D-4AF1-B554-8AD57B9FEFEF}"/>
    <cellStyle name="Normal 5 2 3 2 2 5 4" xfId="10263" xr:uid="{61AD1B8F-9A94-4FBA-99AA-4F060404D594}"/>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65C55297-FA22-4BBD-AB4D-E3A2FB581149}"/>
    <cellStyle name="Normal 5 2 3 2 2 6 2 3" xfId="12821" xr:uid="{BFC6690B-6874-4CB5-9259-41A519751970}"/>
    <cellStyle name="Normal 5 2 3 2 2 6 3" xfId="6452" xr:uid="{00000000-0005-0000-0000-000059180000}"/>
    <cellStyle name="Normal 5 2 3 2 2 6 3 2" xfId="14894" xr:uid="{25EE54AA-D1EA-46B3-9551-1E57479549D9}"/>
    <cellStyle name="Normal 5 2 3 2 2 6 4" xfId="10676" xr:uid="{7AB95E74-1E3F-4975-80D7-7B9C4B19538F}"/>
    <cellStyle name="Normal 5 2 3 2 2 7" xfId="2581" xr:uid="{00000000-0005-0000-0000-00005A180000}"/>
    <cellStyle name="Normal 5 2 3 2 2 7 2" xfId="6865" xr:uid="{00000000-0005-0000-0000-00005B180000}"/>
    <cellStyle name="Normal 5 2 3 2 2 7 2 2" xfId="15307" xr:uid="{6245CE82-2AC3-443B-8499-7526F8BCE1D9}"/>
    <cellStyle name="Normal 5 2 3 2 2 7 3" xfId="11089" xr:uid="{1EB2C150-0E4D-4335-AC01-D4CE0FBA4A14}"/>
    <cellStyle name="Normal 5 2 3 2 2 8" xfId="4800" xr:uid="{00000000-0005-0000-0000-00005C180000}"/>
    <cellStyle name="Normal 5 2 3 2 2 8 2" xfId="13242" xr:uid="{69EC9431-A894-4C0D-8339-454D68806986}"/>
    <cellStyle name="Normal 5 2 3 2 2 9" xfId="9024" xr:uid="{CA6BB5A2-70C3-48B0-8B6B-11187B48DF5F}"/>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3F64EC36-A91C-4C26-BF4C-CCD99948AF02}"/>
    <cellStyle name="Normal 5 2 3 2 3 2 2 3" xfId="11584" xr:uid="{0DF4A2A3-A29C-48F5-976D-47A6A130F933}"/>
    <cellStyle name="Normal 5 2 3 2 3 2 3" xfId="5215" xr:uid="{00000000-0005-0000-0000-000061180000}"/>
    <cellStyle name="Normal 5 2 3 2 3 2 3 2" xfId="13657" xr:uid="{4AB1950B-2090-4694-972F-2C636AA37A69}"/>
    <cellStyle name="Normal 5 2 3 2 3 2 4" xfId="9439" xr:uid="{70C8061A-2F96-4F67-9D77-6EC77181C034}"/>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95100FB9-EBA9-4F9B-B5C1-A0C8E2729EE5}"/>
    <cellStyle name="Normal 5 2 3 2 3 3 2 3" xfId="11997" xr:uid="{FD3E779E-1D41-48C3-8E91-7F21A203B935}"/>
    <cellStyle name="Normal 5 2 3 2 3 3 3" xfId="5628" xr:uid="{00000000-0005-0000-0000-000065180000}"/>
    <cellStyle name="Normal 5 2 3 2 3 3 3 2" xfId="14070" xr:uid="{50301358-CA7A-4E75-800D-34CD834200ED}"/>
    <cellStyle name="Normal 5 2 3 2 3 3 4" xfId="9852" xr:uid="{2EA8F2EC-6699-4F83-83E7-2EE1FF9A13F1}"/>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1E874D47-17E8-4EE9-8CEC-FAF1269E08F5}"/>
    <cellStyle name="Normal 5 2 3 2 3 4 2 3" xfId="12410" xr:uid="{46FE8080-256C-4EFC-BF83-1D0BB76EFD5E}"/>
    <cellStyle name="Normal 5 2 3 2 3 4 3" xfId="6041" xr:uid="{00000000-0005-0000-0000-000069180000}"/>
    <cellStyle name="Normal 5 2 3 2 3 4 3 2" xfId="14483" xr:uid="{B971E822-4394-4D48-9ACA-DE68A6DC12D5}"/>
    <cellStyle name="Normal 5 2 3 2 3 4 4" xfId="10265" xr:uid="{DD60FE5D-7BB0-4912-8948-DB12A6EF5403}"/>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552CA306-303E-406E-852C-E411026BF422}"/>
    <cellStyle name="Normal 5 2 3 2 3 5 2 3" xfId="12823" xr:uid="{8985863C-A4BF-45C3-8376-00E4DA418905}"/>
    <cellStyle name="Normal 5 2 3 2 3 5 3" xfId="6454" xr:uid="{00000000-0005-0000-0000-00006D180000}"/>
    <cellStyle name="Normal 5 2 3 2 3 5 3 2" xfId="14896" xr:uid="{F6D7538F-994A-4B7E-A067-1A73ADADA17D}"/>
    <cellStyle name="Normal 5 2 3 2 3 5 4" xfId="10678" xr:uid="{682629B9-2D0D-4DDB-82D4-074BCF873CB4}"/>
    <cellStyle name="Normal 5 2 3 2 3 6" xfId="2583" xr:uid="{00000000-0005-0000-0000-00006E180000}"/>
    <cellStyle name="Normal 5 2 3 2 3 6 2" xfId="6867" xr:uid="{00000000-0005-0000-0000-00006F180000}"/>
    <cellStyle name="Normal 5 2 3 2 3 6 2 2" xfId="15309" xr:uid="{F84C0D65-AA59-41C2-92EA-3F81F9A02040}"/>
    <cellStyle name="Normal 5 2 3 2 3 6 3" xfId="11091" xr:uid="{87AAD81C-3C2D-4CFC-A974-EF925B1F6861}"/>
    <cellStyle name="Normal 5 2 3 2 3 7" xfId="4802" xr:uid="{00000000-0005-0000-0000-000070180000}"/>
    <cellStyle name="Normal 5 2 3 2 3 7 2" xfId="13244" xr:uid="{3E2B749A-7FD3-46C1-80F0-7EAB5AF32777}"/>
    <cellStyle name="Normal 5 2 3 2 3 8" xfId="9026" xr:uid="{828B5BB3-F087-4793-9905-19821669E0D3}"/>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811689AA-C622-468B-80F4-4B4B16180433}"/>
    <cellStyle name="Normal 5 2 3 2 4 2 3" xfId="11581" xr:uid="{9EC157F7-A7BD-4D3D-AEF3-EC4824B79E1E}"/>
    <cellStyle name="Normal 5 2 3 2 4 3" xfId="5212" xr:uid="{00000000-0005-0000-0000-000074180000}"/>
    <cellStyle name="Normal 5 2 3 2 4 3 2" xfId="13654" xr:uid="{F7261FB7-C0D2-4D16-8281-ED56075F2620}"/>
    <cellStyle name="Normal 5 2 3 2 4 4" xfId="9436" xr:uid="{2AC80FA3-880B-4D3C-BE95-632C7A025927}"/>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C8403D95-2332-4694-8118-AD209CBA1DFA}"/>
    <cellStyle name="Normal 5 2 3 2 5 2 3" xfId="11994" xr:uid="{00A2113A-B3D8-4DB4-8D61-25CCBF952DDE}"/>
    <cellStyle name="Normal 5 2 3 2 5 3" xfId="5625" xr:uid="{00000000-0005-0000-0000-000078180000}"/>
    <cellStyle name="Normal 5 2 3 2 5 3 2" xfId="14067" xr:uid="{B3A40016-83D3-4D34-8C13-D36B97DEF162}"/>
    <cellStyle name="Normal 5 2 3 2 5 4" xfId="9849" xr:uid="{842C8F2F-6166-4C01-89F1-E5E6192DB5D7}"/>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C93A7D6-8073-4A3C-9424-FC983A852B87}"/>
    <cellStyle name="Normal 5 2 3 2 6 2 3" xfId="12407" xr:uid="{FDD62E4F-EFD9-404F-BD21-2EE3BBCB5485}"/>
    <cellStyle name="Normal 5 2 3 2 6 3" xfId="6038" xr:uid="{00000000-0005-0000-0000-00007C180000}"/>
    <cellStyle name="Normal 5 2 3 2 6 3 2" xfId="14480" xr:uid="{009C16B6-AF0A-45C1-9B6F-D8502F6E9858}"/>
    <cellStyle name="Normal 5 2 3 2 6 4" xfId="10262" xr:uid="{A2A7AFD7-D95A-4DA9-8B50-4ED37B691123}"/>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B826D243-2D9D-4C99-8EEA-E5397A7D4E53}"/>
    <cellStyle name="Normal 5 2 3 2 7 2 3" xfId="12820" xr:uid="{5A8BF724-E5AC-43A0-AB72-60A5F147AE7C}"/>
    <cellStyle name="Normal 5 2 3 2 7 3" xfId="6451" xr:uid="{00000000-0005-0000-0000-000080180000}"/>
    <cellStyle name="Normal 5 2 3 2 7 3 2" xfId="14893" xr:uid="{F093571A-BE71-494E-9D85-6DA3EEE91445}"/>
    <cellStyle name="Normal 5 2 3 2 7 4" xfId="10675" xr:uid="{D761A937-5500-46AE-B4DA-349A6C1B277B}"/>
    <cellStyle name="Normal 5 2 3 2 8" xfId="2580" xr:uid="{00000000-0005-0000-0000-000081180000}"/>
    <cellStyle name="Normal 5 2 3 2 8 2" xfId="6864" xr:uid="{00000000-0005-0000-0000-000082180000}"/>
    <cellStyle name="Normal 5 2 3 2 8 2 2" xfId="15306" xr:uid="{A6C385BB-8241-4F86-9C0A-7150AF7D5D57}"/>
    <cellStyle name="Normal 5 2 3 2 8 3" xfId="11088" xr:uid="{EEA0E0A3-6542-44C3-AEE2-4E4DFC86D989}"/>
    <cellStyle name="Normal 5 2 3 2 9" xfId="4799" xr:uid="{00000000-0005-0000-0000-000083180000}"/>
    <cellStyle name="Normal 5 2 3 2 9 2" xfId="13241" xr:uid="{E9230F30-DFFF-454D-A550-73B95C09637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FE42684C-CA93-4D31-B1AD-28F49C055445}"/>
    <cellStyle name="Normal 5 2 3 3 2 2 2 3" xfId="11586" xr:uid="{DD4DA013-4D44-4EBB-BC2A-02C1C6FACE1A}"/>
    <cellStyle name="Normal 5 2 3 3 2 2 3" xfId="5217" xr:uid="{00000000-0005-0000-0000-000089180000}"/>
    <cellStyle name="Normal 5 2 3 3 2 2 3 2" xfId="13659" xr:uid="{847A3E65-7DB0-482D-91AE-4A47817DAF9B}"/>
    <cellStyle name="Normal 5 2 3 3 2 2 4" xfId="9441" xr:uid="{CCDFEA9B-E813-41C2-9544-7A042443A7D9}"/>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19B6AD4E-1B5E-4B23-A794-AEA2300AD555}"/>
    <cellStyle name="Normal 5 2 3 3 2 3 2 3" xfId="11999" xr:uid="{89D4BB5D-E492-446C-8CBA-40B9D34B35B2}"/>
    <cellStyle name="Normal 5 2 3 3 2 3 3" xfId="5630" xr:uid="{00000000-0005-0000-0000-00008D180000}"/>
    <cellStyle name="Normal 5 2 3 3 2 3 3 2" xfId="14072" xr:uid="{86D6A606-327B-4626-9AB4-C31974AD7F5D}"/>
    <cellStyle name="Normal 5 2 3 3 2 3 4" xfId="9854" xr:uid="{908FD252-77F6-4AF8-B7F0-E580236CC4CD}"/>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D0DDD071-C427-4F57-8DCD-A9B10CB0DF0F}"/>
    <cellStyle name="Normal 5 2 3 3 2 4 2 3" xfId="12412" xr:uid="{F5ED1F53-B607-4AF5-8E10-F209B9905A6C}"/>
    <cellStyle name="Normal 5 2 3 3 2 4 3" xfId="6043" xr:uid="{00000000-0005-0000-0000-000091180000}"/>
    <cellStyle name="Normal 5 2 3 3 2 4 3 2" xfId="14485" xr:uid="{9D807272-8987-42DA-A835-975BC0D7CA6A}"/>
    <cellStyle name="Normal 5 2 3 3 2 4 4" xfId="10267" xr:uid="{A3FE882D-FDE0-44FD-B0A6-A004AFD65939}"/>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CEB6BEBD-0E43-4289-B016-88632395EC1F}"/>
    <cellStyle name="Normal 5 2 3 3 2 5 2 3" xfId="12825" xr:uid="{E9777D74-83BC-4C3E-93FD-F374477DB440}"/>
    <cellStyle name="Normal 5 2 3 3 2 5 3" xfId="6456" xr:uid="{00000000-0005-0000-0000-000095180000}"/>
    <cellStyle name="Normal 5 2 3 3 2 5 3 2" xfId="14898" xr:uid="{DB79C644-5866-43EF-B90F-5F9700AC9522}"/>
    <cellStyle name="Normal 5 2 3 3 2 5 4" xfId="10680" xr:uid="{85CA5083-50A3-4C74-8729-047F62BEBD4F}"/>
    <cellStyle name="Normal 5 2 3 3 2 6" xfId="2585" xr:uid="{00000000-0005-0000-0000-000096180000}"/>
    <cellStyle name="Normal 5 2 3 3 2 6 2" xfId="6869" xr:uid="{00000000-0005-0000-0000-000097180000}"/>
    <cellStyle name="Normal 5 2 3 3 2 6 2 2" xfId="15311" xr:uid="{EDD2E7C4-3DF9-4557-A533-F9C1CCFFB258}"/>
    <cellStyle name="Normal 5 2 3 3 2 6 3" xfId="11093" xr:uid="{05CA4573-1FEB-4B67-9273-DC451C210725}"/>
    <cellStyle name="Normal 5 2 3 3 2 7" xfId="4804" xr:uid="{00000000-0005-0000-0000-000098180000}"/>
    <cellStyle name="Normal 5 2 3 3 2 7 2" xfId="13246" xr:uid="{65B305E0-8BFF-4BEE-8EF1-F8AB2C94E309}"/>
    <cellStyle name="Normal 5 2 3 3 2 8" xfId="9028" xr:uid="{4C6784A0-8305-4BCE-9B3C-C4CD7F74F979}"/>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2C77B354-669F-4B0D-9237-749A6015AB91}"/>
    <cellStyle name="Normal 5 2 3 3 3 2 3" xfId="11585" xr:uid="{F275F2E3-B34A-4E1F-9149-C24E186449D4}"/>
    <cellStyle name="Normal 5 2 3 3 3 3" xfId="5216" xr:uid="{00000000-0005-0000-0000-00009C180000}"/>
    <cellStyle name="Normal 5 2 3 3 3 3 2" xfId="13658" xr:uid="{F4ED3E3A-3160-4085-A8E8-D462DFF9FD28}"/>
    <cellStyle name="Normal 5 2 3 3 3 4" xfId="9440" xr:uid="{5F4198A7-1368-4770-A32E-C8B57C9CD409}"/>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31940FBD-B3D3-46B4-AADD-9C05B1D1A561}"/>
    <cellStyle name="Normal 5 2 3 3 4 2 3" xfId="11998" xr:uid="{596A064B-22CD-4BB6-BF53-0FDDB469B76B}"/>
    <cellStyle name="Normal 5 2 3 3 4 3" xfId="5629" xr:uid="{00000000-0005-0000-0000-0000A0180000}"/>
    <cellStyle name="Normal 5 2 3 3 4 3 2" xfId="14071" xr:uid="{73C94913-B8F3-42ED-A2CB-781B0284873F}"/>
    <cellStyle name="Normal 5 2 3 3 4 4" xfId="9853" xr:uid="{4801BD50-1FE9-41FC-B8A5-C781521F139C}"/>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BCD6619C-AD4B-48CD-8C7D-A1DE8DDAC656}"/>
    <cellStyle name="Normal 5 2 3 3 5 2 3" xfId="12411" xr:uid="{A317BA82-E064-4653-8BE2-44EEB9585DF1}"/>
    <cellStyle name="Normal 5 2 3 3 5 3" xfId="6042" xr:uid="{00000000-0005-0000-0000-0000A4180000}"/>
    <cellStyle name="Normal 5 2 3 3 5 3 2" xfId="14484" xr:uid="{45067924-792A-4848-BD41-1FB5115FAB42}"/>
    <cellStyle name="Normal 5 2 3 3 5 4" xfId="10266" xr:uid="{56B7A7E3-5868-47F7-8F95-F84FA7A968FE}"/>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0D975F9E-EA27-40DE-837C-852669FB4470}"/>
    <cellStyle name="Normal 5 2 3 3 6 2 3" xfId="12824" xr:uid="{73B45B5B-D11B-4504-B0AC-7AD610B66E02}"/>
    <cellStyle name="Normal 5 2 3 3 6 3" xfId="6455" xr:uid="{00000000-0005-0000-0000-0000A8180000}"/>
    <cellStyle name="Normal 5 2 3 3 6 3 2" xfId="14897" xr:uid="{9D543EB2-9096-4ABA-BAC6-4B48EDC137A1}"/>
    <cellStyle name="Normal 5 2 3 3 6 4" xfId="10679" xr:uid="{50168D35-9523-4034-921B-98E422017F51}"/>
    <cellStyle name="Normal 5 2 3 3 7" xfId="2584" xr:uid="{00000000-0005-0000-0000-0000A9180000}"/>
    <cellStyle name="Normal 5 2 3 3 7 2" xfId="6868" xr:uid="{00000000-0005-0000-0000-0000AA180000}"/>
    <cellStyle name="Normal 5 2 3 3 7 2 2" xfId="15310" xr:uid="{0576C18C-759D-48DA-924A-98D12A773CEB}"/>
    <cellStyle name="Normal 5 2 3 3 7 3" xfId="11092" xr:uid="{2806DBD3-B998-4527-A37A-5B69956A7E53}"/>
    <cellStyle name="Normal 5 2 3 3 8" xfId="4803" xr:uid="{00000000-0005-0000-0000-0000AB180000}"/>
    <cellStyle name="Normal 5 2 3 3 8 2" xfId="13245" xr:uid="{77C838D0-68DF-44E4-A1CB-63A7AD723BB4}"/>
    <cellStyle name="Normal 5 2 3 3 9" xfId="9027" xr:uid="{66E3B021-C2A5-419A-9DAA-9664DF408BAC}"/>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28B3E0BD-A396-429F-A245-AD311180D2B5}"/>
    <cellStyle name="Normal 5 2 3 4 2 2 3" xfId="11587" xr:uid="{56068C42-D4BD-4F0E-866A-4A30AE94E68A}"/>
    <cellStyle name="Normal 5 2 3 4 2 3" xfId="5218" xr:uid="{00000000-0005-0000-0000-0000B0180000}"/>
    <cellStyle name="Normal 5 2 3 4 2 3 2" xfId="13660" xr:uid="{879363D7-5143-41D9-AD8B-C0B20B31C063}"/>
    <cellStyle name="Normal 5 2 3 4 2 4" xfId="9442" xr:uid="{A43C2CB0-7C9B-4496-8A42-EBD8C1989F9C}"/>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956393C6-984C-4A1B-A716-E27EB8386392}"/>
    <cellStyle name="Normal 5 2 3 4 3 2 3" xfId="12000" xr:uid="{1DE7597A-5246-44D7-BE34-539BF046ACD2}"/>
    <cellStyle name="Normal 5 2 3 4 3 3" xfId="5631" xr:uid="{00000000-0005-0000-0000-0000B4180000}"/>
    <cellStyle name="Normal 5 2 3 4 3 3 2" xfId="14073" xr:uid="{BE870C39-F0C6-4F4A-BD66-84FDDF52D523}"/>
    <cellStyle name="Normal 5 2 3 4 3 4" xfId="9855" xr:uid="{7AC5491D-0E15-4097-A62E-ED8CADE1B10C}"/>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8676A2B-D9FE-479D-ACD6-873B92E1478D}"/>
    <cellStyle name="Normal 5 2 3 4 4 2 3" xfId="12413" xr:uid="{ED35CED7-9C36-4D1D-A567-C690398121D3}"/>
    <cellStyle name="Normal 5 2 3 4 4 3" xfId="6044" xr:uid="{00000000-0005-0000-0000-0000B8180000}"/>
    <cellStyle name="Normal 5 2 3 4 4 3 2" xfId="14486" xr:uid="{9135B83A-C842-4B3A-8C9B-A8F5188D8433}"/>
    <cellStyle name="Normal 5 2 3 4 4 4" xfId="10268" xr:uid="{15D9163B-708A-40B5-82FE-86BBEC62374F}"/>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3C13834C-2B8F-4C52-BC73-8EB767EA53F9}"/>
    <cellStyle name="Normal 5 2 3 4 5 2 3" xfId="12826" xr:uid="{55930F3E-4607-4A2E-9527-B6211A7083BE}"/>
    <cellStyle name="Normal 5 2 3 4 5 3" xfId="6457" xr:uid="{00000000-0005-0000-0000-0000BC180000}"/>
    <cellStyle name="Normal 5 2 3 4 5 3 2" xfId="14899" xr:uid="{360F4A7B-1A69-4264-8F47-C8A7A2BFEBD4}"/>
    <cellStyle name="Normal 5 2 3 4 5 4" xfId="10681" xr:uid="{1000E06E-E6FA-4509-9450-BC49CFA4BA0D}"/>
    <cellStyle name="Normal 5 2 3 4 6" xfId="2586" xr:uid="{00000000-0005-0000-0000-0000BD180000}"/>
    <cellStyle name="Normal 5 2 3 4 6 2" xfId="6870" xr:uid="{00000000-0005-0000-0000-0000BE180000}"/>
    <cellStyle name="Normal 5 2 3 4 6 2 2" xfId="15312" xr:uid="{B63C89C5-2B66-4384-AE38-7C7BBEBD4DE1}"/>
    <cellStyle name="Normal 5 2 3 4 6 3" xfId="11094" xr:uid="{069FF1C4-609C-4AB7-BA5D-DC5A7752855B}"/>
    <cellStyle name="Normal 5 2 3 4 7" xfId="4805" xr:uid="{00000000-0005-0000-0000-0000BF180000}"/>
    <cellStyle name="Normal 5 2 3 4 7 2" xfId="13247" xr:uid="{EC2679D4-4C2A-4FE2-96C9-08B744A90E59}"/>
    <cellStyle name="Normal 5 2 3 4 8" xfId="9029" xr:uid="{B9662082-9769-4498-8D1B-BBD50B282BA8}"/>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27AEEA0C-5193-4E2C-9C65-D652D6D7D8E0}"/>
    <cellStyle name="Normal 5 2 3 5 2 3" xfId="11580" xr:uid="{41640CE3-D330-4316-81EE-77FAC686BA31}"/>
    <cellStyle name="Normal 5 2 3 5 3" xfId="5211" xr:uid="{00000000-0005-0000-0000-0000C3180000}"/>
    <cellStyle name="Normal 5 2 3 5 3 2" xfId="13653" xr:uid="{9572A8F1-7E33-4C00-AC03-4B211C4EF8D9}"/>
    <cellStyle name="Normal 5 2 3 5 4" xfId="9435" xr:uid="{079A1542-6356-4E4C-B919-2E51E2E8CB05}"/>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F1E447FA-6C4A-44FE-A08E-61F3318EE2C0}"/>
    <cellStyle name="Normal 5 2 3 6 2 3" xfId="11993" xr:uid="{6EB80320-2476-448C-8972-496F4EDE6F82}"/>
    <cellStyle name="Normal 5 2 3 6 3" xfId="5624" xr:uid="{00000000-0005-0000-0000-0000C7180000}"/>
    <cellStyle name="Normal 5 2 3 6 3 2" xfId="14066" xr:uid="{542965E9-200B-483D-91CE-C7F9143B2379}"/>
    <cellStyle name="Normal 5 2 3 6 4" xfId="9848" xr:uid="{5DD51827-F5CD-4BC1-A94F-40A1326D4DE2}"/>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DCE445D0-1ED6-4F08-8388-1E41F040F7EF}"/>
    <cellStyle name="Normal 5 2 3 7 2 3" xfId="12406" xr:uid="{72376D7E-0EC8-4383-A133-C8956223B877}"/>
    <cellStyle name="Normal 5 2 3 7 3" xfId="6037" xr:uid="{00000000-0005-0000-0000-0000CB180000}"/>
    <cellStyle name="Normal 5 2 3 7 3 2" xfId="14479" xr:uid="{9A127E03-2AC0-4A3E-97B0-EEBCC83AC8F0}"/>
    <cellStyle name="Normal 5 2 3 7 4" xfId="10261" xr:uid="{78CDD544-AABE-4714-90C4-C78F3241B19B}"/>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15F4B3FA-15A2-4847-9E71-257834CD1EA8}"/>
    <cellStyle name="Normal 5 2 3 8 2 3" xfId="12819" xr:uid="{FE517B02-5A26-4E6F-AE68-12EC73A8A0BF}"/>
    <cellStyle name="Normal 5 2 3 8 3" xfId="6450" xr:uid="{00000000-0005-0000-0000-0000CF180000}"/>
    <cellStyle name="Normal 5 2 3 8 3 2" xfId="14892" xr:uid="{B4BF5FE0-94F9-4EBA-B13D-8E8651011608}"/>
    <cellStyle name="Normal 5 2 3 8 4" xfId="10674" xr:uid="{A8F3CFDB-DAE1-49CF-AA5F-1D9D147B0766}"/>
    <cellStyle name="Normal 5 2 3 9" xfId="2579" xr:uid="{00000000-0005-0000-0000-0000D0180000}"/>
    <cellStyle name="Normal 5 2 3 9 2" xfId="6863" xr:uid="{00000000-0005-0000-0000-0000D1180000}"/>
    <cellStyle name="Normal 5 2 3 9 2 2" xfId="15305" xr:uid="{2ACB3B0F-AE98-46DB-B8D2-EAA7820F1CE1}"/>
    <cellStyle name="Normal 5 2 3 9 3" xfId="11087" xr:uid="{54B69201-8482-4ED7-A39C-73D8DA71A801}"/>
    <cellStyle name="Normal 5 2 4" xfId="432" xr:uid="{00000000-0005-0000-0000-0000D2180000}"/>
    <cellStyle name="Normal 5 2 4 10" xfId="9030" xr:uid="{E137C44F-81C8-4F99-B2B4-DB7BF44BDB5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F0818369-217E-4DAA-A342-FD038C9A02F8}"/>
    <cellStyle name="Normal 5 2 4 2 2 2 2 3" xfId="11590" xr:uid="{8676460F-882A-49B4-9940-4078B9E00042}"/>
    <cellStyle name="Normal 5 2 4 2 2 2 3" xfId="5221" xr:uid="{00000000-0005-0000-0000-0000D8180000}"/>
    <cellStyle name="Normal 5 2 4 2 2 2 3 2" xfId="13663" xr:uid="{D2EB7FA8-F7E4-417F-AA78-E3E03896C569}"/>
    <cellStyle name="Normal 5 2 4 2 2 2 4" xfId="9445" xr:uid="{84391F08-419D-4145-8D40-5850C38F7418}"/>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0274DA91-8292-46D6-BFD5-E0188323E876}"/>
    <cellStyle name="Normal 5 2 4 2 2 3 2 3" xfId="12003" xr:uid="{614273D4-68FD-43C0-8669-D55C0A6EEC01}"/>
    <cellStyle name="Normal 5 2 4 2 2 3 3" xfId="5634" xr:uid="{00000000-0005-0000-0000-0000DC180000}"/>
    <cellStyle name="Normal 5 2 4 2 2 3 3 2" xfId="14076" xr:uid="{8A052815-ABB0-45E0-9F99-2A938284F80C}"/>
    <cellStyle name="Normal 5 2 4 2 2 3 4" xfId="9858" xr:uid="{9AE3A938-E0C8-426C-958A-6017221572F9}"/>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27C8FB4E-FBC7-4D79-B262-7936B9EDCBE2}"/>
    <cellStyle name="Normal 5 2 4 2 2 4 2 3" xfId="12416" xr:uid="{C7090E6B-43F7-4806-919E-692DEC6A15CF}"/>
    <cellStyle name="Normal 5 2 4 2 2 4 3" xfId="6047" xr:uid="{00000000-0005-0000-0000-0000E0180000}"/>
    <cellStyle name="Normal 5 2 4 2 2 4 3 2" xfId="14489" xr:uid="{01B88E3B-5559-4F9F-9680-D85407EBD232}"/>
    <cellStyle name="Normal 5 2 4 2 2 4 4" xfId="10271" xr:uid="{B16362AA-4E4C-4F0D-90B6-4EFDBE2C8F9A}"/>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714020FB-67F1-49AA-914E-E99E145BC775}"/>
    <cellStyle name="Normal 5 2 4 2 2 5 2 3" xfId="12829" xr:uid="{3959EA47-D7ED-48DD-9FC5-0229E791080D}"/>
    <cellStyle name="Normal 5 2 4 2 2 5 3" xfId="6460" xr:uid="{00000000-0005-0000-0000-0000E4180000}"/>
    <cellStyle name="Normal 5 2 4 2 2 5 3 2" xfId="14902" xr:uid="{BAA31C73-3024-4A72-85EB-F508219C0969}"/>
    <cellStyle name="Normal 5 2 4 2 2 5 4" xfId="10684" xr:uid="{E6CD69B0-66D9-4F92-8C5C-A7D6AF937376}"/>
    <cellStyle name="Normal 5 2 4 2 2 6" xfId="2589" xr:uid="{00000000-0005-0000-0000-0000E5180000}"/>
    <cellStyle name="Normal 5 2 4 2 2 6 2" xfId="6873" xr:uid="{00000000-0005-0000-0000-0000E6180000}"/>
    <cellStyle name="Normal 5 2 4 2 2 6 2 2" xfId="15315" xr:uid="{671ADD04-9E97-4D59-B3A0-8B19946B4043}"/>
    <cellStyle name="Normal 5 2 4 2 2 6 3" xfId="11097" xr:uid="{6C4CA52E-BA06-4908-BFB0-33929AFEBAE4}"/>
    <cellStyle name="Normal 5 2 4 2 2 7" xfId="4808" xr:uid="{00000000-0005-0000-0000-0000E7180000}"/>
    <cellStyle name="Normal 5 2 4 2 2 7 2" xfId="13250" xr:uid="{DD3477C9-219A-4E7C-937B-D79F8A971491}"/>
    <cellStyle name="Normal 5 2 4 2 2 8" xfId="9032" xr:uid="{F9F3AEDB-B1CD-453D-B9D4-6FA2B709C00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F02E9077-30FB-49B4-A152-BD59C7F0E612}"/>
    <cellStyle name="Normal 5 2 4 2 3 2 3" xfId="11589" xr:uid="{716A5E40-721B-40A2-913F-2095767D47BB}"/>
    <cellStyle name="Normal 5 2 4 2 3 3" xfId="5220" xr:uid="{00000000-0005-0000-0000-0000EB180000}"/>
    <cellStyle name="Normal 5 2 4 2 3 3 2" xfId="13662" xr:uid="{844993AC-818E-4AD3-9508-EF0CAEB7D465}"/>
    <cellStyle name="Normal 5 2 4 2 3 4" xfId="9444" xr:uid="{DE31AD09-2D1C-4DEA-B965-20A551A86B77}"/>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B6B1EA71-3F89-4A6D-A0C4-2CB81A41582B}"/>
    <cellStyle name="Normal 5 2 4 2 4 2 3" xfId="12002" xr:uid="{7A6F63E5-39C5-44E1-8973-629BCDECF47F}"/>
    <cellStyle name="Normal 5 2 4 2 4 3" xfId="5633" xr:uid="{00000000-0005-0000-0000-0000EF180000}"/>
    <cellStyle name="Normal 5 2 4 2 4 3 2" xfId="14075" xr:uid="{90BD7452-C992-479F-B032-97435F0369C4}"/>
    <cellStyle name="Normal 5 2 4 2 4 4" xfId="9857" xr:uid="{7B48D67C-AE06-432F-AFD6-9CB57C752D8E}"/>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4F08FFD5-7BE3-42E4-A4BD-129946EB9E73}"/>
    <cellStyle name="Normal 5 2 4 2 5 2 3" xfId="12415" xr:uid="{6759464C-3C0F-487B-B34E-589F3478357B}"/>
    <cellStyle name="Normal 5 2 4 2 5 3" xfId="6046" xr:uid="{00000000-0005-0000-0000-0000F3180000}"/>
    <cellStyle name="Normal 5 2 4 2 5 3 2" xfId="14488" xr:uid="{C5FCBC2B-3F35-4FD9-9344-E5A8FAF876FC}"/>
    <cellStyle name="Normal 5 2 4 2 5 4" xfId="10270" xr:uid="{B4D83012-D9FE-428C-8D79-1FE5C4E46A26}"/>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AD7CB3C7-4BB1-44EB-B13E-F716584F1B48}"/>
    <cellStyle name="Normal 5 2 4 2 6 2 3" xfId="12828" xr:uid="{D020F73B-9192-414E-8ADD-19DDBDC55D07}"/>
    <cellStyle name="Normal 5 2 4 2 6 3" xfId="6459" xr:uid="{00000000-0005-0000-0000-0000F7180000}"/>
    <cellStyle name="Normal 5 2 4 2 6 3 2" xfId="14901" xr:uid="{5B7D0280-41C5-42B3-8E43-CD490378CA13}"/>
    <cellStyle name="Normal 5 2 4 2 6 4" xfId="10683" xr:uid="{16601AD2-4358-4CF6-86AD-203328AC1E0B}"/>
    <cellStyle name="Normal 5 2 4 2 7" xfId="2588" xr:uid="{00000000-0005-0000-0000-0000F8180000}"/>
    <cellStyle name="Normal 5 2 4 2 7 2" xfId="6872" xr:uid="{00000000-0005-0000-0000-0000F9180000}"/>
    <cellStyle name="Normal 5 2 4 2 7 2 2" xfId="15314" xr:uid="{32424164-1EEE-492E-AD58-53222522A9FC}"/>
    <cellStyle name="Normal 5 2 4 2 7 3" xfId="11096" xr:uid="{97F29B2B-3C43-4292-A762-5779DA2A85E4}"/>
    <cellStyle name="Normal 5 2 4 2 8" xfId="4807" xr:uid="{00000000-0005-0000-0000-0000FA180000}"/>
    <cellStyle name="Normal 5 2 4 2 8 2" xfId="13249" xr:uid="{D53FBFFE-A433-46DD-AEF1-D544941CA83E}"/>
    <cellStyle name="Normal 5 2 4 2 9" xfId="9031" xr:uid="{8C8502AD-6358-4AA1-82F9-143F9751F2FF}"/>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4B50F85B-8146-4DBC-80DF-9E40172D1EAB}"/>
    <cellStyle name="Normal 5 2 4 3 2 2 3" xfId="11591" xr:uid="{DB050949-1791-4271-89ED-81415A835FF1}"/>
    <cellStyle name="Normal 5 2 4 3 2 3" xfId="5222" xr:uid="{00000000-0005-0000-0000-0000FF180000}"/>
    <cellStyle name="Normal 5 2 4 3 2 3 2" xfId="13664" xr:uid="{1F486258-28D4-4539-B997-E1CAC624A15D}"/>
    <cellStyle name="Normal 5 2 4 3 2 4" xfId="9446" xr:uid="{C48D0BB8-C7F5-4CBC-BA1A-E955B16E21BF}"/>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9F33C0A5-EF01-42B5-88BB-204B0D45D1DF}"/>
    <cellStyle name="Normal 5 2 4 3 3 2 3" xfId="12004" xr:uid="{C6A4A89B-ADF1-4FA9-B242-696F758C13DC}"/>
    <cellStyle name="Normal 5 2 4 3 3 3" xfId="5635" xr:uid="{00000000-0005-0000-0000-000003190000}"/>
    <cellStyle name="Normal 5 2 4 3 3 3 2" xfId="14077" xr:uid="{B128891E-AA46-43A4-8A22-EEE21CE3D4D0}"/>
    <cellStyle name="Normal 5 2 4 3 3 4" xfId="9859" xr:uid="{DF1E8B4D-1F7F-4055-BB89-FF1F2698A2B0}"/>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EF47525D-5CC2-4906-A72A-EB7B332C15F8}"/>
    <cellStyle name="Normal 5 2 4 3 4 2 3" xfId="12417" xr:uid="{E1A1864C-2211-490C-AADB-D3D8D43E0768}"/>
    <cellStyle name="Normal 5 2 4 3 4 3" xfId="6048" xr:uid="{00000000-0005-0000-0000-000007190000}"/>
    <cellStyle name="Normal 5 2 4 3 4 3 2" xfId="14490" xr:uid="{F6545902-9A3B-480F-AB1C-A9D26B318A72}"/>
    <cellStyle name="Normal 5 2 4 3 4 4" xfId="10272" xr:uid="{9D9594A9-B243-4B64-9541-CEEE79658095}"/>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C5C28C8D-5C5B-407A-AB2F-6E3EF2809F8C}"/>
    <cellStyle name="Normal 5 2 4 3 5 2 3" xfId="12830" xr:uid="{D1D25E39-65C5-4C60-BD43-176015673520}"/>
    <cellStyle name="Normal 5 2 4 3 5 3" xfId="6461" xr:uid="{00000000-0005-0000-0000-00000B190000}"/>
    <cellStyle name="Normal 5 2 4 3 5 3 2" xfId="14903" xr:uid="{7FACFF5A-3CAC-4597-9A00-52D1B14E2B6A}"/>
    <cellStyle name="Normal 5 2 4 3 5 4" xfId="10685" xr:uid="{11DFFE5C-0194-42B4-876D-84641FCE23C0}"/>
    <cellStyle name="Normal 5 2 4 3 6" xfId="2590" xr:uid="{00000000-0005-0000-0000-00000C190000}"/>
    <cellStyle name="Normal 5 2 4 3 6 2" xfId="6874" xr:uid="{00000000-0005-0000-0000-00000D190000}"/>
    <cellStyle name="Normal 5 2 4 3 6 2 2" xfId="15316" xr:uid="{BC981A4D-A113-4737-B7B7-C7504EC4F10D}"/>
    <cellStyle name="Normal 5 2 4 3 6 3" xfId="11098" xr:uid="{C83A3B8A-1C31-4A22-B6C2-D054BB93A343}"/>
    <cellStyle name="Normal 5 2 4 3 7" xfId="4809" xr:uid="{00000000-0005-0000-0000-00000E190000}"/>
    <cellStyle name="Normal 5 2 4 3 7 2" xfId="13251" xr:uid="{F5BC609B-B49F-4D23-91FE-A1BF10CF48FB}"/>
    <cellStyle name="Normal 5 2 4 3 8" xfId="9033" xr:uid="{03A293B4-6388-4F2F-BC29-74BAE86AFA6B}"/>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8157AA44-F4BD-4E65-BE10-FA6BBB19447C}"/>
    <cellStyle name="Normal 5 2 4 4 2 3" xfId="11588" xr:uid="{6EDEC105-B28A-4ACC-95F8-DE92BA7533E0}"/>
    <cellStyle name="Normal 5 2 4 4 3" xfId="5219" xr:uid="{00000000-0005-0000-0000-000012190000}"/>
    <cellStyle name="Normal 5 2 4 4 3 2" xfId="13661" xr:uid="{F4BD0817-14CC-4969-B4D5-6FC5FACFD7DF}"/>
    <cellStyle name="Normal 5 2 4 4 4" xfId="9443" xr:uid="{F5C11E5F-E5AF-401E-B5F0-BEE1E87C606F}"/>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CDF4D179-06DB-40CB-9024-FDD4A62FA9DF}"/>
    <cellStyle name="Normal 5 2 4 5 2 3" xfId="12001" xr:uid="{29E8B529-679F-498E-9D44-5E4461DB76BF}"/>
    <cellStyle name="Normal 5 2 4 5 3" xfId="5632" xr:uid="{00000000-0005-0000-0000-000016190000}"/>
    <cellStyle name="Normal 5 2 4 5 3 2" xfId="14074" xr:uid="{16DEB128-BB3A-431F-BE57-EC06E85E458D}"/>
    <cellStyle name="Normal 5 2 4 5 4" xfId="9856" xr:uid="{9344A664-08FD-44B2-8C93-FE1A3386E0B1}"/>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78D1A7D6-26DD-4D9B-889D-6ED35F12555C}"/>
    <cellStyle name="Normal 5 2 4 6 2 3" xfId="12414" xr:uid="{0DD09DE3-8D98-45F4-B77B-907953CA5B2B}"/>
    <cellStyle name="Normal 5 2 4 6 3" xfId="6045" xr:uid="{00000000-0005-0000-0000-00001A190000}"/>
    <cellStyle name="Normal 5 2 4 6 3 2" xfId="14487" xr:uid="{876621EE-2B2C-494E-A5DF-E1B22D92E314}"/>
    <cellStyle name="Normal 5 2 4 6 4" xfId="10269" xr:uid="{21216C79-9643-4ABA-B24E-35C2A36CC762}"/>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6D4EBDB8-D3B2-4731-9C24-22078FAEFF2F}"/>
    <cellStyle name="Normal 5 2 4 7 2 3" xfId="12827" xr:uid="{67234092-DEB4-4862-9C43-FD83EFA60E50}"/>
    <cellStyle name="Normal 5 2 4 7 3" xfId="6458" xr:uid="{00000000-0005-0000-0000-00001E190000}"/>
    <cellStyle name="Normal 5 2 4 7 3 2" xfId="14900" xr:uid="{BAA148C2-C893-4D66-B04B-218E5D85E052}"/>
    <cellStyle name="Normal 5 2 4 7 4" xfId="10682" xr:uid="{67287202-3702-4639-86A3-512574E81C92}"/>
    <cellStyle name="Normal 5 2 4 8" xfId="2587" xr:uid="{00000000-0005-0000-0000-00001F190000}"/>
    <cellStyle name="Normal 5 2 4 8 2" xfId="6871" xr:uid="{00000000-0005-0000-0000-000020190000}"/>
    <cellStyle name="Normal 5 2 4 8 2 2" xfId="15313" xr:uid="{32B3DE49-6153-4BD7-AD43-9299B8E09C3A}"/>
    <cellStyle name="Normal 5 2 4 8 3" xfId="11095" xr:uid="{84B15679-F2A7-48F1-A39B-375EBD178A4B}"/>
    <cellStyle name="Normal 5 2 4 9" xfId="4806" xr:uid="{00000000-0005-0000-0000-000021190000}"/>
    <cellStyle name="Normal 5 2 4 9 2" xfId="13248" xr:uid="{0B2140EA-D953-4FD6-8074-189B6194EBA4}"/>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874E1804-7F99-4E45-9211-FB4946496E4A}"/>
    <cellStyle name="Normal 5 2 5 2 2 2 3" xfId="11593" xr:uid="{63DC20E3-87B0-4A18-9144-7684CE22D68B}"/>
    <cellStyle name="Normal 5 2 5 2 2 3" xfId="5224" xr:uid="{00000000-0005-0000-0000-000027190000}"/>
    <cellStyle name="Normal 5 2 5 2 2 3 2" xfId="13666" xr:uid="{C82DF806-BBEE-4ECB-B941-63A1F7218FC8}"/>
    <cellStyle name="Normal 5 2 5 2 2 4" xfId="9448" xr:uid="{7B31F0B3-3180-4E4B-BA2D-62956F80EB84}"/>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74858EFE-3B5F-411F-9BF4-39B76501E79C}"/>
    <cellStyle name="Normal 5 2 5 2 3 2 3" xfId="12006" xr:uid="{80B78433-BEF5-440A-8962-2379A3123F98}"/>
    <cellStyle name="Normal 5 2 5 2 3 3" xfId="5637" xr:uid="{00000000-0005-0000-0000-00002B190000}"/>
    <cellStyle name="Normal 5 2 5 2 3 3 2" xfId="14079" xr:uid="{54AC434D-E166-4438-A40D-E98A2354E55B}"/>
    <cellStyle name="Normal 5 2 5 2 3 4" xfId="9861" xr:uid="{A831C851-C6A6-48E2-83B3-CC9688C09728}"/>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21E8C06D-B951-4DA1-8E39-F03CF2222F25}"/>
    <cellStyle name="Normal 5 2 5 2 4 2 3" xfId="12419" xr:uid="{7DCCC15D-C4DE-4776-AB63-CD6D10730E4E}"/>
    <cellStyle name="Normal 5 2 5 2 4 3" xfId="6050" xr:uid="{00000000-0005-0000-0000-00002F190000}"/>
    <cellStyle name="Normal 5 2 5 2 4 3 2" xfId="14492" xr:uid="{E9C6877C-3AD8-4C61-90B3-AF14B7F80918}"/>
    <cellStyle name="Normal 5 2 5 2 4 4" xfId="10274" xr:uid="{49499EE3-F456-4EBE-8548-E185EF047CFC}"/>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533B07FA-42DA-4D97-A81E-310BDBF6B005}"/>
    <cellStyle name="Normal 5 2 5 2 5 2 3" xfId="12832" xr:uid="{6993C3C6-DD5A-448A-AC72-0EA05DBFF2E2}"/>
    <cellStyle name="Normal 5 2 5 2 5 3" xfId="6463" xr:uid="{00000000-0005-0000-0000-000033190000}"/>
    <cellStyle name="Normal 5 2 5 2 5 3 2" xfId="14905" xr:uid="{F6D6990D-2109-46B3-975B-AF2690D067E8}"/>
    <cellStyle name="Normal 5 2 5 2 5 4" xfId="10687" xr:uid="{4755BA6B-8775-4FC8-B10E-56DCDB21484D}"/>
    <cellStyle name="Normal 5 2 5 2 6" xfId="2592" xr:uid="{00000000-0005-0000-0000-000034190000}"/>
    <cellStyle name="Normal 5 2 5 2 6 2" xfId="6876" xr:uid="{00000000-0005-0000-0000-000035190000}"/>
    <cellStyle name="Normal 5 2 5 2 6 2 2" xfId="15318" xr:uid="{7FC872A8-6D18-403D-AD14-55A63E3CE47E}"/>
    <cellStyle name="Normal 5 2 5 2 6 3" xfId="11100" xr:uid="{0CA08F87-7CA0-49B1-BCB7-C92B6966BBD9}"/>
    <cellStyle name="Normal 5 2 5 2 7" xfId="4811" xr:uid="{00000000-0005-0000-0000-000036190000}"/>
    <cellStyle name="Normal 5 2 5 2 7 2" xfId="13253" xr:uid="{146C62DD-51EC-49A4-8FAA-B4DF052953E9}"/>
    <cellStyle name="Normal 5 2 5 2 8" xfId="9035" xr:uid="{F8FF6CA9-143A-46E7-B4BE-9CE77C35C78F}"/>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4B3A6523-4522-4214-BD00-ABE2D81DBAF6}"/>
    <cellStyle name="Normal 5 2 5 3 2 3" xfId="11592" xr:uid="{60994C59-7734-4F1F-904F-E0278CFB53F0}"/>
    <cellStyle name="Normal 5 2 5 3 3" xfId="5223" xr:uid="{00000000-0005-0000-0000-00003A190000}"/>
    <cellStyle name="Normal 5 2 5 3 3 2" xfId="13665" xr:uid="{7172EB7F-AEAF-48C6-98C6-2C35E3121F01}"/>
    <cellStyle name="Normal 5 2 5 3 4" xfId="9447" xr:uid="{BAA5A8EE-D53F-48A9-8833-5C85976AD3F9}"/>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6B009575-BDE5-4D9A-A7F6-9C89BB3156B7}"/>
    <cellStyle name="Normal 5 2 5 4 2 3" xfId="12005" xr:uid="{3C44EA1C-3688-427F-B80A-7198103DD722}"/>
    <cellStyle name="Normal 5 2 5 4 3" xfId="5636" xr:uid="{00000000-0005-0000-0000-00003E190000}"/>
    <cellStyle name="Normal 5 2 5 4 3 2" xfId="14078" xr:uid="{DD6E2157-5561-43B6-96E0-C01D7D4F0FAA}"/>
    <cellStyle name="Normal 5 2 5 4 4" xfId="9860" xr:uid="{C3D7E847-5B58-4F76-BD7B-8DA8EFB7CFD8}"/>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E424DA44-9117-4097-AE49-C8063CE28E09}"/>
    <cellStyle name="Normal 5 2 5 5 2 3" xfId="12418" xr:uid="{DA846DC0-2F91-48B7-BC3F-E481A7DF8974}"/>
    <cellStyle name="Normal 5 2 5 5 3" xfId="6049" xr:uid="{00000000-0005-0000-0000-000042190000}"/>
    <cellStyle name="Normal 5 2 5 5 3 2" xfId="14491" xr:uid="{4ABF26C6-92AD-4B16-B9B9-4C0C0FCFE5CC}"/>
    <cellStyle name="Normal 5 2 5 5 4" xfId="10273" xr:uid="{2804C040-A1D7-47B3-BE69-4DBA5B0846EF}"/>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E0AD263A-D983-404F-B2CD-B773206F872B}"/>
    <cellStyle name="Normal 5 2 5 6 2 3" xfId="12831" xr:uid="{BB4BCA33-072E-41F4-8585-48708244E5A1}"/>
    <cellStyle name="Normal 5 2 5 6 3" xfId="6462" xr:uid="{00000000-0005-0000-0000-000046190000}"/>
    <cellStyle name="Normal 5 2 5 6 3 2" xfId="14904" xr:uid="{95BB9C11-1565-440D-B06E-B54B34DD98E4}"/>
    <cellStyle name="Normal 5 2 5 6 4" xfId="10686" xr:uid="{E5574A50-2033-456D-A264-F07A4BD282B4}"/>
    <cellStyle name="Normal 5 2 5 7" xfId="2591" xr:uid="{00000000-0005-0000-0000-000047190000}"/>
    <cellStyle name="Normal 5 2 5 7 2" xfId="6875" xr:uid="{00000000-0005-0000-0000-000048190000}"/>
    <cellStyle name="Normal 5 2 5 7 2 2" xfId="15317" xr:uid="{2E459224-0F2F-47A3-9D0F-B45413EA9C22}"/>
    <cellStyle name="Normal 5 2 5 7 3" xfId="11099" xr:uid="{57511415-4FCA-4184-9487-621F817D3E12}"/>
    <cellStyle name="Normal 5 2 5 8" xfId="4810" xr:uid="{00000000-0005-0000-0000-000049190000}"/>
    <cellStyle name="Normal 5 2 5 8 2" xfId="13252" xr:uid="{C47E8FD2-49E1-4AA1-B706-E7508E9E0778}"/>
    <cellStyle name="Normal 5 2 5 9" xfId="9034" xr:uid="{D183DBA9-DAC2-4783-823C-7B72114CCE77}"/>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C05A8E64-6F0F-4411-913E-A6DC194DABE4}"/>
    <cellStyle name="Normal 5 2 6 2 2 3" xfId="11594" xr:uid="{165D0F40-7223-40E2-835F-4AC69D2601B8}"/>
    <cellStyle name="Normal 5 2 6 2 3" xfId="5225" xr:uid="{00000000-0005-0000-0000-00004E190000}"/>
    <cellStyle name="Normal 5 2 6 2 3 2" xfId="13667" xr:uid="{E62A42E3-4D7C-4E88-9143-B4B34E744306}"/>
    <cellStyle name="Normal 5 2 6 2 4" xfId="9449" xr:uid="{BE0AE905-C39F-46EF-9A35-762DC744F3CE}"/>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C969A24C-6515-4C09-85F9-161149778B6E}"/>
    <cellStyle name="Normal 5 2 6 3 2 3" xfId="12007" xr:uid="{202BDCCE-2165-4466-9637-48F9ABF6AC31}"/>
    <cellStyle name="Normal 5 2 6 3 3" xfId="5638" xr:uid="{00000000-0005-0000-0000-000052190000}"/>
    <cellStyle name="Normal 5 2 6 3 3 2" xfId="14080" xr:uid="{4FB8E9A8-D9DE-4586-9F81-6970996E9952}"/>
    <cellStyle name="Normal 5 2 6 3 4" xfId="9862" xr:uid="{37045AF6-A192-463B-B680-E3E1A11EB91C}"/>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D42E0C2F-D03F-4F3C-88C2-504307A20BC9}"/>
    <cellStyle name="Normal 5 2 6 4 2 3" xfId="12420" xr:uid="{77E57B81-F3E2-4776-A4A6-7CE00B34ED06}"/>
    <cellStyle name="Normal 5 2 6 4 3" xfId="6051" xr:uid="{00000000-0005-0000-0000-000056190000}"/>
    <cellStyle name="Normal 5 2 6 4 3 2" xfId="14493" xr:uid="{1516E524-5415-47B0-A62B-6E1B673F0918}"/>
    <cellStyle name="Normal 5 2 6 4 4" xfId="10275" xr:uid="{3976648F-0837-488F-94BD-35F835949B0A}"/>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0773DD01-F3AE-40B1-8581-BED683C3B3B2}"/>
    <cellStyle name="Normal 5 2 6 5 2 3" xfId="12833" xr:uid="{99269AA8-26E7-457E-BD8F-EB16464E6643}"/>
    <cellStyle name="Normal 5 2 6 5 3" xfId="6464" xr:uid="{00000000-0005-0000-0000-00005A190000}"/>
    <cellStyle name="Normal 5 2 6 5 3 2" xfId="14906" xr:uid="{689085AC-B403-43BD-9372-8DF2ABF3C92F}"/>
    <cellStyle name="Normal 5 2 6 5 4" xfId="10688" xr:uid="{BDF906A9-9504-4230-8887-F19785E08680}"/>
    <cellStyle name="Normal 5 2 6 6" xfId="2593" xr:uid="{00000000-0005-0000-0000-00005B190000}"/>
    <cellStyle name="Normal 5 2 6 6 2" xfId="6877" xr:uid="{00000000-0005-0000-0000-00005C190000}"/>
    <cellStyle name="Normal 5 2 6 6 2 2" xfId="15319" xr:uid="{6C7608A4-F924-429A-80AA-646B4E917FD5}"/>
    <cellStyle name="Normal 5 2 6 6 3" xfId="11101" xr:uid="{C14AB02C-E435-47BD-9468-A50B4FFAFEBC}"/>
    <cellStyle name="Normal 5 2 6 7" xfId="4812" xr:uid="{00000000-0005-0000-0000-00005D190000}"/>
    <cellStyle name="Normal 5 2 6 7 2" xfId="13254" xr:uid="{BB34BD82-2782-4FA2-873A-647B2C7FE054}"/>
    <cellStyle name="Normal 5 2 6 8" xfId="9036" xr:uid="{7596E4E4-D398-4D61-9587-884349744CA0}"/>
    <cellStyle name="Normal 5 2 7" xfId="881" xr:uid="{00000000-0005-0000-0000-00005E190000}"/>
    <cellStyle name="Normal 5 2 7 2" xfId="3116" xr:uid="{00000000-0005-0000-0000-00005F190000}"/>
    <cellStyle name="Normal 5 2 7 2 2" xfId="7339" xr:uid="{00000000-0005-0000-0000-000060190000}"/>
    <cellStyle name="Normal 5 2 7 2 2 2" xfId="15781" xr:uid="{09FA895A-DF57-4818-85C0-D41955A0F91D}"/>
    <cellStyle name="Normal 5 2 7 2 3" xfId="11563" xr:uid="{36267D25-4A7F-4C7E-A358-EC5036001C91}"/>
    <cellStyle name="Normal 5 2 7 3" xfId="5194" xr:uid="{00000000-0005-0000-0000-000061190000}"/>
    <cellStyle name="Normal 5 2 7 3 2" xfId="13636" xr:uid="{6D8D2071-41C7-4785-A44A-CEBA7D856C03}"/>
    <cellStyle name="Normal 5 2 7 4" xfId="9418" xr:uid="{4E7D5ED9-9367-4BA7-9E6E-85D3D77CE5E6}"/>
    <cellStyle name="Normal 5 2 8" xfId="1299" xr:uid="{00000000-0005-0000-0000-000062190000}"/>
    <cellStyle name="Normal 5 2 8 2" xfId="3529" xr:uid="{00000000-0005-0000-0000-000063190000}"/>
    <cellStyle name="Normal 5 2 8 2 2" xfId="7752" xr:uid="{00000000-0005-0000-0000-000064190000}"/>
    <cellStyle name="Normal 5 2 8 2 2 2" xfId="16194" xr:uid="{6661F071-1B0D-4210-B802-C51D3FD044AA}"/>
    <cellStyle name="Normal 5 2 8 2 3" xfId="11976" xr:uid="{6C46E8B2-EECB-4D5E-A7F6-5FFDFAA41186}"/>
    <cellStyle name="Normal 5 2 8 3" xfId="5607" xr:uid="{00000000-0005-0000-0000-000065190000}"/>
    <cellStyle name="Normal 5 2 8 3 2" xfId="14049" xr:uid="{D725C347-A1FB-4FCF-A2B8-74C0098DB40A}"/>
    <cellStyle name="Normal 5 2 8 4" xfId="9831" xr:uid="{40DC4A6E-DE36-4E00-BD05-7CB957389736}"/>
    <cellStyle name="Normal 5 2 9" xfId="1712" xr:uid="{00000000-0005-0000-0000-000066190000}"/>
    <cellStyle name="Normal 5 2 9 2" xfId="3942" xr:uid="{00000000-0005-0000-0000-000067190000}"/>
    <cellStyle name="Normal 5 2 9 2 2" xfId="8165" xr:uid="{00000000-0005-0000-0000-000068190000}"/>
    <cellStyle name="Normal 5 2 9 2 2 2" xfId="16607" xr:uid="{46463568-21FE-4FF5-B31E-890FC8EC6A2B}"/>
    <cellStyle name="Normal 5 2 9 2 3" xfId="12389" xr:uid="{B4C9563F-AAC6-4D12-9102-917B77A32A2D}"/>
    <cellStyle name="Normal 5 2 9 3" xfId="6020" xr:uid="{00000000-0005-0000-0000-000069190000}"/>
    <cellStyle name="Normal 5 2 9 3 2" xfId="14462" xr:uid="{EF284B0D-668E-409E-A485-B79A7F7913B8}"/>
    <cellStyle name="Normal 5 2 9 4" xfId="10244" xr:uid="{26448506-4681-4C11-8EF7-6F797ED05B3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6FA2E550-6604-42C3-9585-9D86B93411AD}"/>
    <cellStyle name="Normal 5 3 10 2 3" xfId="12834" xr:uid="{E7EBC104-A1F9-4F69-BF57-DD31F2012A6A}"/>
    <cellStyle name="Normal 5 3 10 3" xfId="6465" xr:uid="{00000000-0005-0000-0000-00006E190000}"/>
    <cellStyle name="Normal 5 3 10 3 2" xfId="14907" xr:uid="{1B60AE2C-61B6-4831-B29E-5A55FB734127}"/>
    <cellStyle name="Normal 5 3 10 4" xfId="10689" xr:uid="{9D7326E2-553B-451A-B3C1-B606B2CCAB39}"/>
    <cellStyle name="Normal 5 3 11" xfId="2594" xr:uid="{00000000-0005-0000-0000-00006F190000}"/>
    <cellStyle name="Normal 5 3 11 2" xfId="6878" xr:uid="{00000000-0005-0000-0000-000070190000}"/>
    <cellStyle name="Normal 5 3 11 2 2" xfId="15320" xr:uid="{C87A223B-6C2F-4F7C-8F96-9E4DAE75D5EB}"/>
    <cellStyle name="Normal 5 3 11 3" xfId="11102" xr:uid="{BA862367-12FC-459F-970D-3ACE222DB9D4}"/>
    <cellStyle name="Normal 5 3 12" xfId="4813" xr:uid="{00000000-0005-0000-0000-000071190000}"/>
    <cellStyle name="Normal 5 3 12 2" xfId="13255" xr:uid="{C051F17E-FF12-4315-A74D-E42CFB8E6B8D}"/>
    <cellStyle name="Normal 5 3 13" xfId="9037" xr:uid="{EDDE8072-E9F0-4471-A9AE-02EFC129B96D}"/>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4BF4D1FB-DABE-43DA-B1FF-F4EA827DFA2F}"/>
    <cellStyle name="Normal 5 3 3 11" xfId="9038" xr:uid="{934B0388-6397-4B7E-84B2-3FC95566DFC8}"/>
    <cellStyle name="Normal 5 3 3 2" xfId="442" xr:uid="{00000000-0005-0000-0000-000076190000}"/>
    <cellStyle name="Normal 5 3 3 2 10" xfId="9039" xr:uid="{92A7EBAF-6636-471E-B301-B73C9F60CC18}"/>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38F98AEE-4168-4069-AE0C-78D919CC1EAB}"/>
    <cellStyle name="Normal 5 3 3 2 2 2 2 2 3" xfId="11599" xr:uid="{AC91357F-FB0F-45C1-9421-521A0BFA7217}"/>
    <cellStyle name="Normal 5 3 3 2 2 2 2 3" xfId="5230" xr:uid="{00000000-0005-0000-0000-00007C190000}"/>
    <cellStyle name="Normal 5 3 3 2 2 2 2 3 2" xfId="13672" xr:uid="{B45A81DE-55FB-4F49-B26D-0B7A3A0B08F5}"/>
    <cellStyle name="Normal 5 3 3 2 2 2 2 4" xfId="9454" xr:uid="{00F4F297-CF1E-4977-BAEB-97ECC08C701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4CFF6351-70B0-4D57-A603-BD61E68E5F30}"/>
    <cellStyle name="Normal 5 3 3 2 2 2 3 2 3" xfId="12012" xr:uid="{EFB77BFB-2379-40EF-8BD8-5CA547276C34}"/>
    <cellStyle name="Normal 5 3 3 2 2 2 3 3" xfId="5643" xr:uid="{00000000-0005-0000-0000-000080190000}"/>
    <cellStyle name="Normal 5 3 3 2 2 2 3 3 2" xfId="14085" xr:uid="{C240BA2C-8FF9-400B-A72C-F2857CD84816}"/>
    <cellStyle name="Normal 5 3 3 2 2 2 3 4" xfId="9867" xr:uid="{355BAE42-59AB-4572-8ED6-971EE0C689C9}"/>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74C9F211-C687-407C-ADC7-8373660EFD21}"/>
    <cellStyle name="Normal 5 3 3 2 2 2 4 2 3" xfId="12425" xr:uid="{A3A6132C-889B-4CE3-BA7D-389EDF0352A4}"/>
    <cellStyle name="Normal 5 3 3 2 2 2 4 3" xfId="6056" xr:uid="{00000000-0005-0000-0000-000084190000}"/>
    <cellStyle name="Normal 5 3 3 2 2 2 4 3 2" xfId="14498" xr:uid="{8F8D5BCA-8933-4C00-AF85-8A191B8EA945}"/>
    <cellStyle name="Normal 5 3 3 2 2 2 4 4" xfId="10280" xr:uid="{FEF8A19E-EA6E-46BE-B2E5-6C3AE1F20DD2}"/>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5D845AD-A207-477E-B450-193478611625}"/>
    <cellStyle name="Normal 5 3 3 2 2 2 5 2 3" xfId="12838" xr:uid="{B83B8D28-8504-4B69-BA15-55AF8606CA11}"/>
    <cellStyle name="Normal 5 3 3 2 2 2 5 3" xfId="6469" xr:uid="{00000000-0005-0000-0000-000088190000}"/>
    <cellStyle name="Normal 5 3 3 2 2 2 5 3 2" xfId="14911" xr:uid="{71957F69-293B-4EEC-9984-A2CAE05277C8}"/>
    <cellStyle name="Normal 5 3 3 2 2 2 5 4" xfId="10693" xr:uid="{C91A8378-88EF-4C5E-B1A3-8E26ABFC5C5B}"/>
    <cellStyle name="Normal 5 3 3 2 2 2 6" xfId="2598" xr:uid="{00000000-0005-0000-0000-000089190000}"/>
    <cellStyle name="Normal 5 3 3 2 2 2 6 2" xfId="6882" xr:uid="{00000000-0005-0000-0000-00008A190000}"/>
    <cellStyle name="Normal 5 3 3 2 2 2 6 2 2" xfId="15324" xr:uid="{E0D1BA89-B268-44C5-8BBF-5C33E0A46639}"/>
    <cellStyle name="Normal 5 3 3 2 2 2 6 3" xfId="11106" xr:uid="{2501FE54-178A-4630-AF81-ABA880D001B4}"/>
    <cellStyle name="Normal 5 3 3 2 2 2 7" xfId="4817" xr:uid="{00000000-0005-0000-0000-00008B190000}"/>
    <cellStyle name="Normal 5 3 3 2 2 2 7 2" xfId="13259" xr:uid="{FF9BDEB5-BB95-43D9-90F6-A6190A699E02}"/>
    <cellStyle name="Normal 5 3 3 2 2 2 8" xfId="9041" xr:uid="{241B9BB1-1CF5-45E1-B021-59E3CA7225B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723AE57A-CA70-4362-87F8-563CB8115BC3}"/>
    <cellStyle name="Normal 5 3 3 2 2 3 2 3" xfId="11598" xr:uid="{68AD515B-D914-4F91-9681-DE17DA5299D0}"/>
    <cellStyle name="Normal 5 3 3 2 2 3 3" xfId="5229" xr:uid="{00000000-0005-0000-0000-00008F190000}"/>
    <cellStyle name="Normal 5 3 3 2 2 3 3 2" xfId="13671" xr:uid="{AB4C102E-61A7-4892-AA6C-199F55895C31}"/>
    <cellStyle name="Normal 5 3 3 2 2 3 4" xfId="9453" xr:uid="{CDA919D6-D53D-4C1F-90E4-81369A37B6BC}"/>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B7261D9D-3B58-4B56-B4F9-E6AA1483C917}"/>
    <cellStyle name="Normal 5 3 3 2 2 4 2 3" xfId="12011" xr:uid="{762E935A-272D-4C56-B692-1808C3D62CB2}"/>
    <cellStyle name="Normal 5 3 3 2 2 4 3" xfId="5642" xr:uid="{00000000-0005-0000-0000-000093190000}"/>
    <cellStyle name="Normal 5 3 3 2 2 4 3 2" xfId="14084" xr:uid="{C92215E5-FFDC-4F37-899C-F0D2E4CA41F6}"/>
    <cellStyle name="Normal 5 3 3 2 2 4 4" xfId="9866" xr:uid="{C6526EF1-A6DB-46F9-BA38-91FC3271D9EB}"/>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0ACE3FA0-1E58-4C32-B147-18B0638933EB}"/>
    <cellStyle name="Normal 5 3 3 2 2 5 2 3" xfId="12424" xr:uid="{B64AB93F-619B-4737-835B-2AD294B10C81}"/>
    <cellStyle name="Normal 5 3 3 2 2 5 3" xfId="6055" xr:uid="{00000000-0005-0000-0000-000097190000}"/>
    <cellStyle name="Normal 5 3 3 2 2 5 3 2" xfId="14497" xr:uid="{1E3BDF45-9607-4372-9959-83D53C40553F}"/>
    <cellStyle name="Normal 5 3 3 2 2 5 4" xfId="10279" xr:uid="{7336B995-21F6-424A-AF8F-E4C408943693}"/>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3211C6EB-85B0-4F70-AEC4-3CDF50B88ADB}"/>
    <cellStyle name="Normal 5 3 3 2 2 6 2 3" xfId="12837" xr:uid="{23EB172A-CD85-4569-888D-5BA7B6998CE5}"/>
    <cellStyle name="Normal 5 3 3 2 2 6 3" xfId="6468" xr:uid="{00000000-0005-0000-0000-00009B190000}"/>
    <cellStyle name="Normal 5 3 3 2 2 6 3 2" xfId="14910" xr:uid="{7742FCFC-F5BC-4EA9-9360-6CD29C9F1EBF}"/>
    <cellStyle name="Normal 5 3 3 2 2 6 4" xfId="10692" xr:uid="{90A9D14D-EC7A-42C1-B9CC-6303CA182AD6}"/>
    <cellStyle name="Normal 5 3 3 2 2 7" xfId="2597" xr:uid="{00000000-0005-0000-0000-00009C190000}"/>
    <cellStyle name="Normal 5 3 3 2 2 7 2" xfId="6881" xr:uid="{00000000-0005-0000-0000-00009D190000}"/>
    <cellStyle name="Normal 5 3 3 2 2 7 2 2" xfId="15323" xr:uid="{07CE5AB9-6A34-4234-AFB2-9C9B1D800FF8}"/>
    <cellStyle name="Normal 5 3 3 2 2 7 3" xfId="11105" xr:uid="{5032171F-19C6-493A-991D-F02E3FEBFC7C}"/>
    <cellStyle name="Normal 5 3 3 2 2 8" xfId="4816" xr:uid="{00000000-0005-0000-0000-00009E190000}"/>
    <cellStyle name="Normal 5 3 3 2 2 8 2" xfId="13258" xr:uid="{7AEEF37D-F222-4623-952A-2087DF141AFA}"/>
    <cellStyle name="Normal 5 3 3 2 2 9" xfId="9040" xr:uid="{B0FCA7E1-4114-4A57-BFC5-76615A9353E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131C24D0-6864-460C-B010-A236F37BD2EA}"/>
    <cellStyle name="Normal 5 3 3 2 3 2 2 3" xfId="11600" xr:uid="{ED1E4D52-DDBE-417D-AFE7-23E45B884DC2}"/>
    <cellStyle name="Normal 5 3 3 2 3 2 3" xfId="5231" xr:uid="{00000000-0005-0000-0000-0000A3190000}"/>
    <cellStyle name="Normal 5 3 3 2 3 2 3 2" xfId="13673" xr:uid="{88F4C69C-D16F-4EC0-A02A-6A6219DD69AF}"/>
    <cellStyle name="Normal 5 3 3 2 3 2 4" xfId="9455" xr:uid="{25A46D5E-B2F1-4203-90F1-B4F10BD9EE85}"/>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29A3E0AD-BC17-4A17-B3ED-21B1E420C3EF}"/>
    <cellStyle name="Normal 5 3 3 2 3 3 2 3" xfId="12013" xr:uid="{4F84EF3D-AE4B-4407-8F5D-5BE96A8B6CC3}"/>
    <cellStyle name="Normal 5 3 3 2 3 3 3" xfId="5644" xr:uid="{00000000-0005-0000-0000-0000A7190000}"/>
    <cellStyle name="Normal 5 3 3 2 3 3 3 2" xfId="14086" xr:uid="{13DAD345-2E14-4D07-816D-2E7382FCA02C}"/>
    <cellStyle name="Normal 5 3 3 2 3 3 4" xfId="9868" xr:uid="{00EAB19F-5A4F-4959-9C21-CDE23467586C}"/>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DBC6F5D0-12B9-49F7-8032-993EDB7E5A1E}"/>
    <cellStyle name="Normal 5 3 3 2 3 4 2 3" xfId="12426" xr:uid="{982E2CB1-30F4-4F52-979D-FA9BDED5D3FE}"/>
    <cellStyle name="Normal 5 3 3 2 3 4 3" xfId="6057" xr:uid="{00000000-0005-0000-0000-0000AB190000}"/>
    <cellStyle name="Normal 5 3 3 2 3 4 3 2" xfId="14499" xr:uid="{D9C75D39-4B37-4CD7-AF72-7DC9C770408C}"/>
    <cellStyle name="Normal 5 3 3 2 3 4 4" xfId="10281" xr:uid="{927349AC-BC7F-475C-9384-1E76661A613E}"/>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5CB47C6B-FD58-447B-AAF6-B5675DC30F93}"/>
    <cellStyle name="Normal 5 3 3 2 3 5 2 3" xfId="12839" xr:uid="{D4B9CF10-0948-4879-A429-FE2EA5848CA1}"/>
    <cellStyle name="Normal 5 3 3 2 3 5 3" xfId="6470" xr:uid="{00000000-0005-0000-0000-0000AF190000}"/>
    <cellStyle name="Normal 5 3 3 2 3 5 3 2" xfId="14912" xr:uid="{0D5A73D0-2F0E-4143-9AF9-1A804724D2B2}"/>
    <cellStyle name="Normal 5 3 3 2 3 5 4" xfId="10694" xr:uid="{2CA0E554-E37A-4F30-A21C-92A4FF1C7859}"/>
    <cellStyle name="Normal 5 3 3 2 3 6" xfId="2599" xr:uid="{00000000-0005-0000-0000-0000B0190000}"/>
    <cellStyle name="Normal 5 3 3 2 3 6 2" xfId="6883" xr:uid="{00000000-0005-0000-0000-0000B1190000}"/>
    <cellStyle name="Normal 5 3 3 2 3 6 2 2" xfId="15325" xr:uid="{18792624-D5AA-4CEF-944C-A742C09A1C05}"/>
    <cellStyle name="Normal 5 3 3 2 3 6 3" xfId="11107" xr:uid="{9B0CECA0-89FF-4311-8865-D08CDD9CE94B}"/>
    <cellStyle name="Normal 5 3 3 2 3 7" xfId="4818" xr:uid="{00000000-0005-0000-0000-0000B2190000}"/>
    <cellStyle name="Normal 5 3 3 2 3 7 2" xfId="13260" xr:uid="{D8544CF8-E3B9-4083-8EE6-44C39C4BB587}"/>
    <cellStyle name="Normal 5 3 3 2 3 8" xfId="9042" xr:uid="{B846FC42-2B3D-4984-8744-8F7B315E6795}"/>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9CC48734-943F-499A-A04B-E862232DE27B}"/>
    <cellStyle name="Normal 5 3 3 2 4 2 3" xfId="11597" xr:uid="{BDDD1B21-CCC7-4D09-B9CF-63E719567A91}"/>
    <cellStyle name="Normal 5 3 3 2 4 3" xfId="5228" xr:uid="{00000000-0005-0000-0000-0000B6190000}"/>
    <cellStyle name="Normal 5 3 3 2 4 3 2" xfId="13670" xr:uid="{1B05AF25-A6CD-4514-AFF4-908423518BA8}"/>
    <cellStyle name="Normal 5 3 3 2 4 4" xfId="9452" xr:uid="{6CBB47AB-9CE9-4185-8125-DBE74116FECA}"/>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5C19CDD6-B294-440F-93DE-B6C3D08788D3}"/>
    <cellStyle name="Normal 5 3 3 2 5 2 3" xfId="12010" xr:uid="{77D8FDF3-B5D5-484F-91CE-75D9553E19A4}"/>
    <cellStyle name="Normal 5 3 3 2 5 3" xfId="5641" xr:uid="{00000000-0005-0000-0000-0000BA190000}"/>
    <cellStyle name="Normal 5 3 3 2 5 3 2" xfId="14083" xr:uid="{11FAA170-24E3-4C4B-BD9C-5B3605B1870D}"/>
    <cellStyle name="Normal 5 3 3 2 5 4" xfId="9865" xr:uid="{3A87B776-CB18-4A7E-B83E-F870659BA042}"/>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8D518E04-BE64-477C-892F-86DFEC3BACBC}"/>
    <cellStyle name="Normal 5 3 3 2 6 2 3" xfId="12423" xr:uid="{AF87D733-BC21-4F6E-89FE-BD82FA26EE7A}"/>
    <cellStyle name="Normal 5 3 3 2 6 3" xfId="6054" xr:uid="{00000000-0005-0000-0000-0000BE190000}"/>
    <cellStyle name="Normal 5 3 3 2 6 3 2" xfId="14496" xr:uid="{D1F3ABE1-B999-4CAA-A3AC-6663F92083BD}"/>
    <cellStyle name="Normal 5 3 3 2 6 4" xfId="10278" xr:uid="{2DC8771C-FD9F-42F4-8A1E-5F20B0594CF5}"/>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5C022CE9-8B57-4CEE-BD0F-43F8021BA0C4}"/>
    <cellStyle name="Normal 5 3 3 2 7 2 3" xfId="12836" xr:uid="{F527CDCC-F890-4384-BB31-B901F0EBA960}"/>
    <cellStyle name="Normal 5 3 3 2 7 3" xfId="6467" xr:uid="{00000000-0005-0000-0000-0000C2190000}"/>
    <cellStyle name="Normal 5 3 3 2 7 3 2" xfId="14909" xr:uid="{228268DB-1EDE-4517-8303-646741C055B6}"/>
    <cellStyle name="Normal 5 3 3 2 7 4" xfId="10691" xr:uid="{0A6B1379-3687-4692-8683-4F40D3F5947A}"/>
    <cellStyle name="Normal 5 3 3 2 8" xfId="2596" xr:uid="{00000000-0005-0000-0000-0000C3190000}"/>
    <cellStyle name="Normal 5 3 3 2 8 2" xfId="6880" xr:uid="{00000000-0005-0000-0000-0000C4190000}"/>
    <cellStyle name="Normal 5 3 3 2 8 2 2" xfId="15322" xr:uid="{65EFDE4B-D0AB-47F0-A1ED-85E4B82FE60E}"/>
    <cellStyle name="Normal 5 3 3 2 8 3" xfId="11104" xr:uid="{D8D4A7AF-F80C-4FAC-9798-BF15BB99F011}"/>
    <cellStyle name="Normal 5 3 3 2 9" xfId="4815" xr:uid="{00000000-0005-0000-0000-0000C5190000}"/>
    <cellStyle name="Normal 5 3 3 2 9 2" xfId="13257" xr:uid="{36DE5D17-19BA-4B35-AF18-DC02F797F7B3}"/>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5E8E3B04-4C46-4090-B25E-13104B857BC6}"/>
    <cellStyle name="Normal 5 3 3 3 2 2 2 3" xfId="11602" xr:uid="{A2DEB51A-10E0-44C4-946D-0EE005223668}"/>
    <cellStyle name="Normal 5 3 3 3 2 2 3" xfId="5233" xr:uid="{00000000-0005-0000-0000-0000CB190000}"/>
    <cellStyle name="Normal 5 3 3 3 2 2 3 2" xfId="13675" xr:uid="{E52E1D15-5756-4722-A5D6-28781DC1B512}"/>
    <cellStyle name="Normal 5 3 3 3 2 2 4" xfId="9457" xr:uid="{EA25D9E6-F4AD-490C-9C88-29AB6E63C73F}"/>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92BD2671-0C38-4E95-A0A7-EA99924DD878}"/>
    <cellStyle name="Normal 5 3 3 3 2 3 2 3" xfId="12015" xr:uid="{592B96ED-B8E7-438A-B5DD-DA31D08A26E4}"/>
    <cellStyle name="Normal 5 3 3 3 2 3 3" xfId="5646" xr:uid="{00000000-0005-0000-0000-0000CF190000}"/>
    <cellStyle name="Normal 5 3 3 3 2 3 3 2" xfId="14088" xr:uid="{15F336CC-83B8-4B2A-8BCB-664B5BB2F34D}"/>
    <cellStyle name="Normal 5 3 3 3 2 3 4" xfId="9870" xr:uid="{8EAFAA8A-6772-4A3C-ABDA-5148226A3898}"/>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D36A524D-9034-4633-B52F-7E364B286F4D}"/>
    <cellStyle name="Normal 5 3 3 3 2 4 2 3" xfId="12428" xr:uid="{3915C556-FF89-4316-81B0-BBD1FDF96548}"/>
    <cellStyle name="Normal 5 3 3 3 2 4 3" xfId="6059" xr:uid="{00000000-0005-0000-0000-0000D3190000}"/>
    <cellStyle name="Normal 5 3 3 3 2 4 3 2" xfId="14501" xr:uid="{4B165D5F-96DB-4467-82F0-C75A4ED4C7A6}"/>
    <cellStyle name="Normal 5 3 3 3 2 4 4" xfId="10283" xr:uid="{DE40D1A4-3A02-4224-8D89-BA1FD7699556}"/>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293D5C22-5B8F-405F-850F-C0887471C959}"/>
    <cellStyle name="Normal 5 3 3 3 2 5 2 3" xfId="12841" xr:uid="{8A6AC273-334F-4BF0-9924-8A8C17E0A8C1}"/>
    <cellStyle name="Normal 5 3 3 3 2 5 3" xfId="6472" xr:uid="{00000000-0005-0000-0000-0000D7190000}"/>
    <cellStyle name="Normal 5 3 3 3 2 5 3 2" xfId="14914" xr:uid="{6875301D-A1FA-48B4-A3BF-182076B8D8F0}"/>
    <cellStyle name="Normal 5 3 3 3 2 5 4" xfId="10696" xr:uid="{5BE238A2-0385-4364-8AEB-CDA8BFF9C563}"/>
    <cellStyle name="Normal 5 3 3 3 2 6" xfId="2601" xr:uid="{00000000-0005-0000-0000-0000D8190000}"/>
    <cellStyle name="Normal 5 3 3 3 2 6 2" xfId="6885" xr:uid="{00000000-0005-0000-0000-0000D9190000}"/>
    <cellStyle name="Normal 5 3 3 3 2 6 2 2" xfId="15327" xr:uid="{A5504655-58EF-4614-9146-54E6FE495B5F}"/>
    <cellStyle name="Normal 5 3 3 3 2 6 3" xfId="11109" xr:uid="{915FFC0F-DD48-4FA9-9AC5-C3EEF233ABD2}"/>
    <cellStyle name="Normal 5 3 3 3 2 7" xfId="4820" xr:uid="{00000000-0005-0000-0000-0000DA190000}"/>
    <cellStyle name="Normal 5 3 3 3 2 7 2" xfId="13262" xr:uid="{C5C5A3E7-57D3-4095-9A72-37E9DAE71DC9}"/>
    <cellStyle name="Normal 5 3 3 3 2 8" xfId="9044" xr:uid="{5C3D2BB4-8ED1-4076-AAE0-35CF48220AF6}"/>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A19E975C-C4F1-417F-A65D-23486DA5F6C7}"/>
    <cellStyle name="Normal 5 3 3 3 3 2 3" xfId="11601" xr:uid="{A08D0039-F81A-466B-88FF-02D7998F2C22}"/>
    <cellStyle name="Normal 5 3 3 3 3 3" xfId="5232" xr:uid="{00000000-0005-0000-0000-0000DE190000}"/>
    <cellStyle name="Normal 5 3 3 3 3 3 2" xfId="13674" xr:uid="{61EE6690-E848-48E5-9890-1A7E33509585}"/>
    <cellStyle name="Normal 5 3 3 3 3 4" xfId="9456" xr:uid="{5B6CDB72-4C5F-4F54-9736-E98547CF1DA1}"/>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547F8E92-BA42-4F55-817A-26875FBAADFD}"/>
    <cellStyle name="Normal 5 3 3 3 4 2 3" xfId="12014" xr:uid="{848E489D-2914-4DB5-BB9B-B2F0AF42DA8A}"/>
    <cellStyle name="Normal 5 3 3 3 4 3" xfId="5645" xr:uid="{00000000-0005-0000-0000-0000E2190000}"/>
    <cellStyle name="Normal 5 3 3 3 4 3 2" xfId="14087" xr:uid="{CD8852C3-9FA0-4C8F-B08C-6747D7ADFCE2}"/>
    <cellStyle name="Normal 5 3 3 3 4 4" xfId="9869" xr:uid="{8A11A5AA-DB48-4288-99F8-E567F8CD0958}"/>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B0BAC672-31B6-476D-ACC6-393A2E740290}"/>
    <cellStyle name="Normal 5 3 3 3 5 2 3" xfId="12427" xr:uid="{8EB49292-9897-41EB-8050-00DDE5CE3D8E}"/>
    <cellStyle name="Normal 5 3 3 3 5 3" xfId="6058" xr:uid="{00000000-0005-0000-0000-0000E6190000}"/>
    <cellStyle name="Normal 5 3 3 3 5 3 2" xfId="14500" xr:uid="{4FCF047F-A313-4154-B072-380E9653534C}"/>
    <cellStyle name="Normal 5 3 3 3 5 4" xfId="10282" xr:uid="{67999C69-FD30-404B-A227-FDADBF5B7ACC}"/>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B5F60CD3-54D7-47E0-B58F-FBFD389AC0A7}"/>
    <cellStyle name="Normal 5 3 3 3 6 2 3" xfId="12840" xr:uid="{F78B3687-3B81-493B-8EEF-6CAE2CCAEE5A}"/>
    <cellStyle name="Normal 5 3 3 3 6 3" xfId="6471" xr:uid="{00000000-0005-0000-0000-0000EA190000}"/>
    <cellStyle name="Normal 5 3 3 3 6 3 2" xfId="14913" xr:uid="{966EDD26-5FBE-4878-8BB6-27335FE948AF}"/>
    <cellStyle name="Normal 5 3 3 3 6 4" xfId="10695" xr:uid="{A654DE45-DB2C-414E-9ED0-7DE26FE56484}"/>
    <cellStyle name="Normal 5 3 3 3 7" xfId="2600" xr:uid="{00000000-0005-0000-0000-0000EB190000}"/>
    <cellStyle name="Normal 5 3 3 3 7 2" xfId="6884" xr:uid="{00000000-0005-0000-0000-0000EC190000}"/>
    <cellStyle name="Normal 5 3 3 3 7 2 2" xfId="15326" xr:uid="{850823B0-C506-44C3-ACD8-7809F9CBE800}"/>
    <cellStyle name="Normal 5 3 3 3 7 3" xfId="11108" xr:uid="{3B596A33-13D0-4F67-AD28-42C9D798C0D7}"/>
    <cellStyle name="Normal 5 3 3 3 8" xfId="4819" xr:uid="{00000000-0005-0000-0000-0000ED190000}"/>
    <cellStyle name="Normal 5 3 3 3 8 2" xfId="13261" xr:uid="{AE14AAB2-C06B-446E-AB1D-1F1A2E911104}"/>
    <cellStyle name="Normal 5 3 3 3 9" xfId="9043" xr:uid="{60A48E9D-4F3E-4D09-9508-AAEF9A57E51B}"/>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10E06D6D-1145-4648-B7D3-ADC67F36C1E9}"/>
    <cellStyle name="Normal 5 3 3 4 2 2 3" xfId="11603" xr:uid="{62547FDC-ADC4-4AEA-93DE-38FEA40EE0D5}"/>
    <cellStyle name="Normal 5 3 3 4 2 3" xfId="5234" xr:uid="{00000000-0005-0000-0000-0000F2190000}"/>
    <cellStyle name="Normal 5 3 3 4 2 3 2" xfId="13676" xr:uid="{E2C2BBAD-E65B-4DFC-B526-FE7B4913A7C4}"/>
    <cellStyle name="Normal 5 3 3 4 2 4" xfId="9458" xr:uid="{6F83DB05-DD06-4267-A34D-CFE488453D05}"/>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58A73AC8-D62D-41F3-AD38-90637BADD817}"/>
    <cellStyle name="Normal 5 3 3 4 3 2 3" xfId="12016" xr:uid="{E28A0EE7-7477-4EFD-BBCB-B92F86B4FBD6}"/>
    <cellStyle name="Normal 5 3 3 4 3 3" xfId="5647" xr:uid="{00000000-0005-0000-0000-0000F6190000}"/>
    <cellStyle name="Normal 5 3 3 4 3 3 2" xfId="14089" xr:uid="{534938E8-AAA9-4D56-9531-152A2C7CF29A}"/>
    <cellStyle name="Normal 5 3 3 4 3 4" xfId="9871" xr:uid="{8E7EDD43-DA98-4806-8B38-EE03AEEADFF7}"/>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5F84E8C5-7E15-4367-B54B-E1E17CB5950C}"/>
    <cellStyle name="Normal 5 3 3 4 4 2 3" xfId="12429" xr:uid="{96B47C2F-DCCA-4B61-96F9-4F974E508599}"/>
    <cellStyle name="Normal 5 3 3 4 4 3" xfId="6060" xr:uid="{00000000-0005-0000-0000-0000FA190000}"/>
    <cellStyle name="Normal 5 3 3 4 4 3 2" xfId="14502" xr:uid="{82946266-9F85-4F6A-AD68-1E35339EC841}"/>
    <cellStyle name="Normal 5 3 3 4 4 4" xfId="10284" xr:uid="{143AC539-8836-4F5A-ACC7-AD34579B7613}"/>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CB58F88A-822F-4838-BE45-00CF1AC57572}"/>
    <cellStyle name="Normal 5 3 3 4 5 2 3" xfId="12842" xr:uid="{227479FD-03CA-4693-A2F3-7B19338D9168}"/>
    <cellStyle name="Normal 5 3 3 4 5 3" xfId="6473" xr:uid="{00000000-0005-0000-0000-0000FE190000}"/>
    <cellStyle name="Normal 5 3 3 4 5 3 2" xfId="14915" xr:uid="{B266AFEB-AC5D-4DA2-9DEC-3C2FF7720513}"/>
    <cellStyle name="Normal 5 3 3 4 5 4" xfId="10697" xr:uid="{3051388C-515A-43EC-A0FB-8C9150C3C385}"/>
    <cellStyle name="Normal 5 3 3 4 6" xfId="2602" xr:uid="{00000000-0005-0000-0000-0000FF190000}"/>
    <cellStyle name="Normal 5 3 3 4 6 2" xfId="6886" xr:uid="{00000000-0005-0000-0000-0000001A0000}"/>
    <cellStyle name="Normal 5 3 3 4 6 2 2" xfId="15328" xr:uid="{4C214B2A-02CD-4E50-BB3E-2F0528F727B6}"/>
    <cellStyle name="Normal 5 3 3 4 6 3" xfId="11110" xr:uid="{EB0C89E8-97D8-4E88-8D35-AAF927E363EE}"/>
    <cellStyle name="Normal 5 3 3 4 7" xfId="4821" xr:uid="{00000000-0005-0000-0000-0000011A0000}"/>
    <cellStyle name="Normal 5 3 3 4 7 2" xfId="13263" xr:uid="{E4F51BE5-7451-43AF-9638-2B0C6DF646F8}"/>
    <cellStyle name="Normal 5 3 3 4 8" xfId="9045" xr:uid="{6026C3E6-30AA-4D44-87C9-0629F726D7BC}"/>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8E8622C3-699C-4D3B-AC8F-B865DB4D1FA9}"/>
    <cellStyle name="Normal 5 3 3 5 2 3" xfId="11596" xr:uid="{71575DB8-4D99-4A71-976A-FA12CDC8D254}"/>
    <cellStyle name="Normal 5 3 3 5 3" xfId="5227" xr:uid="{00000000-0005-0000-0000-0000051A0000}"/>
    <cellStyle name="Normal 5 3 3 5 3 2" xfId="13669" xr:uid="{5487F712-C851-44A3-A966-3D9F12C4A3B4}"/>
    <cellStyle name="Normal 5 3 3 5 4" xfId="9451" xr:uid="{D5D0896F-5D12-4F5E-9C3A-8FCC003B0D09}"/>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2E5A9950-737F-4CE0-B1F0-6826E786F811}"/>
    <cellStyle name="Normal 5 3 3 6 2 3" xfId="12009" xr:uid="{6692BADE-7D68-4C7E-9EC8-EAD3FFBF59E6}"/>
    <cellStyle name="Normal 5 3 3 6 3" xfId="5640" xr:uid="{00000000-0005-0000-0000-0000091A0000}"/>
    <cellStyle name="Normal 5 3 3 6 3 2" xfId="14082" xr:uid="{D29E2634-94E4-4423-B9C7-C3D2F483A278}"/>
    <cellStyle name="Normal 5 3 3 6 4" xfId="9864" xr:uid="{04A53305-64B4-475F-ADE5-FF03FF727F89}"/>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DBC62D5B-0DB1-4D09-8ABB-581C9BC1E3D7}"/>
    <cellStyle name="Normal 5 3 3 7 2 3" xfId="12422" xr:uid="{47FA3E2D-F6F7-4C3B-82EF-8873078C00FE}"/>
    <cellStyle name="Normal 5 3 3 7 3" xfId="6053" xr:uid="{00000000-0005-0000-0000-00000D1A0000}"/>
    <cellStyle name="Normal 5 3 3 7 3 2" xfId="14495" xr:uid="{3BE62A0B-1459-472C-8E2B-9A103E643ACF}"/>
    <cellStyle name="Normal 5 3 3 7 4" xfId="10277" xr:uid="{34AC7438-AFB6-4CE2-9026-645E4615C392}"/>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477A1652-E4F9-4503-83BB-0EAC2C3367A3}"/>
    <cellStyle name="Normal 5 3 3 8 2 3" xfId="12835" xr:uid="{7978179C-0BD4-4FBA-A67E-EF149CEC9CB3}"/>
    <cellStyle name="Normal 5 3 3 8 3" xfId="6466" xr:uid="{00000000-0005-0000-0000-0000111A0000}"/>
    <cellStyle name="Normal 5 3 3 8 3 2" xfId="14908" xr:uid="{62C1CDB4-253C-405C-8CCC-F55A0822F607}"/>
    <cellStyle name="Normal 5 3 3 8 4" xfId="10690" xr:uid="{45BF14B0-5244-4167-AE5A-0FFEFAD6EC75}"/>
    <cellStyle name="Normal 5 3 3 9" xfId="2595" xr:uid="{00000000-0005-0000-0000-0000121A0000}"/>
    <cellStyle name="Normal 5 3 3 9 2" xfId="6879" xr:uid="{00000000-0005-0000-0000-0000131A0000}"/>
    <cellStyle name="Normal 5 3 3 9 2 2" xfId="15321" xr:uid="{DF9EF1B4-7D14-4365-BB4A-17EF8D64ED43}"/>
    <cellStyle name="Normal 5 3 3 9 3" xfId="11103" xr:uid="{0DCF4E87-070C-4C7A-8ED9-E46D1D5A8447}"/>
    <cellStyle name="Normal 5 3 4" xfId="449" xr:uid="{00000000-0005-0000-0000-0000141A0000}"/>
    <cellStyle name="Normal 5 3 4 10" xfId="9046" xr:uid="{3CAECAB2-E9B5-4F2D-B2A3-9676FF7309EC}"/>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A3F9A61B-E781-4D79-92F8-B1C4D3CCA77F}"/>
    <cellStyle name="Normal 5 3 4 2 2 2 2 3" xfId="11606" xr:uid="{11039A00-7091-46F9-9B54-A5E3BDFE2BD8}"/>
    <cellStyle name="Normal 5 3 4 2 2 2 3" xfId="5237" xr:uid="{00000000-0005-0000-0000-00001A1A0000}"/>
    <cellStyle name="Normal 5 3 4 2 2 2 3 2" xfId="13679" xr:uid="{E208246B-AEA5-470C-ADA5-51CB92D96A38}"/>
    <cellStyle name="Normal 5 3 4 2 2 2 4" xfId="9461" xr:uid="{49BF25F7-C3CB-4F0F-A5A6-190EC7FBBAF5}"/>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E52616C5-82BE-4542-94EA-5DB13F1C7A14}"/>
    <cellStyle name="Normal 5 3 4 2 2 3 2 3" xfId="12019" xr:uid="{4A365F27-B02E-46B1-AA29-309C22ACAF9C}"/>
    <cellStyle name="Normal 5 3 4 2 2 3 3" xfId="5650" xr:uid="{00000000-0005-0000-0000-00001E1A0000}"/>
    <cellStyle name="Normal 5 3 4 2 2 3 3 2" xfId="14092" xr:uid="{46A4C6CC-689D-4BA4-BC78-7C698C6B93D9}"/>
    <cellStyle name="Normal 5 3 4 2 2 3 4" xfId="9874" xr:uid="{C7D4E4D4-E3F0-434E-8851-75B1EFC3CE5D}"/>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506F7ABC-F1C1-4AF0-BEBC-991BA345BF5A}"/>
    <cellStyle name="Normal 5 3 4 2 2 4 2 3" xfId="12432" xr:uid="{CF56CD62-7499-4809-8B3A-0608319D60E8}"/>
    <cellStyle name="Normal 5 3 4 2 2 4 3" xfId="6063" xr:uid="{00000000-0005-0000-0000-0000221A0000}"/>
    <cellStyle name="Normal 5 3 4 2 2 4 3 2" xfId="14505" xr:uid="{1C61A21E-0456-477A-A974-C611E4B3E9D6}"/>
    <cellStyle name="Normal 5 3 4 2 2 4 4" xfId="10287" xr:uid="{A117842C-5744-4129-B9FF-514BBBCCC741}"/>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2EEDE036-08EF-4931-845E-0E817D0CAE1A}"/>
    <cellStyle name="Normal 5 3 4 2 2 5 2 3" xfId="12845" xr:uid="{78E5EDC6-009B-4762-AFF3-82E5E2C4525B}"/>
    <cellStyle name="Normal 5 3 4 2 2 5 3" xfId="6476" xr:uid="{00000000-0005-0000-0000-0000261A0000}"/>
    <cellStyle name="Normal 5 3 4 2 2 5 3 2" xfId="14918" xr:uid="{A07FBE45-9E1A-48AC-8D84-C79B2E77B725}"/>
    <cellStyle name="Normal 5 3 4 2 2 5 4" xfId="10700" xr:uid="{3917B787-DE4B-4429-B4E3-8297392EA7BE}"/>
    <cellStyle name="Normal 5 3 4 2 2 6" xfId="2605" xr:uid="{00000000-0005-0000-0000-0000271A0000}"/>
    <cellStyle name="Normal 5 3 4 2 2 6 2" xfId="6889" xr:uid="{00000000-0005-0000-0000-0000281A0000}"/>
    <cellStyle name="Normal 5 3 4 2 2 6 2 2" xfId="15331" xr:uid="{093B4860-61AD-4508-855D-76DDF8CE8481}"/>
    <cellStyle name="Normal 5 3 4 2 2 6 3" xfId="11113" xr:uid="{360E4A0D-8B5C-4B73-BFAE-0D929545F43C}"/>
    <cellStyle name="Normal 5 3 4 2 2 7" xfId="4824" xr:uid="{00000000-0005-0000-0000-0000291A0000}"/>
    <cellStyle name="Normal 5 3 4 2 2 7 2" xfId="13266" xr:uid="{2ED4BAD0-9AE4-41FC-A67D-0B7C559763F2}"/>
    <cellStyle name="Normal 5 3 4 2 2 8" xfId="9048" xr:uid="{505E0323-B5E3-4464-9861-CEA4CB8D23E3}"/>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97EF14F7-4087-445B-9F9C-BB975FE96B71}"/>
    <cellStyle name="Normal 5 3 4 2 3 2 3" xfId="11605" xr:uid="{D4B6A7DD-9C8E-4C39-AA5B-78EABD303541}"/>
    <cellStyle name="Normal 5 3 4 2 3 3" xfId="5236" xr:uid="{00000000-0005-0000-0000-00002D1A0000}"/>
    <cellStyle name="Normal 5 3 4 2 3 3 2" xfId="13678" xr:uid="{32944E46-9D5C-4016-A665-D6425841BC5D}"/>
    <cellStyle name="Normal 5 3 4 2 3 4" xfId="9460" xr:uid="{8599BFE5-1F63-4E93-9402-3311C24C6EF4}"/>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0FE0C07A-4EAC-4095-8A34-14C7770982C6}"/>
    <cellStyle name="Normal 5 3 4 2 4 2 3" xfId="12018" xr:uid="{D5029D6A-2975-44AF-A7CB-A7664997DBB7}"/>
    <cellStyle name="Normal 5 3 4 2 4 3" xfId="5649" xr:uid="{00000000-0005-0000-0000-0000311A0000}"/>
    <cellStyle name="Normal 5 3 4 2 4 3 2" xfId="14091" xr:uid="{1A488166-66E1-4E3B-9F08-7DC22908E3E2}"/>
    <cellStyle name="Normal 5 3 4 2 4 4" xfId="9873" xr:uid="{8B311825-CC95-4BD5-A082-C2E449809834}"/>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BD6D975B-C8B7-43CE-A9DB-A85BE98E4693}"/>
    <cellStyle name="Normal 5 3 4 2 5 2 3" xfId="12431" xr:uid="{1039AB58-325E-4436-91B6-D7CA6DCF47EE}"/>
    <cellStyle name="Normal 5 3 4 2 5 3" xfId="6062" xr:uid="{00000000-0005-0000-0000-0000351A0000}"/>
    <cellStyle name="Normal 5 3 4 2 5 3 2" xfId="14504" xr:uid="{8F250C96-B0FC-46CE-97E5-382F2428F11E}"/>
    <cellStyle name="Normal 5 3 4 2 5 4" xfId="10286" xr:uid="{E31F8782-64F5-47BD-A3D5-A036067C24D2}"/>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84AF8D09-CB31-469E-B790-3D706A404BE8}"/>
    <cellStyle name="Normal 5 3 4 2 6 2 3" xfId="12844" xr:uid="{6B9C5D8C-EAD8-4AF7-A65C-09666D5CBFA5}"/>
    <cellStyle name="Normal 5 3 4 2 6 3" xfId="6475" xr:uid="{00000000-0005-0000-0000-0000391A0000}"/>
    <cellStyle name="Normal 5 3 4 2 6 3 2" xfId="14917" xr:uid="{3C356D14-4B38-41D0-9C1C-492E1F4AF68E}"/>
    <cellStyle name="Normal 5 3 4 2 6 4" xfId="10699" xr:uid="{7FFE42BA-51C0-4F07-AA5E-9D242506391A}"/>
    <cellStyle name="Normal 5 3 4 2 7" xfId="2604" xr:uid="{00000000-0005-0000-0000-00003A1A0000}"/>
    <cellStyle name="Normal 5 3 4 2 7 2" xfId="6888" xr:uid="{00000000-0005-0000-0000-00003B1A0000}"/>
    <cellStyle name="Normal 5 3 4 2 7 2 2" xfId="15330" xr:uid="{8B17B262-1940-403C-B6D2-12F6DCAE18CD}"/>
    <cellStyle name="Normal 5 3 4 2 7 3" xfId="11112" xr:uid="{24838945-75DD-4DC6-B74F-D11B302C95B7}"/>
    <cellStyle name="Normal 5 3 4 2 8" xfId="4823" xr:uid="{00000000-0005-0000-0000-00003C1A0000}"/>
    <cellStyle name="Normal 5 3 4 2 8 2" xfId="13265" xr:uid="{3FF411C9-5E56-4F61-972D-6F4B2EFCB489}"/>
    <cellStyle name="Normal 5 3 4 2 9" xfId="9047" xr:uid="{C8A7F322-9878-4818-8AF1-754F0CFAA064}"/>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F7789CBA-EFF3-425E-82E4-9FB50F357A24}"/>
    <cellStyle name="Normal 5 3 4 3 2 2 3" xfId="11607" xr:uid="{C733144F-3E9E-453A-B303-4AD1AE3F4C7D}"/>
    <cellStyle name="Normal 5 3 4 3 2 3" xfId="5238" xr:uid="{00000000-0005-0000-0000-0000411A0000}"/>
    <cellStyle name="Normal 5 3 4 3 2 3 2" xfId="13680" xr:uid="{05511A8B-2D91-48D3-82E8-21A2F68DC8F6}"/>
    <cellStyle name="Normal 5 3 4 3 2 4" xfId="9462" xr:uid="{912BDFB4-9BF2-4C18-8A89-859724231FA8}"/>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293230C3-CFCC-4898-9355-E5D267597B3E}"/>
    <cellStyle name="Normal 5 3 4 3 3 2 3" xfId="12020" xr:uid="{D243F360-B730-42C1-BDAD-AC4DE5300B5F}"/>
    <cellStyle name="Normal 5 3 4 3 3 3" xfId="5651" xr:uid="{00000000-0005-0000-0000-0000451A0000}"/>
    <cellStyle name="Normal 5 3 4 3 3 3 2" xfId="14093" xr:uid="{F74B5684-5FA3-4043-B91D-B04AC0EA660A}"/>
    <cellStyle name="Normal 5 3 4 3 3 4" xfId="9875" xr:uid="{F20CFEA2-3C4A-4F0E-938B-FACFD79FA955}"/>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F97444DE-FA3D-4DA5-AD4C-D4B22D84AC97}"/>
    <cellStyle name="Normal 5 3 4 3 4 2 3" xfId="12433" xr:uid="{37F2FF0A-FB83-4075-80B3-16139E5E6E4F}"/>
    <cellStyle name="Normal 5 3 4 3 4 3" xfId="6064" xr:uid="{00000000-0005-0000-0000-0000491A0000}"/>
    <cellStyle name="Normal 5 3 4 3 4 3 2" xfId="14506" xr:uid="{74626404-B729-4DA4-A0B7-A9A3D2A2A186}"/>
    <cellStyle name="Normal 5 3 4 3 4 4" xfId="10288" xr:uid="{DD846E04-0E43-4A79-AB79-9A9C70972ECF}"/>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821FCCA0-4683-40AC-BF2A-F1ED7BC549A4}"/>
    <cellStyle name="Normal 5 3 4 3 5 2 3" xfId="12846" xr:uid="{35884B33-5F05-4030-AEE3-1CB93CEB8990}"/>
    <cellStyle name="Normal 5 3 4 3 5 3" xfId="6477" xr:uid="{00000000-0005-0000-0000-00004D1A0000}"/>
    <cellStyle name="Normal 5 3 4 3 5 3 2" xfId="14919" xr:uid="{5C3BD126-05B2-4914-90B7-491901AB2EF4}"/>
    <cellStyle name="Normal 5 3 4 3 5 4" xfId="10701" xr:uid="{E3450DE0-B96E-46FF-8A65-AFB392B19379}"/>
    <cellStyle name="Normal 5 3 4 3 6" xfId="2606" xr:uid="{00000000-0005-0000-0000-00004E1A0000}"/>
    <cellStyle name="Normal 5 3 4 3 6 2" xfId="6890" xr:uid="{00000000-0005-0000-0000-00004F1A0000}"/>
    <cellStyle name="Normal 5 3 4 3 6 2 2" xfId="15332" xr:uid="{E3F0644B-C522-4EF3-B974-A2422AC4BAA2}"/>
    <cellStyle name="Normal 5 3 4 3 6 3" xfId="11114" xr:uid="{262DF02C-EDE1-41D4-9DD5-56C5C03F29FB}"/>
    <cellStyle name="Normal 5 3 4 3 7" xfId="4825" xr:uid="{00000000-0005-0000-0000-0000501A0000}"/>
    <cellStyle name="Normal 5 3 4 3 7 2" xfId="13267" xr:uid="{92B0FD19-B716-426A-A386-D5670B5F69A5}"/>
    <cellStyle name="Normal 5 3 4 3 8" xfId="9049" xr:uid="{C1F26B12-2ADD-4AE5-AB3F-A7A88C061FA7}"/>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3F6604EF-1960-49DE-A543-B59E1DDFCC43}"/>
    <cellStyle name="Normal 5 3 4 4 2 3" xfId="11604" xr:uid="{8F58E922-32B1-4E45-9462-18D439475725}"/>
    <cellStyle name="Normal 5 3 4 4 3" xfId="5235" xr:uid="{00000000-0005-0000-0000-0000541A0000}"/>
    <cellStyle name="Normal 5 3 4 4 3 2" xfId="13677" xr:uid="{55C93251-F1F0-413C-8A46-7722DBBDF12F}"/>
    <cellStyle name="Normal 5 3 4 4 4" xfId="9459" xr:uid="{95C8FDCE-F6D0-4BDF-BACC-ADFBCD5652D1}"/>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A92EA662-F28C-4C7D-8927-A1FE14ACF567}"/>
    <cellStyle name="Normal 5 3 4 5 2 3" xfId="12017" xr:uid="{EA540E1C-1D66-4967-A408-E6935086504E}"/>
    <cellStyle name="Normal 5 3 4 5 3" xfId="5648" xr:uid="{00000000-0005-0000-0000-0000581A0000}"/>
    <cellStyle name="Normal 5 3 4 5 3 2" xfId="14090" xr:uid="{F033E618-58DB-44AE-9CE8-1F1220A33085}"/>
    <cellStyle name="Normal 5 3 4 5 4" xfId="9872" xr:uid="{9FEC7969-1102-4B39-893E-7E833C775EE0}"/>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9ABECECE-1804-4317-913E-1CDAF38398B3}"/>
    <cellStyle name="Normal 5 3 4 6 2 3" xfId="12430" xr:uid="{24D74786-E4D4-4987-84A6-2A99B62048F3}"/>
    <cellStyle name="Normal 5 3 4 6 3" xfId="6061" xr:uid="{00000000-0005-0000-0000-00005C1A0000}"/>
    <cellStyle name="Normal 5 3 4 6 3 2" xfId="14503" xr:uid="{710994A6-928A-44C5-A1E4-E6BE209B549E}"/>
    <cellStyle name="Normal 5 3 4 6 4" xfId="10285" xr:uid="{D249179E-6C58-44D8-9278-9DAD17782857}"/>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48B8EC1A-9661-4DE7-AA09-72C843CC6AF1}"/>
    <cellStyle name="Normal 5 3 4 7 2 3" xfId="12843" xr:uid="{064C7F85-F412-4A9C-ADE2-8A25487854A9}"/>
    <cellStyle name="Normal 5 3 4 7 3" xfId="6474" xr:uid="{00000000-0005-0000-0000-0000601A0000}"/>
    <cellStyle name="Normal 5 3 4 7 3 2" xfId="14916" xr:uid="{C7615261-641F-4D97-A44B-7D1D459DE8F0}"/>
    <cellStyle name="Normal 5 3 4 7 4" xfId="10698" xr:uid="{FD9CE74F-FFAC-4E1E-BE2E-308C338B0C33}"/>
    <cellStyle name="Normal 5 3 4 8" xfId="2603" xr:uid="{00000000-0005-0000-0000-0000611A0000}"/>
    <cellStyle name="Normal 5 3 4 8 2" xfId="6887" xr:uid="{00000000-0005-0000-0000-0000621A0000}"/>
    <cellStyle name="Normal 5 3 4 8 2 2" xfId="15329" xr:uid="{0C5EEC4A-7E3D-4739-806B-4A2342A6AAAD}"/>
    <cellStyle name="Normal 5 3 4 8 3" xfId="11111" xr:uid="{C1943676-6ED2-4CCA-9049-F00EDEC8B270}"/>
    <cellStyle name="Normal 5 3 4 9" xfId="4822" xr:uid="{00000000-0005-0000-0000-0000631A0000}"/>
    <cellStyle name="Normal 5 3 4 9 2" xfId="13264" xr:uid="{75A8FAA7-0986-4786-AB73-7161BF1EF186}"/>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854BF8FB-3E03-472D-827D-7AFF8DE2F560}"/>
    <cellStyle name="Normal 5 3 5 2 2 2 3" xfId="11609" xr:uid="{782DB84D-B37B-470C-84BF-305FFEE5349A}"/>
    <cellStyle name="Normal 5 3 5 2 2 3" xfId="5240" xr:uid="{00000000-0005-0000-0000-0000691A0000}"/>
    <cellStyle name="Normal 5 3 5 2 2 3 2" xfId="13682" xr:uid="{0FDB6BD8-1316-4B57-BB1D-9645BFECCAD3}"/>
    <cellStyle name="Normal 5 3 5 2 2 4" xfId="9464" xr:uid="{5C0B09A6-5D8A-42E6-883E-BFCE4BAFF058}"/>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E09C48BB-9A8B-4077-BAEE-6112549F21C5}"/>
    <cellStyle name="Normal 5 3 5 2 3 2 3" xfId="12022" xr:uid="{401555DD-02DB-413F-AB57-9797E944ED3B}"/>
    <cellStyle name="Normal 5 3 5 2 3 3" xfId="5653" xr:uid="{00000000-0005-0000-0000-00006D1A0000}"/>
    <cellStyle name="Normal 5 3 5 2 3 3 2" xfId="14095" xr:uid="{F735E6CE-1DC9-416B-BC35-E856F8D76FE8}"/>
    <cellStyle name="Normal 5 3 5 2 3 4" xfId="9877" xr:uid="{043C5498-757E-4F41-95AF-1FC63D1F0D18}"/>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05F4CBC6-EC8F-449E-A00A-7A1641894D86}"/>
    <cellStyle name="Normal 5 3 5 2 4 2 3" xfId="12435" xr:uid="{95F4570D-C422-4C14-B509-369D1B1C7970}"/>
    <cellStyle name="Normal 5 3 5 2 4 3" xfId="6066" xr:uid="{00000000-0005-0000-0000-0000711A0000}"/>
    <cellStyle name="Normal 5 3 5 2 4 3 2" xfId="14508" xr:uid="{2F5A6C21-1C9F-410A-855A-6F10DCF5EF92}"/>
    <cellStyle name="Normal 5 3 5 2 4 4" xfId="10290" xr:uid="{216E3F8A-2A76-4DAA-B4DE-0BAEC3CC6A73}"/>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7A556887-8D4D-4739-8260-7B9CACA63C27}"/>
    <cellStyle name="Normal 5 3 5 2 5 2 3" xfId="12848" xr:uid="{2ABCAB9F-FBFC-47A3-9195-61C76F52CC22}"/>
    <cellStyle name="Normal 5 3 5 2 5 3" xfId="6479" xr:uid="{00000000-0005-0000-0000-0000751A0000}"/>
    <cellStyle name="Normal 5 3 5 2 5 3 2" xfId="14921" xr:uid="{97529FFC-36DF-4496-8F4A-121C9C728BAA}"/>
    <cellStyle name="Normal 5 3 5 2 5 4" xfId="10703" xr:uid="{FC5C41EA-A833-4994-986E-89DF6B44C80A}"/>
    <cellStyle name="Normal 5 3 5 2 6" xfId="2608" xr:uid="{00000000-0005-0000-0000-0000761A0000}"/>
    <cellStyle name="Normal 5 3 5 2 6 2" xfId="6892" xr:uid="{00000000-0005-0000-0000-0000771A0000}"/>
    <cellStyle name="Normal 5 3 5 2 6 2 2" xfId="15334" xr:uid="{71E4BBAB-B626-4958-BFB7-7EBAF085E907}"/>
    <cellStyle name="Normal 5 3 5 2 6 3" xfId="11116" xr:uid="{354FBFFC-5C1D-4A43-BF3A-A0C7A0FCAEBE}"/>
    <cellStyle name="Normal 5 3 5 2 7" xfId="4827" xr:uid="{00000000-0005-0000-0000-0000781A0000}"/>
    <cellStyle name="Normal 5 3 5 2 7 2" xfId="13269" xr:uid="{124B72C3-B4AF-4F85-8FEA-074DBD5AC2B1}"/>
    <cellStyle name="Normal 5 3 5 2 8" xfId="9051" xr:uid="{59BFFC11-8E98-4BE7-9F9A-4914C8103483}"/>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CA314403-9E41-4724-B6F8-BCE0089D8078}"/>
    <cellStyle name="Normal 5 3 5 3 2 3" xfId="11608" xr:uid="{C3B3B377-96AC-4871-A9B4-0B9D4C8BAD7D}"/>
    <cellStyle name="Normal 5 3 5 3 3" xfId="5239" xr:uid="{00000000-0005-0000-0000-00007C1A0000}"/>
    <cellStyle name="Normal 5 3 5 3 3 2" xfId="13681" xr:uid="{6525FA9E-F2C1-4937-97C3-94C0420BA44B}"/>
    <cellStyle name="Normal 5 3 5 3 4" xfId="9463" xr:uid="{590FC980-391B-4900-80F0-6659326E436D}"/>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2317AECF-2571-44BF-BBDE-69AB212B6704}"/>
    <cellStyle name="Normal 5 3 5 4 2 3" xfId="12021" xr:uid="{901CF090-ED04-4A34-8511-78E5BA9810BA}"/>
    <cellStyle name="Normal 5 3 5 4 3" xfId="5652" xr:uid="{00000000-0005-0000-0000-0000801A0000}"/>
    <cellStyle name="Normal 5 3 5 4 3 2" xfId="14094" xr:uid="{68B7182A-7CA2-4631-AEE1-CC014F41D7B3}"/>
    <cellStyle name="Normal 5 3 5 4 4" xfId="9876" xr:uid="{511177D6-E620-437D-AF8B-33C2E83793D1}"/>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1F0D2BEA-205D-44AF-AF1F-B7FEA236FFFE}"/>
    <cellStyle name="Normal 5 3 5 5 2 3" xfId="12434" xr:uid="{407B56EF-FD6B-4544-A3D8-8F5AC3AFD253}"/>
    <cellStyle name="Normal 5 3 5 5 3" xfId="6065" xr:uid="{00000000-0005-0000-0000-0000841A0000}"/>
    <cellStyle name="Normal 5 3 5 5 3 2" xfId="14507" xr:uid="{A486011F-9CCA-4857-A110-191FBFBBFCC9}"/>
    <cellStyle name="Normal 5 3 5 5 4" xfId="10289" xr:uid="{B53300BA-3DAB-4DBA-94D2-1EC1744AB65F}"/>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9AA96FB2-10C1-4105-B359-FE840670AE49}"/>
    <cellStyle name="Normal 5 3 5 6 2 3" xfId="12847" xr:uid="{63366766-C9CC-445A-A954-A8E6F729DFEE}"/>
    <cellStyle name="Normal 5 3 5 6 3" xfId="6478" xr:uid="{00000000-0005-0000-0000-0000881A0000}"/>
    <cellStyle name="Normal 5 3 5 6 3 2" xfId="14920" xr:uid="{B4A99DB9-C413-436A-B459-5A4DA9558638}"/>
    <cellStyle name="Normal 5 3 5 6 4" xfId="10702" xr:uid="{3A8CE367-479B-48A8-8A17-06B84794AF28}"/>
    <cellStyle name="Normal 5 3 5 7" xfId="2607" xr:uid="{00000000-0005-0000-0000-0000891A0000}"/>
    <cellStyle name="Normal 5 3 5 7 2" xfId="6891" xr:uid="{00000000-0005-0000-0000-00008A1A0000}"/>
    <cellStyle name="Normal 5 3 5 7 2 2" xfId="15333" xr:uid="{79A97729-0A05-4D44-8A7D-3A68BD6660DA}"/>
    <cellStyle name="Normal 5 3 5 7 3" xfId="11115" xr:uid="{931FBBC5-F7A3-4FD7-8640-8862ADE37CFB}"/>
    <cellStyle name="Normal 5 3 5 8" xfId="4826" xr:uid="{00000000-0005-0000-0000-00008B1A0000}"/>
    <cellStyle name="Normal 5 3 5 8 2" xfId="13268" xr:uid="{E3E614B6-B6FB-406C-A929-7DFBCF4E2E64}"/>
    <cellStyle name="Normal 5 3 5 9" xfId="9050" xr:uid="{C3A7DD12-2CD1-4D04-A71A-9FD2DCB05565}"/>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51376EF4-47B5-4126-8A26-2A34FF74CA6E}"/>
    <cellStyle name="Normal 5 3 6 2 2 3" xfId="11610" xr:uid="{4CDAC52A-AD23-4399-A1C9-5DCEBEEF74F7}"/>
    <cellStyle name="Normal 5 3 6 2 3" xfId="5241" xr:uid="{00000000-0005-0000-0000-0000901A0000}"/>
    <cellStyle name="Normal 5 3 6 2 3 2" xfId="13683" xr:uid="{5B59E34E-C812-4E76-922D-B0075C00C710}"/>
    <cellStyle name="Normal 5 3 6 2 4" xfId="9465" xr:uid="{53648033-018E-4412-A991-2F83C4FA87F7}"/>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31744B86-E95C-4605-8165-8E08C542DBD3}"/>
    <cellStyle name="Normal 5 3 6 3 2 3" xfId="12023" xr:uid="{9E778E47-5A15-4A1D-B18C-AEC8D6D080C2}"/>
    <cellStyle name="Normal 5 3 6 3 3" xfId="5654" xr:uid="{00000000-0005-0000-0000-0000941A0000}"/>
    <cellStyle name="Normal 5 3 6 3 3 2" xfId="14096" xr:uid="{513465F0-434C-4643-94CA-2E4E704689ED}"/>
    <cellStyle name="Normal 5 3 6 3 4" xfId="9878" xr:uid="{5BCF9D07-7F65-4314-927D-1FE96A38D9E1}"/>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1EB8B336-117B-48EE-86F2-22ABDAC57D71}"/>
    <cellStyle name="Normal 5 3 6 4 2 3" xfId="12436" xr:uid="{078C2C4E-A3A9-42BD-BFA6-2EBB0F6861B2}"/>
    <cellStyle name="Normal 5 3 6 4 3" xfId="6067" xr:uid="{00000000-0005-0000-0000-0000981A0000}"/>
    <cellStyle name="Normal 5 3 6 4 3 2" xfId="14509" xr:uid="{03A53463-FCB0-4426-A324-C58EF8D92CC0}"/>
    <cellStyle name="Normal 5 3 6 4 4" xfId="10291" xr:uid="{7B78126B-9583-442B-83FB-2AF6641D09D2}"/>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F013890A-ACDE-4F28-9A2F-AC57BE151623}"/>
    <cellStyle name="Normal 5 3 6 5 2 3" xfId="12849" xr:uid="{0BC48033-5E0F-4160-837C-1D9DACE8FCCB}"/>
    <cellStyle name="Normal 5 3 6 5 3" xfId="6480" xr:uid="{00000000-0005-0000-0000-00009C1A0000}"/>
    <cellStyle name="Normal 5 3 6 5 3 2" xfId="14922" xr:uid="{0826D81C-71B3-40D7-8343-D859E75EB932}"/>
    <cellStyle name="Normal 5 3 6 5 4" xfId="10704" xr:uid="{F5E037D6-A5EC-4A8B-9AD7-F024A5653FCD}"/>
    <cellStyle name="Normal 5 3 6 6" xfId="2609" xr:uid="{00000000-0005-0000-0000-00009D1A0000}"/>
    <cellStyle name="Normal 5 3 6 6 2" xfId="6893" xr:uid="{00000000-0005-0000-0000-00009E1A0000}"/>
    <cellStyle name="Normal 5 3 6 6 2 2" xfId="15335" xr:uid="{5270C470-E988-459E-8ABF-722B4ED45D07}"/>
    <cellStyle name="Normal 5 3 6 6 3" xfId="11117" xr:uid="{1005C955-22AB-4102-AE2F-4F1F75D7BA8E}"/>
    <cellStyle name="Normal 5 3 6 7" xfId="4828" xr:uid="{00000000-0005-0000-0000-00009F1A0000}"/>
    <cellStyle name="Normal 5 3 6 7 2" xfId="13270" xr:uid="{6CE5B867-D8BB-437A-8934-36C060A62C30}"/>
    <cellStyle name="Normal 5 3 6 8" xfId="9052" xr:uid="{A50B521E-0521-4624-A70A-82D94852CD54}"/>
    <cellStyle name="Normal 5 3 7" xfId="913" xr:uid="{00000000-0005-0000-0000-0000A01A0000}"/>
    <cellStyle name="Normal 5 3 7 2" xfId="3148" xr:uid="{00000000-0005-0000-0000-0000A11A0000}"/>
    <cellStyle name="Normal 5 3 7 2 2" xfId="7371" xr:uid="{00000000-0005-0000-0000-0000A21A0000}"/>
    <cellStyle name="Normal 5 3 7 2 2 2" xfId="15813" xr:uid="{86984047-0835-489D-8A66-FFD60B39203D}"/>
    <cellStyle name="Normal 5 3 7 2 3" xfId="11595" xr:uid="{CEA39787-9DC7-446F-B9C5-D13FC49DB239}"/>
    <cellStyle name="Normal 5 3 7 3" xfId="5226" xr:uid="{00000000-0005-0000-0000-0000A31A0000}"/>
    <cellStyle name="Normal 5 3 7 3 2" xfId="13668" xr:uid="{641E88AB-FFE2-4016-AFF4-D15E56759C52}"/>
    <cellStyle name="Normal 5 3 7 4" xfId="9450" xr:uid="{C1D2A664-1F57-4DF6-89F8-B0DF6D08B9A7}"/>
    <cellStyle name="Normal 5 3 8" xfId="1331" xr:uid="{00000000-0005-0000-0000-0000A41A0000}"/>
    <cellStyle name="Normal 5 3 8 2" xfId="3561" xr:uid="{00000000-0005-0000-0000-0000A51A0000}"/>
    <cellStyle name="Normal 5 3 8 2 2" xfId="7784" xr:uid="{00000000-0005-0000-0000-0000A61A0000}"/>
    <cellStyle name="Normal 5 3 8 2 2 2" xfId="16226" xr:uid="{15FE4F6B-6B52-4666-80AB-7979C6B230FC}"/>
    <cellStyle name="Normal 5 3 8 2 3" xfId="12008" xr:uid="{9B9B9ABA-F4E2-4728-9137-9C8E20DAB172}"/>
    <cellStyle name="Normal 5 3 8 3" xfId="5639" xr:uid="{00000000-0005-0000-0000-0000A71A0000}"/>
    <cellStyle name="Normal 5 3 8 3 2" xfId="14081" xr:uid="{8C6D1BEF-AF17-4558-8AFA-03DB0AC678D9}"/>
    <cellStyle name="Normal 5 3 8 4" xfId="9863" xr:uid="{EB904FCD-AE6D-48ED-B672-9067FEC06E8E}"/>
    <cellStyle name="Normal 5 3 9" xfId="1744" xr:uid="{00000000-0005-0000-0000-0000A81A0000}"/>
    <cellStyle name="Normal 5 3 9 2" xfId="3974" xr:uid="{00000000-0005-0000-0000-0000A91A0000}"/>
    <cellStyle name="Normal 5 3 9 2 2" xfId="8197" xr:uid="{00000000-0005-0000-0000-0000AA1A0000}"/>
    <cellStyle name="Normal 5 3 9 2 2 2" xfId="16639" xr:uid="{15696171-B73A-4E2B-822D-7671E994534E}"/>
    <cellStyle name="Normal 5 3 9 2 3" xfId="12421" xr:uid="{FA3B6047-1F01-4F19-8890-C2B19B0728A6}"/>
    <cellStyle name="Normal 5 3 9 3" xfId="6052" xr:uid="{00000000-0005-0000-0000-0000AB1A0000}"/>
    <cellStyle name="Normal 5 3 9 3 2" xfId="14494" xr:uid="{313A7477-8FB3-4B94-B9E8-9D75420683AA}"/>
    <cellStyle name="Normal 5 3 9 4" xfId="10276" xr:uid="{E7C0D1E8-3712-4BC5-B5C7-E1447DCB92E2}"/>
    <cellStyle name="Normal 5 4" xfId="456" xr:uid="{00000000-0005-0000-0000-0000AC1A0000}"/>
    <cellStyle name="Normal 5 4 10" xfId="4829" xr:uid="{00000000-0005-0000-0000-0000AD1A0000}"/>
    <cellStyle name="Normal 5 4 10 2" xfId="13271" xr:uid="{8BE08BE3-C85A-44D7-93DE-8F40F2D764F3}"/>
    <cellStyle name="Normal 5 4 11" xfId="9053" xr:uid="{2BCF3809-F525-4453-BE12-B24B4CC5CA19}"/>
    <cellStyle name="Normal 5 4 2" xfId="457" xr:uid="{00000000-0005-0000-0000-0000AE1A0000}"/>
    <cellStyle name="Normal 5 4 2 10" xfId="9054" xr:uid="{828732E2-24EC-45D6-A4B8-57EEBD70CF2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C5C65E3F-F62B-4D25-9B80-A837F429EFB0}"/>
    <cellStyle name="Normal 5 4 2 2 2 2 2 3" xfId="11614" xr:uid="{5B370002-0250-4708-9484-83B6E7ECA041}"/>
    <cellStyle name="Normal 5 4 2 2 2 2 3" xfId="5245" xr:uid="{00000000-0005-0000-0000-0000B41A0000}"/>
    <cellStyle name="Normal 5 4 2 2 2 2 3 2" xfId="13687" xr:uid="{3E234C6B-FD1C-4B95-9977-79CD3C2D09F3}"/>
    <cellStyle name="Normal 5 4 2 2 2 2 4" xfId="9469" xr:uid="{977333D6-B8FE-4985-8F1F-30300CC82367}"/>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88967994-CBF2-4E2F-88FC-90DD598DF968}"/>
    <cellStyle name="Normal 5 4 2 2 2 3 2 3" xfId="12027" xr:uid="{4470C014-2648-402B-98B5-DC4EE7427098}"/>
    <cellStyle name="Normal 5 4 2 2 2 3 3" xfId="5658" xr:uid="{00000000-0005-0000-0000-0000B81A0000}"/>
    <cellStyle name="Normal 5 4 2 2 2 3 3 2" xfId="14100" xr:uid="{7E9A3E99-491A-4C43-ADCC-F9E8EE0110FB}"/>
    <cellStyle name="Normal 5 4 2 2 2 3 4" xfId="9882" xr:uid="{DBE35697-18A3-4D41-B2AC-AD7574CFF722}"/>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FE811D50-64DE-464D-8F3A-4F5732580B1C}"/>
    <cellStyle name="Normal 5 4 2 2 2 4 2 3" xfId="12440" xr:uid="{5C5183CE-C643-41D8-93DA-3C50E168FCFE}"/>
    <cellStyle name="Normal 5 4 2 2 2 4 3" xfId="6071" xr:uid="{00000000-0005-0000-0000-0000BC1A0000}"/>
    <cellStyle name="Normal 5 4 2 2 2 4 3 2" xfId="14513" xr:uid="{17A67974-46C1-440F-9A9E-4702AF8D52B6}"/>
    <cellStyle name="Normal 5 4 2 2 2 4 4" xfId="10295" xr:uid="{CC8B9613-81B8-41D9-B2D9-7C3E24D949CC}"/>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07DA6DE4-CB7B-43AC-AF9A-B10F2B52CF83}"/>
    <cellStyle name="Normal 5 4 2 2 2 5 2 3" xfId="12853" xr:uid="{203068EA-6AAF-4127-9EC4-3D7E7F0BE2F0}"/>
    <cellStyle name="Normal 5 4 2 2 2 5 3" xfId="6484" xr:uid="{00000000-0005-0000-0000-0000C01A0000}"/>
    <cellStyle name="Normal 5 4 2 2 2 5 3 2" xfId="14926" xr:uid="{CDF2019A-D2C3-4C14-AF69-5CCBF06880BD}"/>
    <cellStyle name="Normal 5 4 2 2 2 5 4" xfId="10708" xr:uid="{47564533-B123-4DC9-AB15-E2AA74AF5FE4}"/>
    <cellStyle name="Normal 5 4 2 2 2 6" xfId="2613" xr:uid="{00000000-0005-0000-0000-0000C11A0000}"/>
    <cellStyle name="Normal 5 4 2 2 2 6 2" xfId="6897" xr:uid="{00000000-0005-0000-0000-0000C21A0000}"/>
    <cellStyle name="Normal 5 4 2 2 2 6 2 2" xfId="15339" xr:uid="{0C008BD0-6682-4D9D-B4D3-B7708C6A2B51}"/>
    <cellStyle name="Normal 5 4 2 2 2 6 3" xfId="11121" xr:uid="{BCAFAF6A-CB1D-4918-9428-AC763104C12D}"/>
    <cellStyle name="Normal 5 4 2 2 2 7" xfId="4832" xr:uid="{00000000-0005-0000-0000-0000C31A0000}"/>
    <cellStyle name="Normal 5 4 2 2 2 7 2" xfId="13274" xr:uid="{C81E212F-9982-4BDD-BF26-F60B1ED6D416}"/>
    <cellStyle name="Normal 5 4 2 2 2 8" xfId="9056" xr:uid="{BE8E23EC-4CD0-4B13-9ED1-7D67CC7F8124}"/>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AE83F350-5D43-405B-9CCC-841E82188550}"/>
    <cellStyle name="Normal 5 4 2 2 3 2 3" xfId="11613" xr:uid="{CF52AE6A-5488-44B4-8E51-FE7180C586B6}"/>
    <cellStyle name="Normal 5 4 2 2 3 3" xfId="5244" xr:uid="{00000000-0005-0000-0000-0000C71A0000}"/>
    <cellStyle name="Normal 5 4 2 2 3 3 2" xfId="13686" xr:uid="{B8FE3B34-6EE4-46FC-8E39-2A5F38ABCA58}"/>
    <cellStyle name="Normal 5 4 2 2 3 4" xfId="9468" xr:uid="{E23A4EE0-8A3E-47BE-B67C-452953821067}"/>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C8456C1D-88D5-4472-8C41-4FEF874931EB}"/>
    <cellStyle name="Normal 5 4 2 2 4 2 3" xfId="12026" xr:uid="{885B2CA3-148A-401E-ACEB-4C823B3EB7A1}"/>
    <cellStyle name="Normal 5 4 2 2 4 3" xfId="5657" xr:uid="{00000000-0005-0000-0000-0000CB1A0000}"/>
    <cellStyle name="Normal 5 4 2 2 4 3 2" xfId="14099" xr:uid="{AB0F1252-5576-4542-A465-B2DCE4931612}"/>
    <cellStyle name="Normal 5 4 2 2 4 4" xfId="9881" xr:uid="{737C36DC-0A5B-4A33-90B4-391E7DC15ABF}"/>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636E53EF-6712-4145-BAF1-70C037A7AE12}"/>
    <cellStyle name="Normal 5 4 2 2 5 2 3" xfId="12439" xr:uid="{F8A9D98E-99A7-4BB6-A9D0-98F79F0FFAF8}"/>
    <cellStyle name="Normal 5 4 2 2 5 3" xfId="6070" xr:uid="{00000000-0005-0000-0000-0000CF1A0000}"/>
    <cellStyle name="Normal 5 4 2 2 5 3 2" xfId="14512" xr:uid="{479659FD-7D20-4329-8110-9679206A8F57}"/>
    <cellStyle name="Normal 5 4 2 2 5 4" xfId="10294" xr:uid="{B0A07884-CB03-47A3-80FD-24C4E998A8AA}"/>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4EA271F6-C8F8-42D7-B77B-2C43D6CE66F0}"/>
    <cellStyle name="Normal 5 4 2 2 6 2 3" xfId="12852" xr:uid="{DDEA2272-030C-4AF2-A436-F0F7C85F7309}"/>
    <cellStyle name="Normal 5 4 2 2 6 3" xfId="6483" xr:uid="{00000000-0005-0000-0000-0000D31A0000}"/>
    <cellStyle name="Normal 5 4 2 2 6 3 2" xfId="14925" xr:uid="{5754D0A0-381D-4E78-BC62-F5187CDC6057}"/>
    <cellStyle name="Normal 5 4 2 2 6 4" xfId="10707" xr:uid="{D7EAB891-0DAF-48BC-ABBE-5B91F6CCD4ED}"/>
    <cellStyle name="Normal 5 4 2 2 7" xfId="2612" xr:uid="{00000000-0005-0000-0000-0000D41A0000}"/>
    <cellStyle name="Normal 5 4 2 2 7 2" xfId="6896" xr:uid="{00000000-0005-0000-0000-0000D51A0000}"/>
    <cellStyle name="Normal 5 4 2 2 7 2 2" xfId="15338" xr:uid="{D1326683-CABD-4B71-AD81-8ED23EDE3A8B}"/>
    <cellStyle name="Normal 5 4 2 2 7 3" xfId="11120" xr:uid="{15A1316E-0866-4780-B684-EEB802BDC3B9}"/>
    <cellStyle name="Normal 5 4 2 2 8" xfId="4831" xr:uid="{00000000-0005-0000-0000-0000D61A0000}"/>
    <cellStyle name="Normal 5 4 2 2 8 2" xfId="13273" xr:uid="{63DE27F8-A951-4421-A4CE-2D51B407E9E0}"/>
    <cellStyle name="Normal 5 4 2 2 9" xfId="9055" xr:uid="{30AB51CD-C4F1-4A6A-AED0-94626645F461}"/>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1FE41DD1-ECAA-4C35-8F85-9308833B3FE7}"/>
    <cellStyle name="Normal 5 4 2 3 2 2 3" xfId="11615" xr:uid="{6D046064-6E39-4F47-AD13-A7AC6E51907C}"/>
    <cellStyle name="Normal 5 4 2 3 2 3" xfId="5246" xr:uid="{00000000-0005-0000-0000-0000DB1A0000}"/>
    <cellStyle name="Normal 5 4 2 3 2 3 2" xfId="13688" xr:uid="{507EFC63-1B8D-4B43-B629-525C0063BCA5}"/>
    <cellStyle name="Normal 5 4 2 3 2 4" xfId="9470" xr:uid="{742A92FE-B5DB-445F-88BF-8A44CC491B03}"/>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26B652D3-99EF-4F46-AA75-A1DDC5454964}"/>
    <cellStyle name="Normal 5 4 2 3 3 2 3" xfId="12028" xr:uid="{160AB958-2E56-40AA-9F10-CB470B4C54EE}"/>
    <cellStyle name="Normal 5 4 2 3 3 3" xfId="5659" xr:uid="{00000000-0005-0000-0000-0000DF1A0000}"/>
    <cellStyle name="Normal 5 4 2 3 3 3 2" xfId="14101" xr:uid="{E11C335F-D847-49BD-B65B-AAC2C2235A61}"/>
    <cellStyle name="Normal 5 4 2 3 3 4" xfId="9883" xr:uid="{892BF99B-3CB3-472C-8FB4-04F3EADB95A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89C47D0C-7EC3-428B-85AF-0E6B414F61C7}"/>
    <cellStyle name="Normal 5 4 2 3 4 2 3" xfId="12441" xr:uid="{860D6282-5D35-4A5A-AF23-F1104371A3EB}"/>
    <cellStyle name="Normal 5 4 2 3 4 3" xfId="6072" xr:uid="{00000000-0005-0000-0000-0000E31A0000}"/>
    <cellStyle name="Normal 5 4 2 3 4 3 2" xfId="14514" xr:uid="{4895B9C8-09E5-4318-B664-3A21969D9535}"/>
    <cellStyle name="Normal 5 4 2 3 4 4" xfId="10296" xr:uid="{407AF92D-80BB-4DD6-984B-19B09B62ED4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B0F26E78-FB72-42BF-B9F3-FE7B5625BC9E}"/>
    <cellStyle name="Normal 5 4 2 3 5 2 3" xfId="12854" xr:uid="{8143C0CB-AEB7-41D9-A94A-EE176CF34C72}"/>
    <cellStyle name="Normal 5 4 2 3 5 3" xfId="6485" xr:uid="{00000000-0005-0000-0000-0000E71A0000}"/>
    <cellStyle name="Normal 5 4 2 3 5 3 2" xfId="14927" xr:uid="{73F7221A-4E76-4DED-94CB-257E03CD990D}"/>
    <cellStyle name="Normal 5 4 2 3 5 4" xfId="10709" xr:uid="{15E036D4-D7AD-4F0F-B6B3-A0ED3E9720BB}"/>
    <cellStyle name="Normal 5 4 2 3 6" xfId="2614" xr:uid="{00000000-0005-0000-0000-0000E81A0000}"/>
    <cellStyle name="Normal 5 4 2 3 6 2" xfId="6898" xr:uid="{00000000-0005-0000-0000-0000E91A0000}"/>
    <cellStyle name="Normal 5 4 2 3 6 2 2" xfId="15340" xr:uid="{821BB32A-4038-4A12-BC4A-7949DCC3913D}"/>
    <cellStyle name="Normal 5 4 2 3 6 3" xfId="11122" xr:uid="{C7C2E9F9-D446-4B14-8319-E90EAB17B142}"/>
    <cellStyle name="Normal 5 4 2 3 7" xfId="4833" xr:uid="{00000000-0005-0000-0000-0000EA1A0000}"/>
    <cellStyle name="Normal 5 4 2 3 7 2" xfId="13275" xr:uid="{25FDDCC4-7204-4D66-B40B-686D3D0D7BE4}"/>
    <cellStyle name="Normal 5 4 2 3 8" xfId="9057" xr:uid="{9906112F-4ECE-4C8B-A3C0-6BA6E016B24A}"/>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3FCEF7EF-9599-4712-9C29-88394B7DE802}"/>
    <cellStyle name="Normal 5 4 2 4 2 3" xfId="11612" xr:uid="{B12064C5-8A1A-4EAA-BFA4-5C4E84280848}"/>
    <cellStyle name="Normal 5 4 2 4 3" xfId="5243" xr:uid="{00000000-0005-0000-0000-0000EE1A0000}"/>
    <cellStyle name="Normal 5 4 2 4 3 2" xfId="13685" xr:uid="{5173EB86-9D0C-432E-BE05-F3ABC9BBDFA9}"/>
    <cellStyle name="Normal 5 4 2 4 4" xfId="9467" xr:uid="{EDABC33C-0541-4479-B6B7-7BAA1CEF8F81}"/>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984695BD-593F-4F85-AE18-A05D1CA56696}"/>
    <cellStyle name="Normal 5 4 2 5 2 3" xfId="12025" xr:uid="{74574887-9FE6-4BEB-A49E-FCCAC6CE6ED9}"/>
    <cellStyle name="Normal 5 4 2 5 3" xfId="5656" xr:uid="{00000000-0005-0000-0000-0000F21A0000}"/>
    <cellStyle name="Normal 5 4 2 5 3 2" xfId="14098" xr:uid="{5B9A2AD4-C659-43CE-BCC5-519CC9683F0E}"/>
    <cellStyle name="Normal 5 4 2 5 4" xfId="9880" xr:uid="{A5DADD47-EA1E-4767-B6B4-0FFB835BA242}"/>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C2F636A8-CA55-479A-91A1-9FFBDDC26AED}"/>
    <cellStyle name="Normal 5 4 2 6 2 3" xfId="12438" xr:uid="{303FCBD6-8DF1-4124-8F29-BB54A7D4414E}"/>
    <cellStyle name="Normal 5 4 2 6 3" xfId="6069" xr:uid="{00000000-0005-0000-0000-0000F61A0000}"/>
    <cellStyle name="Normal 5 4 2 6 3 2" xfId="14511" xr:uid="{C32AFC37-212A-4CB6-AD16-69C7B836F48C}"/>
    <cellStyle name="Normal 5 4 2 6 4" xfId="10293" xr:uid="{72C61513-E572-4CE7-A79C-28644CB18D6E}"/>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8AC0ED41-8FE9-4038-917E-3D90AF0766D7}"/>
    <cellStyle name="Normal 5 4 2 7 2 3" xfId="12851" xr:uid="{A5CD37E5-2B85-42C9-8FA0-0659FA1E5E03}"/>
    <cellStyle name="Normal 5 4 2 7 3" xfId="6482" xr:uid="{00000000-0005-0000-0000-0000FA1A0000}"/>
    <cellStyle name="Normal 5 4 2 7 3 2" xfId="14924" xr:uid="{BD290DA7-2199-40F7-89A7-8A31CE67681C}"/>
    <cellStyle name="Normal 5 4 2 7 4" xfId="10706" xr:uid="{1D790894-2394-4C36-85DB-DD97246578AC}"/>
    <cellStyle name="Normal 5 4 2 8" xfId="2611" xr:uid="{00000000-0005-0000-0000-0000FB1A0000}"/>
    <cellStyle name="Normal 5 4 2 8 2" xfId="6895" xr:uid="{00000000-0005-0000-0000-0000FC1A0000}"/>
    <cellStyle name="Normal 5 4 2 8 2 2" xfId="15337" xr:uid="{EAD61EE6-F46B-4F87-B783-EA380A145F7D}"/>
    <cellStyle name="Normal 5 4 2 8 3" xfId="11119" xr:uid="{E0A9FBB8-F078-4CBF-9CDC-D00D94E46535}"/>
    <cellStyle name="Normal 5 4 2 9" xfId="4830" xr:uid="{00000000-0005-0000-0000-0000FD1A0000}"/>
    <cellStyle name="Normal 5 4 2 9 2" xfId="13272" xr:uid="{B0035FF4-0780-4699-BE51-80E0227D7464}"/>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DCA5DEFD-BB36-4A16-A9EC-AFF9B4FC0589}"/>
    <cellStyle name="Normal 5 4 3 2 2 2 3" xfId="11617" xr:uid="{17547C2C-F89A-496E-953D-BF8884336BD3}"/>
    <cellStyle name="Normal 5 4 3 2 2 3" xfId="5248" xr:uid="{00000000-0005-0000-0000-0000031B0000}"/>
    <cellStyle name="Normal 5 4 3 2 2 3 2" xfId="13690" xr:uid="{787CD7D3-9A8C-4FB4-BB34-1BF1D858D45E}"/>
    <cellStyle name="Normal 5 4 3 2 2 4" xfId="9472" xr:uid="{F9F7D6F0-1A1E-419D-8F9E-F9E569680EE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C9894F25-5144-4503-A5F7-BF6B0FAB5B7E}"/>
    <cellStyle name="Normal 5 4 3 2 3 2 3" xfId="12030" xr:uid="{DBF0F83F-C81B-444E-BD07-E3CA4622045F}"/>
    <cellStyle name="Normal 5 4 3 2 3 3" xfId="5661" xr:uid="{00000000-0005-0000-0000-0000071B0000}"/>
    <cellStyle name="Normal 5 4 3 2 3 3 2" xfId="14103" xr:uid="{036FCA4C-E5FF-48F4-A9D0-CE388AD633DA}"/>
    <cellStyle name="Normal 5 4 3 2 3 4" xfId="9885" xr:uid="{7DB46451-8C5C-47D9-9378-D7716AC6337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067C0837-4F77-4A0D-8197-2DB24305D5F6}"/>
    <cellStyle name="Normal 5 4 3 2 4 2 3" xfId="12443" xr:uid="{9E07A000-9C85-4BCE-BDE9-4B48827C9200}"/>
    <cellStyle name="Normal 5 4 3 2 4 3" xfId="6074" xr:uid="{00000000-0005-0000-0000-00000B1B0000}"/>
    <cellStyle name="Normal 5 4 3 2 4 3 2" xfId="14516" xr:uid="{584777D3-7B6C-4A78-82E8-56A6799BA06E}"/>
    <cellStyle name="Normal 5 4 3 2 4 4" xfId="10298" xr:uid="{21D6CC04-8BC9-4DCB-B7B4-E9328481295B}"/>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CCC1C6E6-F15D-4DBF-97FE-832EBC8B1FC7}"/>
    <cellStyle name="Normal 5 4 3 2 5 2 3" xfId="12856" xr:uid="{0091AFC2-6A74-4187-8391-F2AAE14F17D7}"/>
    <cellStyle name="Normal 5 4 3 2 5 3" xfId="6487" xr:uid="{00000000-0005-0000-0000-00000F1B0000}"/>
    <cellStyle name="Normal 5 4 3 2 5 3 2" xfId="14929" xr:uid="{F3059D54-0FC0-4F3B-937B-FD5512995D2E}"/>
    <cellStyle name="Normal 5 4 3 2 5 4" xfId="10711" xr:uid="{78D396E2-52A0-478E-9504-557D4DA53BE5}"/>
    <cellStyle name="Normal 5 4 3 2 6" xfId="2616" xr:uid="{00000000-0005-0000-0000-0000101B0000}"/>
    <cellStyle name="Normal 5 4 3 2 6 2" xfId="6900" xr:uid="{00000000-0005-0000-0000-0000111B0000}"/>
    <cellStyle name="Normal 5 4 3 2 6 2 2" xfId="15342" xr:uid="{C1BB4EBD-8AEC-4B23-8672-5D91D2E587F4}"/>
    <cellStyle name="Normal 5 4 3 2 6 3" xfId="11124" xr:uid="{46700C68-1823-4F30-B3DF-3BEBF71BA5E0}"/>
    <cellStyle name="Normal 5 4 3 2 7" xfId="4835" xr:uid="{00000000-0005-0000-0000-0000121B0000}"/>
    <cellStyle name="Normal 5 4 3 2 7 2" xfId="13277" xr:uid="{05E66217-05D5-4366-82BE-370DA6416164}"/>
    <cellStyle name="Normal 5 4 3 2 8" xfId="9059" xr:uid="{1542E984-F605-457A-8D46-6BD8A2B65381}"/>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67562C74-5D3D-4EF2-AFD3-BCBBA86927D5}"/>
    <cellStyle name="Normal 5 4 3 3 2 3" xfId="11616" xr:uid="{48CE621F-9F82-42E9-8AFF-C2CD7A2BFD44}"/>
    <cellStyle name="Normal 5 4 3 3 3" xfId="5247" xr:uid="{00000000-0005-0000-0000-0000161B0000}"/>
    <cellStyle name="Normal 5 4 3 3 3 2" xfId="13689" xr:uid="{5FD21994-7AF7-4208-B4D6-D6526D1568E0}"/>
    <cellStyle name="Normal 5 4 3 3 4" xfId="9471" xr:uid="{81E4BD44-5A6F-4D53-A7DF-F1CBFC3F6C2A}"/>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8187E22B-0650-4111-AB63-CB2C3B465C7C}"/>
    <cellStyle name="Normal 5 4 3 4 2 3" xfId="12029" xr:uid="{46C64575-B38E-471E-861A-0038130EBD8B}"/>
    <cellStyle name="Normal 5 4 3 4 3" xfId="5660" xr:uid="{00000000-0005-0000-0000-00001A1B0000}"/>
    <cellStyle name="Normal 5 4 3 4 3 2" xfId="14102" xr:uid="{511CC192-9E8D-49D3-BDC5-7C868E381E4D}"/>
    <cellStyle name="Normal 5 4 3 4 4" xfId="9884" xr:uid="{BE6BB738-1FD5-4CA6-9BC6-DD12005A6354}"/>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4DCFCE9F-EDF3-4153-AF7B-570B4BBB2466}"/>
    <cellStyle name="Normal 5 4 3 5 2 3" xfId="12442" xr:uid="{E08AF7E3-663A-4416-945D-08BA8A15111A}"/>
    <cellStyle name="Normal 5 4 3 5 3" xfId="6073" xr:uid="{00000000-0005-0000-0000-00001E1B0000}"/>
    <cellStyle name="Normal 5 4 3 5 3 2" xfId="14515" xr:uid="{390E88C8-CB13-4EE6-AD64-E98D13E6D75A}"/>
    <cellStyle name="Normal 5 4 3 5 4" xfId="10297" xr:uid="{622A4031-AADB-4C85-91BD-0C30116D5B5C}"/>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B777910E-2912-4DCA-BC48-E0A47E51811C}"/>
    <cellStyle name="Normal 5 4 3 6 2 3" xfId="12855" xr:uid="{5C62C3A8-3F89-45EC-B483-C6B9C1179FA1}"/>
    <cellStyle name="Normal 5 4 3 6 3" xfId="6486" xr:uid="{00000000-0005-0000-0000-0000221B0000}"/>
    <cellStyle name="Normal 5 4 3 6 3 2" xfId="14928" xr:uid="{773A0E16-4B9A-4CD3-98E3-31EAEDF6AF78}"/>
    <cellStyle name="Normal 5 4 3 6 4" xfId="10710" xr:uid="{18587303-D7F8-4C25-A8CD-EE60FBA2580A}"/>
    <cellStyle name="Normal 5 4 3 7" xfId="2615" xr:uid="{00000000-0005-0000-0000-0000231B0000}"/>
    <cellStyle name="Normal 5 4 3 7 2" xfId="6899" xr:uid="{00000000-0005-0000-0000-0000241B0000}"/>
    <cellStyle name="Normal 5 4 3 7 2 2" xfId="15341" xr:uid="{2C78B134-9005-4177-AB8B-F22D4862D61F}"/>
    <cellStyle name="Normal 5 4 3 7 3" xfId="11123" xr:uid="{A5A3F0CD-59C4-4A11-88BA-0020BF6574D6}"/>
    <cellStyle name="Normal 5 4 3 8" xfId="4834" xr:uid="{00000000-0005-0000-0000-0000251B0000}"/>
    <cellStyle name="Normal 5 4 3 8 2" xfId="13276" xr:uid="{03D40278-D218-423C-86F7-F0CF0D4F3953}"/>
    <cellStyle name="Normal 5 4 3 9" xfId="9058" xr:uid="{00946515-BE72-4E32-BAA3-0458DB4C56CD}"/>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163C7580-A04B-496F-8EF5-FF49F0D20CB4}"/>
    <cellStyle name="Normal 5 4 4 2 2 3" xfId="11618" xr:uid="{3D7497D8-93FB-4880-9C3D-682A191315AA}"/>
    <cellStyle name="Normal 5 4 4 2 3" xfId="5249" xr:uid="{00000000-0005-0000-0000-00002A1B0000}"/>
    <cellStyle name="Normal 5 4 4 2 3 2" xfId="13691" xr:uid="{CDC1EA44-E97B-4BFB-8E73-4425850B6BA8}"/>
    <cellStyle name="Normal 5 4 4 2 4" xfId="9473" xr:uid="{F0EBBE9C-E1AD-4A66-9CC7-71A69E5D3ECB}"/>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4E347E22-D8C6-40A8-B590-FBA9F7493137}"/>
    <cellStyle name="Normal 5 4 4 3 2 3" xfId="12031" xr:uid="{EA746816-0CD8-42F1-BC2D-E41DCCD25A19}"/>
    <cellStyle name="Normal 5 4 4 3 3" xfId="5662" xr:uid="{00000000-0005-0000-0000-00002E1B0000}"/>
    <cellStyle name="Normal 5 4 4 3 3 2" xfId="14104" xr:uid="{F0DFA2C8-6C93-4596-BACA-3D34FB57632C}"/>
    <cellStyle name="Normal 5 4 4 3 4" xfId="9886" xr:uid="{0769FFEA-F100-4546-BE5C-3710EF1E8A1D}"/>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B1EF9CED-AD5B-449C-B51F-B2FF02ADE51D}"/>
    <cellStyle name="Normal 5 4 4 4 2 3" xfId="12444" xr:uid="{4315C171-FA9D-4582-92CD-5D6E58BDDEB0}"/>
    <cellStyle name="Normal 5 4 4 4 3" xfId="6075" xr:uid="{00000000-0005-0000-0000-0000321B0000}"/>
    <cellStyle name="Normal 5 4 4 4 3 2" xfId="14517" xr:uid="{707F3BAC-E47C-4B48-ADA5-11D87E6AC6DE}"/>
    <cellStyle name="Normal 5 4 4 4 4" xfId="10299" xr:uid="{3861206C-2BBF-439A-85DC-263641725282}"/>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F912FCFF-5330-46B9-81B8-57C44A01F04C}"/>
    <cellStyle name="Normal 5 4 4 5 2 3" xfId="12857" xr:uid="{1C2B996C-AD85-40A0-ADD6-B41F7B78955E}"/>
    <cellStyle name="Normal 5 4 4 5 3" xfId="6488" xr:uid="{00000000-0005-0000-0000-0000361B0000}"/>
    <cellStyle name="Normal 5 4 4 5 3 2" xfId="14930" xr:uid="{159E77E9-66C3-416B-B4F1-68CE2DBC98C7}"/>
    <cellStyle name="Normal 5 4 4 5 4" xfId="10712" xr:uid="{B49DC0AB-DBF9-4957-9FDA-5F49BE414FED}"/>
    <cellStyle name="Normal 5 4 4 6" xfId="2617" xr:uid="{00000000-0005-0000-0000-0000371B0000}"/>
    <cellStyle name="Normal 5 4 4 6 2" xfId="6901" xr:uid="{00000000-0005-0000-0000-0000381B0000}"/>
    <cellStyle name="Normal 5 4 4 6 2 2" xfId="15343" xr:uid="{77756B92-332D-4084-8F8C-FC356955E2FF}"/>
    <cellStyle name="Normal 5 4 4 6 3" xfId="11125" xr:uid="{BE5200D4-A899-4A8D-90B6-A45ED201A44E}"/>
    <cellStyle name="Normal 5 4 4 7" xfId="4836" xr:uid="{00000000-0005-0000-0000-0000391B0000}"/>
    <cellStyle name="Normal 5 4 4 7 2" xfId="13278" xr:uid="{D261305B-A1F9-4E25-800B-2B35E1383095}"/>
    <cellStyle name="Normal 5 4 4 8" xfId="9060" xr:uid="{FE25938E-A1E4-4702-A37B-711BCC513A06}"/>
    <cellStyle name="Normal 5 4 5" xfId="930" xr:uid="{00000000-0005-0000-0000-00003A1B0000}"/>
    <cellStyle name="Normal 5 4 5 2" xfId="3164" xr:uid="{00000000-0005-0000-0000-00003B1B0000}"/>
    <cellStyle name="Normal 5 4 5 2 2" xfId="7387" xr:uid="{00000000-0005-0000-0000-00003C1B0000}"/>
    <cellStyle name="Normal 5 4 5 2 2 2" xfId="15829" xr:uid="{03674A06-A0EE-4EC9-B354-52509D6EA832}"/>
    <cellStyle name="Normal 5 4 5 2 3" xfId="11611" xr:uid="{74E1E125-9915-4D55-BCA0-246D0AC5E4FD}"/>
    <cellStyle name="Normal 5 4 5 3" xfId="5242" xr:uid="{00000000-0005-0000-0000-00003D1B0000}"/>
    <cellStyle name="Normal 5 4 5 3 2" xfId="13684" xr:uid="{00E3B85A-63ED-48BA-A8E5-2BA56E3175AC}"/>
    <cellStyle name="Normal 5 4 5 4" xfId="9466" xr:uid="{38BA43AA-F8A1-40B4-B7FB-BFD9A365D112}"/>
    <cellStyle name="Normal 5 4 6" xfId="1347" xr:uid="{00000000-0005-0000-0000-00003E1B0000}"/>
    <cellStyle name="Normal 5 4 6 2" xfId="3577" xr:uid="{00000000-0005-0000-0000-00003F1B0000}"/>
    <cellStyle name="Normal 5 4 6 2 2" xfId="7800" xr:uid="{00000000-0005-0000-0000-0000401B0000}"/>
    <cellStyle name="Normal 5 4 6 2 2 2" xfId="16242" xr:uid="{11B0E324-CC68-4741-A7DF-B00298F65ADA}"/>
    <cellStyle name="Normal 5 4 6 2 3" xfId="12024" xr:uid="{5EF31AD0-B3ED-4639-AB0F-9CF705941407}"/>
    <cellStyle name="Normal 5 4 6 3" xfId="5655" xr:uid="{00000000-0005-0000-0000-0000411B0000}"/>
    <cellStyle name="Normal 5 4 6 3 2" xfId="14097" xr:uid="{A65A3C93-CB9A-4959-9F89-7E84C6B8CB52}"/>
    <cellStyle name="Normal 5 4 6 4" xfId="9879" xr:uid="{EA817AA2-A419-439B-90C8-4B79C016039E}"/>
    <cellStyle name="Normal 5 4 7" xfId="1760" xr:uid="{00000000-0005-0000-0000-0000421B0000}"/>
    <cellStyle name="Normal 5 4 7 2" xfId="3990" xr:uid="{00000000-0005-0000-0000-0000431B0000}"/>
    <cellStyle name="Normal 5 4 7 2 2" xfId="8213" xr:uid="{00000000-0005-0000-0000-0000441B0000}"/>
    <cellStyle name="Normal 5 4 7 2 2 2" xfId="16655" xr:uid="{B4760656-8536-4CCD-9E37-6A1E43BC1F35}"/>
    <cellStyle name="Normal 5 4 7 2 3" xfId="12437" xr:uid="{9EE8A5AF-BAB1-4A99-89F3-67D8CE948CA2}"/>
    <cellStyle name="Normal 5 4 7 3" xfId="6068" xr:uid="{00000000-0005-0000-0000-0000451B0000}"/>
    <cellStyle name="Normal 5 4 7 3 2" xfId="14510" xr:uid="{9A73D45B-575E-4593-B2A9-7CB8111641C7}"/>
    <cellStyle name="Normal 5 4 7 4" xfId="10292" xr:uid="{368A3001-9BD1-418C-9EEE-A2CA527A8221}"/>
    <cellStyle name="Normal 5 4 8" xfId="2174" xr:uid="{00000000-0005-0000-0000-0000461B0000}"/>
    <cellStyle name="Normal 5 4 8 2" xfId="4403" xr:uid="{00000000-0005-0000-0000-0000471B0000}"/>
    <cellStyle name="Normal 5 4 8 2 2" xfId="8626" xr:uid="{00000000-0005-0000-0000-0000481B0000}"/>
    <cellStyle name="Normal 5 4 8 2 2 2" xfId="17068" xr:uid="{30ED0A31-CE79-431A-9EBA-844C2DFE4F04}"/>
    <cellStyle name="Normal 5 4 8 2 3" xfId="12850" xr:uid="{EC4D9FF1-7FF5-4AAA-A22F-246410F26F8D}"/>
    <cellStyle name="Normal 5 4 8 3" xfId="6481" xr:uid="{00000000-0005-0000-0000-0000491B0000}"/>
    <cellStyle name="Normal 5 4 8 3 2" xfId="14923" xr:uid="{B7B07E51-C392-40E4-B7C1-C56A23F246EE}"/>
    <cellStyle name="Normal 5 4 8 4" xfId="10705" xr:uid="{C4A8DA12-07AE-43A5-9A5B-F6E7A7592295}"/>
    <cellStyle name="Normal 5 4 9" xfId="2610" xr:uid="{00000000-0005-0000-0000-00004A1B0000}"/>
    <cellStyle name="Normal 5 4 9 2" xfId="6894" xr:uid="{00000000-0005-0000-0000-00004B1B0000}"/>
    <cellStyle name="Normal 5 4 9 2 2" xfId="15336" xr:uid="{9958E893-BDDE-4496-BCBD-EB5A0F4CA94F}"/>
    <cellStyle name="Normal 5 4 9 3" xfId="11118" xr:uid="{C03EBD17-DB51-4090-956A-067C2857DB20}"/>
    <cellStyle name="Normal 5 5" xfId="464" xr:uid="{00000000-0005-0000-0000-00004C1B0000}"/>
    <cellStyle name="Normal 5 5 10" xfId="9061" xr:uid="{9FB797AD-76D2-4954-BB5B-3F6CC009838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488C6E6E-9AD0-4603-8A43-A1CE3C2D16B6}"/>
    <cellStyle name="Normal 5 5 2 2 2 2 3" xfId="11621" xr:uid="{016F5214-D307-4609-A446-E0E252494C60}"/>
    <cellStyle name="Normal 5 5 2 2 2 3" xfId="5252" xr:uid="{00000000-0005-0000-0000-0000521B0000}"/>
    <cellStyle name="Normal 5 5 2 2 2 3 2" xfId="13694" xr:uid="{97FA79C4-17DA-4B44-B503-2D84D067E883}"/>
    <cellStyle name="Normal 5 5 2 2 2 4" xfId="9476" xr:uid="{1F666B3F-1AF1-4257-864E-108FF26CE7C8}"/>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74664C89-1C9B-41C1-9450-F000E11BC1D2}"/>
    <cellStyle name="Normal 5 5 2 2 3 2 3" xfId="12034" xr:uid="{C62B935A-43EB-48B3-883E-C3D26A3B63FB}"/>
    <cellStyle name="Normal 5 5 2 2 3 3" xfId="5665" xr:uid="{00000000-0005-0000-0000-0000561B0000}"/>
    <cellStyle name="Normal 5 5 2 2 3 3 2" xfId="14107" xr:uid="{0F2CC36E-BF95-4820-A771-34563296C8B9}"/>
    <cellStyle name="Normal 5 5 2 2 3 4" xfId="9889" xr:uid="{E945EFF8-398E-4D6D-8142-D1E071286B36}"/>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1E3C6E71-DE5E-4104-AE5A-10CB5013EDD7}"/>
    <cellStyle name="Normal 5 5 2 2 4 2 3" xfId="12447" xr:uid="{014895F1-D941-4B0C-8958-1479718EA6BB}"/>
    <cellStyle name="Normal 5 5 2 2 4 3" xfId="6078" xr:uid="{00000000-0005-0000-0000-00005A1B0000}"/>
    <cellStyle name="Normal 5 5 2 2 4 3 2" xfId="14520" xr:uid="{A07F0086-85D3-4307-BF2D-DF58BC0070E2}"/>
    <cellStyle name="Normal 5 5 2 2 4 4" xfId="10302" xr:uid="{794557CF-CCE9-4C3F-BCD9-EE689E914E64}"/>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C92EDD82-35F2-4BF0-BBBC-3840AA3D4F57}"/>
    <cellStyle name="Normal 5 5 2 2 5 2 3" xfId="12860" xr:uid="{51DAF8BA-ECF9-4A0D-BAC2-AE50D93AE48C}"/>
    <cellStyle name="Normal 5 5 2 2 5 3" xfId="6491" xr:uid="{00000000-0005-0000-0000-00005E1B0000}"/>
    <cellStyle name="Normal 5 5 2 2 5 3 2" xfId="14933" xr:uid="{0A678FA5-ED3D-49A3-B726-7DCA70511178}"/>
    <cellStyle name="Normal 5 5 2 2 5 4" xfId="10715" xr:uid="{856DAFD0-167D-4412-948D-D30C0959F88A}"/>
    <cellStyle name="Normal 5 5 2 2 6" xfId="2620" xr:uid="{00000000-0005-0000-0000-00005F1B0000}"/>
    <cellStyle name="Normal 5 5 2 2 6 2" xfId="6904" xr:uid="{00000000-0005-0000-0000-0000601B0000}"/>
    <cellStyle name="Normal 5 5 2 2 6 2 2" xfId="15346" xr:uid="{F13A7E29-4CAF-4792-AF2D-3618F14E372A}"/>
    <cellStyle name="Normal 5 5 2 2 6 3" xfId="11128" xr:uid="{F3537F5F-6C85-4D5F-8B47-9AC6933A2E59}"/>
    <cellStyle name="Normal 5 5 2 2 7" xfId="4839" xr:uid="{00000000-0005-0000-0000-0000611B0000}"/>
    <cellStyle name="Normal 5 5 2 2 7 2" xfId="13281" xr:uid="{0E264D3A-75BD-497B-B890-BE9EB414B40C}"/>
    <cellStyle name="Normal 5 5 2 2 8" xfId="9063" xr:uid="{BBFCFF8D-BA3C-44BA-A144-E838701D276F}"/>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6C091294-EAF8-4F08-B270-09F4D47518CE}"/>
    <cellStyle name="Normal 5 5 2 3 2 3" xfId="11620" xr:uid="{64A57B11-E1A0-4BCC-898F-3B63CABFEB5B}"/>
    <cellStyle name="Normal 5 5 2 3 3" xfId="5251" xr:uid="{00000000-0005-0000-0000-0000651B0000}"/>
    <cellStyle name="Normal 5 5 2 3 3 2" xfId="13693" xr:uid="{DE545420-F007-4787-AD13-1F71EA2D076C}"/>
    <cellStyle name="Normal 5 5 2 3 4" xfId="9475" xr:uid="{630ACBC3-F47F-4F38-A701-C1AA4A480212}"/>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1139D088-1BBC-46EF-9A5A-9A5117DABFBE}"/>
    <cellStyle name="Normal 5 5 2 4 2 3" xfId="12033" xr:uid="{A4C932D9-E35B-4140-880F-070952554B3A}"/>
    <cellStyle name="Normal 5 5 2 4 3" xfId="5664" xr:uid="{00000000-0005-0000-0000-0000691B0000}"/>
    <cellStyle name="Normal 5 5 2 4 3 2" xfId="14106" xr:uid="{CA78D7B6-2D55-4EEE-881B-67037113AC0A}"/>
    <cellStyle name="Normal 5 5 2 4 4" xfId="9888" xr:uid="{B9BD49B3-2922-4DC3-A3CA-79A2722D83B9}"/>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18DC719A-C947-4A0F-B180-8093C0537BAA}"/>
    <cellStyle name="Normal 5 5 2 5 2 3" xfId="12446" xr:uid="{BC6EE81E-92B1-4555-B3BE-BA9B7887FDD0}"/>
    <cellStyle name="Normal 5 5 2 5 3" xfId="6077" xr:uid="{00000000-0005-0000-0000-00006D1B0000}"/>
    <cellStyle name="Normal 5 5 2 5 3 2" xfId="14519" xr:uid="{4336C0D1-6C87-4972-A000-90E6067E1F35}"/>
    <cellStyle name="Normal 5 5 2 5 4" xfId="10301" xr:uid="{89B04FC6-5E4D-4F73-B0F1-F2F02AD3B567}"/>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6EDC6DF1-9D6D-4269-B310-86BBDC9FE32F}"/>
    <cellStyle name="Normal 5 5 2 6 2 3" xfId="12859" xr:uid="{7AE486F5-0036-439B-85DD-7F64A01FCD29}"/>
    <cellStyle name="Normal 5 5 2 6 3" xfId="6490" xr:uid="{00000000-0005-0000-0000-0000711B0000}"/>
    <cellStyle name="Normal 5 5 2 6 3 2" xfId="14932" xr:uid="{E2D0D3FB-B874-4217-BF5A-59415943C11A}"/>
    <cellStyle name="Normal 5 5 2 6 4" xfId="10714" xr:uid="{86F72A4F-C8E7-449C-8E0A-93630EC371C6}"/>
    <cellStyle name="Normal 5 5 2 7" xfId="2619" xr:uid="{00000000-0005-0000-0000-0000721B0000}"/>
    <cellStyle name="Normal 5 5 2 7 2" xfId="6903" xr:uid="{00000000-0005-0000-0000-0000731B0000}"/>
    <cellStyle name="Normal 5 5 2 7 2 2" xfId="15345" xr:uid="{E68C0B0C-047C-45A9-9944-116FF141D36D}"/>
    <cellStyle name="Normal 5 5 2 7 3" xfId="11127" xr:uid="{A1023FBC-9B2A-4510-924C-7FA7C7F5926E}"/>
    <cellStyle name="Normal 5 5 2 8" xfId="4838" xr:uid="{00000000-0005-0000-0000-0000741B0000}"/>
    <cellStyle name="Normal 5 5 2 8 2" xfId="13280" xr:uid="{373512ED-C8A3-477A-807E-382F9E8DB84C}"/>
    <cellStyle name="Normal 5 5 2 9" xfId="9062" xr:uid="{2B595747-F74C-4132-9BA2-13089BDD851E}"/>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EBBA2339-CFBD-45A3-B354-62829EDEDEE8}"/>
    <cellStyle name="Normal 5 5 3 2 2 3" xfId="11622" xr:uid="{E664A36D-D87A-45BF-9BA9-B20DF02E8CD9}"/>
    <cellStyle name="Normal 5 5 3 2 3" xfId="5253" xr:uid="{00000000-0005-0000-0000-0000791B0000}"/>
    <cellStyle name="Normal 5 5 3 2 3 2" xfId="13695" xr:uid="{2A6A69CC-82D8-431D-9B5D-668A4BB3799C}"/>
    <cellStyle name="Normal 5 5 3 2 4" xfId="9477" xr:uid="{5EA5E8C3-3E81-45DE-A5B9-969E80CC69D1}"/>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CC93D93F-1CC8-4BD9-AAFE-0EB28CF07D9B}"/>
    <cellStyle name="Normal 5 5 3 3 2 3" xfId="12035" xr:uid="{4C8ADF34-E185-4ADC-B135-22E53FFD7653}"/>
    <cellStyle name="Normal 5 5 3 3 3" xfId="5666" xr:uid="{00000000-0005-0000-0000-00007D1B0000}"/>
    <cellStyle name="Normal 5 5 3 3 3 2" xfId="14108" xr:uid="{74D2376D-5D6E-4D20-AF0D-2799425E3533}"/>
    <cellStyle name="Normal 5 5 3 3 4" xfId="9890" xr:uid="{3AE1A223-0AE6-45B5-ACC8-59DEE9CB3DB5}"/>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CCBEE6EB-7F39-41EB-8DE3-191AE69961E1}"/>
    <cellStyle name="Normal 5 5 3 4 2 3" xfId="12448" xr:uid="{3A07317A-8221-4699-A01E-356ECDDDAC2D}"/>
    <cellStyle name="Normal 5 5 3 4 3" xfId="6079" xr:uid="{00000000-0005-0000-0000-0000811B0000}"/>
    <cellStyle name="Normal 5 5 3 4 3 2" xfId="14521" xr:uid="{DEFAB3BF-0520-443C-8F51-2FFCAF65DAE5}"/>
    <cellStyle name="Normal 5 5 3 4 4" xfId="10303" xr:uid="{8CE4CE7E-2928-49F9-BED4-DE9B83292383}"/>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FA24E750-B04D-422D-9D3A-C06693111D81}"/>
    <cellStyle name="Normal 5 5 3 5 2 3" xfId="12861" xr:uid="{70410366-FBF6-437F-8956-E6E0437931D3}"/>
    <cellStyle name="Normal 5 5 3 5 3" xfId="6492" xr:uid="{00000000-0005-0000-0000-0000851B0000}"/>
    <cellStyle name="Normal 5 5 3 5 3 2" xfId="14934" xr:uid="{B1E21C8D-4234-4CEC-AC99-7EE4FB175B87}"/>
    <cellStyle name="Normal 5 5 3 5 4" xfId="10716" xr:uid="{461E0A53-B46C-4356-96F9-99DDEFBEAF23}"/>
    <cellStyle name="Normal 5 5 3 6" xfId="2621" xr:uid="{00000000-0005-0000-0000-0000861B0000}"/>
    <cellStyle name="Normal 5 5 3 6 2" xfId="6905" xr:uid="{00000000-0005-0000-0000-0000871B0000}"/>
    <cellStyle name="Normal 5 5 3 6 2 2" xfId="15347" xr:uid="{516990CE-C107-4E61-9DE3-26B3D4C149F5}"/>
    <cellStyle name="Normal 5 5 3 6 3" xfId="11129" xr:uid="{4B8450D0-DADB-41F9-8A88-110954457180}"/>
    <cellStyle name="Normal 5 5 3 7" xfId="4840" xr:uid="{00000000-0005-0000-0000-0000881B0000}"/>
    <cellStyle name="Normal 5 5 3 7 2" xfId="13282" xr:uid="{45B58103-E18F-40EE-B848-03FAF5916979}"/>
    <cellStyle name="Normal 5 5 3 8" xfId="9064" xr:uid="{EC9D1AD7-EBF3-437A-9702-5362F1244CC2}"/>
    <cellStyle name="Normal 5 5 4" xfId="938" xr:uid="{00000000-0005-0000-0000-0000891B0000}"/>
    <cellStyle name="Normal 5 5 4 2" xfId="3172" xr:uid="{00000000-0005-0000-0000-00008A1B0000}"/>
    <cellStyle name="Normal 5 5 4 2 2" xfId="7395" xr:uid="{00000000-0005-0000-0000-00008B1B0000}"/>
    <cellStyle name="Normal 5 5 4 2 2 2" xfId="15837" xr:uid="{A4A2B33C-3781-45E3-ADF3-579BA52CF2BB}"/>
    <cellStyle name="Normal 5 5 4 2 3" xfId="11619" xr:uid="{F003F7AD-B406-4003-9F35-3089B3A413AC}"/>
    <cellStyle name="Normal 5 5 4 3" xfId="5250" xr:uid="{00000000-0005-0000-0000-00008C1B0000}"/>
    <cellStyle name="Normal 5 5 4 3 2" xfId="13692" xr:uid="{F014E38D-9076-4268-97C6-67E65C1DA7DC}"/>
    <cellStyle name="Normal 5 5 4 4" xfId="9474" xr:uid="{19AA7A70-46C4-43C5-BCCF-25E318F8BE6D}"/>
    <cellStyle name="Normal 5 5 5" xfId="1355" xr:uid="{00000000-0005-0000-0000-00008D1B0000}"/>
    <cellStyle name="Normal 5 5 5 2" xfId="3585" xr:uid="{00000000-0005-0000-0000-00008E1B0000}"/>
    <cellStyle name="Normal 5 5 5 2 2" xfId="7808" xr:uid="{00000000-0005-0000-0000-00008F1B0000}"/>
    <cellStyle name="Normal 5 5 5 2 2 2" xfId="16250" xr:uid="{E933CBFE-221E-4173-B876-4276E8A53BA9}"/>
    <cellStyle name="Normal 5 5 5 2 3" xfId="12032" xr:uid="{AB28F248-84F2-446A-9777-509743680D05}"/>
    <cellStyle name="Normal 5 5 5 3" xfId="5663" xr:uid="{00000000-0005-0000-0000-0000901B0000}"/>
    <cellStyle name="Normal 5 5 5 3 2" xfId="14105" xr:uid="{1F825A9E-5E43-4391-8CE0-A6ED8C8FDCF3}"/>
    <cellStyle name="Normal 5 5 5 4" xfId="9887" xr:uid="{05F4CF4D-34EB-4165-8C4C-34F76E6BEF87}"/>
    <cellStyle name="Normal 5 5 6" xfId="1768" xr:uid="{00000000-0005-0000-0000-0000911B0000}"/>
    <cellStyle name="Normal 5 5 6 2" xfId="3998" xr:uid="{00000000-0005-0000-0000-0000921B0000}"/>
    <cellStyle name="Normal 5 5 6 2 2" xfId="8221" xr:uid="{00000000-0005-0000-0000-0000931B0000}"/>
    <cellStyle name="Normal 5 5 6 2 2 2" xfId="16663" xr:uid="{B471F8A1-8222-4ACB-8614-2EC49DBE7655}"/>
    <cellStyle name="Normal 5 5 6 2 3" xfId="12445" xr:uid="{7AA6D10F-EB16-49B8-B36A-09B3717F931C}"/>
    <cellStyle name="Normal 5 5 6 3" xfId="6076" xr:uid="{00000000-0005-0000-0000-0000941B0000}"/>
    <cellStyle name="Normal 5 5 6 3 2" xfId="14518" xr:uid="{44A1790D-7084-4F76-B368-9B8BFF2DDC53}"/>
    <cellStyle name="Normal 5 5 6 4" xfId="10300" xr:uid="{4DFAAFD9-AB76-42EB-B16E-AC15EDF3CCCB}"/>
    <cellStyle name="Normal 5 5 7" xfId="2182" xr:uid="{00000000-0005-0000-0000-0000951B0000}"/>
    <cellStyle name="Normal 5 5 7 2" xfId="4411" xr:uid="{00000000-0005-0000-0000-0000961B0000}"/>
    <cellStyle name="Normal 5 5 7 2 2" xfId="8634" xr:uid="{00000000-0005-0000-0000-0000971B0000}"/>
    <cellStyle name="Normal 5 5 7 2 2 2" xfId="17076" xr:uid="{499E7642-39F4-47C7-AF67-BFB3D56B6874}"/>
    <cellStyle name="Normal 5 5 7 2 3" xfId="12858" xr:uid="{9117291A-7EE7-4302-AD6E-F3A9E4151DE9}"/>
    <cellStyle name="Normal 5 5 7 3" xfId="6489" xr:uid="{00000000-0005-0000-0000-0000981B0000}"/>
    <cellStyle name="Normal 5 5 7 3 2" xfId="14931" xr:uid="{392FF67A-5F9F-4A2F-8C7A-65C187D54B9D}"/>
    <cellStyle name="Normal 5 5 7 4" xfId="10713" xr:uid="{22ABE543-D55C-4AC9-BE38-2BA86C1575F2}"/>
    <cellStyle name="Normal 5 5 8" xfId="2618" xr:uid="{00000000-0005-0000-0000-0000991B0000}"/>
    <cellStyle name="Normal 5 5 8 2" xfId="6902" xr:uid="{00000000-0005-0000-0000-00009A1B0000}"/>
    <cellStyle name="Normal 5 5 8 2 2" xfId="15344" xr:uid="{4A26BC0E-9D7B-4239-B165-EE0C61794071}"/>
    <cellStyle name="Normal 5 5 8 3" xfId="11126" xr:uid="{1CF26492-9BF4-477D-8D3E-65C0E0871290}"/>
    <cellStyle name="Normal 5 5 9" xfId="4837" xr:uid="{00000000-0005-0000-0000-00009B1B0000}"/>
    <cellStyle name="Normal 5 5 9 2" xfId="13279" xr:uid="{0EF0CECA-F8A9-4F27-9081-A0560BC26C62}"/>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B0AE4DDB-C0B5-40E8-9B4E-41AA77F33584}"/>
    <cellStyle name="Normal 5 6 2 2 2 3" xfId="11624" xr:uid="{76D6AAFA-D003-4EEB-AF7D-ED1D688909C5}"/>
    <cellStyle name="Normal 5 6 2 2 3" xfId="5255" xr:uid="{00000000-0005-0000-0000-0000A11B0000}"/>
    <cellStyle name="Normal 5 6 2 2 3 2" xfId="13697" xr:uid="{2E973AA6-EAA1-45F5-806D-C8DA91DA333F}"/>
    <cellStyle name="Normal 5 6 2 2 4" xfId="9479" xr:uid="{D6D03FA2-D3B6-4F45-8024-64DA0696FCA1}"/>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921827ED-D764-42C5-91FC-158E642C6F9C}"/>
    <cellStyle name="Normal 5 6 2 3 2 3" xfId="12037" xr:uid="{D049B794-AA92-4AF8-A8E9-BE038121FBF4}"/>
    <cellStyle name="Normal 5 6 2 3 3" xfId="5668" xr:uid="{00000000-0005-0000-0000-0000A51B0000}"/>
    <cellStyle name="Normal 5 6 2 3 3 2" xfId="14110" xr:uid="{61277D35-F983-4E5F-89C7-0CAAA196430C}"/>
    <cellStyle name="Normal 5 6 2 3 4" xfId="9892" xr:uid="{A3F91B52-1F1D-46AD-9B1F-07A03290207A}"/>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7CA62014-F751-4CA5-8961-3AC41CEE2E34}"/>
    <cellStyle name="Normal 5 6 2 4 2 3" xfId="12450" xr:uid="{809686E9-C995-4250-BC9B-1166AA5E9C90}"/>
    <cellStyle name="Normal 5 6 2 4 3" xfId="6081" xr:uid="{00000000-0005-0000-0000-0000A91B0000}"/>
    <cellStyle name="Normal 5 6 2 4 3 2" xfId="14523" xr:uid="{04871E18-DD1C-4815-B8A0-09991B35F645}"/>
    <cellStyle name="Normal 5 6 2 4 4" xfId="10305" xr:uid="{2484DD35-434A-4111-81ED-7F0EE9170E8A}"/>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C969FF4C-C902-42DC-96C9-FB41436AD9CE}"/>
    <cellStyle name="Normal 5 6 2 5 2 3" xfId="12863" xr:uid="{DDAB1406-9249-453B-AF28-39D4E52D47E8}"/>
    <cellStyle name="Normal 5 6 2 5 3" xfId="6494" xr:uid="{00000000-0005-0000-0000-0000AD1B0000}"/>
    <cellStyle name="Normal 5 6 2 5 3 2" xfId="14936" xr:uid="{B68F5014-98A3-4D27-8832-C6578A846BB8}"/>
    <cellStyle name="Normal 5 6 2 5 4" xfId="10718" xr:uid="{AF60A3EE-36FA-48B2-9123-07E2D965568A}"/>
    <cellStyle name="Normal 5 6 2 6" xfId="2623" xr:uid="{00000000-0005-0000-0000-0000AE1B0000}"/>
    <cellStyle name="Normal 5 6 2 6 2" xfId="6907" xr:uid="{00000000-0005-0000-0000-0000AF1B0000}"/>
    <cellStyle name="Normal 5 6 2 6 2 2" xfId="15349" xr:uid="{40E6E5AF-F7BC-4CD3-BAE8-6F2861F30602}"/>
    <cellStyle name="Normal 5 6 2 6 3" xfId="11131" xr:uid="{4D4D5C91-B400-4A3F-8EDA-7E9DA178D748}"/>
    <cellStyle name="Normal 5 6 2 7" xfId="4842" xr:uid="{00000000-0005-0000-0000-0000B01B0000}"/>
    <cellStyle name="Normal 5 6 2 7 2" xfId="13284" xr:uid="{436D8031-A254-4BB2-A6CA-1DBCB1FD999D}"/>
    <cellStyle name="Normal 5 6 2 8" xfId="9066" xr:uid="{F9BA61D8-C068-4309-9600-3C89F23671B8}"/>
    <cellStyle name="Normal 5 6 3" xfId="942" xr:uid="{00000000-0005-0000-0000-0000B11B0000}"/>
    <cellStyle name="Normal 5 6 3 2" xfId="3176" xr:uid="{00000000-0005-0000-0000-0000B21B0000}"/>
    <cellStyle name="Normal 5 6 3 2 2" xfId="7399" xr:uid="{00000000-0005-0000-0000-0000B31B0000}"/>
    <cellStyle name="Normal 5 6 3 2 2 2" xfId="15841" xr:uid="{45D9BB23-2B18-421C-AB9D-61E9D275E027}"/>
    <cellStyle name="Normal 5 6 3 2 3" xfId="11623" xr:uid="{B44ADA84-DEE8-44F9-964E-EE7EBA3AA272}"/>
    <cellStyle name="Normal 5 6 3 3" xfId="5254" xr:uid="{00000000-0005-0000-0000-0000B41B0000}"/>
    <cellStyle name="Normal 5 6 3 3 2" xfId="13696" xr:uid="{E858995C-66DA-4780-8601-B4C6B3556BFE}"/>
    <cellStyle name="Normal 5 6 3 4" xfId="9478" xr:uid="{80A67759-20E1-4019-8B11-49F305B9EC1B}"/>
    <cellStyle name="Normal 5 6 4" xfId="1359" xr:uid="{00000000-0005-0000-0000-0000B51B0000}"/>
    <cellStyle name="Normal 5 6 4 2" xfId="3589" xr:uid="{00000000-0005-0000-0000-0000B61B0000}"/>
    <cellStyle name="Normal 5 6 4 2 2" xfId="7812" xr:uid="{00000000-0005-0000-0000-0000B71B0000}"/>
    <cellStyle name="Normal 5 6 4 2 2 2" xfId="16254" xr:uid="{F12ADF8F-EE24-471D-A41C-CB8E7D5137ED}"/>
    <cellStyle name="Normal 5 6 4 2 3" xfId="12036" xr:uid="{75390D31-61F3-4ADA-AC93-701C011F1D54}"/>
    <cellStyle name="Normal 5 6 4 3" xfId="5667" xr:uid="{00000000-0005-0000-0000-0000B81B0000}"/>
    <cellStyle name="Normal 5 6 4 3 2" xfId="14109" xr:uid="{AD1A4484-5004-492C-8D9C-51BEA567D046}"/>
    <cellStyle name="Normal 5 6 4 4" xfId="9891" xr:uid="{D0E38E78-5BE5-4B7D-B9C4-BF8A66C2A0C0}"/>
    <cellStyle name="Normal 5 6 5" xfId="1772" xr:uid="{00000000-0005-0000-0000-0000B91B0000}"/>
    <cellStyle name="Normal 5 6 5 2" xfId="4002" xr:uid="{00000000-0005-0000-0000-0000BA1B0000}"/>
    <cellStyle name="Normal 5 6 5 2 2" xfId="8225" xr:uid="{00000000-0005-0000-0000-0000BB1B0000}"/>
    <cellStyle name="Normal 5 6 5 2 2 2" xfId="16667" xr:uid="{2AFD8FDE-DC7E-4307-9391-78F8E19F3867}"/>
    <cellStyle name="Normal 5 6 5 2 3" xfId="12449" xr:uid="{97F89ECD-3515-4AEF-82D0-261678B72856}"/>
    <cellStyle name="Normal 5 6 5 3" xfId="6080" xr:uid="{00000000-0005-0000-0000-0000BC1B0000}"/>
    <cellStyle name="Normal 5 6 5 3 2" xfId="14522" xr:uid="{AB9D2D3D-E0D1-4F40-AF64-C25272F6C8E1}"/>
    <cellStyle name="Normal 5 6 5 4" xfId="10304" xr:uid="{8F1BA489-B5CB-47A2-B237-5D9982F9811E}"/>
    <cellStyle name="Normal 5 6 6" xfId="2186" xr:uid="{00000000-0005-0000-0000-0000BD1B0000}"/>
    <cellStyle name="Normal 5 6 6 2" xfId="4415" xr:uid="{00000000-0005-0000-0000-0000BE1B0000}"/>
    <cellStyle name="Normal 5 6 6 2 2" xfId="8638" xr:uid="{00000000-0005-0000-0000-0000BF1B0000}"/>
    <cellStyle name="Normal 5 6 6 2 2 2" xfId="17080" xr:uid="{E27C3D40-A44C-4E8F-88FD-B60254918FB9}"/>
    <cellStyle name="Normal 5 6 6 2 3" xfId="12862" xr:uid="{BF7933E6-C19E-449D-86EB-8A3F2C7753E8}"/>
    <cellStyle name="Normal 5 6 6 3" xfId="6493" xr:uid="{00000000-0005-0000-0000-0000C01B0000}"/>
    <cellStyle name="Normal 5 6 6 3 2" xfId="14935" xr:uid="{A1AA9D09-EBF5-4A77-A275-B75F9230ABEF}"/>
    <cellStyle name="Normal 5 6 6 4" xfId="10717" xr:uid="{5B6C5795-97A5-44A1-AA64-5233B188BDCE}"/>
    <cellStyle name="Normal 5 6 7" xfId="2622" xr:uid="{00000000-0005-0000-0000-0000C11B0000}"/>
    <cellStyle name="Normal 5 6 7 2" xfId="6906" xr:uid="{00000000-0005-0000-0000-0000C21B0000}"/>
    <cellStyle name="Normal 5 6 7 2 2" xfId="15348" xr:uid="{F2EB22C0-0ABC-48A3-B8F5-10CB2B5E057A}"/>
    <cellStyle name="Normal 5 6 7 3" xfId="11130" xr:uid="{F641360E-4395-4066-9FA3-F549F0D2443B}"/>
    <cellStyle name="Normal 5 6 8" xfId="4841" xr:uid="{00000000-0005-0000-0000-0000C31B0000}"/>
    <cellStyle name="Normal 5 6 8 2" xfId="13283" xr:uid="{D9F263ED-DB22-4777-8C2A-0C2FFBDAC034}"/>
    <cellStyle name="Normal 5 6 9" xfId="9065" xr:uid="{663F230B-1778-4F0B-9038-ECD6FCCA55C3}"/>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A0EE9220-E18B-45B3-894D-1F6BCA150528}"/>
    <cellStyle name="Normal 5 7 2 2 3" xfId="11625" xr:uid="{6A8A5E5A-1FE1-4877-97DC-F02C4914B6C1}"/>
    <cellStyle name="Normal 5 7 2 3" xfId="5256" xr:uid="{00000000-0005-0000-0000-0000C81B0000}"/>
    <cellStyle name="Normal 5 7 2 3 2" xfId="13698" xr:uid="{313C3233-284A-446D-A43D-DA89542751DE}"/>
    <cellStyle name="Normal 5 7 2 4" xfId="9480" xr:uid="{A6703364-655F-4704-9F51-F10D0F093012}"/>
    <cellStyle name="Normal 5 7 3" xfId="1361" xr:uid="{00000000-0005-0000-0000-0000C91B0000}"/>
    <cellStyle name="Normal 5 7 3 2" xfId="3591" xr:uid="{00000000-0005-0000-0000-0000CA1B0000}"/>
    <cellStyle name="Normal 5 7 3 2 2" xfId="7814" xr:uid="{00000000-0005-0000-0000-0000CB1B0000}"/>
    <cellStyle name="Normal 5 7 3 2 2 2" xfId="16256" xr:uid="{1794C568-3C38-4EBD-9EC7-D8F65102345E}"/>
    <cellStyle name="Normal 5 7 3 2 3" xfId="12038" xr:uid="{6E71BF80-6695-40C9-A7AF-AFD8A5DD3B40}"/>
    <cellStyle name="Normal 5 7 3 3" xfId="5669" xr:uid="{00000000-0005-0000-0000-0000CC1B0000}"/>
    <cellStyle name="Normal 5 7 3 3 2" xfId="14111" xr:uid="{DB8FFA02-9E69-418E-B808-482E058D5CA7}"/>
    <cellStyle name="Normal 5 7 3 4" xfId="9893" xr:uid="{1B5B7B1B-9EB2-443A-B9F4-C87726C1F78F}"/>
    <cellStyle name="Normal 5 7 4" xfId="1774" xr:uid="{00000000-0005-0000-0000-0000CD1B0000}"/>
    <cellStyle name="Normal 5 7 4 2" xfId="4004" xr:uid="{00000000-0005-0000-0000-0000CE1B0000}"/>
    <cellStyle name="Normal 5 7 4 2 2" xfId="8227" xr:uid="{00000000-0005-0000-0000-0000CF1B0000}"/>
    <cellStyle name="Normal 5 7 4 2 2 2" xfId="16669" xr:uid="{828FB335-5573-4B0D-8057-D61324065281}"/>
    <cellStyle name="Normal 5 7 4 2 3" xfId="12451" xr:uid="{C38F209A-EF13-427E-A0D3-A3897B291250}"/>
    <cellStyle name="Normal 5 7 4 3" xfId="6082" xr:uid="{00000000-0005-0000-0000-0000D01B0000}"/>
    <cellStyle name="Normal 5 7 4 3 2" xfId="14524" xr:uid="{ED140941-BD45-4551-94A9-2C43D04F136D}"/>
    <cellStyle name="Normal 5 7 4 4" xfId="10306" xr:uid="{6CA02A47-EE4E-4486-AB66-A05FF98B33C5}"/>
    <cellStyle name="Normal 5 7 5" xfId="2188" xr:uid="{00000000-0005-0000-0000-0000D11B0000}"/>
    <cellStyle name="Normal 5 7 5 2" xfId="4417" xr:uid="{00000000-0005-0000-0000-0000D21B0000}"/>
    <cellStyle name="Normal 5 7 5 2 2" xfId="8640" xr:uid="{00000000-0005-0000-0000-0000D31B0000}"/>
    <cellStyle name="Normal 5 7 5 2 2 2" xfId="17082" xr:uid="{31AE7C79-D79F-4A5C-BEB0-35798E3DD914}"/>
    <cellStyle name="Normal 5 7 5 2 3" xfId="12864" xr:uid="{5EB7FA6B-C46C-4F26-95B1-5B69242F6CE0}"/>
    <cellStyle name="Normal 5 7 5 3" xfId="6495" xr:uid="{00000000-0005-0000-0000-0000D41B0000}"/>
    <cellStyle name="Normal 5 7 5 3 2" xfId="14937" xr:uid="{BAFEB8AA-B949-4EBF-8FC3-310EE0BB5695}"/>
    <cellStyle name="Normal 5 7 5 4" xfId="10719" xr:uid="{DB9C7632-68A2-47F8-A00D-7D6E737F5837}"/>
    <cellStyle name="Normal 5 7 6" xfId="2624" xr:uid="{00000000-0005-0000-0000-0000D51B0000}"/>
    <cellStyle name="Normal 5 7 6 2" xfId="6908" xr:uid="{00000000-0005-0000-0000-0000D61B0000}"/>
    <cellStyle name="Normal 5 7 6 2 2" xfId="15350" xr:uid="{F05BB09C-8C75-49C0-8FA0-5FC90E85EA54}"/>
    <cellStyle name="Normal 5 7 6 3" xfId="11132" xr:uid="{B1568D7B-FFB9-4CD5-A6BC-813891DDEF76}"/>
    <cellStyle name="Normal 5 7 7" xfId="4843" xr:uid="{00000000-0005-0000-0000-0000D71B0000}"/>
    <cellStyle name="Normal 5 7 7 2" xfId="13285" xr:uid="{264787A8-45F3-4391-9CB6-E225358D8BC5}"/>
    <cellStyle name="Normal 5 7 8" xfId="9067" xr:uid="{FB7A03F6-540B-4EE2-B6B5-EB79BD67CBFF}"/>
    <cellStyle name="Normal 5 8" xfId="880" xr:uid="{00000000-0005-0000-0000-0000D81B0000}"/>
    <cellStyle name="Normal 5 8 2" xfId="3115" xr:uid="{00000000-0005-0000-0000-0000D91B0000}"/>
    <cellStyle name="Normal 5 8 2 2" xfId="7338" xr:uid="{00000000-0005-0000-0000-0000DA1B0000}"/>
    <cellStyle name="Normal 5 8 2 2 2" xfId="15780" xr:uid="{C65A77F1-2949-4CB0-891B-8ED00BEE89C3}"/>
    <cellStyle name="Normal 5 8 2 3" xfId="11562" xr:uid="{AF7DD908-BE3F-4DB6-8F00-B9084DE93A13}"/>
    <cellStyle name="Normal 5 8 3" xfId="5193" xr:uid="{00000000-0005-0000-0000-0000DB1B0000}"/>
    <cellStyle name="Normal 5 8 3 2" xfId="13635" xr:uid="{33094DF6-C54E-4CF6-AFEF-9582EF48399A}"/>
    <cellStyle name="Normal 5 8 4" xfId="9417" xr:uid="{B560ACC7-82E2-4A39-BA68-4609915221D5}"/>
    <cellStyle name="Normal 5 9" xfId="1298" xr:uid="{00000000-0005-0000-0000-0000DC1B0000}"/>
    <cellStyle name="Normal 5 9 2" xfId="3528" xr:uid="{00000000-0005-0000-0000-0000DD1B0000}"/>
    <cellStyle name="Normal 5 9 2 2" xfId="7751" xr:uid="{00000000-0005-0000-0000-0000DE1B0000}"/>
    <cellStyle name="Normal 5 9 2 2 2" xfId="16193" xr:uid="{6DB5BE7D-5A0A-40B9-95E0-E6CC5967B537}"/>
    <cellStyle name="Normal 5 9 2 3" xfId="11975" xr:uid="{719AEFF4-F94B-4AB9-974B-95588B6ED580}"/>
    <cellStyle name="Normal 5 9 3" xfId="5606" xr:uid="{00000000-0005-0000-0000-0000DF1B0000}"/>
    <cellStyle name="Normal 5 9 3 2" xfId="14048" xr:uid="{5677742B-8796-4C6D-B5A7-9A691D9AA4EF}"/>
    <cellStyle name="Normal 5 9 4" xfId="9830" xr:uid="{D0F7308E-0D35-481F-AE6F-9AE4A36D4EA3}"/>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6AC094F7-AEE5-4EBC-B7F8-8004F12181BD}"/>
    <cellStyle name="Normal 8 10 2 3" xfId="12865" xr:uid="{8D360B9A-84F9-4B82-BFB0-DCF759004DCF}"/>
    <cellStyle name="Normal 8 10 3" xfId="6496" xr:uid="{00000000-0005-0000-0000-0000EB1B0000}"/>
    <cellStyle name="Normal 8 10 3 2" xfId="14938" xr:uid="{0A803DD5-8D31-4A62-B1DF-2ADBFE14C925}"/>
    <cellStyle name="Normal 8 10 4" xfId="10720" xr:uid="{1836C023-FDDE-4F03-9517-74DA1B26000E}"/>
    <cellStyle name="Normal 8 11" xfId="2625" xr:uid="{00000000-0005-0000-0000-0000EC1B0000}"/>
    <cellStyle name="Normal 8 11 2" xfId="6909" xr:uid="{00000000-0005-0000-0000-0000ED1B0000}"/>
    <cellStyle name="Normal 8 11 2 2" xfId="15351" xr:uid="{2E54ADFF-392A-4691-8B6B-3089640672AD}"/>
    <cellStyle name="Normal 8 11 3" xfId="11133" xr:uid="{CB349CB7-CF0C-41E2-BD2C-0C711D368D37}"/>
    <cellStyle name="Normal 8 12" xfId="4844" xr:uid="{00000000-0005-0000-0000-0000EE1B0000}"/>
    <cellStyle name="Normal 8 12 2" xfId="13286" xr:uid="{2A9795B3-B9BD-4D13-97A0-81CA9F49BED9}"/>
    <cellStyle name="Normal 8 13" xfId="9068" xr:uid="{7594CFC9-1303-45DC-931F-D37D811BD4DC}"/>
    <cellStyle name="Normal 8 2" xfId="479" xr:uid="{00000000-0005-0000-0000-0000EF1B0000}"/>
    <cellStyle name="Normal 8 2 10" xfId="2626" xr:uid="{00000000-0005-0000-0000-0000F01B0000}"/>
    <cellStyle name="Normal 8 2 10 2" xfId="6910" xr:uid="{00000000-0005-0000-0000-0000F11B0000}"/>
    <cellStyle name="Normal 8 2 10 2 2" xfId="15352" xr:uid="{48CD920F-EAF9-4A02-9583-F705EE82BF8C}"/>
    <cellStyle name="Normal 8 2 10 3" xfId="11134" xr:uid="{34900B48-3B14-472D-84A5-838DD09DC1B4}"/>
    <cellStyle name="Normal 8 2 11" xfId="4845" xr:uid="{00000000-0005-0000-0000-0000F21B0000}"/>
    <cellStyle name="Normal 8 2 11 2" xfId="13287" xr:uid="{464B8D27-EB75-4BBB-BB95-1047DB6825E0}"/>
    <cellStyle name="Normal 8 2 12" xfId="9069" xr:uid="{5E73E6AD-DDB6-4E6E-B45F-B3AD04E02468}"/>
    <cellStyle name="Normal 8 2 2" xfId="480" xr:uid="{00000000-0005-0000-0000-0000F31B0000}"/>
    <cellStyle name="Normal 8 2 2 10" xfId="4846" xr:uid="{00000000-0005-0000-0000-0000F41B0000}"/>
    <cellStyle name="Normal 8 2 2 10 2" xfId="13288" xr:uid="{873B1EEA-4541-4164-8C39-48EE0A79B72D}"/>
    <cellStyle name="Normal 8 2 2 11" xfId="9070" xr:uid="{8FEC80B9-8CA1-4A52-9FC5-65888E4170BF}"/>
    <cellStyle name="Normal 8 2 2 2" xfId="481" xr:uid="{00000000-0005-0000-0000-0000F51B0000}"/>
    <cellStyle name="Normal 8 2 2 2 10" xfId="9071" xr:uid="{06FBFC71-39E2-47AE-8D07-C95763C0C0C7}"/>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229EAE01-97B9-441F-9AD5-6F3D6D00178F}"/>
    <cellStyle name="Normal 8 2 2 2 2 2 2 2 3" xfId="11631" xr:uid="{5CFE423E-3E5E-4DA0-899D-33288B51BCAD}"/>
    <cellStyle name="Normal 8 2 2 2 2 2 2 3" xfId="5262" xr:uid="{00000000-0005-0000-0000-0000FB1B0000}"/>
    <cellStyle name="Normal 8 2 2 2 2 2 2 3 2" xfId="13704" xr:uid="{43597075-880F-44C1-B67D-965528724AA2}"/>
    <cellStyle name="Normal 8 2 2 2 2 2 2 4" xfId="9486" xr:uid="{897B53F1-3812-4057-9BE1-CA3606D5DC95}"/>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6D795EB7-9FC6-4A36-85AB-1064D9F8E9FC}"/>
    <cellStyle name="Normal 8 2 2 2 2 2 3 2 3" xfId="12044" xr:uid="{EBE10AE6-A33D-430D-AE43-FE737E904578}"/>
    <cellStyle name="Normal 8 2 2 2 2 2 3 3" xfId="5675" xr:uid="{00000000-0005-0000-0000-0000FF1B0000}"/>
    <cellStyle name="Normal 8 2 2 2 2 2 3 3 2" xfId="14117" xr:uid="{492A9C76-DFD3-43B7-A9BB-3B02CECF6D5B}"/>
    <cellStyle name="Normal 8 2 2 2 2 2 3 4" xfId="9899" xr:uid="{864209D7-4AB9-4B16-B1D9-5837127CB6BD}"/>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E823C201-342C-4FCE-87B4-E8C86B85E689}"/>
    <cellStyle name="Normal 8 2 2 2 2 2 4 2 3" xfId="12457" xr:uid="{54F4F72C-A966-4748-A7CC-A154FC1A8CC5}"/>
    <cellStyle name="Normal 8 2 2 2 2 2 4 3" xfId="6088" xr:uid="{00000000-0005-0000-0000-0000031C0000}"/>
    <cellStyle name="Normal 8 2 2 2 2 2 4 3 2" xfId="14530" xr:uid="{43472449-571E-4C32-AAB0-5A897611C435}"/>
    <cellStyle name="Normal 8 2 2 2 2 2 4 4" xfId="10312" xr:uid="{66B7F800-0E84-4795-86F0-EA3443B7F06D}"/>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8B880E18-DC54-4B6C-BE3C-472FA3A13326}"/>
    <cellStyle name="Normal 8 2 2 2 2 2 5 2 3" xfId="12870" xr:uid="{5D4B7B03-6304-4753-A640-CDB826813133}"/>
    <cellStyle name="Normal 8 2 2 2 2 2 5 3" xfId="6501" xr:uid="{00000000-0005-0000-0000-0000071C0000}"/>
    <cellStyle name="Normal 8 2 2 2 2 2 5 3 2" xfId="14943" xr:uid="{307B2CEA-5B2C-4F47-81F7-127223C1DD08}"/>
    <cellStyle name="Normal 8 2 2 2 2 2 5 4" xfId="10725" xr:uid="{E931CF2C-1499-4093-8738-B28F21593E2F}"/>
    <cellStyle name="Normal 8 2 2 2 2 2 6" xfId="2630" xr:uid="{00000000-0005-0000-0000-0000081C0000}"/>
    <cellStyle name="Normal 8 2 2 2 2 2 6 2" xfId="6914" xr:uid="{00000000-0005-0000-0000-0000091C0000}"/>
    <cellStyle name="Normal 8 2 2 2 2 2 6 2 2" xfId="15356" xr:uid="{7E131B0F-C828-4F84-8DE8-DA583F24E3F1}"/>
    <cellStyle name="Normal 8 2 2 2 2 2 6 3" xfId="11138" xr:uid="{960A7A97-7F5E-4714-88E2-8E7949479CD9}"/>
    <cellStyle name="Normal 8 2 2 2 2 2 7" xfId="4849" xr:uid="{00000000-0005-0000-0000-00000A1C0000}"/>
    <cellStyle name="Normal 8 2 2 2 2 2 7 2" xfId="13291" xr:uid="{E1122C8E-FB06-4A86-A965-693EC3AC6915}"/>
    <cellStyle name="Normal 8 2 2 2 2 2 8" xfId="9073" xr:uid="{8CAA6A90-D008-4B97-8965-59B1D3833D1E}"/>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4B59FEE8-D85F-4E04-8D6C-77507B995552}"/>
    <cellStyle name="Normal 8 2 2 2 2 3 2 3" xfId="11630" xr:uid="{706F1C7E-F31E-4AC7-B480-CA35F1CC8D14}"/>
    <cellStyle name="Normal 8 2 2 2 2 3 3" xfId="5261" xr:uid="{00000000-0005-0000-0000-00000E1C0000}"/>
    <cellStyle name="Normal 8 2 2 2 2 3 3 2" xfId="13703" xr:uid="{47488CF3-3762-47B0-8BE3-214A236AD731}"/>
    <cellStyle name="Normal 8 2 2 2 2 3 4" xfId="9485" xr:uid="{DDEC2FBB-BBDE-49AC-91D6-1DFDEC7B9268}"/>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A329AF12-C0D8-4186-840A-19BD29D910F4}"/>
    <cellStyle name="Normal 8 2 2 2 2 4 2 3" xfId="12043" xr:uid="{1B84ECCE-468A-4A53-ABB1-1BD74AE35F66}"/>
    <cellStyle name="Normal 8 2 2 2 2 4 3" xfId="5674" xr:uid="{00000000-0005-0000-0000-0000121C0000}"/>
    <cellStyle name="Normal 8 2 2 2 2 4 3 2" xfId="14116" xr:uid="{9EF3B380-B8FE-47A8-8183-71A797363107}"/>
    <cellStyle name="Normal 8 2 2 2 2 4 4" xfId="9898" xr:uid="{B0462D8C-9531-4C81-ACD5-32FB9B77D15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14674AAE-8E00-405B-9CA8-EFFF00C96455}"/>
    <cellStyle name="Normal 8 2 2 2 2 5 2 3" xfId="12456" xr:uid="{0F27FB1A-CA80-40F4-85BF-BA56A71805E5}"/>
    <cellStyle name="Normal 8 2 2 2 2 5 3" xfId="6087" xr:uid="{00000000-0005-0000-0000-0000161C0000}"/>
    <cellStyle name="Normal 8 2 2 2 2 5 3 2" xfId="14529" xr:uid="{682573FB-7219-4D59-B36B-68E40C403BAD}"/>
    <cellStyle name="Normal 8 2 2 2 2 5 4" xfId="10311" xr:uid="{78E2B188-A09E-47CB-ACB3-34D36CC0B439}"/>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6849A97F-E4BF-4385-97D1-C4835EFC4F2A}"/>
    <cellStyle name="Normal 8 2 2 2 2 6 2 3" xfId="12869" xr:uid="{C0BC22E8-E118-4BF4-A4F1-01EFFA3D0F19}"/>
    <cellStyle name="Normal 8 2 2 2 2 6 3" xfId="6500" xr:uid="{00000000-0005-0000-0000-00001A1C0000}"/>
    <cellStyle name="Normal 8 2 2 2 2 6 3 2" xfId="14942" xr:uid="{CD9DA46E-2D19-4AAD-818D-83AD08BEAA35}"/>
    <cellStyle name="Normal 8 2 2 2 2 6 4" xfId="10724" xr:uid="{ECF63BCE-B06D-4A96-B7AD-F962D8FF1C75}"/>
    <cellStyle name="Normal 8 2 2 2 2 7" xfId="2629" xr:uid="{00000000-0005-0000-0000-00001B1C0000}"/>
    <cellStyle name="Normal 8 2 2 2 2 7 2" xfId="6913" xr:uid="{00000000-0005-0000-0000-00001C1C0000}"/>
    <cellStyle name="Normal 8 2 2 2 2 7 2 2" xfId="15355" xr:uid="{922A5A4D-5D8D-469B-B335-362905CD0838}"/>
    <cellStyle name="Normal 8 2 2 2 2 7 3" xfId="11137" xr:uid="{FC3B538E-DA05-4835-AC71-8A71B53EE4DF}"/>
    <cellStyle name="Normal 8 2 2 2 2 8" xfId="4848" xr:uid="{00000000-0005-0000-0000-00001D1C0000}"/>
    <cellStyle name="Normal 8 2 2 2 2 8 2" xfId="13290" xr:uid="{F9B3C668-6639-45CE-962B-DBE37326CDA8}"/>
    <cellStyle name="Normal 8 2 2 2 2 9" xfId="9072" xr:uid="{A5138841-82F4-40E6-833D-A700EBF4279C}"/>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DE32C68D-39B4-417E-839A-6E9338652BE5}"/>
    <cellStyle name="Normal 8 2 2 2 3 2 2 3" xfId="11632" xr:uid="{937F8533-5EDD-4B33-93CC-3B3DBEF309E9}"/>
    <cellStyle name="Normal 8 2 2 2 3 2 3" xfId="5263" xr:uid="{00000000-0005-0000-0000-0000221C0000}"/>
    <cellStyle name="Normal 8 2 2 2 3 2 3 2" xfId="13705" xr:uid="{63892C19-14F4-460E-8C6B-074AD27483B5}"/>
    <cellStyle name="Normal 8 2 2 2 3 2 4" xfId="9487" xr:uid="{2F49958A-82EC-42D3-B1A8-15AF006B32CB}"/>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C735BE95-00FD-49B3-8FFE-473BF3F04718}"/>
    <cellStyle name="Normal 8 2 2 2 3 3 2 3" xfId="12045" xr:uid="{ACF660DD-9D5C-42A2-BB35-660B1D3D6E4C}"/>
    <cellStyle name="Normal 8 2 2 2 3 3 3" xfId="5676" xr:uid="{00000000-0005-0000-0000-0000261C0000}"/>
    <cellStyle name="Normal 8 2 2 2 3 3 3 2" xfId="14118" xr:uid="{4DBEB701-A518-4CCD-A1E0-84031E88EECB}"/>
    <cellStyle name="Normal 8 2 2 2 3 3 4" xfId="9900" xr:uid="{64603B80-6D42-4C5D-A59A-4233070BCF3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0FBBAB97-BAF3-4BD1-B360-869D15806DDE}"/>
    <cellStyle name="Normal 8 2 2 2 3 4 2 3" xfId="12458" xr:uid="{6D3F1FE8-9637-47BD-A00B-6E8311AC6D42}"/>
    <cellStyle name="Normal 8 2 2 2 3 4 3" xfId="6089" xr:uid="{00000000-0005-0000-0000-00002A1C0000}"/>
    <cellStyle name="Normal 8 2 2 2 3 4 3 2" xfId="14531" xr:uid="{D8D4ABF6-9312-4283-80F2-9399360F0445}"/>
    <cellStyle name="Normal 8 2 2 2 3 4 4" xfId="10313" xr:uid="{2BB67B57-86C9-44F4-BC37-09F23AB32503}"/>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826EC10B-4368-4860-8C7C-5E7DAF328552}"/>
    <cellStyle name="Normal 8 2 2 2 3 5 2 3" xfId="12871" xr:uid="{BF499FD9-ABA3-4822-9856-EA5B5501435D}"/>
    <cellStyle name="Normal 8 2 2 2 3 5 3" xfId="6502" xr:uid="{00000000-0005-0000-0000-00002E1C0000}"/>
    <cellStyle name="Normal 8 2 2 2 3 5 3 2" xfId="14944" xr:uid="{5979327D-ED33-4ECB-8530-13D8C880C155}"/>
    <cellStyle name="Normal 8 2 2 2 3 5 4" xfId="10726" xr:uid="{655687CB-ABE6-4D0A-AAA3-BE5B9B4E47E6}"/>
    <cellStyle name="Normal 8 2 2 2 3 6" xfId="2631" xr:uid="{00000000-0005-0000-0000-00002F1C0000}"/>
    <cellStyle name="Normal 8 2 2 2 3 6 2" xfId="6915" xr:uid="{00000000-0005-0000-0000-0000301C0000}"/>
    <cellStyle name="Normal 8 2 2 2 3 6 2 2" xfId="15357" xr:uid="{A569DCC5-F613-43C5-902E-4990908EC58C}"/>
    <cellStyle name="Normal 8 2 2 2 3 6 3" xfId="11139" xr:uid="{CC6814DC-A0FD-45F9-B2B6-EA4C4C73AD88}"/>
    <cellStyle name="Normal 8 2 2 2 3 7" xfId="4850" xr:uid="{00000000-0005-0000-0000-0000311C0000}"/>
    <cellStyle name="Normal 8 2 2 2 3 7 2" xfId="13292" xr:uid="{07762A38-F9C2-4D71-B4FD-548468CFD828}"/>
    <cellStyle name="Normal 8 2 2 2 3 8" xfId="9074" xr:uid="{E56D25F7-D65C-4D53-B64F-42978E8E6357}"/>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D67ABBA9-7D5C-44B2-869A-C5724A09DDE7}"/>
    <cellStyle name="Normal 8 2 2 2 4 2 3" xfId="11629" xr:uid="{C12A371F-69A3-41A1-B397-9105EC156475}"/>
    <cellStyle name="Normal 8 2 2 2 4 3" xfId="5260" xr:uid="{00000000-0005-0000-0000-0000351C0000}"/>
    <cellStyle name="Normal 8 2 2 2 4 3 2" xfId="13702" xr:uid="{D0248F91-7DD1-452B-B9A2-8F2A8D21B0DA}"/>
    <cellStyle name="Normal 8 2 2 2 4 4" xfId="9484" xr:uid="{6D429CF6-763C-48AD-8758-466E72F0316E}"/>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96741FE0-6714-463D-93C4-C970063CCC38}"/>
    <cellStyle name="Normal 8 2 2 2 5 2 3" xfId="12042" xr:uid="{312BEA41-45CF-4DDF-85DC-D2CB6E4F8D26}"/>
    <cellStyle name="Normal 8 2 2 2 5 3" xfId="5673" xr:uid="{00000000-0005-0000-0000-0000391C0000}"/>
    <cellStyle name="Normal 8 2 2 2 5 3 2" xfId="14115" xr:uid="{78FB1EDB-D73C-4665-B6C5-24A36F874BD4}"/>
    <cellStyle name="Normal 8 2 2 2 5 4" xfId="9897" xr:uid="{BAC48F34-9F4D-4D66-999A-14BBEB4875D3}"/>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F17C0290-DC41-4975-B0D5-410EEC69BA9D}"/>
    <cellStyle name="Normal 8 2 2 2 6 2 3" xfId="12455" xr:uid="{75AFA403-25B4-42E2-9952-EE4693AB0635}"/>
    <cellStyle name="Normal 8 2 2 2 6 3" xfId="6086" xr:uid="{00000000-0005-0000-0000-00003D1C0000}"/>
    <cellStyle name="Normal 8 2 2 2 6 3 2" xfId="14528" xr:uid="{12F3EED4-AD9C-40DF-859B-7B99A3D0FFE9}"/>
    <cellStyle name="Normal 8 2 2 2 6 4" xfId="10310" xr:uid="{3BCACC12-0EF3-4875-A503-1CDCF6BEB2A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AF035E3F-D429-4215-AF8B-EA11170143BD}"/>
    <cellStyle name="Normal 8 2 2 2 7 2 3" xfId="12868" xr:uid="{F8FCD5A4-8887-4B2D-8ABE-58A6F5C9E236}"/>
    <cellStyle name="Normal 8 2 2 2 7 3" xfId="6499" xr:uid="{00000000-0005-0000-0000-0000411C0000}"/>
    <cellStyle name="Normal 8 2 2 2 7 3 2" xfId="14941" xr:uid="{99DCD8AE-8FDC-460D-A960-27B9331D456D}"/>
    <cellStyle name="Normal 8 2 2 2 7 4" xfId="10723" xr:uid="{63A6FF70-083F-40FF-9255-AA79B1CFCA74}"/>
    <cellStyle name="Normal 8 2 2 2 8" xfId="2628" xr:uid="{00000000-0005-0000-0000-0000421C0000}"/>
    <cellStyle name="Normal 8 2 2 2 8 2" xfId="6912" xr:uid="{00000000-0005-0000-0000-0000431C0000}"/>
    <cellStyle name="Normal 8 2 2 2 8 2 2" xfId="15354" xr:uid="{5EE098FB-48AD-41F5-BE75-23FFAC7D6931}"/>
    <cellStyle name="Normal 8 2 2 2 8 3" xfId="11136" xr:uid="{6B55F514-CE03-492E-AFA5-C640547C0195}"/>
    <cellStyle name="Normal 8 2 2 2 9" xfId="4847" xr:uid="{00000000-0005-0000-0000-0000441C0000}"/>
    <cellStyle name="Normal 8 2 2 2 9 2" xfId="13289" xr:uid="{4629DCD4-B4F4-46FD-B9FA-2377D685D571}"/>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88EF28A5-F538-4B4D-B528-1311277AE651}"/>
    <cellStyle name="Normal 8 2 2 3 2 2 2 3" xfId="11634" xr:uid="{BBE1F78A-319F-4E38-8175-9FC3EEDF7974}"/>
    <cellStyle name="Normal 8 2 2 3 2 2 3" xfId="5265" xr:uid="{00000000-0005-0000-0000-00004A1C0000}"/>
    <cellStyle name="Normal 8 2 2 3 2 2 3 2" xfId="13707" xr:uid="{86ADC8A1-C548-4A74-B625-6C597AD622B8}"/>
    <cellStyle name="Normal 8 2 2 3 2 2 4" xfId="9489" xr:uid="{72CA961A-250E-4208-976E-9130CE00FCFF}"/>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D5D6050A-809E-4CBA-9BEF-E05F468AE5BC}"/>
    <cellStyle name="Normal 8 2 2 3 2 3 2 3" xfId="12047" xr:uid="{B88ABFFE-3356-46F2-835C-E9E180CD6D3D}"/>
    <cellStyle name="Normal 8 2 2 3 2 3 3" xfId="5678" xr:uid="{00000000-0005-0000-0000-00004E1C0000}"/>
    <cellStyle name="Normal 8 2 2 3 2 3 3 2" xfId="14120" xr:uid="{6B3E295A-3178-4F4B-BA1F-633D903BCBEF}"/>
    <cellStyle name="Normal 8 2 2 3 2 3 4" xfId="9902" xr:uid="{FD7EA1A0-E4F1-4258-838D-C302F4B26D8D}"/>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389BC292-4111-4D77-B971-56C6EBDD497D}"/>
    <cellStyle name="Normal 8 2 2 3 2 4 2 3" xfId="12460" xr:uid="{653429D1-1A7E-4806-9D4E-CE14EADE368A}"/>
    <cellStyle name="Normal 8 2 2 3 2 4 3" xfId="6091" xr:uid="{00000000-0005-0000-0000-0000521C0000}"/>
    <cellStyle name="Normal 8 2 2 3 2 4 3 2" xfId="14533" xr:uid="{C7BAA57E-B14A-4C2E-BE1E-5B33FDD5E4DB}"/>
    <cellStyle name="Normal 8 2 2 3 2 4 4" xfId="10315" xr:uid="{898D4D77-33A3-4046-B505-F2B0E5E975D7}"/>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6A0B45CB-4ED5-4B42-AEEB-9A65A4FF1DD8}"/>
    <cellStyle name="Normal 8 2 2 3 2 5 2 3" xfId="12873" xr:uid="{B374391D-AE4D-42C8-9CF4-BA68CCD4C1DC}"/>
    <cellStyle name="Normal 8 2 2 3 2 5 3" xfId="6504" xr:uid="{00000000-0005-0000-0000-0000561C0000}"/>
    <cellStyle name="Normal 8 2 2 3 2 5 3 2" xfId="14946" xr:uid="{245A9BB7-10A8-4B13-AEF1-FF35FA6C200B}"/>
    <cellStyle name="Normal 8 2 2 3 2 5 4" xfId="10728" xr:uid="{4AC70D09-3353-4ABA-9A87-08EE8A8D3452}"/>
    <cellStyle name="Normal 8 2 2 3 2 6" xfId="2633" xr:uid="{00000000-0005-0000-0000-0000571C0000}"/>
    <cellStyle name="Normal 8 2 2 3 2 6 2" xfId="6917" xr:uid="{00000000-0005-0000-0000-0000581C0000}"/>
    <cellStyle name="Normal 8 2 2 3 2 6 2 2" xfId="15359" xr:uid="{E2425DF0-C7FF-4E45-B728-C154DBDFEC28}"/>
    <cellStyle name="Normal 8 2 2 3 2 6 3" xfId="11141" xr:uid="{B41B6C7D-4312-4C48-9079-8DE0D21E8311}"/>
    <cellStyle name="Normal 8 2 2 3 2 7" xfId="4852" xr:uid="{00000000-0005-0000-0000-0000591C0000}"/>
    <cellStyle name="Normal 8 2 2 3 2 7 2" xfId="13294" xr:uid="{E0BD66B0-00E8-4A32-9AF8-74427813942A}"/>
    <cellStyle name="Normal 8 2 2 3 2 8" xfId="9076" xr:uid="{A753684D-3D4A-4872-A57D-34611C8795DA}"/>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0CA259A1-C72B-49C2-ABD3-8F5E33163D60}"/>
    <cellStyle name="Normal 8 2 2 3 3 2 3" xfId="11633" xr:uid="{376133A7-08B4-42AA-B1E7-7B40009550F3}"/>
    <cellStyle name="Normal 8 2 2 3 3 3" xfId="5264" xr:uid="{00000000-0005-0000-0000-00005D1C0000}"/>
    <cellStyle name="Normal 8 2 2 3 3 3 2" xfId="13706" xr:uid="{52FD78B7-4F56-4CAE-9BB9-1077A65F5795}"/>
    <cellStyle name="Normal 8 2 2 3 3 4" xfId="9488" xr:uid="{C14059F4-C9B3-4A4B-B482-2818F41372F7}"/>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00455F2A-F305-4AD5-A181-6E788B4B863E}"/>
    <cellStyle name="Normal 8 2 2 3 4 2 3" xfId="12046" xr:uid="{231FBC5B-22AF-45B5-9676-CB70AEFD6BCE}"/>
    <cellStyle name="Normal 8 2 2 3 4 3" xfId="5677" xr:uid="{00000000-0005-0000-0000-0000611C0000}"/>
    <cellStyle name="Normal 8 2 2 3 4 3 2" xfId="14119" xr:uid="{E9068892-8B5D-4D7C-83A9-28C107A1B4D1}"/>
    <cellStyle name="Normal 8 2 2 3 4 4" xfId="9901" xr:uid="{BF6295D5-0E11-46EA-805B-6615015FF51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3400345F-C4B9-46E8-A1C9-1C0F14360EF9}"/>
    <cellStyle name="Normal 8 2 2 3 5 2 3" xfId="12459" xr:uid="{F7B7B39C-9D8E-4A44-BA9D-0AD12C14D9B2}"/>
    <cellStyle name="Normal 8 2 2 3 5 3" xfId="6090" xr:uid="{00000000-0005-0000-0000-0000651C0000}"/>
    <cellStyle name="Normal 8 2 2 3 5 3 2" xfId="14532" xr:uid="{36FC057F-C5C9-43C8-A421-69CD4760EE48}"/>
    <cellStyle name="Normal 8 2 2 3 5 4" xfId="10314" xr:uid="{241F9B7D-5C7B-4803-98F0-7CF5B9AB50B7}"/>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87078DD0-AEFA-4385-8362-EE2274F8FEBC}"/>
    <cellStyle name="Normal 8 2 2 3 6 2 3" xfId="12872" xr:uid="{5A3E68F4-D7A8-47E1-AE18-45BDC1C0F508}"/>
    <cellStyle name="Normal 8 2 2 3 6 3" xfId="6503" xr:uid="{00000000-0005-0000-0000-0000691C0000}"/>
    <cellStyle name="Normal 8 2 2 3 6 3 2" xfId="14945" xr:uid="{1F965C00-B9C9-4675-A727-191C03F1D9E9}"/>
    <cellStyle name="Normal 8 2 2 3 6 4" xfId="10727" xr:uid="{979031CC-2177-4F96-8195-90C4E91B39BB}"/>
    <cellStyle name="Normal 8 2 2 3 7" xfId="2632" xr:uid="{00000000-0005-0000-0000-00006A1C0000}"/>
    <cellStyle name="Normal 8 2 2 3 7 2" xfId="6916" xr:uid="{00000000-0005-0000-0000-00006B1C0000}"/>
    <cellStyle name="Normal 8 2 2 3 7 2 2" xfId="15358" xr:uid="{F3333FF5-6A42-4662-80E0-7A891EE9585D}"/>
    <cellStyle name="Normal 8 2 2 3 7 3" xfId="11140" xr:uid="{3E96A13A-3A2D-49B0-A0AD-84157E8BEFEA}"/>
    <cellStyle name="Normal 8 2 2 3 8" xfId="4851" xr:uid="{00000000-0005-0000-0000-00006C1C0000}"/>
    <cellStyle name="Normal 8 2 2 3 8 2" xfId="13293" xr:uid="{BC2DC17A-380F-4453-ADEA-4045B84F5C26}"/>
    <cellStyle name="Normal 8 2 2 3 9" xfId="9075" xr:uid="{49B1FB65-FEFD-4A52-9095-40FECC678EB4}"/>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8F248B12-2F60-47E4-82D2-90439ACEFA44}"/>
    <cellStyle name="Normal 8 2 2 4 2 2 3" xfId="11635" xr:uid="{D9CEBC1F-E26A-4E81-B86F-08AD8672FA29}"/>
    <cellStyle name="Normal 8 2 2 4 2 3" xfId="5266" xr:uid="{00000000-0005-0000-0000-0000711C0000}"/>
    <cellStyle name="Normal 8 2 2 4 2 3 2" xfId="13708" xr:uid="{5FADF93B-68F0-40DC-8877-8B4258E33364}"/>
    <cellStyle name="Normal 8 2 2 4 2 4" xfId="9490" xr:uid="{DD09690A-6DE5-4D8D-95C4-258E10C80FFD}"/>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49348255-BAEB-420D-83BE-0F3A22DDCD02}"/>
    <cellStyle name="Normal 8 2 2 4 3 2 3" xfId="12048" xr:uid="{E2A5E000-AED6-43D3-A2B0-CAE25BAF1B45}"/>
    <cellStyle name="Normal 8 2 2 4 3 3" xfId="5679" xr:uid="{00000000-0005-0000-0000-0000751C0000}"/>
    <cellStyle name="Normal 8 2 2 4 3 3 2" xfId="14121" xr:uid="{C50AEBE4-665C-4C06-A0D4-39F5E1FC9758}"/>
    <cellStyle name="Normal 8 2 2 4 3 4" xfId="9903" xr:uid="{79A4556B-9D4B-457D-9284-A2F802CCD56E}"/>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C229F0B7-85BE-4EFC-8E6C-F6643C8B08EC}"/>
    <cellStyle name="Normal 8 2 2 4 4 2 3" xfId="12461" xr:uid="{8F2AF1B9-5F63-4070-87C4-5A0C7D1364AB}"/>
    <cellStyle name="Normal 8 2 2 4 4 3" xfId="6092" xr:uid="{00000000-0005-0000-0000-0000791C0000}"/>
    <cellStyle name="Normal 8 2 2 4 4 3 2" xfId="14534" xr:uid="{94E0924A-3F13-43E0-8010-825093E1981B}"/>
    <cellStyle name="Normal 8 2 2 4 4 4" xfId="10316" xr:uid="{68D0D2D9-123D-40A7-9E38-1CC067CDBE98}"/>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E8EC147A-C4C6-4E50-8116-B85983D51CD3}"/>
    <cellStyle name="Normal 8 2 2 4 5 2 3" xfId="12874" xr:uid="{6116C087-0446-43F7-9D8D-068567A82582}"/>
    <cellStyle name="Normal 8 2 2 4 5 3" xfId="6505" xr:uid="{00000000-0005-0000-0000-00007D1C0000}"/>
    <cellStyle name="Normal 8 2 2 4 5 3 2" xfId="14947" xr:uid="{70FC1A91-3CC3-451E-AF52-32B04BF3D002}"/>
    <cellStyle name="Normal 8 2 2 4 5 4" xfId="10729" xr:uid="{7ED17D27-29DE-4BB3-9A74-C7026225E562}"/>
    <cellStyle name="Normal 8 2 2 4 6" xfId="2634" xr:uid="{00000000-0005-0000-0000-00007E1C0000}"/>
    <cellStyle name="Normal 8 2 2 4 6 2" xfId="6918" xr:uid="{00000000-0005-0000-0000-00007F1C0000}"/>
    <cellStyle name="Normal 8 2 2 4 6 2 2" xfId="15360" xr:uid="{5581591B-241A-4E8C-A739-C9A5C67A2DE2}"/>
    <cellStyle name="Normal 8 2 2 4 6 3" xfId="11142" xr:uid="{7A024679-1444-4411-BDD9-5643642ACF75}"/>
    <cellStyle name="Normal 8 2 2 4 7" xfId="4853" xr:uid="{00000000-0005-0000-0000-0000801C0000}"/>
    <cellStyle name="Normal 8 2 2 4 7 2" xfId="13295" xr:uid="{11B36DF1-5D3F-48F1-A32C-E91AFB13E776}"/>
    <cellStyle name="Normal 8 2 2 4 8" xfId="9077" xr:uid="{2F1E01B0-47BB-44C0-92FE-838FF691C135}"/>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D6D52081-03B1-41F3-B741-92DFB42009BD}"/>
    <cellStyle name="Normal 8 2 2 5 2 3" xfId="11628" xr:uid="{F344D6DC-0A38-42D1-9FE5-736DB77CA20A}"/>
    <cellStyle name="Normal 8 2 2 5 3" xfId="5259" xr:uid="{00000000-0005-0000-0000-0000841C0000}"/>
    <cellStyle name="Normal 8 2 2 5 3 2" xfId="13701" xr:uid="{48005288-3EF9-4124-8685-423659F7A146}"/>
    <cellStyle name="Normal 8 2 2 5 4" xfId="9483" xr:uid="{D701316D-B159-45D0-B1BE-047D5081DF0F}"/>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3FB3023-9FE1-45E1-BE4B-830656A983A3}"/>
    <cellStyle name="Normal 8 2 2 6 2 3" xfId="12041" xr:uid="{24236202-4F19-4D65-809F-E1AA8E8C3883}"/>
    <cellStyle name="Normal 8 2 2 6 3" xfId="5672" xr:uid="{00000000-0005-0000-0000-0000881C0000}"/>
    <cellStyle name="Normal 8 2 2 6 3 2" xfId="14114" xr:uid="{62956D83-8926-425B-B84B-DEC35F035E2E}"/>
    <cellStyle name="Normal 8 2 2 6 4" xfId="9896" xr:uid="{BA513C03-01F8-4BB3-B634-E5F6F005DD2D}"/>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62374BAF-01DB-4462-9826-0EB8381D2983}"/>
    <cellStyle name="Normal 8 2 2 7 2 3" xfId="12454" xr:uid="{4C945B92-F1BA-4E78-B129-625115B75EC5}"/>
    <cellStyle name="Normal 8 2 2 7 3" xfId="6085" xr:uid="{00000000-0005-0000-0000-00008C1C0000}"/>
    <cellStyle name="Normal 8 2 2 7 3 2" xfId="14527" xr:uid="{160D9D50-793D-4D25-A9E4-0B76741A27C8}"/>
    <cellStyle name="Normal 8 2 2 7 4" xfId="10309" xr:uid="{222A7B9D-CDFA-491A-BFA0-A349A3A7E159}"/>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C0CAAB06-3B5A-4586-9379-E7A1BB6434B2}"/>
    <cellStyle name="Normal 8 2 2 8 2 3" xfId="12867" xr:uid="{821F27DE-56F4-481B-99C9-F8D60F983F1C}"/>
    <cellStyle name="Normal 8 2 2 8 3" xfId="6498" xr:uid="{00000000-0005-0000-0000-0000901C0000}"/>
    <cellStyle name="Normal 8 2 2 8 3 2" xfId="14940" xr:uid="{B8B56005-8A7B-43BF-9C28-F2D07119D566}"/>
    <cellStyle name="Normal 8 2 2 8 4" xfId="10722" xr:uid="{7A2A1895-62B9-410B-92CA-A4C83266981D}"/>
    <cellStyle name="Normal 8 2 2 9" xfId="2627" xr:uid="{00000000-0005-0000-0000-0000911C0000}"/>
    <cellStyle name="Normal 8 2 2 9 2" xfId="6911" xr:uid="{00000000-0005-0000-0000-0000921C0000}"/>
    <cellStyle name="Normal 8 2 2 9 2 2" xfId="15353" xr:uid="{5A85884B-FB9D-4649-BDF2-DD6136DCDBD4}"/>
    <cellStyle name="Normal 8 2 2 9 3" xfId="11135" xr:uid="{B2592273-1714-4B8A-8233-A80B395DF442}"/>
    <cellStyle name="Normal 8 2 3" xfId="488" xr:uid="{00000000-0005-0000-0000-0000931C0000}"/>
    <cellStyle name="Normal 8 2 3 10" xfId="9078" xr:uid="{9E9A2239-5958-445C-8245-F3075B7BB96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9C38724D-E699-4BB8-A9F1-4CA369ED3189}"/>
    <cellStyle name="Normal 8 2 3 2 2 2 2 3" xfId="11638" xr:uid="{CCDBC702-14AD-4504-BEEB-26E58633F0F4}"/>
    <cellStyle name="Normal 8 2 3 2 2 2 3" xfId="5269" xr:uid="{00000000-0005-0000-0000-0000991C0000}"/>
    <cellStyle name="Normal 8 2 3 2 2 2 3 2" xfId="13711" xr:uid="{8FFB2015-D849-4AE1-B06A-CDE9B28B9EA8}"/>
    <cellStyle name="Normal 8 2 3 2 2 2 4" xfId="9493" xr:uid="{FA381C36-B55C-46D4-85F4-2119FD4783FA}"/>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0D65C463-4567-4D55-896F-A7EEA27BA294}"/>
    <cellStyle name="Normal 8 2 3 2 2 3 2 3" xfId="12051" xr:uid="{2FCCEF33-A05D-4A01-9053-CF49FF4DB7A8}"/>
    <cellStyle name="Normal 8 2 3 2 2 3 3" xfId="5682" xr:uid="{00000000-0005-0000-0000-00009D1C0000}"/>
    <cellStyle name="Normal 8 2 3 2 2 3 3 2" xfId="14124" xr:uid="{2D40C418-DC11-4800-B22A-7D04B4292A0B}"/>
    <cellStyle name="Normal 8 2 3 2 2 3 4" xfId="9906" xr:uid="{0CE0F9F9-4F60-4CBE-9EA1-1BFAB1CB86B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784C852D-CB0C-464B-B6BC-D9BC0E976863}"/>
    <cellStyle name="Normal 8 2 3 2 2 4 2 3" xfId="12464" xr:uid="{64CBDC2E-BC8F-486A-8AFD-C367FD1898C8}"/>
    <cellStyle name="Normal 8 2 3 2 2 4 3" xfId="6095" xr:uid="{00000000-0005-0000-0000-0000A11C0000}"/>
    <cellStyle name="Normal 8 2 3 2 2 4 3 2" xfId="14537" xr:uid="{D1DD822D-8EAB-464B-9CBD-56016978C997}"/>
    <cellStyle name="Normal 8 2 3 2 2 4 4" xfId="10319" xr:uid="{95CE741B-AAE3-45F6-B771-A1FF4751C65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B9CD30A0-8C2A-4CF9-BA9F-D6E7F2761DF2}"/>
    <cellStyle name="Normal 8 2 3 2 2 5 2 3" xfId="12877" xr:uid="{8A92AE48-5DC3-4EDD-8DFD-0FBFDA6ED3F5}"/>
    <cellStyle name="Normal 8 2 3 2 2 5 3" xfId="6508" xr:uid="{00000000-0005-0000-0000-0000A51C0000}"/>
    <cellStyle name="Normal 8 2 3 2 2 5 3 2" xfId="14950" xr:uid="{06112464-84D1-42BB-B7E8-69989D523472}"/>
    <cellStyle name="Normal 8 2 3 2 2 5 4" xfId="10732" xr:uid="{D77DFA3B-7D53-4763-9834-E38DA31784A4}"/>
    <cellStyle name="Normal 8 2 3 2 2 6" xfId="2637" xr:uid="{00000000-0005-0000-0000-0000A61C0000}"/>
    <cellStyle name="Normal 8 2 3 2 2 6 2" xfId="6921" xr:uid="{00000000-0005-0000-0000-0000A71C0000}"/>
    <cellStyle name="Normal 8 2 3 2 2 6 2 2" xfId="15363" xr:uid="{8BA3ABF3-2623-47C4-BAF8-9B97504B9004}"/>
    <cellStyle name="Normal 8 2 3 2 2 6 3" xfId="11145" xr:uid="{EAA6CF2E-67CF-47F8-A44E-D160B0CA96E3}"/>
    <cellStyle name="Normal 8 2 3 2 2 7" xfId="4856" xr:uid="{00000000-0005-0000-0000-0000A81C0000}"/>
    <cellStyle name="Normal 8 2 3 2 2 7 2" xfId="13298" xr:uid="{BBDD4AB0-1D5B-4234-B6EF-99AF79A915EF}"/>
    <cellStyle name="Normal 8 2 3 2 2 8" xfId="9080" xr:uid="{6465ACBB-CD16-45CA-89DC-BC7552E2CE6A}"/>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2D0A52A6-D400-4B5D-AAF8-1E5FC18C4519}"/>
    <cellStyle name="Normal 8 2 3 2 3 2 3" xfId="11637" xr:uid="{AA5AA3F2-D5C3-42F9-B2E1-3290A4CC97D6}"/>
    <cellStyle name="Normal 8 2 3 2 3 3" xfId="5268" xr:uid="{00000000-0005-0000-0000-0000AC1C0000}"/>
    <cellStyle name="Normal 8 2 3 2 3 3 2" xfId="13710" xr:uid="{83381877-F32B-4B2E-8DEA-35D0CBEA354A}"/>
    <cellStyle name="Normal 8 2 3 2 3 4" xfId="9492" xr:uid="{08D90F9B-C9EF-480B-B3F2-BEFF48E2B572}"/>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7A9731E0-2CD9-44BA-BF8B-52BBEEF1606A}"/>
    <cellStyle name="Normal 8 2 3 2 4 2 3" xfId="12050" xr:uid="{093551A2-8E89-46B3-97E4-28E9866B0FEE}"/>
    <cellStyle name="Normal 8 2 3 2 4 3" xfId="5681" xr:uid="{00000000-0005-0000-0000-0000B01C0000}"/>
    <cellStyle name="Normal 8 2 3 2 4 3 2" xfId="14123" xr:uid="{4FC402ED-B7F0-4D43-A55B-1173DAD29F81}"/>
    <cellStyle name="Normal 8 2 3 2 4 4" xfId="9905" xr:uid="{B481DF5E-E7A8-40DC-88F6-30882184C536}"/>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22771F93-AC0B-4A66-A29D-18C83CDB10FB}"/>
    <cellStyle name="Normal 8 2 3 2 5 2 3" xfId="12463" xr:uid="{0FB7A5F6-40AB-43D7-9CE6-61D5ABDD6AB2}"/>
    <cellStyle name="Normal 8 2 3 2 5 3" xfId="6094" xr:uid="{00000000-0005-0000-0000-0000B41C0000}"/>
    <cellStyle name="Normal 8 2 3 2 5 3 2" xfId="14536" xr:uid="{A6B34BE0-FBCE-45FE-99C5-0F2942912407}"/>
    <cellStyle name="Normal 8 2 3 2 5 4" xfId="10318" xr:uid="{75BF2193-FD9B-4EE4-8116-4D2B53AF71B7}"/>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A25E0C2C-EFEB-41D1-A51B-2E418DB21345}"/>
    <cellStyle name="Normal 8 2 3 2 6 2 3" xfId="12876" xr:uid="{827ED97D-A4F9-4780-B2C2-FD56BA47E672}"/>
    <cellStyle name="Normal 8 2 3 2 6 3" xfId="6507" xr:uid="{00000000-0005-0000-0000-0000B81C0000}"/>
    <cellStyle name="Normal 8 2 3 2 6 3 2" xfId="14949" xr:uid="{9ABD2899-AA19-4B45-A649-92FA9640B358}"/>
    <cellStyle name="Normal 8 2 3 2 6 4" xfId="10731" xr:uid="{8AE2F659-E172-44FC-8F98-FC902BF44176}"/>
    <cellStyle name="Normal 8 2 3 2 7" xfId="2636" xr:uid="{00000000-0005-0000-0000-0000B91C0000}"/>
    <cellStyle name="Normal 8 2 3 2 7 2" xfId="6920" xr:uid="{00000000-0005-0000-0000-0000BA1C0000}"/>
    <cellStyle name="Normal 8 2 3 2 7 2 2" xfId="15362" xr:uid="{BFD490E4-A379-4737-BD4E-8D6B1521F408}"/>
    <cellStyle name="Normal 8 2 3 2 7 3" xfId="11144" xr:uid="{6EE7245A-8352-425E-A8F2-F5CE603EF292}"/>
    <cellStyle name="Normal 8 2 3 2 8" xfId="4855" xr:uid="{00000000-0005-0000-0000-0000BB1C0000}"/>
    <cellStyle name="Normal 8 2 3 2 8 2" xfId="13297" xr:uid="{5A17DC0A-B35E-4F11-9D38-A25394A93C70}"/>
    <cellStyle name="Normal 8 2 3 2 9" xfId="9079" xr:uid="{A82DFDE0-7C79-437A-AE84-8FB8A2865E61}"/>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B285600C-50CF-486F-B8F1-1FEA8A072924}"/>
    <cellStyle name="Normal 8 2 3 3 2 2 3" xfId="11639" xr:uid="{5436D677-5777-4B06-9A70-AB363824CFD9}"/>
    <cellStyle name="Normal 8 2 3 3 2 3" xfId="5270" xr:uid="{00000000-0005-0000-0000-0000C01C0000}"/>
    <cellStyle name="Normal 8 2 3 3 2 3 2" xfId="13712" xr:uid="{AB258AF5-279E-42DB-ADA2-97B311D88F64}"/>
    <cellStyle name="Normal 8 2 3 3 2 4" xfId="9494" xr:uid="{1A647203-52DB-462A-9764-F65DEB355582}"/>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9387AB1B-1D25-4484-B1BF-4BFDBE3DA932}"/>
    <cellStyle name="Normal 8 2 3 3 3 2 3" xfId="12052" xr:uid="{7814CB70-E336-4A52-A0CC-23AB8A416F29}"/>
    <cellStyle name="Normal 8 2 3 3 3 3" xfId="5683" xr:uid="{00000000-0005-0000-0000-0000C41C0000}"/>
    <cellStyle name="Normal 8 2 3 3 3 3 2" xfId="14125" xr:uid="{B77533E8-4994-42DE-AC38-457F5CCA7C76}"/>
    <cellStyle name="Normal 8 2 3 3 3 4" xfId="9907" xr:uid="{8C2359EF-73A8-488D-B858-73B31271F4DD}"/>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21384A02-C0ED-4630-A70D-357E62C03E09}"/>
    <cellStyle name="Normal 8 2 3 3 4 2 3" xfId="12465" xr:uid="{3FA3A65E-10C3-4CF2-9E0D-6A6E62A77FB8}"/>
    <cellStyle name="Normal 8 2 3 3 4 3" xfId="6096" xr:uid="{00000000-0005-0000-0000-0000C81C0000}"/>
    <cellStyle name="Normal 8 2 3 3 4 3 2" xfId="14538" xr:uid="{792A3719-9C3B-4E16-8278-6AC5D65917E7}"/>
    <cellStyle name="Normal 8 2 3 3 4 4" xfId="10320" xr:uid="{26CDAE39-622D-42A8-BFD9-979069F34EEC}"/>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0C593B3B-3AC1-4ADC-A3CB-48A58A244449}"/>
    <cellStyle name="Normal 8 2 3 3 5 2 3" xfId="12878" xr:uid="{849488DD-70CF-4E3C-95CA-9B538E9E7AA9}"/>
    <cellStyle name="Normal 8 2 3 3 5 3" xfId="6509" xr:uid="{00000000-0005-0000-0000-0000CC1C0000}"/>
    <cellStyle name="Normal 8 2 3 3 5 3 2" xfId="14951" xr:uid="{77564AAB-119A-4876-899A-CC3FCDAA6253}"/>
    <cellStyle name="Normal 8 2 3 3 5 4" xfId="10733" xr:uid="{B20CA026-42D6-493C-A52C-45CEF741E62F}"/>
    <cellStyle name="Normal 8 2 3 3 6" xfId="2638" xr:uid="{00000000-0005-0000-0000-0000CD1C0000}"/>
    <cellStyle name="Normal 8 2 3 3 6 2" xfId="6922" xr:uid="{00000000-0005-0000-0000-0000CE1C0000}"/>
    <cellStyle name="Normal 8 2 3 3 6 2 2" xfId="15364" xr:uid="{41FB2ED0-0CA4-471A-AA92-D1C346914F3D}"/>
    <cellStyle name="Normal 8 2 3 3 6 3" xfId="11146" xr:uid="{A4541B19-5379-446E-AADE-F77C827D0136}"/>
    <cellStyle name="Normal 8 2 3 3 7" xfId="4857" xr:uid="{00000000-0005-0000-0000-0000CF1C0000}"/>
    <cellStyle name="Normal 8 2 3 3 7 2" xfId="13299" xr:uid="{D5C04D45-E50D-4721-97C7-34E7B2EB23E6}"/>
    <cellStyle name="Normal 8 2 3 3 8" xfId="9081" xr:uid="{7CA1065B-4474-4596-967C-5B814A6191FA}"/>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68AA9A06-782C-4B5C-85BE-729E0D4C9C0F}"/>
    <cellStyle name="Normal 8 2 3 4 2 3" xfId="11636" xr:uid="{BFC686D0-CD4F-4E38-9778-D81383811FC4}"/>
    <cellStyle name="Normal 8 2 3 4 3" xfId="5267" xr:uid="{00000000-0005-0000-0000-0000D31C0000}"/>
    <cellStyle name="Normal 8 2 3 4 3 2" xfId="13709" xr:uid="{5CA04CAD-BD76-4816-AF52-A462F7FA04CA}"/>
    <cellStyle name="Normal 8 2 3 4 4" xfId="9491" xr:uid="{7947AC65-BBAF-43D5-B97D-9A132A0E6A8E}"/>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92641EA8-418B-47F3-987B-2CAA365ADB25}"/>
    <cellStyle name="Normal 8 2 3 5 2 3" xfId="12049" xr:uid="{1FC537A4-B769-4DDC-BED7-DCA3032B66A6}"/>
    <cellStyle name="Normal 8 2 3 5 3" xfId="5680" xr:uid="{00000000-0005-0000-0000-0000D71C0000}"/>
    <cellStyle name="Normal 8 2 3 5 3 2" xfId="14122" xr:uid="{C08C2492-CFE4-4D36-BF1A-3E15563C58E4}"/>
    <cellStyle name="Normal 8 2 3 5 4" xfId="9904" xr:uid="{93D587A1-9E32-4D2C-BDF6-FB1AAA0F5809}"/>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7EE6BFF5-03E6-4A42-91EF-99937680CC31}"/>
    <cellStyle name="Normal 8 2 3 6 2 3" xfId="12462" xr:uid="{42B577B7-9AB4-4CF0-8750-8246AE824D5B}"/>
    <cellStyle name="Normal 8 2 3 6 3" xfId="6093" xr:uid="{00000000-0005-0000-0000-0000DB1C0000}"/>
    <cellStyle name="Normal 8 2 3 6 3 2" xfId="14535" xr:uid="{3E610608-8451-4FDA-878E-0D19A9AD768C}"/>
    <cellStyle name="Normal 8 2 3 6 4" xfId="10317" xr:uid="{F4690D8D-7284-4520-AC87-C8E2CEBB5F2A}"/>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72D835E8-0F28-491C-8B07-E90000A8A04C}"/>
    <cellStyle name="Normal 8 2 3 7 2 3" xfId="12875" xr:uid="{9388F1AD-0788-4876-BDBF-7B806BA5FF0A}"/>
    <cellStyle name="Normal 8 2 3 7 3" xfId="6506" xr:uid="{00000000-0005-0000-0000-0000DF1C0000}"/>
    <cellStyle name="Normal 8 2 3 7 3 2" xfId="14948" xr:uid="{6679AE1C-8BA8-4253-B69D-5A4BD0AECD41}"/>
    <cellStyle name="Normal 8 2 3 7 4" xfId="10730" xr:uid="{EAD24452-96F9-4C06-85B7-3E2F05C2A331}"/>
    <cellStyle name="Normal 8 2 3 8" xfId="2635" xr:uid="{00000000-0005-0000-0000-0000E01C0000}"/>
    <cellStyle name="Normal 8 2 3 8 2" xfId="6919" xr:uid="{00000000-0005-0000-0000-0000E11C0000}"/>
    <cellStyle name="Normal 8 2 3 8 2 2" xfId="15361" xr:uid="{6B08F035-2040-4B3C-863F-79B1696076E9}"/>
    <cellStyle name="Normal 8 2 3 8 3" xfId="11143" xr:uid="{A23D82F8-1D7F-429D-A6CF-5F4E481B0D86}"/>
    <cellStyle name="Normal 8 2 3 9" xfId="4854" xr:uid="{00000000-0005-0000-0000-0000E21C0000}"/>
    <cellStyle name="Normal 8 2 3 9 2" xfId="13296" xr:uid="{D5882046-8164-4E6F-8DC8-712992EA5FA9}"/>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A63C2ADB-C487-4E90-8615-9F712BC2ADB7}"/>
    <cellStyle name="Normal 8 2 4 2 2 2 3" xfId="11641" xr:uid="{FA2C329B-73D3-4FFA-A32F-8C42ABC12E07}"/>
    <cellStyle name="Normal 8 2 4 2 2 3" xfId="5272" xr:uid="{00000000-0005-0000-0000-0000E81C0000}"/>
    <cellStyle name="Normal 8 2 4 2 2 3 2" xfId="13714" xr:uid="{CB186A04-9E4D-43E6-910C-A7C9A76CF4E8}"/>
    <cellStyle name="Normal 8 2 4 2 2 4" xfId="9496" xr:uid="{9C5E5178-AEB3-4B90-90AB-371C6A8501D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4D03AB5E-A92E-490E-830D-7CDD81F54D6B}"/>
    <cellStyle name="Normal 8 2 4 2 3 2 3" xfId="12054" xr:uid="{4BF4A295-B07D-4212-B0B2-EDCD957F4B47}"/>
    <cellStyle name="Normal 8 2 4 2 3 3" xfId="5685" xr:uid="{00000000-0005-0000-0000-0000EC1C0000}"/>
    <cellStyle name="Normal 8 2 4 2 3 3 2" xfId="14127" xr:uid="{BA1C9758-90F2-4225-8ACC-7EA13BD863C9}"/>
    <cellStyle name="Normal 8 2 4 2 3 4" xfId="9909" xr:uid="{8D9AB9D3-1030-461E-9DE8-F2B7EA0B62CC}"/>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1614B60D-9382-4D7E-A333-62EA35C61124}"/>
    <cellStyle name="Normal 8 2 4 2 4 2 3" xfId="12467" xr:uid="{BD9EB5EA-9205-4D6D-A9AA-0CA2402EA398}"/>
    <cellStyle name="Normal 8 2 4 2 4 3" xfId="6098" xr:uid="{00000000-0005-0000-0000-0000F01C0000}"/>
    <cellStyle name="Normal 8 2 4 2 4 3 2" xfId="14540" xr:uid="{1CD95E8A-0E45-4AB3-A8F9-D5F88A3308DA}"/>
    <cellStyle name="Normal 8 2 4 2 4 4" xfId="10322" xr:uid="{9D063F9C-A395-4A07-9B40-C0DF4ACEA9A8}"/>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3F8FF2EF-4260-41ED-973B-4CB4637429EF}"/>
    <cellStyle name="Normal 8 2 4 2 5 2 3" xfId="12880" xr:uid="{E63FE962-F472-45CD-834F-FAEACE159FE7}"/>
    <cellStyle name="Normal 8 2 4 2 5 3" xfId="6511" xr:uid="{00000000-0005-0000-0000-0000F41C0000}"/>
    <cellStyle name="Normal 8 2 4 2 5 3 2" xfId="14953" xr:uid="{2187ED4B-64D9-4D92-B06C-1E673CE4905C}"/>
    <cellStyle name="Normal 8 2 4 2 5 4" xfId="10735" xr:uid="{DFEF5590-2A0A-4F84-BDA1-013EAC0561B6}"/>
    <cellStyle name="Normal 8 2 4 2 6" xfId="2640" xr:uid="{00000000-0005-0000-0000-0000F51C0000}"/>
    <cellStyle name="Normal 8 2 4 2 6 2" xfId="6924" xr:uid="{00000000-0005-0000-0000-0000F61C0000}"/>
    <cellStyle name="Normal 8 2 4 2 6 2 2" xfId="15366" xr:uid="{925B8279-C0F7-4110-84E9-674D749627CB}"/>
    <cellStyle name="Normal 8 2 4 2 6 3" xfId="11148" xr:uid="{205A4A48-0BD6-415A-BEAF-F8E428E9D683}"/>
    <cellStyle name="Normal 8 2 4 2 7" xfId="4859" xr:uid="{00000000-0005-0000-0000-0000F71C0000}"/>
    <cellStyle name="Normal 8 2 4 2 7 2" xfId="13301" xr:uid="{38EEB941-FBB7-483E-A481-D775EDF3A5B4}"/>
    <cellStyle name="Normal 8 2 4 2 8" xfId="9083" xr:uid="{37366A84-6063-43EA-A945-630602FE46F7}"/>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55E9F367-CF36-47A8-B9C5-44455A3387DD}"/>
    <cellStyle name="Normal 8 2 4 3 2 3" xfId="11640" xr:uid="{0771B848-526B-485E-9690-F75AC0003933}"/>
    <cellStyle name="Normal 8 2 4 3 3" xfId="5271" xr:uid="{00000000-0005-0000-0000-0000FB1C0000}"/>
    <cellStyle name="Normal 8 2 4 3 3 2" xfId="13713" xr:uid="{043EFD6A-CEE7-47E2-ADC8-3C927EE15557}"/>
    <cellStyle name="Normal 8 2 4 3 4" xfId="9495" xr:uid="{2922A859-1378-4BCA-9A95-E39FEAD48428}"/>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A8ED3294-D3BE-4B96-9F93-F3E58DA52925}"/>
    <cellStyle name="Normal 8 2 4 4 2 3" xfId="12053" xr:uid="{5FCBFFA2-05B8-46AF-B972-4AA8C365B1B4}"/>
    <cellStyle name="Normal 8 2 4 4 3" xfId="5684" xr:uid="{00000000-0005-0000-0000-0000FF1C0000}"/>
    <cellStyle name="Normal 8 2 4 4 3 2" xfId="14126" xr:uid="{7660B3E7-510D-4791-9CC5-D60F523682CE}"/>
    <cellStyle name="Normal 8 2 4 4 4" xfId="9908" xr:uid="{3349D25E-75A1-4095-A938-FF80E2E24FA7}"/>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6A0DDB11-65FA-4B30-A817-A80C8D489C62}"/>
    <cellStyle name="Normal 8 2 4 5 2 3" xfId="12466" xr:uid="{986F7B02-5DED-44EA-9B46-C490038D1A94}"/>
    <cellStyle name="Normal 8 2 4 5 3" xfId="6097" xr:uid="{00000000-0005-0000-0000-0000031D0000}"/>
    <cellStyle name="Normal 8 2 4 5 3 2" xfId="14539" xr:uid="{D9AB7B20-0435-4247-8EE6-F5F2768A6FDE}"/>
    <cellStyle name="Normal 8 2 4 5 4" xfId="10321" xr:uid="{0F581D13-9CB9-46B7-A7CD-5629E987EF0C}"/>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CC5C3F59-5FD8-42F7-8533-B1B37E065C04}"/>
    <cellStyle name="Normal 8 2 4 6 2 3" xfId="12879" xr:uid="{EB33A355-B088-4161-8BEE-A7B21B7F98E5}"/>
    <cellStyle name="Normal 8 2 4 6 3" xfId="6510" xr:uid="{00000000-0005-0000-0000-0000071D0000}"/>
    <cellStyle name="Normal 8 2 4 6 3 2" xfId="14952" xr:uid="{ED24F860-A139-47E8-B0CD-6D59B7FEA4C1}"/>
    <cellStyle name="Normal 8 2 4 6 4" xfId="10734" xr:uid="{3BC9B211-4735-4318-95D1-88B1903E0B6F}"/>
    <cellStyle name="Normal 8 2 4 7" xfId="2639" xr:uid="{00000000-0005-0000-0000-0000081D0000}"/>
    <cellStyle name="Normal 8 2 4 7 2" xfId="6923" xr:uid="{00000000-0005-0000-0000-0000091D0000}"/>
    <cellStyle name="Normal 8 2 4 7 2 2" xfId="15365" xr:uid="{C21B2A3D-F9F0-4725-B771-119D5D3E87B8}"/>
    <cellStyle name="Normal 8 2 4 7 3" xfId="11147" xr:uid="{1F19D22E-57CE-43DB-B429-41DECD14A052}"/>
    <cellStyle name="Normal 8 2 4 8" xfId="4858" xr:uid="{00000000-0005-0000-0000-00000A1D0000}"/>
    <cellStyle name="Normal 8 2 4 8 2" xfId="13300" xr:uid="{0992D31F-6E08-4017-A328-00524F9C7D5A}"/>
    <cellStyle name="Normal 8 2 4 9" xfId="9082" xr:uid="{3D548F91-E740-460E-BD22-DDE25D825C0C}"/>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8E256DF6-40A0-479B-802B-65F9AB4C3692}"/>
    <cellStyle name="Normal 8 2 5 2 2 3" xfId="11642" xr:uid="{3E0335B9-19AF-4AB1-B9E4-369A54482543}"/>
    <cellStyle name="Normal 8 2 5 2 3" xfId="5273" xr:uid="{00000000-0005-0000-0000-00000F1D0000}"/>
    <cellStyle name="Normal 8 2 5 2 3 2" xfId="13715" xr:uid="{6CC7D156-CCC2-43F4-9B0B-09B41378CFC8}"/>
    <cellStyle name="Normal 8 2 5 2 4" xfId="9497" xr:uid="{7AEFC4F1-AC2E-4953-BF7E-8DB1C75053C7}"/>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F1BCA987-7F40-492A-B148-626089FDE992}"/>
    <cellStyle name="Normal 8 2 5 3 2 3" xfId="12055" xr:uid="{37AC673F-85BA-4A1D-A724-82D0C13B056F}"/>
    <cellStyle name="Normal 8 2 5 3 3" xfId="5686" xr:uid="{00000000-0005-0000-0000-0000131D0000}"/>
    <cellStyle name="Normal 8 2 5 3 3 2" xfId="14128" xr:uid="{F2B44B9D-2A36-498A-BB88-3097B3AFFB6E}"/>
    <cellStyle name="Normal 8 2 5 3 4" xfId="9910" xr:uid="{91EF71C0-470A-47DA-A0E1-2D61F52C8C91}"/>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BEA3D0A9-8F78-4241-AAE7-A6FE75F4D9B9}"/>
    <cellStyle name="Normal 8 2 5 4 2 3" xfId="12468" xr:uid="{C1A808B4-2361-4C3B-B5AB-1733E9055676}"/>
    <cellStyle name="Normal 8 2 5 4 3" xfId="6099" xr:uid="{00000000-0005-0000-0000-0000171D0000}"/>
    <cellStyle name="Normal 8 2 5 4 3 2" xfId="14541" xr:uid="{0D63AEC3-6C29-4E03-BB0B-DE6377D33BDD}"/>
    <cellStyle name="Normal 8 2 5 4 4" xfId="10323" xr:uid="{E63CADEE-B607-41DD-9EA6-A07BEBA337D2}"/>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053F7422-4EEA-4751-B7D8-F34F980511C9}"/>
    <cellStyle name="Normal 8 2 5 5 2 3" xfId="12881" xr:uid="{771EBF04-245D-47DC-8D7D-AE0DC5792F85}"/>
    <cellStyle name="Normal 8 2 5 5 3" xfId="6512" xr:uid="{00000000-0005-0000-0000-00001B1D0000}"/>
    <cellStyle name="Normal 8 2 5 5 3 2" xfId="14954" xr:uid="{0CA21863-4DBF-4D74-8E7F-0C8EB69D0051}"/>
    <cellStyle name="Normal 8 2 5 5 4" xfId="10736" xr:uid="{099FD977-4F06-48F6-8822-8DA510BF0AD2}"/>
    <cellStyle name="Normal 8 2 5 6" xfId="2641" xr:uid="{00000000-0005-0000-0000-00001C1D0000}"/>
    <cellStyle name="Normal 8 2 5 6 2" xfId="6925" xr:uid="{00000000-0005-0000-0000-00001D1D0000}"/>
    <cellStyle name="Normal 8 2 5 6 2 2" xfId="15367" xr:uid="{5FAAF499-C895-48AF-A3D1-C5721137006B}"/>
    <cellStyle name="Normal 8 2 5 6 3" xfId="11149" xr:uid="{B38D2E4F-152B-4BED-88E0-454C177A8517}"/>
    <cellStyle name="Normal 8 2 5 7" xfId="4860" xr:uid="{00000000-0005-0000-0000-00001E1D0000}"/>
    <cellStyle name="Normal 8 2 5 7 2" xfId="13302" xr:uid="{CAE971BE-1740-4405-B065-471261AA2502}"/>
    <cellStyle name="Normal 8 2 5 8" xfId="9084" xr:uid="{6156C1D3-782D-460F-A03E-08DEF096E693}"/>
    <cellStyle name="Normal 8 2 6" xfId="946" xr:uid="{00000000-0005-0000-0000-00001F1D0000}"/>
    <cellStyle name="Normal 8 2 6 2" xfId="3180" xr:uid="{00000000-0005-0000-0000-0000201D0000}"/>
    <cellStyle name="Normal 8 2 6 2 2" xfId="7403" xr:uid="{00000000-0005-0000-0000-0000211D0000}"/>
    <cellStyle name="Normal 8 2 6 2 2 2" xfId="15845" xr:uid="{2EBAFF30-77C3-474D-83A0-40ECE21B6CF5}"/>
    <cellStyle name="Normal 8 2 6 2 3" xfId="11627" xr:uid="{54D1AAFA-771D-4B6E-8DD1-74CAA4F78DF7}"/>
    <cellStyle name="Normal 8 2 6 3" xfId="5258" xr:uid="{00000000-0005-0000-0000-0000221D0000}"/>
    <cellStyle name="Normal 8 2 6 3 2" xfId="13700" xr:uid="{A6321682-E7FE-4062-BFA8-9D252420EDFD}"/>
    <cellStyle name="Normal 8 2 6 4" xfId="9482" xr:uid="{5132CC8F-0279-4CBF-9D54-744FB088B999}"/>
    <cellStyle name="Normal 8 2 7" xfId="1363" xr:uid="{00000000-0005-0000-0000-0000231D0000}"/>
    <cellStyle name="Normal 8 2 7 2" xfId="3593" xr:uid="{00000000-0005-0000-0000-0000241D0000}"/>
    <cellStyle name="Normal 8 2 7 2 2" xfId="7816" xr:uid="{00000000-0005-0000-0000-0000251D0000}"/>
    <cellStyle name="Normal 8 2 7 2 2 2" xfId="16258" xr:uid="{3C2026BB-0767-4529-BDDC-A9977BA077D1}"/>
    <cellStyle name="Normal 8 2 7 2 3" xfId="12040" xr:uid="{838DB3C9-BAAD-45D3-A44C-14337EF51415}"/>
    <cellStyle name="Normal 8 2 7 3" xfId="5671" xr:uid="{00000000-0005-0000-0000-0000261D0000}"/>
    <cellStyle name="Normal 8 2 7 3 2" xfId="14113" xr:uid="{4527ACEA-C7F0-4D1B-BAD9-EAA0FFF90B0D}"/>
    <cellStyle name="Normal 8 2 7 4" xfId="9895" xr:uid="{55B38B4F-A8EA-472A-812E-DEAB2AF1F2E4}"/>
    <cellStyle name="Normal 8 2 8" xfId="1776" xr:uid="{00000000-0005-0000-0000-0000271D0000}"/>
    <cellStyle name="Normal 8 2 8 2" xfId="4006" xr:uid="{00000000-0005-0000-0000-0000281D0000}"/>
    <cellStyle name="Normal 8 2 8 2 2" xfId="8229" xr:uid="{00000000-0005-0000-0000-0000291D0000}"/>
    <cellStyle name="Normal 8 2 8 2 2 2" xfId="16671" xr:uid="{446F3C64-BC5C-429E-A655-B5657A63983C}"/>
    <cellStyle name="Normal 8 2 8 2 3" xfId="12453" xr:uid="{D9A73DF2-5F37-4C68-8059-EE96F4D800C7}"/>
    <cellStyle name="Normal 8 2 8 3" xfId="6084" xr:uid="{00000000-0005-0000-0000-00002A1D0000}"/>
    <cellStyle name="Normal 8 2 8 3 2" xfId="14526" xr:uid="{26565A66-ADA9-4F25-A395-F559F1A75ECC}"/>
    <cellStyle name="Normal 8 2 8 4" xfId="10308" xr:uid="{B36AC4F5-01B4-46D3-9A47-4D521A8CAD99}"/>
    <cellStyle name="Normal 8 2 9" xfId="2190" xr:uid="{00000000-0005-0000-0000-00002B1D0000}"/>
    <cellStyle name="Normal 8 2 9 2" xfId="4419" xr:uid="{00000000-0005-0000-0000-00002C1D0000}"/>
    <cellStyle name="Normal 8 2 9 2 2" xfId="8642" xr:uid="{00000000-0005-0000-0000-00002D1D0000}"/>
    <cellStyle name="Normal 8 2 9 2 2 2" xfId="17084" xr:uid="{1512AC0D-C93D-4111-9905-47153EBC5A38}"/>
    <cellStyle name="Normal 8 2 9 2 3" xfId="12866" xr:uid="{5C9A6BEB-AB72-4D5C-880D-0AC834047854}"/>
    <cellStyle name="Normal 8 2 9 3" xfId="6497" xr:uid="{00000000-0005-0000-0000-00002E1D0000}"/>
    <cellStyle name="Normal 8 2 9 3 2" xfId="14939" xr:uid="{37BB3055-1A53-4E91-B32A-4457B9C91D94}"/>
    <cellStyle name="Normal 8 2 9 4" xfId="10721" xr:uid="{A1C36F64-6098-4EBE-B179-B2B00CB5819B}"/>
    <cellStyle name="Normal 8 3" xfId="495" xr:uid="{00000000-0005-0000-0000-00002F1D0000}"/>
    <cellStyle name="Normal 8 3 10" xfId="4861" xr:uid="{00000000-0005-0000-0000-0000301D0000}"/>
    <cellStyle name="Normal 8 3 10 2" xfId="13303" xr:uid="{D8994D63-63C9-42B3-8883-767BB1B875B0}"/>
    <cellStyle name="Normal 8 3 11" xfId="9085" xr:uid="{FA45A9FF-9599-4E1B-86A7-CF6E6E86A45D}"/>
    <cellStyle name="Normal 8 3 2" xfId="496" xr:uid="{00000000-0005-0000-0000-0000311D0000}"/>
    <cellStyle name="Normal 8 3 2 10" xfId="9086" xr:uid="{B8062617-063A-46FF-93DE-5498D18249D6}"/>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23105995-3875-48CA-933D-849C656FCCA3}"/>
    <cellStyle name="Normal 8 3 2 2 2 2 2 3" xfId="11646" xr:uid="{5972E370-DB7C-49C1-8552-C16463B23048}"/>
    <cellStyle name="Normal 8 3 2 2 2 2 3" xfId="5277" xr:uid="{00000000-0005-0000-0000-0000371D0000}"/>
    <cellStyle name="Normal 8 3 2 2 2 2 3 2" xfId="13719" xr:uid="{24703311-2EC3-4BC8-978E-6AF9099F4E28}"/>
    <cellStyle name="Normal 8 3 2 2 2 2 4" xfId="9501" xr:uid="{F21705E6-282F-4E82-A051-8AA3D3916EEB}"/>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8BC1D95B-7FF5-4C1E-8A25-54995A19F894}"/>
    <cellStyle name="Normal 8 3 2 2 2 3 2 3" xfId="12059" xr:uid="{C20189CD-6238-454A-A422-641AFA3721B6}"/>
    <cellStyle name="Normal 8 3 2 2 2 3 3" xfId="5690" xr:uid="{00000000-0005-0000-0000-00003B1D0000}"/>
    <cellStyle name="Normal 8 3 2 2 2 3 3 2" xfId="14132" xr:uid="{07829B43-5243-42F8-9D1A-14AABF56E43A}"/>
    <cellStyle name="Normal 8 3 2 2 2 3 4" xfId="9914" xr:uid="{54AEDB22-A5C1-4813-AB20-688FC8FDFBBF}"/>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0DB52536-B003-4C04-858D-8DF2E213BB3B}"/>
    <cellStyle name="Normal 8 3 2 2 2 4 2 3" xfId="12472" xr:uid="{77AC3C16-80EC-481B-9657-6C2B695AA576}"/>
    <cellStyle name="Normal 8 3 2 2 2 4 3" xfId="6103" xr:uid="{00000000-0005-0000-0000-00003F1D0000}"/>
    <cellStyle name="Normal 8 3 2 2 2 4 3 2" xfId="14545" xr:uid="{33D32C5B-F1D6-447D-9441-55C4A575A200}"/>
    <cellStyle name="Normal 8 3 2 2 2 4 4" xfId="10327" xr:uid="{C95A1A88-392A-4B07-9C46-0766FCAD61E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B5265F3C-0914-4AAE-A875-B5447222AA9A}"/>
    <cellStyle name="Normal 8 3 2 2 2 5 2 3" xfId="12885" xr:uid="{DCBD5741-4E80-4F64-ABB6-620C3118FD88}"/>
    <cellStyle name="Normal 8 3 2 2 2 5 3" xfId="6516" xr:uid="{00000000-0005-0000-0000-0000431D0000}"/>
    <cellStyle name="Normal 8 3 2 2 2 5 3 2" xfId="14958" xr:uid="{D041B780-47CE-40B4-88D2-9EF6E3148B51}"/>
    <cellStyle name="Normal 8 3 2 2 2 5 4" xfId="10740" xr:uid="{6FD4A43B-6886-4BF7-BF45-75101E231D7D}"/>
    <cellStyle name="Normal 8 3 2 2 2 6" xfId="2645" xr:uid="{00000000-0005-0000-0000-0000441D0000}"/>
    <cellStyle name="Normal 8 3 2 2 2 6 2" xfId="6929" xr:uid="{00000000-0005-0000-0000-0000451D0000}"/>
    <cellStyle name="Normal 8 3 2 2 2 6 2 2" xfId="15371" xr:uid="{F8687ED8-3152-4F6C-B27C-4D6AB45627AE}"/>
    <cellStyle name="Normal 8 3 2 2 2 6 3" xfId="11153" xr:uid="{0F31E8BE-0169-4384-8467-6C741A4DF620}"/>
    <cellStyle name="Normal 8 3 2 2 2 7" xfId="4864" xr:uid="{00000000-0005-0000-0000-0000461D0000}"/>
    <cellStyle name="Normal 8 3 2 2 2 7 2" xfId="13306" xr:uid="{8E44EB15-A340-4188-AABA-A66BDCCD7DED}"/>
    <cellStyle name="Normal 8 3 2 2 2 8" xfId="9088" xr:uid="{C3C77776-1D1D-4E4E-822E-4E914983361B}"/>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22EC04BD-0FF8-4CCF-BC08-8B9C0909F60D}"/>
    <cellStyle name="Normal 8 3 2 2 3 2 3" xfId="11645" xr:uid="{67CBBF70-F97E-4B8B-A30A-4EBF32024289}"/>
    <cellStyle name="Normal 8 3 2 2 3 3" xfId="5276" xr:uid="{00000000-0005-0000-0000-00004A1D0000}"/>
    <cellStyle name="Normal 8 3 2 2 3 3 2" xfId="13718" xr:uid="{434F7C0D-F752-47CC-AAF4-2212D4FF9096}"/>
    <cellStyle name="Normal 8 3 2 2 3 4" xfId="9500" xr:uid="{82C2A46A-C0DA-4B85-9435-85A40CF1180D}"/>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32647B34-2958-41A5-8526-B1E934180317}"/>
    <cellStyle name="Normal 8 3 2 2 4 2 3" xfId="12058" xr:uid="{9DACF7CB-1F62-4063-BA28-6A95CF96B3A2}"/>
    <cellStyle name="Normal 8 3 2 2 4 3" xfId="5689" xr:uid="{00000000-0005-0000-0000-00004E1D0000}"/>
    <cellStyle name="Normal 8 3 2 2 4 3 2" xfId="14131" xr:uid="{0E560EBD-104D-4DFC-ACDC-F7F83D5D0223}"/>
    <cellStyle name="Normal 8 3 2 2 4 4" xfId="9913" xr:uid="{03CBCAA0-68A9-4EFB-AFF4-496E64440CC8}"/>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CA60FA55-AFC8-486C-B8C9-F5D4944C6337}"/>
    <cellStyle name="Normal 8 3 2 2 5 2 3" xfId="12471" xr:uid="{041B3611-C425-4648-B7BB-5A179B51B9C1}"/>
    <cellStyle name="Normal 8 3 2 2 5 3" xfId="6102" xr:uid="{00000000-0005-0000-0000-0000521D0000}"/>
    <cellStyle name="Normal 8 3 2 2 5 3 2" xfId="14544" xr:uid="{DB4DA130-1B07-41F5-9CEF-34241C5DEE81}"/>
    <cellStyle name="Normal 8 3 2 2 5 4" xfId="10326" xr:uid="{65B4F062-5055-4DB6-A502-BEE6DA488A9A}"/>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EBB76CF4-792F-4E89-B2A6-0AB75CEBF0DC}"/>
    <cellStyle name="Normal 8 3 2 2 6 2 3" xfId="12884" xr:uid="{C36F2888-AA4E-4604-9937-275E326AA08F}"/>
    <cellStyle name="Normal 8 3 2 2 6 3" xfId="6515" xr:uid="{00000000-0005-0000-0000-0000561D0000}"/>
    <cellStyle name="Normal 8 3 2 2 6 3 2" xfId="14957" xr:uid="{063BA94A-A881-4A9B-8F3C-233EADA9B9BD}"/>
    <cellStyle name="Normal 8 3 2 2 6 4" xfId="10739" xr:uid="{D0DAE645-15A2-439A-896C-CEF1281703CD}"/>
    <cellStyle name="Normal 8 3 2 2 7" xfId="2644" xr:uid="{00000000-0005-0000-0000-0000571D0000}"/>
    <cellStyle name="Normal 8 3 2 2 7 2" xfId="6928" xr:uid="{00000000-0005-0000-0000-0000581D0000}"/>
    <cellStyle name="Normal 8 3 2 2 7 2 2" xfId="15370" xr:uid="{C61FB31B-F4B4-43E0-B587-DBAFFBD94522}"/>
    <cellStyle name="Normal 8 3 2 2 7 3" xfId="11152" xr:uid="{0A80135D-D2EA-4E90-A45C-5DFD76FD9BCB}"/>
    <cellStyle name="Normal 8 3 2 2 8" xfId="4863" xr:uid="{00000000-0005-0000-0000-0000591D0000}"/>
    <cellStyle name="Normal 8 3 2 2 8 2" xfId="13305" xr:uid="{DBFEFB04-AF88-4419-9E1C-B18D24F7D7A0}"/>
    <cellStyle name="Normal 8 3 2 2 9" xfId="9087" xr:uid="{66874778-ED0B-4437-933D-BE4156AA3CF4}"/>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04D8AF80-4E5B-44FC-9D75-962BDC22A1FB}"/>
    <cellStyle name="Normal 8 3 2 3 2 2 3" xfId="11647" xr:uid="{0DBC8AB4-58BE-4375-B3B2-0602ADF0BD3C}"/>
    <cellStyle name="Normal 8 3 2 3 2 3" xfId="5278" xr:uid="{00000000-0005-0000-0000-00005E1D0000}"/>
    <cellStyle name="Normal 8 3 2 3 2 3 2" xfId="13720" xr:uid="{23EFCC1C-8BD3-48BB-8746-B7C18837E302}"/>
    <cellStyle name="Normal 8 3 2 3 2 4" xfId="9502" xr:uid="{27E2CEDF-EC71-4903-B284-078D25E7BEF1}"/>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5F459EB8-BE9C-43D0-A74D-C7EC6120C224}"/>
    <cellStyle name="Normal 8 3 2 3 3 2 3" xfId="12060" xr:uid="{35BEA47D-7D6D-49B4-AA75-CFE2DE4C7E53}"/>
    <cellStyle name="Normal 8 3 2 3 3 3" xfId="5691" xr:uid="{00000000-0005-0000-0000-0000621D0000}"/>
    <cellStyle name="Normal 8 3 2 3 3 3 2" xfId="14133" xr:uid="{45FBB493-52B9-41E1-A1D3-D074B200B022}"/>
    <cellStyle name="Normal 8 3 2 3 3 4" xfId="9915" xr:uid="{DA2F5DE6-5E95-4016-AE8B-61DA3D84C148}"/>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47C3D26B-807A-42BC-97AF-3685BC6E780A}"/>
    <cellStyle name="Normal 8 3 2 3 4 2 3" xfId="12473" xr:uid="{8E102BED-6CF5-4320-9614-9726E15963F4}"/>
    <cellStyle name="Normal 8 3 2 3 4 3" xfId="6104" xr:uid="{00000000-0005-0000-0000-0000661D0000}"/>
    <cellStyle name="Normal 8 3 2 3 4 3 2" xfId="14546" xr:uid="{210D3B34-3151-4CA3-826E-AE8F6662A0B8}"/>
    <cellStyle name="Normal 8 3 2 3 4 4" xfId="10328" xr:uid="{BB480272-B8E6-4073-B042-3F8AB9FC1466}"/>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14E1A9B2-E54F-4C3C-A00F-3937BA1ED159}"/>
    <cellStyle name="Normal 8 3 2 3 5 2 3" xfId="12886" xr:uid="{BA6506C5-A94A-4620-870D-849D4A11BB1C}"/>
    <cellStyle name="Normal 8 3 2 3 5 3" xfId="6517" xr:uid="{00000000-0005-0000-0000-00006A1D0000}"/>
    <cellStyle name="Normal 8 3 2 3 5 3 2" xfId="14959" xr:uid="{585F24E6-E563-4D98-A9B9-1C619E9A43B6}"/>
    <cellStyle name="Normal 8 3 2 3 5 4" xfId="10741" xr:uid="{4AA05E99-BCE0-462A-A1D2-950E13DAFCCC}"/>
    <cellStyle name="Normal 8 3 2 3 6" xfId="2646" xr:uid="{00000000-0005-0000-0000-00006B1D0000}"/>
    <cellStyle name="Normal 8 3 2 3 6 2" xfId="6930" xr:uid="{00000000-0005-0000-0000-00006C1D0000}"/>
    <cellStyle name="Normal 8 3 2 3 6 2 2" xfId="15372" xr:uid="{20C01C68-08DE-4DB4-91CC-C5B2DC0658D9}"/>
    <cellStyle name="Normal 8 3 2 3 6 3" xfId="11154" xr:uid="{9ABAB7C2-339F-42D8-BE1C-DA557ECA4636}"/>
    <cellStyle name="Normal 8 3 2 3 7" xfId="4865" xr:uid="{00000000-0005-0000-0000-00006D1D0000}"/>
    <cellStyle name="Normal 8 3 2 3 7 2" xfId="13307" xr:uid="{927AD7A5-B5FD-4494-A8D3-29B4A4016E43}"/>
    <cellStyle name="Normal 8 3 2 3 8" xfId="9089" xr:uid="{830C9F13-73B7-44DB-A9C3-6240EF308FAC}"/>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3F1998FB-7A7D-45D5-955C-30BD869B2E9E}"/>
    <cellStyle name="Normal 8 3 2 4 2 3" xfId="11644" xr:uid="{19057308-E105-4A8C-B4B5-8C522EFC25E5}"/>
    <cellStyle name="Normal 8 3 2 4 3" xfId="5275" xr:uid="{00000000-0005-0000-0000-0000711D0000}"/>
    <cellStyle name="Normal 8 3 2 4 3 2" xfId="13717" xr:uid="{40E5A5C2-C2B7-4697-9369-BB7CAF33961D}"/>
    <cellStyle name="Normal 8 3 2 4 4" xfId="9499" xr:uid="{93001A74-43FE-4E38-98D3-83385C8B3DED}"/>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678199FE-70C8-4A26-8802-40366059F0D2}"/>
    <cellStyle name="Normal 8 3 2 5 2 3" xfId="12057" xr:uid="{6FA39095-76CA-4F21-85B8-53D76D44B311}"/>
    <cellStyle name="Normal 8 3 2 5 3" xfId="5688" xr:uid="{00000000-0005-0000-0000-0000751D0000}"/>
    <cellStyle name="Normal 8 3 2 5 3 2" xfId="14130" xr:uid="{FCE8292D-2F9F-4015-AA7F-9E80F89399DA}"/>
    <cellStyle name="Normal 8 3 2 5 4" xfId="9912" xr:uid="{6C0CCDF6-5699-4408-974F-D82F2519A6E6}"/>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1E6381E8-04BA-4F37-99F7-24818D5A008A}"/>
    <cellStyle name="Normal 8 3 2 6 2 3" xfId="12470" xr:uid="{BE676D33-488F-4B1A-8807-4D5533FD6E2F}"/>
    <cellStyle name="Normal 8 3 2 6 3" xfId="6101" xr:uid="{00000000-0005-0000-0000-0000791D0000}"/>
    <cellStyle name="Normal 8 3 2 6 3 2" xfId="14543" xr:uid="{96343A22-6AFD-431E-98DE-F6513E3ACA2A}"/>
    <cellStyle name="Normal 8 3 2 6 4" xfId="10325" xr:uid="{B884F278-01F5-4F84-AFD2-8C02DC12DCE6}"/>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D780C69A-AF21-46D6-B9F9-2E590E571E1A}"/>
    <cellStyle name="Normal 8 3 2 7 2 3" xfId="12883" xr:uid="{98422395-1263-4420-A6EF-FD59E74E27CE}"/>
    <cellStyle name="Normal 8 3 2 7 3" xfId="6514" xr:uid="{00000000-0005-0000-0000-00007D1D0000}"/>
    <cellStyle name="Normal 8 3 2 7 3 2" xfId="14956" xr:uid="{B5810ED8-F0E2-432E-B051-477322E44670}"/>
    <cellStyle name="Normal 8 3 2 7 4" xfId="10738" xr:uid="{45FB3312-FD61-40F5-853D-F0F872BCBF22}"/>
    <cellStyle name="Normal 8 3 2 8" xfId="2643" xr:uid="{00000000-0005-0000-0000-00007E1D0000}"/>
    <cellStyle name="Normal 8 3 2 8 2" xfId="6927" xr:uid="{00000000-0005-0000-0000-00007F1D0000}"/>
    <cellStyle name="Normal 8 3 2 8 2 2" xfId="15369" xr:uid="{F716D7DD-DA0B-4159-B84F-54CA25949D1B}"/>
    <cellStyle name="Normal 8 3 2 8 3" xfId="11151" xr:uid="{CE31080D-53ED-41F9-AF10-F6DD8ACA601A}"/>
    <cellStyle name="Normal 8 3 2 9" xfId="4862" xr:uid="{00000000-0005-0000-0000-0000801D0000}"/>
    <cellStyle name="Normal 8 3 2 9 2" xfId="13304" xr:uid="{F997E155-6382-4F69-98FE-96F5A66B709D}"/>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64EC1926-2AB3-4426-B230-783D013DD79D}"/>
    <cellStyle name="Normal 8 3 3 2 2 2 3" xfId="11649" xr:uid="{323F1902-D40F-4A26-BDB6-7125A972FB6D}"/>
    <cellStyle name="Normal 8 3 3 2 2 3" xfId="5280" xr:uid="{00000000-0005-0000-0000-0000861D0000}"/>
    <cellStyle name="Normal 8 3 3 2 2 3 2" xfId="13722" xr:uid="{613F4DB7-22FD-4EDF-9414-1E7C4B16626B}"/>
    <cellStyle name="Normal 8 3 3 2 2 4" xfId="9504" xr:uid="{8F519E45-6974-47BC-AA4A-7524F956D415}"/>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D72294DC-5FA2-4BBA-88E0-B2A1BC109856}"/>
    <cellStyle name="Normal 8 3 3 2 3 2 3" xfId="12062" xr:uid="{DB644FD1-BD4D-4D4D-B6B1-87858BC26AA0}"/>
    <cellStyle name="Normal 8 3 3 2 3 3" xfId="5693" xr:uid="{00000000-0005-0000-0000-00008A1D0000}"/>
    <cellStyle name="Normal 8 3 3 2 3 3 2" xfId="14135" xr:uid="{81B95C17-777A-44EF-B637-65EBDAABBD88}"/>
    <cellStyle name="Normal 8 3 3 2 3 4" xfId="9917" xr:uid="{1352B2C0-4469-4538-B68B-F9899F557494}"/>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31B477C8-629A-4C4F-9950-6273AF28FEE8}"/>
    <cellStyle name="Normal 8 3 3 2 4 2 3" xfId="12475" xr:uid="{461C05CC-8B09-45D6-9E96-90AD3DE6E883}"/>
    <cellStyle name="Normal 8 3 3 2 4 3" xfId="6106" xr:uid="{00000000-0005-0000-0000-00008E1D0000}"/>
    <cellStyle name="Normal 8 3 3 2 4 3 2" xfId="14548" xr:uid="{7C259EA7-85ED-4992-A930-FC1A19CF1AED}"/>
    <cellStyle name="Normal 8 3 3 2 4 4" xfId="10330" xr:uid="{B95D2E5E-45E4-47DB-A010-E579A2C904C0}"/>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8DC2D82C-B7FF-4F89-93EA-4945D1BB7E90}"/>
    <cellStyle name="Normal 8 3 3 2 5 2 3" xfId="12888" xr:uid="{B41F3765-3CAC-493C-AD0A-115399CAC22D}"/>
    <cellStyle name="Normal 8 3 3 2 5 3" xfId="6519" xr:uid="{00000000-0005-0000-0000-0000921D0000}"/>
    <cellStyle name="Normal 8 3 3 2 5 3 2" xfId="14961" xr:uid="{F7ED81A5-99DE-43C3-86A5-9640BEE091FC}"/>
    <cellStyle name="Normal 8 3 3 2 5 4" xfId="10743" xr:uid="{CAFA63C7-44C5-4C41-819C-ED16C78867D6}"/>
    <cellStyle name="Normal 8 3 3 2 6" xfId="2648" xr:uid="{00000000-0005-0000-0000-0000931D0000}"/>
    <cellStyle name="Normal 8 3 3 2 6 2" xfId="6932" xr:uid="{00000000-0005-0000-0000-0000941D0000}"/>
    <cellStyle name="Normal 8 3 3 2 6 2 2" xfId="15374" xr:uid="{5211E204-C539-458B-A9AD-95A6D5559C82}"/>
    <cellStyle name="Normal 8 3 3 2 6 3" xfId="11156" xr:uid="{C5B91065-2675-41D0-9BF1-1959A6DACEB9}"/>
    <cellStyle name="Normal 8 3 3 2 7" xfId="4867" xr:uid="{00000000-0005-0000-0000-0000951D0000}"/>
    <cellStyle name="Normal 8 3 3 2 7 2" xfId="13309" xr:uid="{89CD6C10-C192-4720-9661-8638F909E2AA}"/>
    <cellStyle name="Normal 8 3 3 2 8" xfId="9091" xr:uid="{7ED0A2F5-96D7-4976-92FD-29D5F2E897F4}"/>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1412890C-3ACC-4864-B338-FF3E9C2D4DF4}"/>
    <cellStyle name="Normal 8 3 3 3 2 3" xfId="11648" xr:uid="{1999365D-C2A7-4232-A733-E9E50946594B}"/>
    <cellStyle name="Normal 8 3 3 3 3" xfId="5279" xr:uid="{00000000-0005-0000-0000-0000991D0000}"/>
    <cellStyle name="Normal 8 3 3 3 3 2" xfId="13721" xr:uid="{E90DC1BF-E6AB-4B30-850A-AD59C9B8A85A}"/>
    <cellStyle name="Normal 8 3 3 3 4" xfId="9503" xr:uid="{A0DB95C9-6198-433C-B19F-989906DE50FB}"/>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C13DF17E-4B6B-4115-BA9B-457F4D63CCA0}"/>
    <cellStyle name="Normal 8 3 3 4 2 3" xfId="12061" xr:uid="{71698387-0FBA-4883-A56B-49C757D959A6}"/>
    <cellStyle name="Normal 8 3 3 4 3" xfId="5692" xr:uid="{00000000-0005-0000-0000-00009D1D0000}"/>
    <cellStyle name="Normal 8 3 3 4 3 2" xfId="14134" xr:uid="{10143752-2A7B-4269-B09A-910B0C806328}"/>
    <cellStyle name="Normal 8 3 3 4 4" xfId="9916" xr:uid="{25E8E0C2-3D90-448D-8F3F-D1FC2A20170C}"/>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0B49965D-B145-4AEE-ABAE-3A9BC12D8F30}"/>
    <cellStyle name="Normal 8 3 3 5 2 3" xfId="12474" xr:uid="{A24493CE-A074-4A42-8037-DB8CFCBD1369}"/>
    <cellStyle name="Normal 8 3 3 5 3" xfId="6105" xr:uid="{00000000-0005-0000-0000-0000A11D0000}"/>
    <cellStyle name="Normal 8 3 3 5 3 2" xfId="14547" xr:uid="{7E6CAC7A-7875-4838-A165-87F034D0B121}"/>
    <cellStyle name="Normal 8 3 3 5 4" xfId="10329" xr:uid="{0EAD575E-977B-4531-9854-F8051D93C6B5}"/>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CBD60501-5C41-4B11-A012-071E02DBC3B5}"/>
    <cellStyle name="Normal 8 3 3 6 2 3" xfId="12887" xr:uid="{A9374A8C-C441-437E-B41F-6A2FBF3E7B19}"/>
    <cellStyle name="Normal 8 3 3 6 3" xfId="6518" xr:uid="{00000000-0005-0000-0000-0000A51D0000}"/>
    <cellStyle name="Normal 8 3 3 6 3 2" xfId="14960" xr:uid="{2B862AAE-021D-4E36-AAA9-11C27C650825}"/>
    <cellStyle name="Normal 8 3 3 6 4" xfId="10742" xr:uid="{77B6E99D-7F91-46FA-9C03-FDC69B2CBC89}"/>
    <cellStyle name="Normal 8 3 3 7" xfId="2647" xr:uid="{00000000-0005-0000-0000-0000A61D0000}"/>
    <cellStyle name="Normal 8 3 3 7 2" xfId="6931" xr:uid="{00000000-0005-0000-0000-0000A71D0000}"/>
    <cellStyle name="Normal 8 3 3 7 2 2" xfId="15373" xr:uid="{9AC25E58-CC70-492F-94DF-5A10FF4DD536}"/>
    <cellStyle name="Normal 8 3 3 7 3" xfId="11155" xr:uid="{FA518CAC-46D9-4F03-95F3-7F08FA0CCE2E}"/>
    <cellStyle name="Normal 8 3 3 8" xfId="4866" xr:uid="{00000000-0005-0000-0000-0000A81D0000}"/>
    <cellStyle name="Normal 8 3 3 8 2" xfId="13308" xr:uid="{BD8349FC-6470-4DF8-9768-FD86F2F66EF6}"/>
    <cellStyle name="Normal 8 3 3 9" xfId="9090" xr:uid="{79F07B18-66C5-4F25-B0A8-979C52AB5A62}"/>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47C461FF-BAD2-4AA4-B356-1376322D8546}"/>
    <cellStyle name="Normal 8 3 4 2 2 3" xfId="11650" xr:uid="{75368ACB-1237-422E-BDD8-73858EA07C21}"/>
    <cellStyle name="Normal 8 3 4 2 3" xfId="5281" xr:uid="{00000000-0005-0000-0000-0000AD1D0000}"/>
    <cellStyle name="Normal 8 3 4 2 3 2" xfId="13723" xr:uid="{95DF5F90-72C0-4B32-848B-6A8DA4CB72F0}"/>
    <cellStyle name="Normal 8 3 4 2 4" xfId="9505" xr:uid="{E9941945-D933-4E95-8E43-360077321666}"/>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4942AE06-E40C-42E3-B479-8BA55EFC1D26}"/>
    <cellStyle name="Normal 8 3 4 3 2 3" xfId="12063" xr:uid="{C869BD43-3EB1-4BEF-A882-852F85C9FC14}"/>
    <cellStyle name="Normal 8 3 4 3 3" xfId="5694" xr:uid="{00000000-0005-0000-0000-0000B11D0000}"/>
    <cellStyle name="Normal 8 3 4 3 3 2" xfId="14136" xr:uid="{108DCDA1-31F5-49CE-8DBD-4E4CE55607A6}"/>
    <cellStyle name="Normal 8 3 4 3 4" xfId="9918" xr:uid="{B6E0326D-3062-4F20-81D9-E1F70908EABC}"/>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4D783AC9-0660-4803-90A2-6D48AC24ED77}"/>
    <cellStyle name="Normal 8 3 4 4 2 3" xfId="12476" xr:uid="{C2BB8DA0-7AC8-4F20-A162-2BF0910A0130}"/>
    <cellStyle name="Normal 8 3 4 4 3" xfId="6107" xr:uid="{00000000-0005-0000-0000-0000B51D0000}"/>
    <cellStyle name="Normal 8 3 4 4 3 2" xfId="14549" xr:uid="{7F0FF278-B8A0-42BB-AFA6-79B3F61E5DED}"/>
    <cellStyle name="Normal 8 3 4 4 4" xfId="10331" xr:uid="{924FAB3E-7E6C-433F-817F-2054D3006B1F}"/>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2AE44043-E131-4AA5-B6A8-B815DA1A8A6F}"/>
    <cellStyle name="Normal 8 3 4 5 2 3" xfId="12889" xr:uid="{9D184EA9-9F9A-4127-9F70-E2E9612F6DE6}"/>
    <cellStyle name="Normal 8 3 4 5 3" xfId="6520" xr:uid="{00000000-0005-0000-0000-0000B91D0000}"/>
    <cellStyle name="Normal 8 3 4 5 3 2" xfId="14962" xr:uid="{DAF34DE6-0510-4FD1-AA8F-BEEB7DF02228}"/>
    <cellStyle name="Normal 8 3 4 5 4" xfId="10744" xr:uid="{D3CF49E1-0501-4F71-86F2-7D9DAE916FEA}"/>
    <cellStyle name="Normal 8 3 4 6" xfId="2649" xr:uid="{00000000-0005-0000-0000-0000BA1D0000}"/>
    <cellStyle name="Normal 8 3 4 6 2" xfId="6933" xr:uid="{00000000-0005-0000-0000-0000BB1D0000}"/>
    <cellStyle name="Normal 8 3 4 6 2 2" xfId="15375" xr:uid="{6BE04DF1-9561-4BE8-9E05-C40C845CF5A8}"/>
    <cellStyle name="Normal 8 3 4 6 3" xfId="11157" xr:uid="{5A119844-915E-439C-970E-25CCFED9D06A}"/>
    <cellStyle name="Normal 8 3 4 7" xfId="4868" xr:uid="{00000000-0005-0000-0000-0000BC1D0000}"/>
    <cellStyle name="Normal 8 3 4 7 2" xfId="13310" xr:uid="{3CBC50CE-1CC7-4B43-9738-DE9A378136DF}"/>
    <cellStyle name="Normal 8 3 4 8" xfId="9092" xr:uid="{5B29CF31-6AAD-4E9A-AAC9-5CC7B5B209E4}"/>
    <cellStyle name="Normal 8 3 5" xfId="962" xr:uid="{00000000-0005-0000-0000-0000BD1D0000}"/>
    <cellStyle name="Normal 8 3 5 2" xfId="3196" xr:uid="{00000000-0005-0000-0000-0000BE1D0000}"/>
    <cellStyle name="Normal 8 3 5 2 2" xfId="7419" xr:uid="{00000000-0005-0000-0000-0000BF1D0000}"/>
    <cellStyle name="Normal 8 3 5 2 2 2" xfId="15861" xr:uid="{F895736A-8CD8-407C-9DC3-F4E46F5EAA8A}"/>
    <cellStyle name="Normal 8 3 5 2 3" xfId="11643" xr:uid="{EDCC7F14-D3AD-4E5C-8D6C-36EB9AF7D0FD}"/>
    <cellStyle name="Normal 8 3 5 3" xfId="5274" xr:uid="{00000000-0005-0000-0000-0000C01D0000}"/>
    <cellStyle name="Normal 8 3 5 3 2" xfId="13716" xr:uid="{42AD59D6-068C-4AE6-9E68-5EFC29C4D0BC}"/>
    <cellStyle name="Normal 8 3 5 4" xfId="9498" xr:uid="{18896221-4356-4A5E-B4EE-90BFEED9B2F3}"/>
    <cellStyle name="Normal 8 3 6" xfId="1379" xr:uid="{00000000-0005-0000-0000-0000C11D0000}"/>
    <cellStyle name="Normal 8 3 6 2" xfId="3609" xr:uid="{00000000-0005-0000-0000-0000C21D0000}"/>
    <cellStyle name="Normal 8 3 6 2 2" xfId="7832" xr:uid="{00000000-0005-0000-0000-0000C31D0000}"/>
    <cellStyle name="Normal 8 3 6 2 2 2" xfId="16274" xr:uid="{A666624D-1524-43AA-9776-6D50DD70F92E}"/>
    <cellStyle name="Normal 8 3 6 2 3" xfId="12056" xr:uid="{9E70E7BD-433A-4F09-BAA5-E7F7D8A2D641}"/>
    <cellStyle name="Normal 8 3 6 3" xfId="5687" xr:uid="{00000000-0005-0000-0000-0000C41D0000}"/>
    <cellStyle name="Normal 8 3 6 3 2" xfId="14129" xr:uid="{5AD2327C-80C7-4EE2-972B-1277D87387F6}"/>
    <cellStyle name="Normal 8 3 6 4" xfId="9911" xr:uid="{9939CB78-CB30-42DE-BF58-BA1DF4ED4F92}"/>
    <cellStyle name="Normal 8 3 7" xfId="1792" xr:uid="{00000000-0005-0000-0000-0000C51D0000}"/>
    <cellStyle name="Normal 8 3 7 2" xfId="4022" xr:uid="{00000000-0005-0000-0000-0000C61D0000}"/>
    <cellStyle name="Normal 8 3 7 2 2" xfId="8245" xr:uid="{00000000-0005-0000-0000-0000C71D0000}"/>
    <cellStyle name="Normal 8 3 7 2 2 2" xfId="16687" xr:uid="{8F0C416A-8416-4A09-AC66-73CADDC8673B}"/>
    <cellStyle name="Normal 8 3 7 2 3" xfId="12469" xr:uid="{D012DEFE-597C-42A1-B37A-EC78AC3C5444}"/>
    <cellStyle name="Normal 8 3 7 3" xfId="6100" xr:uid="{00000000-0005-0000-0000-0000C81D0000}"/>
    <cellStyle name="Normal 8 3 7 3 2" xfId="14542" xr:uid="{87316D9D-C06C-4DE2-A4B3-0D2C1649FFDB}"/>
    <cellStyle name="Normal 8 3 7 4" xfId="10324" xr:uid="{51956498-EE71-47AE-8013-812F6B39C82F}"/>
    <cellStyle name="Normal 8 3 8" xfId="2206" xr:uid="{00000000-0005-0000-0000-0000C91D0000}"/>
    <cellStyle name="Normal 8 3 8 2" xfId="4435" xr:uid="{00000000-0005-0000-0000-0000CA1D0000}"/>
    <cellStyle name="Normal 8 3 8 2 2" xfId="8658" xr:uid="{00000000-0005-0000-0000-0000CB1D0000}"/>
    <cellStyle name="Normal 8 3 8 2 2 2" xfId="17100" xr:uid="{B3F479E6-DF55-4E45-9610-59CB2C93BAEC}"/>
    <cellStyle name="Normal 8 3 8 2 3" xfId="12882" xr:uid="{F4260F96-69C2-4360-9216-AF038FD99FAD}"/>
    <cellStyle name="Normal 8 3 8 3" xfId="6513" xr:uid="{00000000-0005-0000-0000-0000CC1D0000}"/>
    <cellStyle name="Normal 8 3 8 3 2" xfId="14955" xr:uid="{5C6DB407-3A61-4CA9-BE93-CBD60573BF1E}"/>
    <cellStyle name="Normal 8 3 8 4" xfId="10737" xr:uid="{10CC380A-F047-4C04-9244-87724E34174A}"/>
    <cellStyle name="Normal 8 3 9" xfId="2642" xr:uid="{00000000-0005-0000-0000-0000CD1D0000}"/>
    <cellStyle name="Normal 8 3 9 2" xfId="6926" xr:uid="{00000000-0005-0000-0000-0000CE1D0000}"/>
    <cellStyle name="Normal 8 3 9 2 2" xfId="15368" xr:uid="{EADEFF34-38AC-4373-A7A5-0FD79A26F814}"/>
    <cellStyle name="Normal 8 3 9 3" xfId="11150" xr:uid="{90C2A084-4ED8-4CFB-B2AC-D391FBC5E280}"/>
    <cellStyle name="Normal 8 4" xfId="503" xr:uid="{00000000-0005-0000-0000-0000CF1D0000}"/>
    <cellStyle name="Normal 8 4 10" xfId="9093" xr:uid="{9CE6544C-BB55-4E97-97D7-69155405E66F}"/>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7DDE1BC5-D808-4B36-BD53-EEF972DEC0C1}"/>
    <cellStyle name="Normal 8 4 2 2 2 2 3" xfId="11653" xr:uid="{D1CEA051-12C0-4CA5-9185-4B7471500F91}"/>
    <cellStyle name="Normal 8 4 2 2 2 3" xfId="5284" xr:uid="{00000000-0005-0000-0000-0000D51D0000}"/>
    <cellStyle name="Normal 8 4 2 2 2 3 2" xfId="13726" xr:uid="{E4421F2D-F155-4030-A0F7-228C8A5E90D3}"/>
    <cellStyle name="Normal 8 4 2 2 2 4" xfId="9508" xr:uid="{0F3C1707-103D-4C6E-8CFC-AABC4AF368C6}"/>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93633A7F-0959-4F27-BA1A-D80C5E9D1975}"/>
    <cellStyle name="Normal 8 4 2 2 3 2 3" xfId="12066" xr:uid="{5668FA3A-DB65-4B12-B19A-4C875E083D82}"/>
    <cellStyle name="Normal 8 4 2 2 3 3" xfId="5697" xr:uid="{00000000-0005-0000-0000-0000D91D0000}"/>
    <cellStyle name="Normal 8 4 2 2 3 3 2" xfId="14139" xr:uid="{511E9F05-F80F-4227-A17F-4E11C6AB40A9}"/>
    <cellStyle name="Normal 8 4 2 2 3 4" xfId="9921" xr:uid="{5F484B51-0642-4A03-A504-D476FE38EAEB}"/>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ACCC123B-ACF7-49E8-9C43-E51D451185EA}"/>
    <cellStyle name="Normal 8 4 2 2 4 2 3" xfId="12479" xr:uid="{FA8F6C72-A346-4A42-9BCD-1B331D095DE3}"/>
    <cellStyle name="Normal 8 4 2 2 4 3" xfId="6110" xr:uid="{00000000-0005-0000-0000-0000DD1D0000}"/>
    <cellStyle name="Normal 8 4 2 2 4 3 2" xfId="14552" xr:uid="{A782EFF5-C02E-4139-80B9-8DA6B2A76522}"/>
    <cellStyle name="Normal 8 4 2 2 4 4" xfId="10334" xr:uid="{B9700A67-0F8A-4122-8881-69F78D0CFA87}"/>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F53BC2B7-C905-42E0-B0D6-E76B1EB3EA17}"/>
    <cellStyle name="Normal 8 4 2 2 5 2 3" xfId="12892" xr:uid="{D55DF94B-8F92-4488-B473-C3B690EB5F1A}"/>
    <cellStyle name="Normal 8 4 2 2 5 3" xfId="6523" xr:uid="{00000000-0005-0000-0000-0000E11D0000}"/>
    <cellStyle name="Normal 8 4 2 2 5 3 2" xfId="14965" xr:uid="{77E57864-38B0-4EFF-BB3D-25E4CB8209D4}"/>
    <cellStyle name="Normal 8 4 2 2 5 4" xfId="10747" xr:uid="{D58F054A-9500-42E3-9AAC-03B0DF4DE166}"/>
    <cellStyle name="Normal 8 4 2 2 6" xfId="2652" xr:uid="{00000000-0005-0000-0000-0000E21D0000}"/>
    <cellStyle name="Normal 8 4 2 2 6 2" xfId="6936" xr:uid="{00000000-0005-0000-0000-0000E31D0000}"/>
    <cellStyle name="Normal 8 4 2 2 6 2 2" xfId="15378" xr:uid="{E3CAA7F6-88FF-436B-8F99-1541FC0D8C4C}"/>
    <cellStyle name="Normal 8 4 2 2 6 3" xfId="11160" xr:uid="{099E5422-775D-4536-8DC0-5B0FAD036EED}"/>
    <cellStyle name="Normal 8 4 2 2 7" xfId="4871" xr:uid="{00000000-0005-0000-0000-0000E41D0000}"/>
    <cellStyle name="Normal 8 4 2 2 7 2" xfId="13313" xr:uid="{3D2495F5-CB05-4CE4-B23A-637A797A0744}"/>
    <cellStyle name="Normal 8 4 2 2 8" xfId="9095" xr:uid="{663F510B-29F6-4780-B7E4-1D4921AC912E}"/>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495240C9-EBC2-4F6C-BE6D-A691BF7809F0}"/>
    <cellStyle name="Normal 8 4 2 3 2 3" xfId="11652" xr:uid="{90DA6BF2-B09E-462B-A684-0443851052EA}"/>
    <cellStyle name="Normal 8 4 2 3 3" xfId="5283" xr:uid="{00000000-0005-0000-0000-0000E81D0000}"/>
    <cellStyle name="Normal 8 4 2 3 3 2" xfId="13725" xr:uid="{6F696D71-A644-48DE-973F-F49EB29E924D}"/>
    <cellStyle name="Normal 8 4 2 3 4" xfId="9507" xr:uid="{970BA8AE-34EE-4530-9CC0-EC1270826DF1}"/>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59E2AF11-E1AE-4339-B5E5-EA8021A5BF26}"/>
    <cellStyle name="Normal 8 4 2 4 2 3" xfId="12065" xr:uid="{6FE01830-CD61-40F3-8B6A-EE8CE35C2509}"/>
    <cellStyle name="Normal 8 4 2 4 3" xfId="5696" xr:uid="{00000000-0005-0000-0000-0000EC1D0000}"/>
    <cellStyle name="Normal 8 4 2 4 3 2" xfId="14138" xr:uid="{CF29E2D5-257A-47EE-AA7B-C445A0ACC990}"/>
    <cellStyle name="Normal 8 4 2 4 4" xfId="9920" xr:uid="{4C1D368F-A42E-408B-BA9E-9E4258206212}"/>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D2DAA5DA-B5A4-41E4-973E-88B67B319241}"/>
    <cellStyle name="Normal 8 4 2 5 2 3" xfId="12478" xr:uid="{CDE5CF09-C13B-4148-96B2-6571CE3FBC16}"/>
    <cellStyle name="Normal 8 4 2 5 3" xfId="6109" xr:uid="{00000000-0005-0000-0000-0000F01D0000}"/>
    <cellStyle name="Normal 8 4 2 5 3 2" xfId="14551" xr:uid="{08FCA4F8-BCAA-402B-B5C0-3CB90E314327}"/>
    <cellStyle name="Normal 8 4 2 5 4" xfId="10333" xr:uid="{210D11EC-2392-40DE-8371-65A42B9D24CE}"/>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B3493240-DCEB-49D7-85FA-A4F04805CF54}"/>
    <cellStyle name="Normal 8 4 2 6 2 3" xfId="12891" xr:uid="{5D1C3A78-9483-459A-AD29-5B4A0B061985}"/>
    <cellStyle name="Normal 8 4 2 6 3" xfId="6522" xr:uid="{00000000-0005-0000-0000-0000F41D0000}"/>
    <cellStyle name="Normal 8 4 2 6 3 2" xfId="14964" xr:uid="{CC0010AD-A243-4A85-AD27-CC97CEF01CA1}"/>
    <cellStyle name="Normal 8 4 2 6 4" xfId="10746" xr:uid="{2635A77A-453A-49AF-9161-505A3799D24D}"/>
    <cellStyle name="Normal 8 4 2 7" xfId="2651" xr:uid="{00000000-0005-0000-0000-0000F51D0000}"/>
    <cellStyle name="Normal 8 4 2 7 2" xfId="6935" xr:uid="{00000000-0005-0000-0000-0000F61D0000}"/>
    <cellStyle name="Normal 8 4 2 7 2 2" xfId="15377" xr:uid="{AABEC81E-5974-4774-97ED-FE27C8A3D9A9}"/>
    <cellStyle name="Normal 8 4 2 7 3" xfId="11159" xr:uid="{DD6B5298-40CC-4B19-9C12-3158174A725A}"/>
    <cellStyle name="Normal 8 4 2 8" xfId="4870" xr:uid="{00000000-0005-0000-0000-0000F71D0000}"/>
    <cellStyle name="Normal 8 4 2 8 2" xfId="13312" xr:uid="{007D7CB2-0473-481D-ADB0-5F218045D90E}"/>
    <cellStyle name="Normal 8 4 2 9" xfId="9094" xr:uid="{78046D6D-74F9-4D34-AA21-C4E108EE1BA2}"/>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7862C4F3-7FE0-4E24-AE17-B5EDE38A5B73}"/>
    <cellStyle name="Normal 8 4 3 2 2 3" xfId="11654" xr:uid="{D7B4F2AA-D834-4ED6-9B64-00E12CA8B3AC}"/>
    <cellStyle name="Normal 8 4 3 2 3" xfId="5285" xr:uid="{00000000-0005-0000-0000-0000FC1D0000}"/>
    <cellStyle name="Normal 8 4 3 2 3 2" xfId="13727" xr:uid="{B451D8B9-F1C4-4F35-A432-60399924EAB9}"/>
    <cellStyle name="Normal 8 4 3 2 4" xfId="9509" xr:uid="{3285C9BC-68EC-4D02-A5CE-0A1E24B5F6D8}"/>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423A4F3E-6272-4209-88E4-031097297078}"/>
    <cellStyle name="Normal 8 4 3 3 2 3" xfId="12067" xr:uid="{7F2C30EC-E4FB-466D-B636-FDAD47AC7A3D}"/>
    <cellStyle name="Normal 8 4 3 3 3" xfId="5698" xr:uid="{00000000-0005-0000-0000-0000001E0000}"/>
    <cellStyle name="Normal 8 4 3 3 3 2" xfId="14140" xr:uid="{5E606E6D-6199-4BCC-9191-7D03D4E3A058}"/>
    <cellStyle name="Normal 8 4 3 3 4" xfId="9922" xr:uid="{498E2A3E-BC53-45E1-8950-115B13AC1E46}"/>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CC99519B-34AB-48FE-AE12-44BB89E400AB}"/>
    <cellStyle name="Normal 8 4 3 4 2 3" xfId="12480" xr:uid="{FD64A1E0-63CD-4481-9DA4-518CD5839757}"/>
    <cellStyle name="Normal 8 4 3 4 3" xfId="6111" xr:uid="{00000000-0005-0000-0000-0000041E0000}"/>
    <cellStyle name="Normal 8 4 3 4 3 2" xfId="14553" xr:uid="{DD4E01D1-7529-4068-871A-F9CF9FAE30BA}"/>
    <cellStyle name="Normal 8 4 3 4 4" xfId="10335" xr:uid="{89803306-23B8-451F-BB65-3F72C20D42CB}"/>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6B93A5D4-CC20-442A-A47F-EF4A7F9F7508}"/>
    <cellStyle name="Normal 8 4 3 5 2 3" xfId="12893" xr:uid="{132F9ADD-8935-49A7-B732-904031F64E54}"/>
    <cellStyle name="Normal 8 4 3 5 3" xfId="6524" xr:uid="{00000000-0005-0000-0000-0000081E0000}"/>
    <cellStyle name="Normal 8 4 3 5 3 2" xfId="14966" xr:uid="{0F3ED747-DD43-49BF-A7D5-8D41C84855CA}"/>
    <cellStyle name="Normal 8 4 3 5 4" xfId="10748" xr:uid="{016F51B8-4A49-466B-91FC-C2C3E6E24CEF}"/>
    <cellStyle name="Normal 8 4 3 6" xfId="2653" xr:uid="{00000000-0005-0000-0000-0000091E0000}"/>
    <cellStyle name="Normal 8 4 3 6 2" xfId="6937" xr:uid="{00000000-0005-0000-0000-00000A1E0000}"/>
    <cellStyle name="Normal 8 4 3 6 2 2" xfId="15379" xr:uid="{9FD2B69A-7B86-4ABE-B276-511EC9523ACB}"/>
    <cellStyle name="Normal 8 4 3 6 3" xfId="11161" xr:uid="{72CCB88E-1711-4F8D-A0F0-D38A98C09280}"/>
    <cellStyle name="Normal 8 4 3 7" xfId="4872" xr:uid="{00000000-0005-0000-0000-00000B1E0000}"/>
    <cellStyle name="Normal 8 4 3 7 2" xfId="13314" xr:uid="{D09F560B-8667-4249-A446-5B571C2265A2}"/>
    <cellStyle name="Normal 8 4 3 8" xfId="9096" xr:uid="{D4981B83-6338-441C-9A36-ABB1BF8D2190}"/>
    <cellStyle name="Normal 8 4 4" xfId="970" xr:uid="{00000000-0005-0000-0000-00000C1E0000}"/>
    <cellStyle name="Normal 8 4 4 2" xfId="3204" xr:uid="{00000000-0005-0000-0000-00000D1E0000}"/>
    <cellStyle name="Normal 8 4 4 2 2" xfId="7427" xr:uid="{00000000-0005-0000-0000-00000E1E0000}"/>
    <cellStyle name="Normal 8 4 4 2 2 2" xfId="15869" xr:uid="{38EBECDB-2360-434D-B566-EE692756A761}"/>
    <cellStyle name="Normal 8 4 4 2 3" xfId="11651" xr:uid="{3BFB396E-1122-41B0-A3B7-B4D1F7F53257}"/>
    <cellStyle name="Normal 8 4 4 3" xfId="5282" xr:uid="{00000000-0005-0000-0000-00000F1E0000}"/>
    <cellStyle name="Normal 8 4 4 3 2" xfId="13724" xr:uid="{5F378262-6EC7-41EF-B422-EA218A156A52}"/>
    <cellStyle name="Normal 8 4 4 4" xfId="9506" xr:uid="{91DBB033-5E8B-45D4-9466-3FB9D9E7BA0D}"/>
    <cellStyle name="Normal 8 4 5" xfId="1387" xr:uid="{00000000-0005-0000-0000-0000101E0000}"/>
    <cellStyle name="Normal 8 4 5 2" xfId="3617" xr:uid="{00000000-0005-0000-0000-0000111E0000}"/>
    <cellStyle name="Normal 8 4 5 2 2" xfId="7840" xr:uid="{00000000-0005-0000-0000-0000121E0000}"/>
    <cellStyle name="Normal 8 4 5 2 2 2" xfId="16282" xr:uid="{59E439A5-4E5E-4B56-A85C-C306853394D3}"/>
    <cellStyle name="Normal 8 4 5 2 3" xfId="12064" xr:uid="{70423828-DDFA-4684-BA43-33F652350E41}"/>
    <cellStyle name="Normal 8 4 5 3" xfId="5695" xr:uid="{00000000-0005-0000-0000-0000131E0000}"/>
    <cellStyle name="Normal 8 4 5 3 2" xfId="14137" xr:uid="{0F39ED7F-AEF2-440F-BE2A-B8001335F6BC}"/>
    <cellStyle name="Normal 8 4 5 4" xfId="9919" xr:uid="{BE6DD566-3355-46CF-AF77-495B2E982755}"/>
    <cellStyle name="Normal 8 4 6" xfId="1800" xr:uid="{00000000-0005-0000-0000-0000141E0000}"/>
    <cellStyle name="Normal 8 4 6 2" xfId="4030" xr:uid="{00000000-0005-0000-0000-0000151E0000}"/>
    <cellStyle name="Normal 8 4 6 2 2" xfId="8253" xr:uid="{00000000-0005-0000-0000-0000161E0000}"/>
    <cellStyle name="Normal 8 4 6 2 2 2" xfId="16695" xr:uid="{40F7242F-A2DC-449E-B4B5-38DD786907AF}"/>
    <cellStyle name="Normal 8 4 6 2 3" xfId="12477" xr:uid="{E74D0316-9561-4038-B58B-8F270238BECD}"/>
    <cellStyle name="Normal 8 4 6 3" xfId="6108" xr:uid="{00000000-0005-0000-0000-0000171E0000}"/>
    <cellStyle name="Normal 8 4 6 3 2" xfId="14550" xr:uid="{7A3BA579-22CB-40BC-B8CF-F37CC674E1E5}"/>
    <cellStyle name="Normal 8 4 6 4" xfId="10332" xr:uid="{696EDFF6-09AB-45B3-92E2-E1627EB1ADF0}"/>
    <cellStyle name="Normal 8 4 7" xfId="2214" xr:uid="{00000000-0005-0000-0000-0000181E0000}"/>
    <cellStyle name="Normal 8 4 7 2" xfId="4443" xr:uid="{00000000-0005-0000-0000-0000191E0000}"/>
    <cellStyle name="Normal 8 4 7 2 2" xfId="8666" xr:uid="{00000000-0005-0000-0000-00001A1E0000}"/>
    <cellStyle name="Normal 8 4 7 2 2 2" xfId="17108" xr:uid="{BA85FC69-9EB6-41F1-915F-9492D57EE2B8}"/>
    <cellStyle name="Normal 8 4 7 2 3" xfId="12890" xr:uid="{28D53748-4761-4444-BC12-555E13078CC8}"/>
    <cellStyle name="Normal 8 4 7 3" xfId="6521" xr:uid="{00000000-0005-0000-0000-00001B1E0000}"/>
    <cellStyle name="Normal 8 4 7 3 2" xfId="14963" xr:uid="{BDF5C5C8-E426-43CF-82E2-9DFC3A7419B8}"/>
    <cellStyle name="Normal 8 4 7 4" xfId="10745" xr:uid="{C3A4B7F3-5826-4A5B-9926-1B407FCF3224}"/>
    <cellStyle name="Normal 8 4 8" xfId="2650" xr:uid="{00000000-0005-0000-0000-00001C1E0000}"/>
    <cellStyle name="Normal 8 4 8 2" xfId="6934" xr:uid="{00000000-0005-0000-0000-00001D1E0000}"/>
    <cellStyle name="Normal 8 4 8 2 2" xfId="15376" xr:uid="{10FFE0A2-18F4-4CA0-AB53-F08140C8A61D}"/>
    <cellStyle name="Normal 8 4 8 3" xfId="11158" xr:uid="{7D7EE828-AA63-45E1-BFBA-5A9DC6601460}"/>
    <cellStyle name="Normal 8 4 9" xfId="4869" xr:uid="{00000000-0005-0000-0000-00001E1E0000}"/>
    <cellStyle name="Normal 8 4 9 2" xfId="13311" xr:uid="{2E323B67-84B3-4D8C-B1ED-633563F9ECAB}"/>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F758DEBB-2810-437F-B586-0CCB8E041EA3}"/>
    <cellStyle name="Normal 8 5 2 2 2 3" xfId="11656" xr:uid="{4DD699ED-47D5-4EE0-B9B7-6622F671964D}"/>
    <cellStyle name="Normal 8 5 2 2 3" xfId="5287" xr:uid="{00000000-0005-0000-0000-0000241E0000}"/>
    <cellStyle name="Normal 8 5 2 2 3 2" xfId="13729" xr:uid="{C571E2A1-39E4-4D81-8519-42CF356A75C4}"/>
    <cellStyle name="Normal 8 5 2 2 4" xfId="9511" xr:uid="{D52F4F21-C2D4-46B7-B22A-8C7F370C96AD}"/>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BD461CDE-6BD3-490A-93F9-713912EDCA5B}"/>
    <cellStyle name="Normal 8 5 2 3 2 3" xfId="12069" xr:uid="{E253E03A-F98B-4DC3-94E4-6719EC828C4D}"/>
    <cellStyle name="Normal 8 5 2 3 3" xfId="5700" xr:uid="{00000000-0005-0000-0000-0000281E0000}"/>
    <cellStyle name="Normal 8 5 2 3 3 2" xfId="14142" xr:uid="{129CB570-FE3B-442D-8A90-4C8A3DD00609}"/>
    <cellStyle name="Normal 8 5 2 3 4" xfId="9924" xr:uid="{CBAD39AA-1848-4217-B67C-DD149C63CB19}"/>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D11D1AF5-29E9-4291-A13D-82A81A6AA81B}"/>
    <cellStyle name="Normal 8 5 2 4 2 3" xfId="12482" xr:uid="{3A236DEC-63F5-41F3-80D1-D6D7AB9FFC37}"/>
    <cellStyle name="Normal 8 5 2 4 3" xfId="6113" xr:uid="{00000000-0005-0000-0000-00002C1E0000}"/>
    <cellStyle name="Normal 8 5 2 4 3 2" xfId="14555" xr:uid="{424454EB-9C52-42F9-98CC-018151492325}"/>
    <cellStyle name="Normal 8 5 2 4 4" xfId="10337" xr:uid="{937BB7CB-BFB2-4BF1-A365-7A4DC08595CD}"/>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375F46DB-81EF-49E6-9B10-CEEA9D1FDEDA}"/>
    <cellStyle name="Normal 8 5 2 5 2 3" xfId="12895" xr:uid="{318011F9-BBD4-4E92-B5C8-25D31DD44D85}"/>
    <cellStyle name="Normal 8 5 2 5 3" xfId="6526" xr:uid="{00000000-0005-0000-0000-0000301E0000}"/>
    <cellStyle name="Normal 8 5 2 5 3 2" xfId="14968" xr:uid="{4F536A0D-C03A-4253-9F9C-D12030FEBD40}"/>
    <cellStyle name="Normal 8 5 2 5 4" xfId="10750" xr:uid="{3A0E2DA7-EF93-4A2E-8694-D0E3A04D130B}"/>
    <cellStyle name="Normal 8 5 2 6" xfId="2655" xr:uid="{00000000-0005-0000-0000-0000311E0000}"/>
    <cellStyle name="Normal 8 5 2 6 2" xfId="6939" xr:uid="{00000000-0005-0000-0000-0000321E0000}"/>
    <cellStyle name="Normal 8 5 2 6 2 2" xfId="15381" xr:uid="{FDA056C9-D28A-4B52-88D6-5ABC5483E48C}"/>
    <cellStyle name="Normal 8 5 2 6 3" xfId="11163" xr:uid="{66E8ED2D-6DE1-497F-8E6C-AA0A0F9E0D71}"/>
    <cellStyle name="Normal 8 5 2 7" xfId="4874" xr:uid="{00000000-0005-0000-0000-0000331E0000}"/>
    <cellStyle name="Normal 8 5 2 7 2" xfId="13316" xr:uid="{55A2C51D-DCC1-4EEF-828F-813C2FD3D88E}"/>
    <cellStyle name="Normal 8 5 2 8" xfId="9098" xr:uid="{8BA2AC34-9201-456F-8E70-7CCA0B9E073C}"/>
    <cellStyle name="Normal 8 5 3" xfId="974" xr:uid="{00000000-0005-0000-0000-0000341E0000}"/>
    <cellStyle name="Normal 8 5 3 2" xfId="3208" xr:uid="{00000000-0005-0000-0000-0000351E0000}"/>
    <cellStyle name="Normal 8 5 3 2 2" xfId="7431" xr:uid="{00000000-0005-0000-0000-0000361E0000}"/>
    <cellStyle name="Normal 8 5 3 2 2 2" xfId="15873" xr:uid="{EA567E75-E3D0-44AF-8FDD-98180E607A85}"/>
    <cellStyle name="Normal 8 5 3 2 3" xfId="11655" xr:uid="{D48BAB67-2CD8-4CFF-9720-096249C6699E}"/>
    <cellStyle name="Normal 8 5 3 3" xfId="5286" xr:uid="{00000000-0005-0000-0000-0000371E0000}"/>
    <cellStyle name="Normal 8 5 3 3 2" xfId="13728" xr:uid="{2FDCE73B-E614-4557-B2F1-C458CCC84606}"/>
    <cellStyle name="Normal 8 5 3 4" xfId="9510" xr:uid="{9D4E9076-C6BE-4E22-A33E-55B77F61D6B8}"/>
    <cellStyle name="Normal 8 5 4" xfId="1391" xr:uid="{00000000-0005-0000-0000-0000381E0000}"/>
    <cellStyle name="Normal 8 5 4 2" xfId="3621" xr:uid="{00000000-0005-0000-0000-0000391E0000}"/>
    <cellStyle name="Normal 8 5 4 2 2" xfId="7844" xr:uid="{00000000-0005-0000-0000-00003A1E0000}"/>
    <cellStyle name="Normal 8 5 4 2 2 2" xfId="16286" xr:uid="{AFF942F7-AFE2-410D-86D4-4005C983E01B}"/>
    <cellStyle name="Normal 8 5 4 2 3" xfId="12068" xr:uid="{AE3C41A9-1AD2-4769-BDAA-465A292AA399}"/>
    <cellStyle name="Normal 8 5 4 3" xfId="5699" xr:uid="{00000000-0005-0000-0000-00003B1E0000}"/>
    <cellStyle name="Normal 8 5 4 3 2" xfId="14141" xr:uid="{B2889C40-FE42-43E4-BF32-0492DFE98F73}"/>
    <cellStyle name="Normal 8 5 4 4" xfId="9923" xr:uid="{1CB2F650-3EFF-40DD-904C-FEFCAB7AAEDC}"/>
    <cellStyle name="Normal 8 5 5" xfId="1804" xr:uid="{00000000-0005-0000-0000-00003C1E0000}"/>
    <cellStyle name="Normal 8 5 5 2" xfId="4034" xr:uid="{00000000-0005-0000-0000-00003D1E0000}"/>
    <cellStyle name="Normal 8 5 5 2 2" xfId="8257" xr:uid="{00000000-0005-0000-0000-00003E1E0000}"/>
    <cellStyle name="Normal 8 5 5 2 2 2" xfId="16699" xr:uid="{1E2DF93B-478B-4276-9C17-5863B03FCA01}"/>
    <cellStyle name="Normal 8 5 5 2 3" xfId="12481" xr:uid="{AD95A69F-C96C-4EF8-A2CF-3BF53847D681}"/>
    <cellStyle name="Normal 8 5 5 3" xfId="6112" xr:uid="{00000000-0005-0000-0000-00003F1E0000}"/>
    <cellStyle name="Normal 8 5 5 3 2" xfId="14554" xr:uid="{4CBA465E-C016-46EA-8FF5-34EBFA1EE156}"/>
    <cellStyle name="Normal 8 5 5 4" xfId="10336" xr:uid="{40161C47-353B-4076-9747-4927EEC8EC5A}"/>
    <cellStyle name="Normal 8 5 6" xfId="2218" xr:uid="{00000000-0005-0000-0000-0000401E0000}"/>
    <cellStyle name="Normal 8 5 6 2" xfId="4447" xr:uid="{00000000-0005-0000-0000-0000411E0000}"/>
    <cellStyle name="Normal 8 5 6 2 2" xfId="8670" xr:uid="{00000000-0005-0000-0000-0000421E0000}"/>
    <cellStyle name="Normal 8 5 6 2 2 2" xfId="17112" xr:uid="{E66F746D-03B4-478A-9476-7927AEEED190}"/>
    <cellStyle name="Normal 8 5 6 2 3" xfId="12894" xr:uid="{38EA0F9E-5675-4BDE-AFAB-83D3C9A9B42F}"/>
    <cellStyle name="Normal 8 5 6 3" xfId="6525" xr:uid="{00000000-0005-0000-0000-0000431E0000}"/>
    <cellStyle name="Normal 8 5 6 3 2" xfId="14967" xr:uid="{7CB52351-3072-4E74-A95F-6DE175D45443}"/>
    <cellStyle name="Normal 8 5 6 4" xfId="10749" xr:uid="{FF806513-FCE1-41FD-AB94-E95BE63EEE95}"/>
    <cellStyle name="Normal 8 5 7" xfId="2654" xr:uid="{00000000-0005-0000-0000-0000441E0000}"/>
    <cellStyle name="Normal 8 5 7 2" xfId="6938" xr:uid="{00000000-0005-0000-0000-0000451E0000}"/>
    <cellStyle name="Normal 8 5 7 2 2" xfId="15380" xr:uid="{1CB8158B-6F27-480C-975E-A6E11E5DB1E6}"/>
    <cellStyle name="Normal 8 5 7 3" xfId="11162" xr:uid="{5C5F4ED0-9210-4A48-9ABD-01D0DA65B0FB}"/>
    <cellStyle name="Normal 8 5 8" xfId="4873" xr:uid="{00000000-0005-0000-0000-0000461E0000}"/>
    <cellStyle name="Normal 8 5 8 2" xfId="13315" xr:uid="{9EFEA7E7-CC75-4E1C-8C1F-AB4FE94FE79B}"/>
    <cellStyle name="Normal 8 5 9" xfId="9097" xr:uid="{05D8A65F-72EF-4B87-9062-A9E8B855FF2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F3E6BFB2-A614-4D15-881A-EA0154C95D7E}"/>
    <cellStyle name="Normal 8 6 2 2 3" xfId="11657" xr:uid="{A632FA39-077B-4FF0-8F61-05F19EB2CE68}"/>
    <cellStyle name="Normal 8 6 2 3" xfId="5288" xr:uid="{00000000-0005-0000-0000-00004B1E0000}"/>
    <cellStyle name="Normal 8 6 2 3 2" xfId="13730" xr:uid="{DB31F4C6-417A-4F41-93C1-7EBD6BC067E0}"/>
    <cellStyle name="Normal 8 6 2 4" xfId="9512" xr:uid="{FE8FA4EE-BD75-4982-B6B2-AA6681216ED8}"/>
    <cellStyle name="Normal 8 6 3" xfId="1393" xr:uid="{00000000-0005-0000-0000-00004C1E0000}"/>
    <cellStyle name="Normal 8 6 3 2" xfId="3623" xr:uid="{00000000-0005-0000-0000-00004D1E0000}"/>
    <cellStyle name="Normal 8 6 3 2 2" xfId="7846" xr:uid="{00000000-0005-0000-0000-00004E1E0000}"/>
    <cellStyle name="Normal 8 6 3 2 2 2" xfId="16288" xr:uid="{8D3B15F0-785B-474A-8E41-931567200355}"/>
    <cellStyle name="Normal 8 6 3 2 3" xfId="12070" xr:uid="{43AACAC7-3F09-43DB-B766-7A8F49BFCD7E}"/>
    <cellStyle name="Normal 8 6 3 3" xfId="5701" xr:uid="{00000000-0005-0000-0000-00004F1E0000}"/>
    <cellStyle name="Normal 8 6 3 3 2" xfId="14143" xr:uid="{85B349AC-49A1-4380-9369-7A6F83AE12EF}"/>
    <cellStyle name="Normal 8 6 3 4" xfId="9925" xr:uid="{68D181DD-8C98-424E-A749-DFB3907BFFCF}"/>
    <cellStyle name="Normal 8 6 4" xfId="1806" xr:uid="{00000000-0005-0000-0000-0000501E0000}"/>
    <cellStyle name="Normal 8 6 4 2" xfId="4036" xr:uid="{00000000-0005-0000-0000-0000511E0000}"/>
    <cellStyle name="Normal 8 6 4 2 2" xfId="8259" xr:uid="{00000000-0005-0000-0000-0000521E0000}"/>
    <cellStyle name="Normal 8 6 4 2 2 2" xfId="16701" xr:uid="{54C7EDD5-1F27-4959-AC60-945DECFD94B4}"/>
    <cellStyle name="Normal 8 6 4 2 3" xfId="12483" xr:uid="{C34B8DC1-C5E4-42D3-8C1A-E0BB9E7D0EB0}"/>
    <cellStyle name="Normal 8 6 4 3" xfId="6114" xr:uid="{00000000-0005-0000-0000-0000531E0000}"/>
    <cellStyle name="Normal 8 6 4 3 2" xfId="14556" xr:uid="{F45F8F81-1B86-4D33-840B-CEDF0181A6D8}"/>
    <cellStyle name="Normal 8 6 4 4" xfId="10338" xr:uid="{40F76A47-58E1-44B7-B1C5-55F6131FF724}"/>
    <cellStyle name="Normal 8 6 5" xfId="2220" xr:uid="{00000000-0005-0000-0000-0000541E0000}"/>
    <cellStyle name="Normal 8 6 5 2" xfId="4449" xr:uid="{00000000-0005-0000-0000-0000551E0000}"/>
    <cellStyle name="Normal 8 6 5 2 2" xfId="8672" xr:uid="{00000000-0005-0000-0000-0000561E0000}"/>
    <cellStyle name="Normal 8 6 5 2 2 2" xfId="17114" xr:uid="{0DEFFAD6-B4C6-44B8-AA43-135C50721A17}"/>
    <cellStyle name="Normal 8 6 5 2 3" xfId="12896" xr:uid="{422F7D37-FCDE-49A0-A911-4013C5567584}"/>
    <cellStyle name="Normal 8 6 5 3" xfId="6527" xr:uid="{00000000-0005-0000-0000-0000571E0000}"/>
    <cellStyle name="Normal 8 6 5 3 2" xfId="14969" xr:uid="{F9E7AAAA-191A-4978-A1BA-137A27E3D496}"/>
    <cellStyle name="Normal 8 6 5 4" xfId="10751" xr:uid="{5F859D65-065D-4E93-8D21-4EBEE72476B9}"/>
    <cellStyle name="Normal 8 6 6" xfId="2656" xr:uid="{00000000-0005-0000-0000-0000581E0000}"/>
    <cellStyle name="Normal 8 6 6 2" xfId="6940" xr:uid="{00000000-0005-0000-0000-0000591E0000}"/>
    <cellStyle name="Normal 8 6 6 2 2" xfId="15382" xr:uid="{9AA36EE8-285C-46E5-8074-55A44610538F}"/>
    <cellStyle name="Normal 8 6 6 3" xfId="11164" xr:uid="{4EF8A493-E679-4440-9757-D1E5DC7B2C92}"/>
    <cellStyle name="Normal 8 6 7" xfId="4875" xr:uid="{00000000-0005-0000-0000-00005A1E0000}"/>
    <cellStyle name="Normal 8 6 7 2" xfId="13317" xr:uid="{804ABF65-1BDF-444D-B699-B54597CDF062}"/>
    <cellStyle name="Normal 8 6 8" xfId="9099" xr:uid="{DBA03805-9388-499B-A29F-7149C7CD799F}"/>
    <cellStyle name="Normal 8 7" xfId="945" xr:uid="{00000000-0005-0000-0000-00005B1E0000}"/>
    <cellStyle name="Normal 8 7 2" xfId="3179" xr:uid="{00000000-0005-0000-0000-00005C1E0000}"/>
    <cellStyle name="Normal 8 7 2 2" xfId="7402" xr:uid="{00000000-0005-0000-0000-00005D1E0000}"/>
    <cellStyle name="Normal 8 7 2 2 2" xfId="15844" xr:uid="{2B48DB3E-CE80-4A34-A68E-570D070FEB6D}"/>
    <cellStyle name="Normal 8 7 2 3" xfId="11626" xr:uid="{EF861916-470A-4064-B53B-6EAB6929B2AF}"/>
    <cellStyle name="Normal 8 7 3" xfId="5257" xr:uid="{00000000-0005-0000-0000-00005E1E0000}"/>
    <cellStyle name="Normal 8 7 3 2" xfId="13699" xr:uid="{86E59C73-2DDF-4148-ADC4-1F0F99C05BFF}"/>
    <cellStyle name="Normal 8 7 4" xfId="9481" xr:uid="{3AC5B2E8-9E3A-4685-9B86-1D85B2F23CB8}"/>
    <cellStyle name="Normal 8 8" xfId="1362" xr:uid="{00000000-0005-0000-0000-00005F1E0000}"/>
    <cellStyle name="Normal 8 8 2" xfId="3592" xr:uid="{00000000-0005-0000-0000-0000601E0000}"/>
    <cellStyle name="Normal 8 8 2 2" xfId="7815" xr:uid="{00000000-0005-0000-0000-0000611E0000}"/>
    <cellStyle name="Normal 8 8 2 2 2" xfId="16257" xr:uid="{5DE28848-F95D-49E5-A8E6-41A018A1C2FB}"/>
    <cellStyle name="Normal 8 8 2 3" xfId="12039" xr:uid="{3B229811-29CC-4A95-9D64-9CB2EDD8DB10}"/>
    <cellStyle name="Normal 8 8 3" xfId="5670" xr:uid="{00000000-0005-0000-0000-0000621E0000}"/>
    <cellStyle name="Normal 8 8 3 2" xfId="14112" xr:uid="{DD2F4528-1005-4557-9465-7DFC29A7356F}"/>
    <cellStyle name="Normal 8 8 4" xfId="9894" xr:uid="{8C197293-B452-4DFC-ABBA-34FC9F8A12DF}"/>
    <cellStyle name="Normal 8 9" xfId="1775" xr:uid="{00000000-0005-0000-0000-0000631E0000}"/>
    <cellStyle name="Normal 8 9 2" xfId="4005" xr:uid="{00000000-0005-0000-0000-0000641E0000}"/>
    <cellStyle name="Normal 8 9 2 2" xfId="8228" xr:uid="{00000000-0005-0000-0000-0000651E0000}"/>
    <cellStyle name="Normal 8 9 2 2 2" xfId="16670" xr:uid="{CBE75E8B-5719-4F95-A85E-E7441CCE626D}"/>
    <cellStyle name="Normal 8 9 2 3" xfId="12452" xr:uid="{A1B65548-BD78-461C-AC17-A7BEE76D20FE}"/>
    <cellStyle name="Normal 8 9 3" xfId="6083" xr:uid="{00000000-0005-0000-0000-0000661E0000}"/>
    <cellStyle name="Normal 8 9 3 2" xfId="14525" xr:uid="{8C6344C9-A563-45E1-BC53-294022C0560D}"/>
    <cellStyle name="Normal 8 9 4" xfId="10307" xr:uid="{69771CAE-0F15-41E2-B7E9-BE048466ADB8}"/>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967819B1-1371-420F-8BAB-0003191EA444}"/>
    <cellStyle name="Normal 9 2 10 3" xfId="11165" xr:uid="{56D6CACA-A7C6-460A-ABEF-1ABC39479163}"/>
    <cellStyle name="Normal 9 2 11" xfId="4876" xr:uid="{00000000-0005-0000-0000-00006B1E0000}"/>
    <cellStyle name="Normal 9 2 11 2" xfId="13318" xr:uid="{953DF74C-C1D1-42BC-B8EB-67E53DBEE3FE}"/>
    <cellStyle name="Normal 9 2 12" xfId="9100" xr:uid="{A8FA574F-6870-422A-A3D5-64C562448D10}"/>
    <cellStyle name="Normal 9 2 2" xfId="512" xr:uid="{00000000-0005-0000-0000-00006C1E0000}"/>
    <cellStyle name="Normal 9 2 2 10" xfId="4877" xr:uid="{00000000-0005-0000-0000-00006D1E0000}"/>
    <cellStyle name="Normal 9 2 2 10 2" xfId="13319" xr:uid="{2BDD5244-F669-481F-8289-540E8EE43DB5}"/>
    <cellStyle name="Normal 9 2 2 11" xfId="9101" xr:uid="{A8512FB7-4A3C-4B91-9BE5-268793C9C436}"/>
    <cellStyle name="Normal 9 2 2 2" xfId="513" xr:uid="{00000000-0005-0000-0000-00006E1E0000}"/>
    <cellStyle name="Normal 9 2 2 2 10" xfId="9102" xr:uid="{0BF8CC26-ACB1-4F0C-B54D-48BB9ADBBDCA}"/>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623AADF1-7F0C-454E-A998-BC6F2F1E04C8}"/>
    <cellStyle name="Normal 9 2 2 2 2 2 2 2 3" xfId="11662" xr:uid="{6752D2FF-9175-4C44-816F-C321981AD7DD}"/>
    <cellStyle name="Normal 9 2 2 2 2 2 2 3" xfId="5293" xr:uid="{00000000-0005-0000-0000-0000741E0000}"/>
    <cellStyle name="Normal 9 2 2 2 2 2 2 3 2" xfId="13735" xr:uid="{7BF699FB-9B96-4EE7-A22C-CFA3244734C8}"/>
    <cellStyle name="Normal 9 2 2 2 2 2 2 4" xfId="9517" xr:uid="{8E2EEFDB-38CC-473A-AFD6-A8B2204C9695}"/>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C1213949-37FB-4B86-876F-B39C03D96D7D}"/>
    <cellStyle name="Normal 9 2 2 2 2 2 3 2 3" xfId="12075" xr:uid="{A4863333-41A8-4D73-8E7E-F0979B2A6FC5}"/>
    <cellStyle name="Normal 9 2 2 2 2 2 3 3" xfId="5706" xr:uid="{00000000-0005-0000-0000-0000781E0000}"/>
    <cellStyle name="Normal 9 2 2 2 2 2 3 3 2" xfId="14148" xr:uid="{8EA8C5EA-82A5-46A8-BE06-9A57F3ACA585}"/>
    <cellStyle name="Normal 9 2 2 2 2 2 3 4" xfId="9930" xr:uid="{A8B82A13-0232-49FB-9332-EBA4A0C9D12B}"/>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F04036EF-6F03-4CA8-B27F-34994B3D1415}"/>
    <cellStyle name="Normal 9 2 2 2 2 2 4 2 3" xfId="12488" xr:uid="{AE12AA0C-EEE2-478F-B080-B8C0DCAD6E72}"/>
    <cellStyle name="Normal 9 2 2 2 2 2 4 3" xfId="6119" xr:uid="{00000000-0005-0000-0000-00007C1E0000}"/>
    <cellStyle name="Normal 9 2 2 2 2 2 4 3 2" xfId="14561" xr:uid="{4F098CEB-0B51-4F79-8663-7D52137BD603}"/>
    <cellStyle name="Normal 9 2 2 2 2 2 4 4" xfId="10343" xr:uid="{F74D605A-D4EC-4762-9D1A-B50B759B3848}"/>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95571AC1-EA28-45DC-80BC-A9DB38012C92}"/>
    <cellStyle name="Normal 9 2 2 2 2 2 5 2 3" xfId="12901" xr:uid="{B745926B-B785-4D67-AA6A-9907996DF561}"/>
    <cellStyle name="Normal 9 2 2 2 2 2 5 3" xfId="6532" xr:uid="{00000000-0005-0000-0000-0000801E0000}"/>
    <cellStyle name="Normal 9 2 2 2 2 2 5 3 2" xfId="14974" xr:uid="{3392F61A-270A-4285-9204-BACB0E61DA6F}"/>
    <cellStyle name="Normal 9 2 2 2 2 2 5 4" xfId="10756" xr:uid="{B39FEE96-1631-49B1-96C1-DCF663022F6D}"/>
    <cellStyle name="Normal 9 2 2 2 2 2 6" xfId="2661" xr:uid="{00000000-0005-0000-0000-0000811E0000}"/>
    <cellStyle name="Normal 9 2 2 2 2 2 6 2" xfId="6945" xr:uid="{00000000-0005-0000-0000-0000821E0000}"/>
    <cellStyle name="Normal 9 2 2 2 2 2 6 2 2" xfId="15387" xr:uid="{C90F3A47-4042-4E63-9EF6-7026CE286825}"/>
    <cellStyle name="Normal 9 2 2 2 2 2 6 3" xfId="11169" xr:uid="{AD61460C-6FB4-469A-9E39-7B2CDA0C3781}"/>
    <cellStyle name="Normal 9 2 2 2 2 2 7" xfId="4880" xr:uid="{00000000-0005-0000-0000-0000831E0000}"/>
    <cellStyle name="Normal 9 2 2 2 2 2 7 2" xfId="13322" xr:uid="{AF07FD49-805B-4C78-B7ED-E0C7B4590FA4}"/>
    <cellStyle name="Normal 9 2 2 2 2 2 8" xfId="9104" xr:uid="{C194CBEE-5FB4-4B08-8CD7-0CD4E70ADA96}"/>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B2EDFC04-5DFD-453E-9AAB-400C7FD673C2}"/>
    <cellStyle name="Normal 9 2 2 2 2 3 2 3" xfId="11661" xr:uid="{FD6CC814-5978-416D-BE38-935C537B9326}"/>
    <cellStyle name="Normal 9 2 2 2 2 3 3" xfId="5292" xr:uid="{00000000-0005-0000-0000-0000871E0000}"/>
    <cellStyle name="Normal 9 2 2 2 2 3 3 2" xfId="13734" xr:uid="{8B8EB566-8317-47B4-A049-07CDE629F9D3}"/>
    <cellStyle name="Normal 9 2 2 2 2 3 4" xfId="9516" xr:uid="{16889F3E-F07F-49B8-8572-73662E5CF9BB}"/>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72E2491C-48B6-4F63-BD63-7F60A41827AB}"/>
    <cellStyle name="Normal 9 2 2 2 2 4 2 3" xfId="12074" xr:uid="{79B64040-F99A-4957-8C3A-2D8F9667DA0B}"/>
    <cellStyle name="Normal 9 2 2 2 2 4 3" xfId="5705" xr:uid="{00000000-0005-0000-0000-00008B1E0000}"/>
    <cellStyle name="Normal 9 2 2 2 2 4 3 2" xfId="14147" xr:uid="{4CBB796C-A7B6-4A04-99A8-BC8725DDC09D}"/>
    <cellStyle name="Normal 9 2 2 2 2 4 4" xfId="9929" xr:uid="{05EBDA21-3907-4EB8-9F44-45186513AF3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B243E1B3-0471-4B8A-8B23-A7516614210A}"/>
    <cellStyle name="Normal 9 2 2 2 2 5 2 3" xfId="12487" xr:uid="{18D78621-1B87-4A92-9E7F-8DD4176EB19A}"/>
    <cellStyle name="Normal 9 2 2 2 2 5 3" xfId="6118" xr:uid="{00000000-0005-0000-0000-00008F1E0000}"/>
    <cellStyle name="Normal 9 2 2 2 2 5 3 2" xfId="14560" xr:uid="{2B5FDEBF-B36D-4119-8310-102787876E87}"/>
    <cellStyle name="Normal 9 2 2 2 2 5 4" xfId="10342" xr:uid="{68F9B48B-394A-4924-9131-0CEC21DAC137}"/>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DCF912D-AC5E-41E9-B43D-3656C398A91F}"/>
    <cellStyle name="Normal 9 2 2 2 2 6 2 3" xfId="12900" xr:uid="{DACA384D-30E9-46A6-B8C6-60E15B701E63}"/>
    <cellStyle name="Normal 9 2 2 2 2 6 3" xfId="6531" xr:uid="{00000000-0005-0000-0000-0000931E0000}"/>
    <cellStyle name="Normal 9 2 2 2 2 6 3 2" xfId="14973" xr:uid="{B5AAAEFF-406C-44A8-9463-3F4E0B0EBA88}"/>
    <cellStyle name="Normal 9 2 2 2 2 6 4" xfId="10755" xr:uid="{92F51046-A4B4-465F-B267-A5A089410AB5}"/>
    <cellStyle name="Normal 9 2 2 2 2 7" xfId="2660" xr:uid="{00000000-0005-0000-0000-0000941E0000}"/>
    <cellStyle name="Normal 9 2 2 2 2 7 2" xfId="6944" xr:uid="{00000000-0005-0000-0000-0000951E0000}"/>
    <cellStyle name="Normal 9 2 2 2 2 7 2 2" xfId="15386" xr:uid="{23398406-5842-4E3A-A707-7B2CAA7699C6}"/>
    <cellStyle name="Normal 9 2 2 2 2 7 3" xfId="11168" xr:uid="{D4762004-3060-4F15-B279-2F9F5D8BC13F}"/>
    <cellStyle name="Normal 9 2 2 2 2 8" xfId="4879" xr:uid="{00000000-0005-0000-0000-0000961E0000}"/>
    <cellStyle name="Normal 9 2 2 2 2 8 2" xfId="13321" xr:uid="{75463974-4CA7-462D-B0BC-9434DBADDC8E}"/>
    <cellStyle name="Normal 9 2 2 2 2 9" xfId="9103" xr:uid="{C2D2946A-D41D-4E5F-84D9-0061630F2CC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80A21F9B-90EC-4392-B652-4415DCEA0F81}"/>
    <cellStyle name="Normal 9 2 2 2 3 2 2 3" xfId="11663" xr:uid="{E3DDBA96-D284-4FDF-A422-B468184CFB50}"/>
    <cellStyle name="Normal 9 2 2 2 3 2 3" xfId="5294" xr:uid="{00000000-0005-0000-0000-00009B1E0000}"/>
    <cellStyle name="Normal 9 2 2 2 3 2 3 2" xfId="13736" xr:uid="{716CE02A-1AD3-40C9-873D-02EE1763D355}"/>
    <cellStyle name="Normal 9 2 2 2 3 2 4" xfId="9518" xr:uid="{0BC8D27B-F471-4DB0-A44E-E60A426877D5}"/>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4A513FD3-15C4-42ED-81A6-BD2E34DB0368}"/>
    <cellStyle name="Normal 9 2 2 2 3 3 2 3" xfId="12076" xr:uid="{7FC94900-8635-4F8D-B4AE-BDF9D9A46E22}"/>
    <cellStyle name="Normal 9 2 2 2 3 3 3" xfId="5707" xr:uid="{00000000-0005-0000-0000-00009F1E0000}"/>
    <cellStyle name="Normal 9 2 2 2 3 3 3 2" xfId="14149" xr:uid="{36237FDD-9EF9-4D62-9753-1C2A5FC52B20}"/>
    <cellStyle name="Normal 9 2 2 2 3 3 4" xfId="9931" xr:uid="{66F879E5-3568-4397-83BB-807A1016E8D1}"/>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BBFF47A4-2AEA-43D7-A1C9-DFAD209269A4}"/>
    <cellStyle name="Normal 9 2 2 2 3 4 2 3" xfId="12489" xr:uid="{DDBE90D5-03E4-4501-BAE1-4D4CA4D85EC4}"/>
    <cellStyle name="Normal 9 2 2 2 3 4 3" xfId="6120" xr:uid="{00000000-0005-0000-0000-0000A31E0000}"/>
    <cellStyle name="Normal 9 2 2 2 3 4 3 2" xfId="14562" xr:uid="{E8988903-78BC-457A-92D3-C1F4970F9447}"/>
    <cellStyle name="Normal 9 2 2 2 3 4 4" xfId="10344" xr:uid="{7FAE0F51-5C29-46D4-AAEE-320E09CDC38B}"/>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5E1F8980-C824-47D2-AA3A-DD1017849E11}"/>
    <cellStyle name="Normal 9 2 2 2 3 5 2 3" xfId="12902" xr:uid="{71D024DD-4376-48AA-BF5A-AD3FF0AC1DAF}"/>
    <cellStyle name="Normal 9 2 2 2 3 5 3" xfId="6533" xr:uid="{00000000-0005-0000-0000-0000A71E0000}"/>
    <cellStyle name="Normal 9 2 2 2 3 5 3 2" xfId="14975" xr:uid="{D7309C99-DAB9-4095-A5BF-F09C7B527613}"/>
    <cellStyle name="Normal 9 2 2 2 3 5 4" xfId="10757" xr:uid="{89B3DCE5-DE6E-4E9F-B783-91281201AA00}"/>
    <cellStyle name="Normal 9 2 2 2 3 6" xfId="2662" xr:uid="{00000000-0005-0000-0000-0000A81E0000}"/>
    <cellStyle name="Normal 9 2 2 2 3 6 2" xfId="6946" xr:uid="{00000000-0005-0000-0000-0000A91E0000}"/>
    <cellStyle name="Normal 9 2 2 2 3 6 2 2" xfId="15388" xr:uid="{190BD0A5-BBDA-48D0-A84C-B3F525DA02BE}"/>
    <cellStyle name="Normal 9 2 2 2 3 6 3" xfId="11170" xr:uid="{EDBBBB83-8963-4D3D-BDA7-B67003D785F3}"/>
    <cellStyle name="Normal 9 2 2 2 3 7" xfId="4881" xr:uid="{00000000-0005-0000-0000-0000AA1E0000}"/>
    <cellStyle name="Normal 9 2 2 2 3 7 2" xfId="13323" xr:uid="{E0122732-6626-4B98-8871-AE8FEF245B2A}"/>
    <cellStyle name="Normal 9 2 2 2 3 8" xfId="9105" xr:uid="{F345CD72-AA99-4998-ADBA-C653EA58EA30}"/>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8F522555-BC56-4B07-8BB5-415EA0DFCB80}"/>
    <cellStyle name="Normal 9 2 2 2 4 2 3" xfId="11660" xr:uid="{094BC9E1-1B1E-4CBA-9CEB-F25BD9551C18}"/>
    <cellStyle name="Normal 9 2 2 2 4 3" xfId="5291" xr:uid="{00000000-0005-0000-0000-0000AE1E0000}"/>
    <cellStyle name="Normal 9 2 2 2 4 3 2" xfId="13733" xr:uid="{FDBFCCDF-5721-4518-9845-56F83C0677B0}"/>
    <cellStyle name="Normal 9 2 2 2 4 4" xfId="9515" xr:uid="{C7BDA5DE-BDAB-4EC4-A08D-FA912933C907}"/>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9911B0B1-0C10-498B-9735-BFADFDFADF4C}"/>
    <cellStyle name="Normal 9 2 2 2 5 2 3" xfId="12073" xr:uid="{27823F97-D14E-4AAC-8D82-5FAAB7EF9EF1}"/>
    <cellStyle name="Normal 9 2 2 2 5 3" xfId="5704" xr:uid="{00000000-0005-0000-0000-0000B21E0000}"/>
    <cellStyle name="Normal 9 2 2 2 5 3 2" xfId="14146" xr:uid="{8CA52304-296D-45FF-A25C-690C74CC4E40}"/>
    <cellStyle name="Normal 9 2 2 2 5 4" xfId="9928" xr:uid="{C59B5A08-596B-4AAF-ACC4-6D5986491F4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E200508A-F9D9-4F3F-B5C9-92E5162511D5}"/>
    <cellStyle name="Normal 9 2 2 2 6 2 3" xfId="12486" xr:uid="{F2203462-9807-4F75-A6B0-F7A6CEE48D56}"/>
    <cellStyle name="Normal 9 2 2 2 6 3" xfId="6117" xr:uid="{00000000-0005-0000-0000-0000B61E0000}"/>
    <cellStyle name="Normal 9 2 2 2 6 3 2" xfId="14559" xr:uid="{EA956B5E-052B-45B9-8D28-C28E54550637}"/>
    <cellStyle name="Normal 9 2 2 2 6 4" xfId="10341" xr:uid="{B48EE434-88D4-4AF0-9F00-531A44EF36D3}"/>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D16D2F17-8CF0-4401-B6EC-0E2F167A329F}"/>
    <cellStyle name="Normal 9 2 2 2 7 2 3" xfId="12899" xr:uid="{B3D5BDF5-2EC3-4319-875E-456461466D15}"/>
    <cellStyle name="Normal 9 2 2 2 7 3" xfId="6530" xr:uid="{00000000-0005-0000-0000-0000BA1E0000}"/>
    <cellStyle name="Normal 9 2 2 2 7 3 2" xfId="14972" xr:uid="{97F0A364-B569-4B0A-BED1-2FF99A5737BF}"/>
    <cellStyle name="Normal 9 2 2 2 7 4" xfId="10754" xr:uid="{D1D4F3D0-CB99-4156-BFB0-E20A6C08857B}"/>
    <cellStyle name="Normal 9 2 2 2 8" xfId="2659" xr:uid="{00000000-0005-0000-0000-0000BB1E0000}"/>
    <cellStyle name="Normal 9 2 2 2 8 2" xfId="6943" xr:uid="{00000000-0005-0000-0000-0000BC1E0000}"/>
    <cellStyle name="Normal 9 2 2 2 8 2 2" xfId="15385" xr:uid="{1821E249-551E-4AC1-B1F9-0FEBCF09FCC8}"/>
    <cellStyle name="Normal 9 2 2 2 8 3" xfId="11167" xr:uid="{A8E0CF61-4C81-424F-8E32-553E38B37A5E}"/>
    <cellStyle name="Normal 9 2 2 2 9" xfId="4878" xr:uid="{00000000-0005-0000-0000-0000BD1E0000}"/>
    <cellStyle name="Normal 9 2 2 2 9 2" xfId="13320" xr:uid="{549BE25E-0ED7-4CE6-8626-C71FBB37214B}"/>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387DAC6B-E30B-4733-B6F6-A20C97AEDC94}"/>
    <cellStyle name="Normal 9 2 2 3 2 2 2 3" xfId="11665" xr:uid="{4148CF16-D4B9-489D-BC63-20DFEB9C748A}"/>
    <cellStyle name="Normal 9 2 2 3 2 2 3" xfId="5296" xr:uid="{00000000-0005-0000-0000-0000C31E0000}"/>
    <cellStyle name="Normal 9 2 2 3 2 2 3 2" xfId="13738" xr:uid="{D564B165-50CA-477E-A63C-C393C7D70688}"/>
    <cellStyle name="Normal 9 2 2 3 2 2 4" xfId="9520" xr:uid="{329D0FE2-36E5-4794-8143-6830008BF206}"/>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17720131-29B3-42F0-A3A1-5F5AF330E4B1}"/>
    <cellStyle name="Normal 9 2 2 3 2 3 2 3" xfId="12078" xr:uid="{D06E8DD9-1C37-4B60-AA4F-DAD0FEC4CE8D}"/>
    <cellStyle name="Normal 9 2 2 3 2 3 3" xfId="5709" xr:uid="{00000000-0005-0000-0000-0000C71E0000}"/>
    <cellStyle name="Normal 9 2 2 3 2 3 3 2" xfId="14151" xr:uid="{CF8C6143-D0B4-4B97-84FC-8E34648AD406}"/>
    <cellStyle name="Normal 9 2 2 3 2 3 4" xfId="9933" xr:uid="{677B71DA-743F-49FD-8AD4-AD9EF55FD11D}"/>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93E89EC5-F8A7-4EB1-ABAB-1A14ADB08FB1}"/>
    <cellStyle name="Normal 9 2 2 3 2 4 2 3" xfId="12491" xr:uid="{4D7872E2-A06B-44A8-BB6C-9EECAA566511}"/>
    <cellStyle name="Normal 9 2 2 3 2 4 3" xfId="6122" xr:uid="{00000000-0005-0000-0000-0000CB1E0000}"/>
    <cellStyle name="Normal 9 2 2 3 2 4 3 2" xfId="14564" xr:uid="{21F53C9D-63C4-4606-895B-0863B27E8BF6}"/>
    <cellStyle name="Normal 9 2 2 3 2 4 4" xfId="10346" xr:uid="{14529872-09CA-4769-8610-65191E59702B}"/>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03825BBD-B902-4C98-96AC-FAC712A95241}"/>
    <cellStyle name="Normal 9 2 2 3 2 5 2 3" xfId="12904" xr:uid="{D122F897-0981-4EC3-9DB0-92AC28235AFF}"/>
    <cellStyle name="Normal 9 2 2 3 2 5 3" xfId="6535" xr:uid="{00000000-0005-0000-0000-0000CF1E0000}"/>
    <cellStyle name="Normal 9 2 2 3 2 5 3 2" xfId="14977" xr:uid="{36236012-23D3-440D-9D36-8ECF2B4B27B7}"/>
    <cellStyle name="Normal 9 2 2 3 2 5 4" xfId="10759" xr:uid="{235850CB-3620-4B27-9D99-B31686C20660}"/>
    <cellStyle name="Normal 9 2 2 3 2 6" xfId="2664" xr:uid="{00000000-0005-0000-0000-0000D01E0000}"/>
    <cellStyle name="Normal 9 2 2 3 2 6 2" xfId="6948" xr:uid="{00000000-0005-0000-0000-0000D11E0000}"/>
    <cellStyle name="Normal 9 2 2 3 2 6 2 2" xfId="15390" xr:uid="{7DA2EE28-89D4-4952-B193-8D104C03A77B}"/>
    <cellStyle name="Normal 9 2 2 3 2 6 3" xfId="11172" xr:uid="{07048DF0-0B31-409D-ACB7-D1093AFFB1D6}"/>
    <cellStyle name="Normal 9 2 2 3 2 7" xfId="4883" xr:uid="{00000000-0005-0000-0000-0000D21E0000}"/>
    <cellStyle name="Normal 9 2 2 3 2 7 2" xfId="13325" xr:uid="{C87ADA53-973F-4932-AC13-72DC4E293790}"/>
    <cellStyle name="Normal 9 2 2 3 2 8" xfId="9107" xr:uid="{6AB8E022-DDB1-4B0A-9F1D-FFB61C421A11}"/>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74F47DBD-2C66-4FF2-A33A-25C3FDBAB976}"/>
    <cellStyle name="Normal 9 2 2 3 3 2 3" xfId="11664" xr:uid="{04527F33-D2BE-4473-9CDB-07C59B153E41}"/>
    <cellStyle name="Normal 9 2 2 3 3 3" xfId="5295" xr:uid="{00000000-0005-0000-0000-0000D61E0000}"/>
    <cellStyle name="Normal 9 2 2 3 3 3 2" xfId="13737" xr:uid="{04EE62CC-2F9F-4D00-A201-C6ED41374FAC}"/>
    <cellStyle name="Normal 9 2 2 3 3 4" xfId="9519" xr:uid="{6FAA82E0-5A77-4768-A7F0-A896F209A0F4}"/>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33BFB929-3D32-4E2D-B99D-863E397393C3}"/>
    <cellStyle name="Normal 9 2 2 3 4 2 3" xfId="12077" xr:uid="{42E0996F-7905-4D7A-B8B5-1834BC177311}"/>
    <cellStyle name="Normal 9 2 2 3 4 3" xfId="5708" xr:uid="{00000000-0005-0000-0000-0000DA1E0000}"/>
    <cellStyle name="Normal 9 2 2 3 4 3 2" xfId="14150" xr:uid="{8E6E6623-FF41-412C-8F45-13D841209063}"/>
    <cellStyle name="Normal 9 2 2 3 4 4" xfId="9932" xr:uid="{22F77EA3-D7A3-41D0-A19E-E1099E531ADD}"/>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512F2FDE-107A-439F-85CE-BA97C8D66BBB}"/>
    <cellStyle name="Normal 9 2 2 3 5 2 3" xfId="12490" xr:uid="{8E6863F0-F9F8-4057-A3E0-744365AA9081}"/>
    <cellStyle name="Normal 9 2 2 3 5 3" xfId="6121" xr:uid="{00000000-0005-0000-0000-0000DE1E0000}"/>
    <cellStyle name="Normal 9 2 2 3 5 3 2" xfId="14563" xr:uid="{2F3610FD-DAB3-4761-BDD3-6FFC229C0A8F}"/>
    <cellStyle name="Normal 9 2 2 3 5 4" xfId="10345" xr:uid="{C46AA1FB-1AB7-449D-B0DB-58100886C1B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7CC81F8D-54A6-4F9E-93EC-DAEAA2E73AEB}"/>
    <cellStyle name="Normal 9 2 2 3 6 2 3" xfId="12903" xr:uid="{F9D90B6E-CF07-4B54-BF32-C24C9CF7E943}"/>
    <cellStyle name="Normal 9 2 2 3 6 3" xfId="6534" xr:uid="{00000000-0005-0000-0000-0000E21E0000}"/>
    <cellStyle name="Normal 9 2 2 3 6 3 2" xfId="14976" xr:uid="{68C8FFEE-11BF-4176-93CC-7C9FB6AF19E8}"/>
    <cellStyle name="Normal 9 2 2 3 6 4" xfId="10758" xr:uid="{C8954FCB-13E8-4EDE-9604-21C0AA5F17F9}"/>
    <cellStyle name="Normal 9 2 2 3 7" xfId="2663" xr:uid="{00000000-0005-0000-0000-0000E31E0000}"/>
    <cellStyle name="Normal 9 2 2 3 7 2" xfId="6947" xr:uid="{00000000-0005-0000-0000-0000E41E0000}"/>
    <cellStyle name="Normal 9 2 2 3 7 2 2" xfId="15389" xr:uid="{9FC590CE-AFA2-4D90-8959-F0375821AE3A}"/>
    <cellStyle name="Normal 9 2 2 3 7 3" xfId="11171" xr:uid="{51F2235C-0241-4659-A601-226AB391E439}"/>
    <cellStyle name="Normal 9 2 2 3 8" xfId="4882" xr:uid="{00000000-0005-0000-0000-0000E51E0000}"/>
    <cellStyle name="Normal 9 2 2 3 8 2" xfId="13324" xr:uid="{656B78CE-EFE9-4F9A-BEED-8EC777E56F31}"/>
    <cellStyle name="Normal 9 2 2 3 9" xfId="9106" xr:uid="{E62DAA58-B346-4D6F-9C4E-7201B5D2D4D7}"/>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DE788B4E-AE29-4B13-B18F-C4ED2FFCF1E0}"/>
    <cellStyle name="Normal 9 2 2 4 2 2 3" xfId="11666" xr:uid="{BC76566B-4682-4FE8-AA9F-E626C5204AA2}"/>
    <cellStyle name="Normal 9 2 2 4 2 3" xfId="5297" xr:uid="{00000000-0005-0000-0000-0000EA1E0000}"/>
    <cellStyle name="Normal 9 2 2 4 2 3 2" xfId="13739" xr:uid="{E3AB0CC8-68BD-49C8-801F-05392DDFAA98}"/>
    <cellStyle name="Normal 9 2 2 4 2 4" xfId="9521" xr:uid="{19640CE1-5A07-4C54-BD36-520CAA8BD5BB}"/>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1B350E4A-A712-4979-A1A2-28994DB57A76}"/>
    <cellStyle name="Normal 9 2 2 4 3 2 3" xfId="12079" xr:uid="{7CEA8A5F-7441-48DD-8C62-A3FC4C83703F}"/>
    <cellStyle name="Normal 9 2 2 4 3 3" xfId="5710" xr:uid="{00000000-0005-0000-0000-0000EE1E0000}"/>
    <cellStyle name="Normal 9 2 2 4 3 3 2" xfId="14152" xr:uid="{D5B6CF21-8B62-43EA-AA0F-2A66A04E7F48}"/>
    <cellStyle name="Normal 9 2 2 4 3 4" xfId="9934" xr:uid="{8A428928-9001-456C-BD4D-C8D30C590B7D}"/>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BDBB403D-1C7A-42D0-B314-6646E409E3EC}"/>
    <cellStyle name="Normal 9 2 2 4 4 2 3" xfId="12492" xr:uid="{2BE427B7-471D-4DEB-BA9C-B59C866701AA}"/>
    <cellStyle name="Normal 9 2 2 4 4 3" xfId="6123" xr:uid="{00000000-0005-0000-0000-0000F21E0000}"/>
    <cellStyle name="Normal 9 2 2 4 4 3 2" xfId="14565" xr:uid="{8B5D5975-B73B-4512-A46D-01FB871B6BDC}"/>
    <cellStyle name="Normal 9 2 2 4 4 4" xfId="10347" xr:uid="{64DE8B2B-95D8-4FCB-9483-E052499D578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503CF6C8-EF8B-4F4D-B953-BCB654DB6A43}"/>
    <cellStyle name="Normal 9 2 2 4 5 2 3" xfId="12905" xr:uid="{A2D580BB-9423-4BE0-9D3E-64F5A97D62C6}"/>
    <cellStyle name="Normal 9 2 2 4 5 3" xfId="6536" xr:uid="{00000000-0005-0000-0000-0000F61E0000}"/>
    <cellStyle name="Normal 9 2 2 4 5 3 2" xfId="14978" xr:uid="{5FCB9FBE-6CC0-42E5-810E-7C81161E1BC8}"/>
    <cellStyle name="Normal 9 2 2 4 5 4" xfId="10760" xr:uid="{029F660B-30A2-4ED6-A941-BA6BB1DD9330}"/>
    <cellStyle name="Normal 9 2 2 4 6" xfId="2665" xr:uid="{00000000-0005-0000-0000-0000F71E0000}"/>
    <cellStyle name="Normal 9 2 2 4 6 2" xfId="6949" xr:uid="{00000000-0005-0000-0000-0000F81E0000}"/>
    <cellStyle name="Normal 9 2 2 4 6 2 2" xfId="15391" xr:uid="{4161A85C-28B7-4FC7-85E0-9404BF4D15E2}"/>
    <cellStyle name="Normal 9 2 2 4 6 3" xfId="11173" xr:uid="{A9C45982-498B-4699-AE19-F2E7902CE10F}"/>
    <cellStyle name="Normal 9 2 2 4 7" xfId="4884" xr:uid="{00000000-0005-0000-0000-0000F91E0000}"/>
    <cellStyle name="Normal 9 2 2 4 7 2" xfId="13326" xr:uid="{1706AEFA-9BFB-420B-9761-4229CAA319E1}"/>
    <cellStyle name="Normal 9 2 2 4 8" xfId="9108" xr:uid="{EDF94E34-2691-4E74-8DAF-6A8DAA31BF10}"/>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98D82719-EC9B-4A6A-AA52-A3FBCD101367}"/>
    <cellStyle name="Normal 9 2 2 5 2 3" xfId="11659" xr:uid="{1DA396FF-2C44-4C1B-A79F-F9E88CE5D0FA}"/>
    <cellStyle name="Normal 9 2 2 5 3" xfId="5290" xr:uid="{00000000-0005-0000-0000-0000FD1E0000}"/>
    <cellStyle name="Normal 9 2 2 5 3 2" xfId="13732" xr:uid="{0345F695-60DA-46FE-BE35-63D72077487A}"/>
    <cellStyle name="Normal 9 2 2 5 4" xfId="9514" xr:uid="{A9CCBE60-4793-4E14-BB49-F47465581DF4}"/>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04CC1E4B-BE29-4843-BBC1-3FDAC4D2EA97}"/>
    <cellStyle name="Normal 9 2 2 6 2 3" xfId="12072" xr:uid="{3CA5D911-95A9-4FD9-BCFD-47B8A135D959}"/>
    <cellStyle name="Normal 9 2 2 6 3" xfId="5703" xr:uid="{00000000-0005-0000-0000-0000011F0000}"/>
    <cellStyle name="Normal 9 2 2 6 3 2" xfId="14145" xr:uid="{CFE85DA6-97D5-4E7D-B8CD-9845165CDD7D}"/>
    <cellStyle name="Normal 9 2 2 6 4" xfId="9927" xr:uid="{5258C91B-B364-468C-9FFF-9C08CAED3984}"/>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98B22089-9EA7-4732-A810-A8FA7B031CF1}"/>
    <cellStyle name="Normal 9 2 2 7 2 3" xfId="12485" xr:uid="{D3453BC4-88D5-484B-BA31-B2B1D1D1D885}"/>
    <cellStyle name="Normal 9 2 2 7 3" xfId="6116" xr:uid="{00000000-0005-0000-0000-0000051F0000}"/>
    <cellStyle name="Normal 9 2 2 7 3 2" xfId="14558" xr:uid="{5E7849C7-CDFF-4B51-BEB5-3C6C2AA28A81}"/>
    <cellStyle name="Normal 9 2 2 7 4" xfId="10340" xr:uid="{53D4DCD5-BB64-4D02-AA7D-ED4FCA97A81E}"/>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92527FA5-884C-4246-843D-A50CF0D536F6}"/>
    <cellStyle name="Normal 9 2 2 8 2 3" xfId="12898" xr:uid="{A74941C1-977E-4FAA-9DC9-525BF823ED83}"/>
    <cellStyle name="Normal 9 2 2 8 3" xfId="6529" xr:uid="{00000000-0005-0000-0000-0000091F0000}"/>
    <cellStyle name="Normal 9 2 2 8 3 2" xfId="14971" xr:uid="{889D36A3-3D6A-4FF7-9B62-5EC42B204951}"/>
    <cellStyle name="Normal 9 2 2 8 4" xfId="10753" xr:uid="{CB5F8F40-3213-46B0-8BA5-74310B292F06}"/>
    <cellStyle name="Normal 9 2 2 9" xfId="2658" xr:uid="{00000000-0005-0000-0000-00000A1F0000}"/>
    <cellStyle name="Normal 9 2 2 9 2" xfId="6942" xr:uid="{00000000-0005-0000-0000-00000B1F0000}"/>
    <cellStyle name="Normal 9 2 2 9 2 2" xfId="15384" xr:uid="{0E6F3E57-A05E-405F-9701-3738014CAB98}"/>
    <cellStyle name="Normal 9 2 2 9 3" xfId="11166" xr:uid="{B1F2E96B-2D4E-4756-A1EC-4CFF4FE55DE8}"/>
    <cellStyle name="Normal 9 2 3" xfId="520" xr:uid="{00000000-0005-0000-0000-00000C1F0000}"/>
    <cellStyle name="Normal 9 2 3 10" xfId="9109" xr:uid="{AEA9E52C-1899-42B6-B3B0-B8DE7F6D4F25}"/>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451E882B-7658-4F03-8E92-F0D1972039D0}"/>
    <cellStyle name="Normal 9 2 3 2 2 2 2 3" xfId="11669" xr:uid="{23599CC5-2EBC-4DC4-9C95-25631DA7C47D}"/>
    <cellStyle name="Normal 9 2 3 2 2 2 3" xfId="5300" xr:uid="{00000000-0005-0000-0000-0000121F0000}"/>
    <cellStyle name="Normal 9 2 3 2 2 2 3 2" xfId="13742" xr:uid="{D090F909-3ADC-43F6-82BB-1850BF7E9482}"/>
    <cellStyle name="Normal 9 2 3 2 2 2 4" xfId="9524" xr:uid="{88158C98-776C-4934-9138-EBF75501914B}"/>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268ECD25-3184-4645-957B-7CD46E93A178}"/>
    <cellStyle name="Normal 9 2 3 2 2 3 2 3" xfId="12082" xr:uid="{F02D325B-DE6B-4D3C-857B-3EC8301E5E6A}"/>
    <cellStyle name="Normal 9 2 3 2 2 3 3" xfId="5713" xr:uid="{00000000-0005-0000-0000-0000161F0000}"/>
    <cellStyle name="Normal 9 2 3 2 2 3 3 2" xfId="14155" xr:uid="{C3649D2C-84B2-4969-86E1-7C8378DDAFA7}"/>
    <cellStyle name="Normal 9 2 3 2 2 3 4" xfId="9937" xr:uid="{2638BF4E-BCEA-4F3E-93F6-57EE3FD8F813}"/>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C1A3B69A-CD18-4F16-B5CE-9C3F1EE92D6E}"/>
    <cellStyle name="Normal 9 2 3 2 2 4 2 3" xfId="12495" xr:uid="{EBABFE3C-83F4-4BCC-A148-8ADAF649F8AD}"/>
    <cellStyle name="Normal 9 2 3 2 2 4 3" xfId="6126" xr:uid="{00000000-0005-0000-0000-00001A1F0000}"/>
    <cellStyle name="Normal 9 2 3 2 2 4 3 2" xfId="14568" xr:uid="{C8916B18-AAFB-449D-A5A3-EE21BD782C06}"/>
    <cellStyle name="Normal 9 2 3 2 2 4 4" xfId="10350" xr:uid="{D7C1B924-BD86-44C7-879D-D8734764E03C}"/>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FF2747F0-1CCF-44B3-97D2-F672B9C8CE8A}"/>
    <cellStyle name="Normal 9 2 3 2 2 5 2 3" xfId="12908" xr:uid="{B8FB352C-E34F-426F-B0E5-512ABA30F7E0}"/>
    <cellStyle name="Normal 9 2 3 2 2 5 3" xfId="6539" xr:uid="{00000000-0005-0000-0000-00001E1F0000}"/>
    <cellStyle name="Normal 9 2 3 2 2 5 3 2" xfId="14981" xr:uid="{981FFA21-BF54-49D9-A8C2-4933915F3AC8}"/>
    <cellStyle name="Normal 9 2 3 2 2 5 4" xfId="10763" xr:uid="{4C167916-DC6E-4CCC-AF16-B1109B8DB770}"/>
    <cellStyle name="Normal 9 2 3 2 2 6" xfId="2668" xr:uid="{00000000-0005-0000-0000-00001F1F0000}"/>
    <cellStyle name="Normal 9 2 3 2 2 6 2" xfId="6952" xr:uid="{00000000-0005-0000-0000-0000201F0000}"/>
    <cellStyle name="Normal 9 2 3 2 2 6 2 2" xfId="15394" xr:uid="{56DE898B-A16C-4A67-90F3-E8145C944577}"/>
    <cellStyle name="Normal 9 2 3 2 2 6 3" xfId="11176" xr:uid="{1532BD20-DAB3-4A81-AA60-23ADF4135D0B}"/>
    <cellStyle name="Normal 9 2 3 2 2 7" xfId="4887" xr:uid="{00000000-0005-0000-0000-0000211F0000}"/>
    <cellStyle name="Normal 9 2 3 2 2 7 2" xfId="13329" xr:uid="{C539BD65-FF5B-437A-9C6B-3E892158791B}"/>
    <cellStyle name="Normal 9 2 3 2 2 8" xfId="9111" xr:uid="{01A1A718-1394-4FA2-8633-8B718F07FD76}"/>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70D5EB79-A4F9-4065-8F57-93DFEABB57DE}"/>
    <cellStyle name="Normal 9 2 3 2 3 2 3" xfId="11668" xr:uid="{DD4B24B3-2D77-4004-9BFE-00E13D5427F8}"/>
    <cellStyle name="Normal 9 2 3 2 3 3" xfId="5299" xr:uid="{00000000-0005-0000-0000-0000251F0000}"/>
    <cellStyle name="Normal 9 2 3 2 3 3 2" xfId="13741" xr:uid="{986A4E26-0240-4A5B-9DF4-61FBA811C94D}"/>
    <cellStyle name="Normal 9 2 3 2 3 4" xfId="9523" xr:uid="{3F146ADE-45BD-4034-B928-DEE2725377DC}"/>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CC4D60FB-4F76-480F-81F1-81A3A279A633}"/>
    <cellStyle name="Normal 9 2 3 2 4 2 3" xfId="12081" xr:uid="{441B90B9-8646-4A6F-A431-BE5F2B7E21DC}"/>
    <cellStyle name="Normal 9 2 3 2 4 3" xfId="5712" xr:uid="{00000000-0005-0000-0000-0000291F0000}"/>
    <cellStyle name="Normal 9 2 3 2 4 3 2" xfId="14154" xr:uid="{1713804D-5B3F-4540-9F43-8CB56FBB59B2}"/>
    <cellStyle name="Normal 9 2 3 2 4 4" xfId="9936" xr:uid="{0DF44760-C480-4B46-9E70-1BEE4D363486}"/>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81175E56-31B1-4D16-9F89-45D0FB57F675}"/>
    <cellStyle name="Normal 9 2 3 2 5 2 3" xfId="12494" xr:uid="{5DEB0619-1139-4F38-AAD5-DB0C08642FD3}"/>
    <cellStyle name="Normal 9 2 3 2 5 3" xfId="6125" xr:uid="{00000000-0005-0000-0000-00002D1F0000}"/>
    <cellStyle name="Normal 9 2 3 2 5 3 2" xfId="14567" xr:uid="{73DAC629-0852-4063-B333-E69B92DE3ED1}"/>
    <cellStyle name="Normal 9 2 3 2 5 4" xfId="10349" xr:uid="{03B55013-2373-4A69-8908-057492765F8C}"/>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3B969749-CB20-4553-BE0F-C399106E194D}"/>
    <cellStyle name="Normal 9 2 3 2 6 2 3" xfId="12907" xr:uid="{E157C974-3BF6-44F9-9666-1666933EAD6C}"/>
    <cellStyle name="Normal 9 2 3 2 6 3" xfId="6538" xr:uid="{00000000-0005-0000-0000-0000311F0000}"/>
    <cellStyle name="Normal 9 2 3 2 6 3 2" xfId="14980" xr:uid="{4D319486-9B52-46BE-B3BC-000F6720B3A0}"/>
    <cellStyle name="Normal 9 2 3 2 6 4" xfId="10762" xr:uid="{0E31EDE0-FB19-4EF2-881C-57C11A71BCFA}"/>
    <cellStyle name="Normal 9 2 3 2 7" xfId="2667" xr:uid="{00000000-0005-0000-0000-0000321F0000}"/>
    <cellStyle name="Normal 9 2 3 2 7 2" xfId="6951" xr:uid="{00000000-0005-0000-0000-0000331F0000}"/>
    <cellStyle name="Normal 9 2 3 2 7 2 2" xfId="15393" xr:uid="{8A5F13A3-DFA1-4388-8541-0BBB1FE28282}"/>
    <cellStyle name="Normal 9 2 3 2 7 3" xfId="11175" xr:uid="{40AE1709-64E8-48B9-B6B3-CCBFEFBA3C9E}"/>
    <cellStyle name="Normal 9 2 3 2 8" xfId="4886" xr:uid="{00000000-0005-0000-0000-0000341F0000}"/>
    <cellStyle name="Normal 9 2 3 2 8 2" xfId="13328" xr:uid="{8CFEDB46-B269-4F26-A477-97CAB0345FB1}"/>
    <cellStyle name="Normal 9 2 3 2 9" xfId="9110" xr:uid="{51540335-46CB-48EA-9F6A-4CD8D938E9B6}"/>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E4E8BEA8-7129-4E51-A862-82CDED88AD5F}"/>
    <cellStyle name="Normal 9 2 3 3 2 2 3" xfId="11670" xr:uid="{0C61B680-175B-48F7-8DEE-E44525ACF6CB}"/>
    <cellStyle name="Normal 9 2 3 3 2 3" xfId="5301" xr:uid="{00000000-0005-0000-0000-0000391F0000}"/>
    <cellStyle name="Normal 9 2 3 3 2 3 2" xfId="13743" xr:uid="{C6EC0346-6DB2-4007-80A7-FE366CDD4BA6}"/>
    <cellStyle name="Normal 9 2 3 3 2 4" xfId="9525" xr:uid="{2EACD4F8-6D64-4186-A34C-1DFC66F7557B}"/>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8C12CD77-2FFE-427E-9FC9-7169FA0AA8B0}"/>
    <cellStyle name="Normal 9 2 3 3 3 2 3" xfId="12083" xr:uid="{EB004A4B-195E-475C-9452-60E6D6F4934A}"/>
    <cellStyle name="Normal 9 2 3 3 3 3" xfId="5714" xr:uid="{00000000-0005-0000-0000-00003D1F0000}"/>
    <cellStyle name="Normal 9 2 3 3 3 3 2" xfId="14156" xr:uid="{EB289936-192A-4533-83CE-56111CB75132}"/>
    <cellStyle name="Normal 9 2 3 3 3 4" xfId="9938" xr:uid="{DBE8BBF1-A322-454C-AC39-F0662BC3365D}"/>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8FC5175F-8804-4046-96BB-F475563B7B50}"/>
    <cellStyle name="Normal 9 2 3 3 4 2 3" xfId="12496" xr:uid="{C6027694-0A64-4848-AB41-6534FF0B2451}"/>
    <cellStyle name="Normal 9 2 3 3 4 3" xfId="6127" xr:uid="{00000000-0005-0000-0000-0000411F0000}"/>
    <cellStyle name="Normal 9 2 3 3 4 3 2" xfId="14569" xr:uid="{9C3EB9D3-7F0A-4EAC-9D6B-05DE57E760E6}"/>
    <cellStyle name="Normal 9 2 3 3 4 4" xfId="10351" xr:uid="{A7535DA3-415D-4B8E-86F6-3059E8D3F0C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8FD4E256-1250-4350-BF49-B81023C17F23}"/>
    <cellStyle name="Normal 9 2 3 3 5 2 3" xfId="12909" xr:uid="{7FF64510-514B-48F6-8FDC-FA14EC1123A8}"/>
    <cellStyle name="Normal 9 2 3 3 5 3" xfId="6540" xr:uid="{00000000-0005-0000-0000-0000451F0000}"/>
    <cellStyle name="Normal 9 2 3 3 5 3 2" xfId="14982" xr:uid="{3C8BA46A-DAFA-4E66-8902-B822EE26556F}"/>
    <cellStyle name="Normal 9 2 3 3 5 4" xfId="10764" xr:uid="{71D2D9AB-67C8-4DF1-AC9F-9D2301392E9E}"/>
    <cellStyle name="Normal 9 2 3 3 6" xfId="2669" xr:uid="{00000000-0005-0000-0000-0000461F0000}"/>
    <cellStyle name="Normal 9 2 3 3 6 2" xfId="6953" xr:uid="{00000000-0005-0000-0000-0000471F0000}"/>
    <cellStyle name="Normal 9 2 3 3 6 2 2" xfId="15395" xr:uid="{37141D39-65FD-4E87-A892-C5779BEEA05C}"/>
    <cellStyle name="Normal 9 2 3 3 6 3" xfId="11177" xr:uid="{E6CF2243-C7BA-4E6C-81C0-8F193F8964C3}"/>
    <cellStyle name="Normal 9 2 3 3 7" xfId="4888" xr:uid="{00000000-0005-0000-0000-0000481F0000}"/>
    <cellStyle name="Normal 9 2 3 3 7 2" xfId="13330" xr:uid="{C369D417-2FBA-49EF-AE02-A845C070AEDB}"/>
    <cellStyle name="Normal 9 2 3 3 8" xfId="9112" xr:uid="{474ED222-A946-4A53-B21F-6880BA8232B6}"/>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56F6815E-D9A2-4472-816A-5E512E013D4D}"/>
    <cellStyle name="Normal 9 2 3 4 2 3" xfId="11667" xr:uid="{38B07AEF-6A79-49C0-8897-727D48B95F1E}"/>
    <cellStyle name="Normal 9 2 3 4 3" xfId="5298" xr:uid="{00000000-0005-0000-0000-00004C1F0000}"/>
    <cellStyle name="Normal 9 2 3 4 3 2" xfId="13740" xr:uid="{258D5AB5-804F-4EDC-BB24-3DC275DE05D5}"/>
    <cellStyle name="Normal 9 2 3 4 4" xfId="9522" xr:uid="{F6C1AF96-8623-4D7D-8D3B-8A97AF298329}"/>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1EDE1EA3-9122-4274-A3DA-85F8393ED76F}"/>
    <cellStyle name="Normal 9 2 3 5 2 3" xfId="12080" xr:uid="{8D053159-1BC2-4A5D-A496-CDF2DFB4A268}"/>
    <cellStyle name="Normal 9 2 3 5 3" xfId="5711" xr:uid="{00000000-0005-0000-0000-0000501F0000}"/>
    <cellStyle name="Normal 9 2 3 5 3 2" xfId="14153" xr:uid="{3FC5EE79-3165-4E12-967F-C43E170E9C5D}"/>
    <cellStyle name="Normal 9 2 3 5 4" xfId="9935" xr:uid="{F30DBFCB-DD83-4657-B656-21E23FA9BBE3}"/>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ED033403-2FA1-4E52-8733-688C89A2215D}"/>
    <cellStyle name="Normal 9 2 3 6 2 3" xfId="12493" xr:uid="{ADF674F4-33FD-4A7E-A13A-84634CFF70A3}"/>
    <cellStyle name="Normal 9 2 3 6 3" xfId="6124" xr:uid="{00000000-0005-0000-0000-0000541F0000}"/>
    <cellStyle name="Normal 9 2 3 6 3 2" xfId="14566" xr:uid="{2085C371-C8B3-44DA-9059-717FBD077314}"/>
    <cellStyle name="Normal 9 2 3 6 4" xfId="10348" xr:uid="{31E9F665-2680-4C15-B8E7-F44BF8254375}"/>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0205D3E2-56AC-4E7D-9A71-30B88ADCE111}"/>
    <cellStyle name="Normal 9 2 3 7 2 3" xfId="12906" xr:uid="{DEEBD1A4-76B1-45E7-A7D7-C6E78F2D023C}"/>
    <cellStyle name="Normal 9 2 3 7 3" xfId="6537" xr:uid="{00000000-0005-0000-0000-0000581F0000}"/>
    <cellStyle name="Normal 9 2 3 7 3 2" xfId="14979" xr:uid="{172CC9B8-B7B9-47F1-A577-FF3D53DFB271}"/>
    <cellStyle name="Normal 9 2 3 7 4" xfId="10761" xr:uid="{D8F3A7D8-3089-48B7-BC34-669F0539CC4D}"/>
    <cellStyle name="Normal 9 2 3 8" xfId="2666" xr:uid="{00000000-0005-0000-0000-0000591F0000}"/>
    <cellStyle name="Normal 9 2 3 8 2" xfId="6950" xr:uid="{00000000-0005-0000-0000-00005A1F0000}"/>
    <cellStyle name="Normal 9 2 3 8 2 2" xfId="15392" xr:uid="{E5F96729-09D5-4F5D-88DB-9B6A827363EA}"/>
    <cellStyle name="Normal 9 2 3 8 3" xfId="11174" xr:uid="{55CB1C46-0D26-4A62-B9C1-9B6FA6887B4E}"/>
    <cellStyle name="Normal 9 2 3 9" xfId="4885" xr:uid="{00000000-0005-0000-0000-00005B1F0000}"/>
    <cellStyle name="Normal 9 2 3 9 2" xfId="13327" xr:uid="{9BF141A9-125F-4F9B-B42A-D6749BFE27C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13581829-888E-4F85-A3B1-E182BC76F214}"/>
    <cellStyle name="Normal 9 2 4 2 2 2 3" xfId="11672" xr:uid="{3606C89F-C661-4790-A77F-B733EE1585D2}"/>
    <cellStyle name="Normal 9 2 4 2 2 3" xfId="5303" xr:uid="{00000000-0005-0000-0000-0000611F0000}"/>
    <cellStyle name="Normal 9 2 4 2 2 3 2" xfId="13745" xr:uid="{1C48003C-E905-4CF0-A251-B5A98B1273BC}"/>
    <cellStyle name="Normal 9 2 4 2 2 4" xfId="9527" xr:uid="{2D96A4BC-C9E2-4DA3-85FE-AAE3B4FF2E0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7EA12A00-F54C-444C-AECA-DF18DC59F81E}"/>
    <cellStyle name="Normal 9 2 4 2 3 2 3" xfId="12085" xr:uid="{BF4A5C4E-E7BB-4B79-BE12-7CD956233E9F}"/>
    <cellStyle name="Normal 9 2 4 2 3 3" xfId="5716" xr:uid="{00000000-0005-0000-0000-0000651F0000}"/>
    <cellStyle name="Normal 9 2 4 2 3 3 2" xfId="14158" xr:uid="{42916B37-DE9A-4C4B-9F1E-F8376341D84A}"/>
    <cellStyle name="Normal 9 2 4 2 3 4" xfId="9940" xr:uid="{D4056611-63A2-4E9D-ABBF-A499EF3F9EB9}"/>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D009F8CB-A3BA-4697-B01C-B47E8EB75A61}"/>
    <cellStyle name="Normal 9 2 4 2 4 2 3" xfId="12498" xr:uid="{EB81DFA9-E3F2-4944-AF89-02F8CCF2955D}"/>
    <cellStyle name="Normal 9 2 4 2 4 3" xfId="6129" xr:uid="{00000000-0005-0000-0000-0000691F0000}"/>
    <cellStyle name="Normal 9 2 4 2 4 3 2" xfId="14571" xr:uid="{E376F10A-0CEF-4A01-B29B-2EE7F6111955}"/>
    <cellStyle name="Normal 9 2 4 2 4 4" xfId="10353" xr:uid="{E88216C5-7822-456D-9B86-915D9A7FE6EA}"/>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9AA3300-EB87-4F8C-A52A-025282524D00}"/>
    <cellStyle name="Normal 9 2 4 2 5 2 3" xfId="12911" xr:uid="{A68762D7-CCE8-4B74-A8B6-BE25087E9C06}"/>
    <cellStyle name="Normal 9 2 4 2 5 3" xfId="6542" xr:uid="{00000000-0005-0000-0000-00006D1F0000}"/>
    <cellStyle name="Normal 9 2 4 2 5 3 2" xfId="14984" xr:uid="{29B74551-5773-491E-BF18-5AF671BAA62D}"/>
    <cellStyle name="Normal 9 2 4 2 5 4" xfId="10766" xr:uid="{CD97CE2B-D7D6-4A84-9526-36B1217DEDBA}"/>
    <cellStyle name="Normal 9 2 4 2 6" xfId="2671" xr:uid="{00000000-0005-0000-0000-00006E1F0000}"/>
    <cellStyle name="Normal 9 2 4 2 6 2" xfId="6955" xr:uid="{00000000-0005-0000-0000-00006F1F0000}"/>
    <cellStyle name="Normal 9 2 4 2 6 2 2" xfId="15397" xr:uid="{C0ECE466-759A-42D3-8AD0-8219B4F02530}"/>
    <cellStyle name="Normal 9 2 4 2 6 3" xfId="11179" xr:uid="{0CA6C301-80A4-4B49-9318-635C9F993D67}"/>
    <cellStyle name="Normal 9 2 4 2 7" xfId="4890" xr:uid="{00000000-0005-0000-0000-0000701F0000}"/>
    <cellStyle name="Normal 9 2 4 2 7 2" xfId="13332" xr:uid="{B0D4E837-461A-46DF-B5F6-B06650E685ED}"/>
    <cellStyle name="Normal 9 2 4 2 8" xfId="9114" xr:uid="{DE52F317-9FD8-4AD9-86FA-210234573F5D}"/>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0F87C1FA-4128-40A9-B092-7DDB80B067FA}"/>
    <cellStyle name="Normal 9 2 4 3 2 3" xfId="11671" xr:uid="{2CC34D0D-1A86-415F-B7D3-085EC2E9F3E9}"/>
    <cellStyle name="Normal 9 2 4 3 3" xfId="5302" xr:uid="{00000000-0005-0000-0000-0000741F0000}"/>
    <cellStyle name="Normal 9 2 4 3 3 2" xfId="13744" xr:uid="{C3F559FE-2B21-4F28-ABE0-11A2617DD684}"/>
    <cellStyle name="Normal 9 2 4 3 4" xfId="9526" xr:uid="{5B1B0F72-FC0A-48D6-B45E-0CD464C6379B}"/>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340DFE07-265A-45F8-9D65-C05FD3F30C95}"/>
    <cellStyle name="Normal 9 2 4 4 2 3" xfId="12084" xr:uid="{BC50149D-37AE-429E-BD8A-1FE8AC9AF5A0}"/>
    <cellStyle name="Normal 9 2 4 4 3" xfId="5715" xr:uid="{00000000-0005-0000-0000-0000781F0000}"/>
    <cellStyle name="Normal 9 2 4 4 3 2" xfId="14157" xr:uid="{D3566FF6-4A99-4FFC-AABA-0BC04DF35576}"/>
    <cellStyle name="Normal 9 2 4 4 4" xfId="9939" xr:uid="{233D0CFF-8452-440A-A117-EBD31BAF4BA5}"/>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2665E177-07F4-42CB-9352-7587F18EEB52}"/>
    <cellStyle name="Normal 9 2 4 5 2 3" xfId="12497" xr:uid="{8CEF66D1-157E-4BFD-BAFF-E0A9401E154A}"/>
    <cellStyle name="Normal 9 2 4 5 3" xfId="6128" xr:uid="{00000000-0005-0000-0000-00007C1F0000}"/>
    <cellStyle name="Normal 9 2 4 5 3 2" xfId="14570" xr:uid="{EF16AF88-2CA0-495E-BFCD-2FB57712AA8F}"/>
    <cellStyle name="Normal 9 2 4 5 4" xfId="10352" xr:uid="{1A31371B-F25D-4252-860E-BF7A50C5559C}"/>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1EFA96E0-2010-4DF1-A011-81D605251693}"/>
    <cellStyle name="Normal 9 2 4 6 2 3" xfId="12910" xr:uid="{35F4A7CB-11AB-4362-8670-FE1664183F36}"/>
    <cellStyle name="Normal 9 2 4 6 3" xfId="6541" xr:uid="{00000000-0005-0000-0000-0000801F0000}"/>
    <cellStyle name="Normal 9 2 4 6 3 2" xfId="14983" xr:uid="{1D12796B-BC6E-4311-A022-084584D7ED13}"/>
    <cellStyle name="Normal 9 2 4 6 4" xfId="10765" xr:uid="{18689D57-8AD8-42E9-833B-BD1CE16CA7BC}"/>
    <cellStyle name="Normal 9 2 4 7" xfId="2670" xr:uid="{00000000-0005-0000-0000-0000811F0000}"/>
    <cellStyle name="Normal 9 2 4 7 2" xfId="6954" xr:uid="{00000000-0005-0000-0000-0000821F0000}"/>
    <cellStyle name="Normal 9 2 4 7 2 2" xfId="15396" xr:uid="{A3C36BE1-5EF9-4843-836C-5169D7E3160F}"/>
    <cellStyle name="Normal 9 2 4 7 3" xfId="11178" xr:uid="{AE15AEB2-61D9-4023-91BF-5134F3AA88E8}"/>
    <cellStyle name="Normal 9 2 4 8" xfId="4889" xr:uid="{00000000-0005-0000-0000-0000831F0000}"/>
    <cellStyle name="Normal 9 2 4 8 2" xfId="13331" xr:uid="{5B4F024A-00D9-4316-85B4-BF9FEAD79E78}"/>
    <cellStyle name="Normal 9 2 4 9" xfId="9113" xr:uid="{6094BB45-9BF4-420C-A5F8-49FF0494A5FA}"/>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C49644F-B967-4119-BE04-25D853733F7C}"/>
    <cellStyle name="Normal 9 2 5 2 2 3" xfId="11673" xr:uid="{CA13FDC1-F28C-4408-862F-8A7117A22E9B}"/>
    <cellStyle name="Normal 9 2 5 2 3" xfId="5304" xr:uid="{00000000-0005-0000-0000-0000881F0000}"/>
    <cellStyle name="Normal 9 2 5 2 3 2" xfId="13746" xr:uid="{CC026756-8530-48F3-A543-080F3362F671}"/>
    <cellStyle name="Normal 9 2 5 2 4" xfId="9528" xr:uid="{28CBBC1F-DA5F-4C68-BC1F-7D120CD3A17A}"/>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684E5A1F-B09D-4912-9DDD-7BD287B5383A}"/>
    <cellStyle name="Normal 9 2 5 3 2 3" xfId="12086" xr:uid="{3320E760-5028-4A4E-AA29-61F9FFE890E0}"/>
    <cellStyle name="Normal 9 2 5 3 3" xfId="5717" xr:uid="{00000000-0005-0000-0000-00008C1F0000}"/>
    <cellStyle name="Normal 9 2 5 3 3 2" xfId="14159" xr:uid="{4E234D27-247F-41ED-9BD7-E4E0F8F52E59}"/>
    <cellStyle name="Normal 9 2 5 3 4" xfId="9941" xr:uid="{4F25EF21-1139-4F2B-B270-B0543561B979}"/>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87F88B0A-0244-4C59-BA0F-48941738989D}"/>
    <cellStyle name="Normal 9 2 5 4 2 3" xfId="12499" xr:uid="{4E3C10AB-9DFA-4EB1-8F4F-9DAE350E2189}"/>
    <cellStyle name="Normal 9 2 5 4 3" xfId="6130" xr:uid="{00000000-0005-0000-0000-0000901F0000}"/>
    <cellStyle name="Normal 9 2 5 4 3 2" xfId="14572" xr:uid="{96D693AC-8B59-4667-998A-1B033C8D2623}"/>
    <cellStyle name="Normal 9 2 5 4 4" xfId="10354" xr:uid="{493987C9-E839-4607-BC08-72F4FA0BAA67}"/>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72AA53CA-C30E-434D-99C0-BC600DD1B9F7}"/>
    <cellStyle name="Normal 9 2 5 5 2 3" xfId="12912" xr:uid="{C21EA37F-71BC-4DBD-B5C4-D350CEDBB692}"/>
    <cellStyle name="Normal 9 2 5 5 3" xfId="6543" xr:uid="{00000000-0005-0000-0000-0000941F0000}"/>
    <cellStyle name="Normal 9 2 5 5 3 2" xfId="14985" xr:uid="{24B36F61-07E8-433F-BC87-A13E065AB48D}"/>
    <cellStyle name="Normal 9 2 5 5 4" xfId="10767" xr:uid="{F2C7E923-2626-423A-8E0F-573E53BFACB8}"/>
    <cellStyle name="Normal 9 2 5 6" xfId="2672" xr:uid="{00000000-0005-0000-0000-0000951F0000}"/>
    <cellStyle name="Normal 9 2 5 6 2" xfId="6956" xr:uid="{00000000-0005-0000-0000-0000961F0000}"/>
    <cellStyle name="Normal 9 2 5 6 2 2" xfId="15398" xr:uid="{F0978469-18EF-4D0F-AC75-EC32DC51EE01}"/>
    <cellStyle name="Normal 9 2 5 6 3" xfId="11180" xr:uid="{318BAE8E-5FAA-405B-BBAC-6ADC2928AEF8}"/>
    <cellStyle name="Normal 9 2 5 7" xfId="4891" xr:uid="{00000000-0005-0000-0000-0000971F0000}"/>
    <cellStyle name="Normal 9 2 5 7 2" xfId="13333" xr:uid="{982C09FA-C731-439E-95FD-81C62D4E359A}"/>
    <cellStyle name="Normal 9 2 5 8" xfId="9115" xr:uid="{0A32FCC1-8BF9-443D-95DE-559F3BECB630}"/>
    <cellStyle name="Normal 9 2 6" xfId="978" xr:uid="{00000000-0005-0000-0000-0000981F0000}"/>
    <cellStyle name="Normal 9 2 6 2" xfId="3211" xr:uid="{00000000-0005-0000-0000-0000991F0000}"/>
    <cellStyle name="Normal 9 2 6 2 2" xfId="7434" xr:uid="{00000000-0005-0000-0000-00009A1F0000}"/>
    <cellStyle name="Normal 9 2 6 2 2 2" xfId="15876" xr:uid="{8013BFAC-68D9-40D7-9A44-EEBE94D4FDC0}"/>
    <cellStyle name="Normal 9 2 6 2 3" xfId="11658" xr:uid="{5BD59074-A2E1-4BD4-B311-F078479C028D}"/>
    <cellStyle name="Normal 9 2 6 3" xfId="5289" xr:uid="{00000000-0005-0000-0000-00009B1F0000}"/>
    <cellStyle name="Normal 9 2 6 3 2" xfId="13731" xr:uid="{957DEA06-3906-4473-BF31-266933D327FF}"/>
    <cellStyle name="Normal 9 2 6 4" xfId="9513" xr:uid="{82D8E38F-A644-4C33-BE1F-E9E00B44BD5B}"/>
    <cellStyle name="Normal 9 2 7" xfId="1394" xr:uid="{00000000-0005-0000-0000-00009C1F0000}"/>
    <cellStyle name="Normal 9 2 7 2" xfId="3624" xr:uid="{00000000-0005-0000-0000-00009D1F0000}"/>
    <cellStyle name="Normal 9 2 7 2 2" xfId="7847" xr:uid="{00000000-0005-0000-0000-00009E1F0000}"/>
    <cellStyle name="Normal 9 2 7 2 2 2" xfId="16289" xr:uid="{53587043-D93A-4249-96EA-D5B7C59223B0}"/>
    <cellStyle name="Normal 9 2 7 2 3" xfId="12071" xr:uid="{D8A2067F-C277-4DE2-ADA6-0F43A99B5B7B}"/>
    <cellStyle name="Normal 9 2 7 3" xfId="5702" xr:uid="{00000000-0005-0000-0000-00009F1F0000}"/>
    <cellStyle name="Normal 9 2 7 3 2" xfId="14144" xr:uid="{AB87D359-7BF8-451B-9EF0-B13B2F9110F0}"/>
    <cellStyle name="Normal 9 2 7 4" xfId="9926" xr:uid="{AB79CE2F-C7DF-4A7C-A014-2F22DABD4214}"/>
    <cellStyle name="Normal 9 2 8" xfId="1807" xr:uid="{00000000-0005-0000-0000-0000A01F0000}"/>
    <cellStyle name="Normal 9 2 8 2" xfId="4037" xr:uid="{00000000-0005-0000-0000-0000A11F0000}"/>
    <cellStyle name="Normal 9 2 8 2 2" xfId="8260" xr:uid="{00000000-0005-0000-0000-0000A21F0000}"/>
    <cellStyle name="Normal 9 2 8 2 2 2" xfId="16702" xr:uid="{D3B38AB9-DBC8-4BED-BC5A-AEE772C7E2B6}"/>
    <cellStyle name="Normal 9 2 8 2 3" xfId="12484" xr:uid="{B1F7EBA9-7A6A-4F7F-881A-BB972BE76633}"/>
    <cellStyle name="Normal 9 2 8 3" xfId="6115" xr:uid="{00000000-0005-0000-0000-0000A31F0000}"/>
    <cellStyle name="Normal 9 2 8 3 2" xfId="14557" xr:uid="{DED8571B-5332-4B04-A747-274587CFE02D}"/>
    <cellStyle name="Normal 9 2 8 4" xfId="10339" xr:uid="{5AA24B93-FBC1-4961-A3AE-1530C049C6F5}"/>
    <cellStyle name="Normal 9 2 9" xfId="2221" xr:uid="{00000000-0005-0000-0000-0000A41F0000}"/>
    <cellStyle name="Normal 9 2 9 2" xfId="4450" xr:uid="{00000000-0005-0000-0000-0000A51F0000}"/>
    <cellStyle name="Normal 9 2 9 2 2" xfId="8673" xr:uid="{00000000-0005-0000-0000-0000A61F0000}"/>
    <cellStyle name="Normal 9 2 9 2 2 2" xfId="17115" xr:uid="{887BD97D-A1F3-4451-BFF8-FA93AE1F2C62}"/>
    <cellStyle name="Normal 9 2 9 2 3" xfId="12897" xr:uid="{B2AE8E3C-E1DF-47FC-857E-8762CC5242B4}"/>
    <cellStyle name="Normal 9 2 9 3" xfId="6528" xr:uid="{00000000-0005-0000-0000-0000A71F0000}"/>
    <cellStyle name="Normal 9 2 9 3 2" xfId="14970" xr:uid="{3C062182-1B75-4337-9E49-0E8BDE99009B}"/>
    <cellStyle name="Normal 9 2 9 4" xfId="10752" xr:uid="{55B23CB2-D54B-4552-9556-9045AA9EFF02}"/>
    <cellStyle name="Normal 9 3" xfId="527" xr:uid="{00000000-0005-0000-0000-0000A81F0000}"/>
    <cellStyle name="Normal 9 3 10" xfId="4892" xr:uid="{00000000-0005-0000-0000-0000A91F0000}"/>
    <cellStyle name="Normal 9 3 10 2" xfId="13334" xr:uid="{C8008DBB-C878-44C0-93F0-7170079D6A6E}"/>
    <cellStyle name="Normal 9 3 11" xfId="9116" xr:uid="{0B94A049-8255-4E9A-B2D4-37147FEAE29E}"/>
    <cellStyle name="Normal 9 3 2" xfId="528" xr:uid="{00000000-0005-0000-0000-0000AA1F0000}"/>
    <cellStyle name="Normal 9 3 2 10" xfId="9117" xr:uid="{61084196-441C-452F-96FC-93921D8787A4}"/>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0E13EC52-7E55-4443-8C2F-ED618916CF29}"/>
    <cellStyle name="Normal 9 3 2 2 2 2 2 3" xfId="11677" xr:uid="{00B478DE-3902-4DB6-807F-25933497C51D}"/>
    <cellStyle name="Normal 9 3 2 2 2 2 3" xfId="5308" xr:uid="{00000000-0005-0000-0000-0000B01F0000}"/>
    <cellStyle name="Normal 9 3 2 2 2 2 3 2" xfId="13750" xr:uid="{D76494B9-41DD-4FAB-92CD-A636E33D2870}"/>
    <cellStyle name="Normal 9 3 2 2 2 2 4" xfId="9532" xr:uid="{763F83C6-C7EC-4310-A26E-3333392C669B}"/>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324419A7-36CE-4D56-9E0B-39816409273C}"/>
    <cellStyle name="Normal 9 3 2 2 2 3 2 3" xfId="12090" xr:uid="{91834AB5-457E-4CB6-97F5-F9774D39E1E9}"/>
    <cellStyle name="Normal 9 3 2 2 2 3 3" xfId="5721" xr:uid="{00000000-0005-0000-0000-0000B41F0000}"/>
    <cellStyle name="Normal 9 3 2 2 2 3 3 2" xfId="14163" xr:uid="{8875AFFA-ED8E-4836-A163-03F262CABE03}"/>
    <cellStyle name="Normal 9 3 2 2 2 3 4" xfId="9945" xr:uid="{0416B48B-8172-462D-BCD2-AF84649C0A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94B34AD6-C680-4E89-9EAB-70E57CD3E3D5}"/>
    <cellStyle name="Normal 9 3 2 2 2 4 2 3" xfId="12503" xr:uid="{A2C099F7-90E8-45C4-8F88-BC7143229F10}"/>
    <cellStyle name="Normal 9 3 2 2 2 4 3" xfId="6134" xr:uid="{00000000-0005-0000-0000-0000B81F0000}"/>
    <cellStyle name="Normal 9 3 2 2 2 4 3 2" xfId="14576" xr:uid="{345DEAB6-50CB-46E9-9640-F3D94227AAB9}"/>
    <cellStyle name="Normal 9 3 2 2 2 4 4" xfId="10358" xr:uid="{6C7ED97F-CF0B-418E-B301-77920406B5E8}"/>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C34B2C57-A297-44F1-AC21-CBE81E748C17}"/>
    <cellStyle name="Normal 9 3 2 2 2 5 2 3" xfId="12916" xr:uid="{83782613-A31F-432E-A0D8-FFE4CBFE50C3}"/>
    <cellStyle name="Normal 9 3 2 2 2 5 3" xfId="6547" xr:uid="{00000000-0005-0000-0000-0000BC1F0000}"/>
    <cellStyle name="Normal 9 3 2 2 2 5 3 2" xfId="14989" xr:uid="{493EFA71-BA4B-47C2-A8F2-3596FC7FE328}"/>
    <cellStyle name="Normal 9 3 2 2 2 5 4" xfId="10771" xr:uid="{6EF55F86-7A1F-4CE3-80AA-9AEF0C4538EC}"/>
    <cellStyle name="Normal 9 3 2 2 2 6" xfId="2676" xr:uid="{00000000-0005-0000-0000-0000BD1F0000}"/>
    <cellStyle name="Normal 9 3 2 2 2 6 2" xfId="6960" xr:uid="{00000000-0005-0000-0000-0000BE1F0000}"/>
    <cellStyle name="Normal 9 3 2 2 2 6 2 2" xfId="15402" xr:uid="{EFF48079-F43C-4248-8DFA-08A5DB645A2E}"/>
    <cellStyle name="Normal 9 3 2 2 2 6 3" xfId="11184" xr:uid="{44B4E997-2346-4E33-A69A-B8F179CE41C5}"/>
    <cellStyle name="Normal 9 3 2 2 2 7" xfId="4895" xr:uid="{00000000-0005-0000-0000-0000BF1F0000}"/>
    <cellStyle name="Normal 9 3 2 2 2 7 2" xfId="13337" xr:uid="{5D27B2A5-026D-4DA2-8E85-3B3407F3FF9F}"/>
    <cellStyle name="Normal 9 3 2 2 2 8" xfId="9119" xr:uid="{8DD48AEE-2E53-4432-9B33-5B1FD5E0525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42D2D40A-CCCA-474F-A838-546C624E18AE}"/>
    <cellStyle name="Normal 9 3 2 2 3 2 3" xfId="11676" xr:uid="{09CFAEA9-ED12-4BD2-9483-F8C45109B195}"/>
    <cellStyle name="Normal 9 3 2 2 3 3" xfId="5307" xr:uid="{00000000-0005-0000-0000-0000C31F0000}"/>
    <cellStyle name="Normal 9 3 2 2 3 3 2" xfId="13749" xr:uid="{B00F1A5B-6AF1-42C7-8AC4-6F3CC06AC2EF}"/>
    <cellStyle name="Normal 9 3 2 2 3 4" xfId="9531" xr:uid="{05CC0E65-F330-49DA-9BB3-3B8FE4945BED}"/>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C4A0A231-FDB8-4373-9EF1-FCC94942BED1}"/>
    <cellStyle name="Normal 9 3 2 2 4 2 3" xfId="12089" xr:uid="{38B07F6D-01A6-4BE3-9174-4B20F6F67A32}"/>
    <cellStyle name="Normal 9 3 2 2 4 3" xfId="5720" xr:uid="{00000000-0005-0000-0000-0000C71F0000}"/>
    <cellStyle name="Normal 9 3 2 2 4 3 2" xfId="14162" xr:uid="{E38E9458-B60E-4C1E-998C-C3D88B3CDCE0}"/>
    <cellStyle name="Normal 9 3 2 2 4 4" xfId="9944" xr:uid="{371305CB-6161-415E-91E7-DDFE19ECEA90}"/>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C4A7531D-5771-441C-8B69-9D023FA8DFC3}"/>
    <cellStyle name="Normal 9 3 2 2 5 2 3" xfId="12502" xr:uid="{E2531D5D-F1A9-43C6-B5ED-892D3FEF55B7}"/>
    <cellStyle name="Normal 9 3 2 2 5 3" xfId="6133" xr:uid="{00000000-0005-0000-0000-0000CB1F0000}"/>
    <cellStyle name="Normal 9 3 2 2 5 3 2" xfId="14575" xr:uid="{CA841636-7942-43CF-BA79-34D7BFA0D69C}"/>
    <cellStyle name="Normal 9 3 2 2 5 4" xfId="10357" xr:uid="{2E69745C-3250-4C72-B004-0D7DB601BA8F}"/>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4FCD1E95-996A-4C04-8B86-01729F576143}"/>
    <cellStyle name="Normal 9 3 2 2 6 2 3" xfId="12915" xr:uid="{6B8DE412-A3AB-4E26-8F33-5083D4DB4C1A}"/>
    <cellStyle name="Normal 9 3 2 2 6 3" xfId="6546" xr:uid="{00000000-0005-0000-0000-0000CF1F0000}"/>
    <cellStyle name="Normal 9 3 2 2 6 3 2" xfId="14988" xr:uid="{286E10F7-B74E-48B8-BAB7-AD8148E98ACA}"/>
    <cellStyle name="Normal 9 3 2 2 6 4" xfId="10770" xr:uid="{24FAC67A-4A51-41CC-92DD-6582B1FEB18E}"/>
    <cellStyle name="Normal 9 3 2 2 7" xfId="2675" xr:uid="{00000000-0005-0000-0000-0000D01F0000}"/>
    <cellStyle name="Normal 9 3 2 2 7 2" xfId="6959" xr:uid="{00000000-0005-0000-0000-0000D11F0000}"/>
    <cellStyle name="Normal 9 3 2 2 7 2 2" xfId="15401" xr:uid="{76B4ADF7-10C9-44AA-BE17-C72D8577422D}"/>
    <cellStyle name="Normal 9 3 2 2 7 3" xfId="11183" xr:uid="{6A7682C5-D46E-4705-98E7-FB9CF2728A57}"/>
    <cellStyle name="Normal 9 3 2 2 8" xfId="4894" xr:uid="{00000000-0005-0000-0000-0000D21F0000}"/>
    <cellStyle name="Normal 9 3 2 2 8 2" xfId="13336" xr:uid="{09FFDDF3-68CC-4C08-B277-08CE0646B14D}"/>
    <cellStyle name="Normal 9 3 2 2 9" xfId="9118" xr:uid="{1ABF9C8B-FBCE-4D9A-B92F-ED26AB37ADFB}"/>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D9D8D72B-C8B9-44D7-8648-ABDBB8092F02}"/>
    <cellStyle name="Normal 9 3 2 3 2 2 3" xfId="11678" xr:uid="{92D718E1-D512-4626-B703-A47972ACF5D2}"/>
    <cellStyle name="Normal 9 3 2 3 2 3" xfId="5309" xr:uid="{00000000-0005-0000-0000-0000D71F0000}"/>
    <cellStyle name="Normal 9 3 2 3 2 3 2" xfId="13751" xr:uid="{7857D55B-B5CD-43D3-AB17-B5741EC80543}"/>
    <cellStyle name="Normal 9 3 2 3 2 4" xfId="9533" xr:uid="{7B286E33-BC1A-47B7-B334-D7B945B09F2A}"/>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A1D7FE35-8B33-49AC-BF93-A51E2646A000}"/>
    <cellStyle name="Normal 9 3 2 3 3 2 3" xfId="12091" xr:uid="{B98A9F04-2AFA-48ED-ACB0-3551BB34D26C}"/>
    <cellStyle name="Normal 9 3 2 3 3 3" xfId="5722" xr:uid="{00000000-0005-0000-0000-0000DB1F0000}"/>
    <cellStyle name="Normal 9 3 2 3 3 3 2" xfId="14164" xr:uid="{0E7E7B70-E14E-487D-AB21-807842B50F2C}"/>
    <cellStyle name="Normal 9 3 2 3 3 4" xfId="9946" xr:uid="{F6E48F20-481F-45C1-A399-83B59B2F8EFA}"/>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A1FCFF95-E872-4C13-B402-4FD168E5BE03}"/>
    <cellStyle name="Normal 9 3 2 3 4 2 3" xfId="12504" xr:uid="{7FEA2A70-0749-41F2-AD3D-60CC085BF49C}"/>
    <cellStyle name="Normal 9 3 2 3 4 3" xfId="6135" xr:uid="{00000000-0005-0000-0000-0000DF1F0000}"/>
    <cellStyle name="Normal 9 3 2 3 4 3 2" xfId="14577" xr:uid="{C81F540E-FC79-4494-A303-ED5F21157E3C}"/>
    <cellStyle name="Normal 9 3 2 3 4 4" xfId="10359" xr:uid="{B4D821CE-30F5-46CD-81B5-D40686E0963F}"/>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38704212-0669-4DA0-82B0-252AEA9F643C}"/>
    <cellStyle name="Normal 9 3 2 3 5 2 3" xfId="12917" xr:uid="{E291528C-A832-42AC-A389-8D3739165864}"/>
    <cellStyle name="Normal 9 3 2 3 5 3" xfId="6548" xr:uid="{00000000-0005-0000-0000-0000E31F0000}"/>
    <cellStyle name="Normal 9 3 2 3 5 3 2" xfId="14990" xr:uid="{C0A43B49-20F7-4371-A1E9-8504E7CBD86A}"/>
    <cellStyle name="Normal 9 3 2 3 5 4" xfId="10772" xr:uid="{45577A99-6ECB-455D-8123-05255FED6517}"/>
    <cellStyle name="Normal 9 3 2 3 6" xfId="2677" xr:uid="{00000000-0005-0000-0000-0000E41F0000}"/>
    <cellStyle name="Normal 9 3 2 3 6 2" xfId="6961" xr:uid="{00000000-0005-0000-0000-0000E51F0000}"/>
    <cellStyle name="Normal 9 3 2 3 6 2 2" xfId="15403" xr:uid="{7457AC61-C4E6-4A80-B9DA-99CF8058B412}"/>
    <cellStyle name="Normal 9 3 2 3 6 3" xfId="11185" xr:uid="{F33E2B25-7169-401D-9634-F4582C2F328C}"/>
    <cellStyle name="Normal 9 3 2 3 7" xfId="4896" xr:uid="{00000000-0005-0000-0000-0000E61F0000}"/>
    <cellStyle name="Normal 9 3 2 3 7 2" xfId="13338" xr:uid="{E5351439-067B-40E7-B307-A2A0327D7B18}"/>
    <cellStyle name="Normal 9 3 2 3 8" xfId="9120" xr:uid="{69F9D807-F9A5-4474-A186-51AF565ADFF5}"/>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A05898C5-EE48-4961-B7C7-966C4AE50EE0}"/>
    <cellStyle name="Normal 9 3 2 4 2 3" xfId="11675" xr:uid="{CECFF615-EE90-40F9-8582-999912E52FF5}"/>
    <cellStyle name="Normal 9 3 2 4 3" xfId="5306" xr:uid="{00000000-0005-0000-0000-0000EA1F0000}"/>
    <cellStyle name="Normal 9 3 2 4 3 2" xfId="13748" xr:uid="{F4F010CD-71BC-49C5-BFA8-DD8B53E2A289}"/>
    <cellStyle name="Normal 9 3 2 4 4" xfId="9530" xr:uid="{42997ABF-8B40-4AB0-9C28-ADD7816FC182}"/>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670073DB-35F1-4B8B-B89D-7FB46863817D}"/>
    <cellStyle name="Normal 9 3 2 5 2 3" xfId="12088" xr:uid="{7D21C258-D45A-4DD1-B644-19C28C622AE5}"/>
    <cellStyle name="Normal 9 3 2 5 3" xfId="5719" xr:uid="{00000000-0005-0000-0000-0000EE1F0000}"/>
    <cellStyle name="Normal 9 3 2 5 3 2" xfId="14161" xr:uid="{18F52930-3671-4229-93DE-60EA27A08442}"/>
    <cellStyle name="Normal 9 3 2 5 4" xfId="9943" xr:uid="{9B7196DB-3769-4A8A-BDDE-C64879E23E42}"/>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165E2151-7631-4571-91C3-522C4D452AFE}"/>
    <cellStyle name="Normal 9 3 2 6 2 3" xfId="12501" xr:uid="{8C1A69EC-9289-44E2-85F6-9C825846D280}"/>
    <cellStyle name="Normal 9 3 2 6 3" xfId="6132" xr:uid="{00000000-0005-0000-0000-0000F21F0000}"/>
    <cellStyle name="Normal 9 3 2 6 3 2" xfId="14574" xr:uid="{745F5DAD-2DB0-4A8E-8BC0-56F7F4A1B6DF}"/>
    <cellStyle name="Normal 9 3 2 6 4" xfId="10356" xr:uid="{92BB2B83-816B-4CDF-8EB5-75A0563F931C}"/>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B13845B5-0DF5-4D3A-A23D-2DF5E82F7789}"/>
    <cellStyle name="Normal 9 3 2 7 2 3" xfId="12914" xr:uid="{2F062471-DD6E-405D-9A06-5BC4919A8BC9}"/>
    <cellStyle name="Normal 9 3 2 7 3" xfId="6545" xr:uid="{00000000-0005-0000-0000-0000F61F0000}"/>
    <cellStyle name="Normal 9 3 2 7 3 2" xfId="14987" xr:uid="{2D28EFED-4F77-426F-857C-4AFA24318265}"/>
    <cellStyle name="Normal 9 3 2 7 4" xfId="10769" xr:uid="{6A11AE6F-745D-4861-9234-6774AC25E9AD}"/>
    <cellStyle name="Normal 9 3 2 8" xfId="2674" xr:uid="{00000000-0005-0000-0000-0000F71F0000}"/>
    <cellStyle name="Normal 9 3 2 8 2" xfId="6958" xr:uid="{00000000-0005-0000-0000-0000F81F0000}"/>
    <cellStyle name="Normal 9 3 2 8 2 2" xfId="15400" xr:uid="{3188FC85-53F4-4ADF-A45A-E31C5C150094}"/>
    <cellStyle name="Normal 9 3 2 8 3" xfId="11182" xr:uid="{7F601555-E197-4394-B8F7-ECBDD8ABF321}"/>
    <cellStyle name="Normal 9 3 2 9" xfId="4893" xr:uid="{00000000-0005-0000-0000-0000F91F0000}"/>
    <cellStyle name="Normal 9 3 2 9 2" xfId="13335" xr:uid="{5475291E-ABAC-41F1-99EA-C0256131543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F0F8A6A5-8EEB-4C81-8C1E-7417753EF322}"/>
    <cellStyle name="Normal 9 3 3 2 2 2 3" xfId="11680" xr:uid="{924529B4-080A-413B-A543-2FF3AF5861F7}"/>
    <cellStyle name="Normal 9 3 3 2 2 3" xfId="5311" xr:uid="{00000000-0005-0000-0000-0000FF1F0000}"/>
    <cellStyle name="Normal 9 3 3 2 2 3 2" xfId="13753" xr:uid="{7208ADB7-13B3-481E-94C8-727552FE451C}"/>
    <cellStyle name="Normal 9 3 3 2 2 4" xfId="9535" xr:uid="{7C4AE018-C80D-477D-8136-93566C5B3DE1}"/>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68D93592-BBA0-4BAA-A64C-F2AD54929652}"/>
    <cellStyle name="Normal 9 3 3 2 3 2 3" xfId="12093" xr:uid="{E4B6CFD2-01E4-41AA-8E36-449D63F36838}"/>
    <cellStyle name="Normal 9 3 3 2 3 3" xfId="5724" xr:uid="{00000000-0005-0000-0000-000003200000}"/>
    <cellStyle name="Normal 9 3 3 2 3 3 2" xfId="14166" xr:uid="{68E8DE1A-65B6-44D3-8B40-8E21A74391FB}"/>
    <cellStyle name="Normal 9 3 3 2 3 4" xfId="9948" xr:uid="{0EBD64CB-6EC6-4BFF-99D4-313EC7D6E5FC}"/>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441B62CF-856E-44CB-94DA-6BB2C1FB6FFC}"/>
    <cellStyle name="Normal 9 3 3 2 4 2 3" xfId="12506" xr:uid="{33C6CBBA-BDAF-4B98-9517-0FE538691268}"/>
    <cellStyle name="Normal 9 3 3 2 4 3" xfId="6137" xr:uid="{00000000-0005-0000-0000-000007200000}"/>
    <cellStyle name="Normal 9 3 3 2 4 3 2" xfId="14579" xr:uid="{66C2EBE4-9EA3-4651-8A1E-5D6581E35F99}"/>
    <cellStyle name="Normal 9 3 3 2 4 4" xfId="10361" xr:uid="{29E8AE8B-A097-4760-A0AE-50DA79F06709}"/>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D1E395AD-C61B-48EC-9CD8-21056CBCB728}"/>
    <cellStyle name="Normal 9 3 3 2 5 2 3" xfId="12919" xr:uid="{03E03FF4-F91A-45A3-99B7-43E4A72382BE}"/>
    <cellStyle name="Normal 9 3 3 2 5 3" xfId="6550" xr:uid="{00000000-0005-0000-0000-00000B200000}"/>
    <cellStyle name="Normal 9 3 3 2 5 3 2" xfId="14992" xr:uid="{4D19C8C4-DAB6-4287-A534-CCBF1AF9E4E2}"/>
    <cellStyle name="Normal 9 3 3 2 5 4" xfId="10774" xr:uid="{13F1289D-551B-46FE-9AF1-9961D6052938}"/>
    <cellStyle name="Normal 9 3 3 2 6" xfId="2679" xr:uid="{00000000-0005-0000-0000-00000C200000}"/>
    <cellStyle name="Normal 9 3 3 2 6 2" xfId="6963" xr:uid="{00000000-0005-0000-0000-00000D200000}"/>
    <cellStyle name="Normal 9 3 3 2 6 2 2" xfId="15405" xr:uid="{1EB8DF3B-BC1B-431D-AC34-3AF6F1C1B706}"/>
    <cellStyle name="Normal 9 3 3 2 6 3" xfId="11187" xr:uid="{4F76CA52-7ED0-4224-9419-A2E644E65E9F}"/>
    <cellStyle name="Normal 9 3 3 2 7" xfId="4898" xr:uid="{00000000-0005-0000-0000-00000E200000}"/>
    <cellStyle name="Normal 9 3 3 2 7 2" xfId="13340" xr:uid="{9B030EA0-BDBE-4E8F-BF8D-847D5278AA2C}"/>
    <cellStyle name="Normal 9 3 3 2 8" xfId="9122" xr:uid="{43F956DB-A40E-435F-8FDE-237CDE17F18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A3CF9218-D79A-42F3-B55C-FCD00140D0E5}"/>
    <cellStyle name="Normal 9 3 3 3 2 3" xfId="11679" xr:uid="{41C665FA-2CA6-475A-9CBD-F51EC315747D}"/>
    <cellStyle name="Normal 9 3 3 3 3" xfId="5310" xr:uid="{00000000-0005-0000-0000-000012200000}"/>
    <cellStyle name="Normal 9 3 3 3 3 2" xfId="13752" xr:uid="{64F63E9A-6E35-4E51-94BB-725D199F45CB}"/>
    <cellStyle name="Normal 9 3 3 3 4" xfId="9534" xr:uid="{2EB424FE-F25C-4E25-A08F-201A64653986}"/>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B7D6BD27-B1AD-4566-80B2-99C8A678A93F}"/>
    <cellStyle name="Normal 9 3 3 4 2 3" xfId="12092" xr:uid="{6FB4900F-8AA8-4715-B659-442DA14853C6}"/>
    <cellStyle name="Normal 9 3 3 4 3" xfId="5723" xr:uid="{00000000-0005-0000-0000-000016200000}"/>
    <cellStyle name="Normal 9 3 3 4 3 2" xfId="14165" xr:uid="{8BF05B7E-568B-42FA-94AA-0D318F6A75AE}"/>
    <cellStyle name="Normal 9 3 3 4 4" xfId="9947" xr:uid="{3F3091DA-DBBD-40DA-9DBD-AD73CF48A196}"/>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9A5D353E-CA6A-44E4-80FF-AD4DBC068AD1}"/>
    <cellStyle name="Normal 9 3 3 5 2 3" xfId="12505" xr:uid="{F1C64364-E2A1-46B3-93A7-FAD54AF94885}"/>
    <cellStyle name="Normal 9 3 3 5 3" xfId="6136" xr:uid="{00000000-0005-0000-0000-00001A200000}"/>
    <cellStyle name="Normal 9 3 3 5 3 2" xfId="14578" xr:uid="{40849D6E-7914-45D2-B788-09BE5E891219}"/>
    <cellStyle name="Normal 9 3 3 5 4" xfId="10360" xr:uid="{0D281027-9F8C-4CEA-9C43-085A8965592F}"/>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C29ABF8F-F5BB-4E5D-956D-AF615CA4FC9E}"/>
    <cellStyle name="Normal 9 3 3 6 2 3" xfId="12918" xr:uid="{0ACFBE43-4D66-4DCD-8473-F4E9CED1E6A1}"/>
    <cellStyle name="Normal 9 3 3 6 3" xfId="6549" xr:uid="{00000000-0005-0000-0000-00001E200000}"/>
    <cellStyle name="Normal 9 3 3 6 3 2" xfId="14991" xr:uid="{F9467CC9-F90B-419E-B389-648225ECCCD0}"/>
    <cellStyle name="Normal 9 3 3 6 4" xfId="10773" xr:uid="{0E587F0D-D0FF-477B-A384-D2B07494CFF2}"/>
    <cellStyle name="Normal 9 3 3 7" xfId="2678" xr:uid="{00000000-0005-0000-0000-00001F200000}"/>
    <cellStyle name="Normal 9 3 3 7 2" xfId="6962" xr:uid="{00000000-0005-0000-0000-000020200000}"/>
    <cellStyle name="Normal 9 3 3 7 2 2" xfId="15404" xr:uid="{9D8D3DE1-114D-40B8-8AE4-A72FB2231F85}"/>
    <cellStyle name="Normal 9 3 3 7 3" xfId="11186" xr:uid="{CCC8DDC0-387E-4E90-AF2E-5675061621D9}"/>
    <cellStyle name="Normal 9 3 3 8" xfId="4897" xr:uid="{00000000-0005-0000-0000-000021200000}"/>
    <cellStyle name="Normal 9 3 3 8 2" xfId="13339" xr:uid="{6DC46235-9941-474C-9091-C07ACF0DE9BD}"/>
    <cellStyle name="Normal 9 3 3 9" xfId="9121" xr:uid="{978F9E50-451C-4908-914F-663BA3E18F14}"/>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84A58CCF-A31B-456E-8579-D70C8EA6A1A6}"/>
    <cellStyle name="Normal 9 3 4 2 2 3" xfId="11681" xr:uid="{9AB06C08-B3B3-432F-A947-F82CCF6D1A29}"/>
    <cellStyle name="Normal 9 3 4 2 3" xfId="5312" xr:uid="{00000000-0005-0000-0000-000026200000}"/>
    <cellStyle name="Normal 9 3 4 2 3 2" xfId="13754" xr:uid="{6BB57F11-113A-4480-B2AF-FA2C1D1FC835}"/>
    <cellStyle name="Normal 9 3 4 2 4" xfId="9536" xr:uid="{81802AB3-DA3F-45F5-A3C3-8BC919EF74D8}"/>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45A8E54E-767A-4D64-88F8-110EBA6E7DD3}"/>
    <cellStyle name="Normal 9 3 4 3 2 3" xfId="12094" xr:uid="{3A80C25F-42F3-4EBD-BCBE-9834DD3E1601}"/>
    <cellStyle name="Normal 9 3 4 3 3" xfId="5725" xr:uid="{00000000-0005-0000-0000-00002A200000}"/>
    <cellStyle name="Normal 9 3 4 3 3 2" xfId="14167" xr:uid="{55EAC137-A54E-4E0C-B28D-191A1F6DE08A}"/>
    <cellStyle name="Normal 9 3 4 3 4" xfId="9949" xr:uid="{8A9FD40D-5A68-4503-A93F-F6FE57741040}"/>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DDE9745F-1489-4511-8167-8544E8505652}"/>
    <cellStyle name="Normal 9 3 4 4 2 3" xfId="12507" xr:uid="{7C6FB670-C00E-4451-A338-D40B87A7687F}"/>
    <cellStyle name="Normal 9 3 4 4 3" xfId="6138" xr:uid="{00000000-0005-0000-0000-00002E200000}"/>
    <cellStyle name="Normal 9 3 4 4 3 2" xfId="14580" xr:uid="{6924C5F6-B4D5-4F03-B37B-2F4DB8803412}"/>
    <cellStyle name="Normal 9 3 4 4 4" xfId="10362" xr:uid="{FE29B5FC-79BE-4EC4-A22C-B7490402F26A}"/>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604FBF6A-F3D5-4921-8184-BFC4EDFE89D0}"/>
    <cellStyle name="Normal 9 3 4 5 2 3" xfId="12920" xr:uid="{A8D58BCD-E11D-44B5-A377-A5EA3265D4E5}"/>
    <cellStyle name="Normal 9 3 4 5 3" xfId="6551" xr:uid="{00000000-0005-0000-0000-000032200000}"/>
    <cellStyle name="Normal 9 3 4 5 3 2" xfId="14993" xr:uid="{17A1BEC1-83E6-4C77-B14E-C8C0915B0213}"/>
    <cellStyle name="Normal 9 3 4 5 4" xfId="10775" xr:uid="{48C6D38D-C51F-4582-B64A-EDB20246BECB}"/>
    <cellStyle name="Normal 9 3 4 6" xfId="2680" xr:uid="{00000000-0005-0000-0000-000033200000}"/>
    <cellStyle name="Normal 9 3 4 6 2" xfId="6964" xr:uid="{00000000-0005-0000-0000-000034200000}"/>
    <cellStyle name="Normal 9 3 4 6 2 2" xfId="15406" xr:uid="{867AC246-DEE0-40BC-8869-DB1097FC9E8A}"/>
    <cellStyle name="Normal 9 3 4 6 3" xfId="11188" xr:uid="{896D3799-04D1-4FCA-A28B-9DB09475019A}"/>
    <cellStyle name="Normal 9 3 4 7" xfId="4899" xr:uid="{00000000-0005-0000-0000-000035200000}"/>
    <cellStyle name="Normal 9 3 4 7 2" xfId="13341" xr:uid="{B1570420-82DB-40DC-A1D7-C28E3027CD63}"/>
    <cellStyle name="Normal 9 3 4 8" xfId="9123" xr:uid="{FE39167A-0C16-4EE9-9F14-8F7D5BE73C26}"/>
    <cellStyle name="Normal 9 3 5" xfId="994" xr:uid="{00000000-0005-0000-0000-000036200000}"/>
    <cellStyle name="Normal 9 3 5 2" xfId="3227" xr:uid="{00000000-0005-0000-0000-000037200000}"/>
    <cellStyle name="Normal 9 3 5 2 2" xfId="7450" xr:uid="{00000000-0005-0000-0000-000038200000}"/>
    <cellStyle name="Normal 9 3 5 2 2 2" xfId="15892" xr:uid="{C2E11E27-D99C-4A62-AF8E-A3F1A7F2D2BB}"/>
    <cellStyle name="Normal 9 3 5 2 3" xfId="11674" xr:uid="{5CCE7B94-9241-4E21-A6F5-810C8E7D4019}"/>
    <cellStyle name="Normal 9 3 5 3" xfId="5305" xr:uid="{00000000-0005-0000-0000-000039200000}"/>
    <cellStyle name="Normal 9 3 5 3 2" xfId="13747" xr:uid="{CDE8FA99-2741-4F57-9CF5-AEDFE477EAD1}"/>
    <cellStyle name="Normal 9 3 5 4" xfId="9529" xr:uid="{630BD673-CA22-446C-A8D9-945C935F9F0E}"/>
    <cellStyle name="Normal 9 3 6" xfId="1410" xr:uid="{00000000-0005-0000-0000-00003A200000}"/>
    <cellStyle name="Normal 9 3 6 2" xfId="3640" xr:uid="{00000000-0005-0000-0000-00003B200000}"/>
    <cellStyle name="Normal 9 3 6 2 2" xfId="7863" xr:uid="{00000000-0005-0000-0000-00003C200000}"/>
    <cellStyle name="Normal 9 3 6 2 2 2" xfId="16305" xr:uid="{269843CE-7614-4CBA-ACFB-8F241A6B8D18}"/>
    <cellStyle name="Normal 9 3 6 2 3" xfId="12087" xr:uid="{1ECF48DB-9B02-4DC2-9515-707CBB5E0AAA}"/>
    <cellStyle name="Normal 9 3 6 3" xfId="5718" xr:uid="{00000000-0005-0000-0000-00003D200000}"/>
    <cellStyle name="Normal 9 3 6 3 2" xfId="14160" xr:uid="{8B81F6EC-82E4-4617-8F60-7B304A38640F}"/>
    <cellStyle name="Normal 9 3 6 4" xfId="9942" xr:uid="{DB5365FF-49B1-49AB-9DE9-748FF14A3299}"/>
    <cellStyle name="Normal 9 3 7" xfId="1823" xr:uid="{00000000-0005-0000-0000-00003E200000}"/>
    <cellStyle name="Normal 9 3 7 2" xfId="4053" xr:uid="{00000000-0005-0000-0000-00003F200000}"/>
    <cellStyle name="Normal 9 3 7 2 2" xfId="8276" xr:uid="{00000000-0005-0000-0000-000040200000}"/>
    <cellStyle name="Normal 9 3 7 2 2 2" xfId="16718" xr:uid="{E05B489E-D680-4987-9BBE-EB259E976EDE}"/>
    <cellStyle name="Normal 9 3 7 2 3" xfId="12500" xr:uid="{F13E789A-AE6B-4B10-839F-36E6841D7BF4}"/>
    <cellStyle name="Normal 9 3 7 3" xfId="6131" xr:uid="{00000000-0005-0000-0000-000041200000}"/>
    <cellStyle name="Normal 9 3 7 3 2" xfId="14573" xr:uid="{7AC81221-F80D-42B5-B404-20AC6B4C399E}"/>
    <cellStyle name="Normal 9 3 7 4" xfId="10355" xr:uid="{CEDB7BF9-98D8-4F45-A182-4B746C23BC0E}"/>
    <cellStyle name="Normal 9 3 8" xfId="2237" xr:uid="{00000000-0005-0000-0000-000042200000}"/>
    <cellStyle name="Normal 9 3 8 2" xfId="4466" xr:uid="{00000000-0005-0000-0000-000043200000}"/>
    <cellStyle name="Normal 9 3 8 2 2" xfId="8689" xr:uid="{00000000-0005-0000-0000-000044200000}"/>
    <cellStyle name="Normal 9 3 8 2 2 2" xfId="17131" xr:uid="{97BE7406-E6EE-4958-B05D-72C547CEA28D}"/>
    <cellStyle name="Normal 9 3 8 2 3" xfId="12913" xr:uid="{FD2BB38A-D03E-41CC-97C2-05B24C15F054}"/>
    <cellStyle name="Normal 9 3 8 3" xfId="6544" xr:uid="{00000000-0005-0000-0000-000045200000}"/>
    <cellStyle name="Normal 9 3 8 3 2" xfId="14986" xr:uid="{A6E1E258-459D-45CF-BE89-9276C57D0F5E}"/>
    <cellStyle name="Normal 9 3 8 4" xfId="10768" xr:uid="{A5B94B4E-7E65-45C8-BFF6-29C4966D1B9D}"/>
    <cellStyle name="Normal 9 3 9" xfId="2673" xr:uid="{00000000-0005-0000-0000-000046200000}"/>
    <cellStyle name="Normal 9 3 9 2" xfId="6957" xr:uid="{00000000-0005-0000-0000-000047200000}"/>
    <cellStyle name="Normal 9 3 9 2 2" xfId="15399" xr:uid="{BB2FA379-FC04-4C7A-AF34-18FFE3B677CC}"/>
    <cellStyle name="Normal 9 3 9 3" xfId="11181" xr:uid="{BB63D22B-DE6A-4303-9C37-A89EA9E9D48E}"/>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2B3E3BBF-AB12-4493-9589-2F9CADBEFF8B}"/>
    <cellStyle name="Normal 9 5 2 2 2 3" xfId="11683" xr:uid="{7B302D6A-4DE1-435C-96E8-CE3AA130737C}"/>
    <cellStyle name="Normal 9 5 2 2 3" xfId="5314" xr:uid="{00000000-0005-0000-0000-00004F200000}"/>
    <cellStyle name="Normal 9 5 2 2 3 2" xfId="13756" xr:uid="{89D8E206-5A48-4571-8E7A-34C7F5AAECCD}"/>
    <cellStyle name="Normal 9 5 2 2 4" xfId="9538" xr:uid="{86E8A0B6-DDF1-48CA-A0A1-4F2419B5B172}"/>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5DF473A4-EA6A-4A8B-B9E5-BDAF2C47649A}"/>
    <cellStyle name="Normal 9 5 2 3 2 3" xfId="12096" xr:uid="{2E53EA78-9A4D-4E74-9E17-011B1816EC2D}"/>
    <cellStyle name="Normal 9 5 2 3 3" xfId="5727" xr:uid="{00000000-0005-0000-0000-000053200000}"/>
    <cellStyle name="Normal 9 5 2 3 3 2" xfId="14169" xr:uid="{FC880DFF-DA1B-478D-8FAA-3B6FDD290027}"/>
    <cellStyle name="Normal 9 5 2 3 4" xfId="9951" xr:uid="{BFDEDC3A-04A0-49F1-AB85-2C579833C35E}"/>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30E7243A-6E5D-4422-947C-CBA21C5D109A}"/>
    <cellStyle name="Normal 9 5 2 4 2 3" xfId="12509" xr:uid="{6B3E01BF-0809-4339-A9B7-F04F7FBED2A6}"/>
    <cellStyle name="Normal 9 5 2 4 3" xfId="6140" xr:uid="{00000000-0005-0000-0000-000057200000}"/>
    <cellStyle name="Normal 9 5 2 4 3 2" xfId="14582" xr:uid="{F5B9FAF2-0753-444C-BF87-3B9242FD76BA}"/>
    <cellStyle name="Normal 9 5 2 4 4" xfId="10364" xr:uid="{F22E8C45-B3F1-498D-A124-8B7FE8C700B6}"/>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0B4835AD-BB4F-466B-A5DD-52F40469F1AF}"/>
    <cellStyle name="Normal 9 5 2 5 2 3" xfId="12922" xr:uid="{D42F3289-7A21-4A7C-B0FE-42E66EAC4676}"/>
    <cellStyle name="Normal 9 5 2 5 3" xfId="6553" xr:uid="{00000000-0005-0000-0000-00005B200000}"/>
    <cellStyle name="Normal 9 5 2 5 3 2" xfId="14995" xr:uid="{2DFC2B18-C8FF-4A26-B44A-E35421F2B974}"/>
    <cellStyle name="Normal 9 5 2 5 4" xfId="10777" xr:uid="{E3083679-41D7-45BC-9335-AA68889C185F}"/>
    <cellStyle name="Normal 9 5 2 6" xfId="2682" xr:uid="{00000000-0005-0000-0000-00005C200000}"/>
    <cellStyle name="Normal 9 5 2 6 2" xfId="6966" xr:uid="{00000000-0005-0000-0000-00005D200000}"/>
    <cellStyle name="Normal 9 5 2 6 2 2" xfId="15408" xr:uid="{246C742B-3582-4F31-847F-20B9DF42A9E8}"/>
    <cellStyle name="Normal 9 5 2 6 3" xfId="11190" xr:uid="{F1D47093-5C7D-45BD-9084-77D0565EB397}"/>
    <cellStyle name="Normal 9 5 2 7" xfId="4901" xr:uid="{00000000-0005-0000-0000-00005E200000}"/>
    <cellStyle name="Normal 9 5 2 7 2" xfId="13343" xr:uid="{DCBDADBA-9FBB-4AA5-BC17-BD764CE94F22}"/>
    <cellStyle name="Normal 9 5 2 8" xfId="9125" xr:uid="{C44B7848-D7C0-43D5-B6D7-78841AD1FD6D}"/>
    <cellStyle name="Normal 9 5 3" xfId="1003" xr:uid="{00000000-0005-0000-0000-00005F200000}"/>
    <cellStyle name="Normal 9 5 3 2" xfId="3235" xr:uid="{00000000-0005-0000-0000-000060200000}"/>
    <cellStyle name="Normal 9 5 3 2 2" xfId="7458" xr:uid="{00000000-0005-0000-0000-000061200000}"/>
    <cellStyle name="Normal 9 5 3 2 2 2" xfId="15900" xr:uid="{523229ED-AE18-4E47-9304-8201E1F56405}"/>
    <cellStyle name="Normal 9 5 3 2 3" xfId="11682" xr:uid="{060A1514-FF78-46D3-8567-C34AD59B93F3}"/>
    <cellStyle name="Normal 9 5 3 3" xfId="5313" xr:uid="{00000000-0005-0000-0000-000062200000}"/>
    <cellStyle name="Normal 9 5 3 3 2" xfId="13755" xr:uid="{4FD7A9F0-387C-46A8-A961-570EDD8737BD}"/>
    <cellStyle name="Normal 9 5 3 4" xfId="9537" xr:uid="{60B019BD-FD84-49C9-A624-A964CAF236E6}"/>
    <cellStyle name="Normal 9 5 4" xfId="1418" xr:uid="{00000000-0005-0000-0000-000063200000}"/>
    <cellStyle name="Normal 9 5 4 2" xfId="3648" xr:uid="{00000000-0005-0000-0000-000064200000}"/>
    <cellStyle name="Normal 9 5 4 2 2" xfId="7871" xr:uid="{00000000-0005-0000-0000-000065200000}"/>
    <cellStyle name="Normal 9 5 4 2 2 2" xfId="16313" xr:uid="{CCC6377A-BA37-47CC-B1BE-D85557C443D0}"/>
    <cellStyle name="Normal 9 5 4 2 3" xfId="12095" xr:uid="{2AF08B0F-C787-41C5-B242-14F3B87CB3E1}"/>
    <cellStyle name="Normal 9 5 4 3" xfId="5726" xr:uid="{00000000-0005-0000-0000-000066200000}"/>
    <cellStyle name="Normal 9 5 4 3 2" xfId="14168" xr:uid="{97B2D1D4-326C-424C-A899-7B629CE4508E}"/>
    <cellStyle name="Normal 9 5 4 4" xfId="9950" xr:uid="{923E29FD-016F-4926-BCD4-52B16F176AEA}"/>
    <cellStyle name="Normal 9 5 5" xfId="1831" xr:uid="{00000000-0005-0000-0000-000067200000}"/>
    <cellStyle name="Normal 9 5 5 2" xfId="4061" xr:uid="{00000000-0005-0000-0000-000068200000}"/>
    <cellStyle name="Normal 9 5 5 2 2" xfId="8284" xr:uid="{00000000-0005-0000-0000-000069200000}"/>
    <cellStyle name="Normal 9 5 5 2 2 2" xfId="16726" xr:uid="{92EDA310-F52A-4937-AAC6-CABFA9E853EF}"/>
    <cellStyle name="Normal 9 5 5 2 3" xfId="12508" xr:uid="{8D556BCD-7067-434D-9DF2-33F909BBC96D}"/>
    <cellStyle name="Normal 9 5 5 3" xfId="6139" xr:uid="{00000000-0005-0000-0000-00006A200000}"/>
    <cellStyle name="Normal 9 5 5 3 2" xfId="14581" xr:uid="{7CBBA441-69FA-42E0-979B-2888618E7340}"/>
    <cellStyle name="Normal 9 5 5 4" xfId="10363" xr:uid="{11BF9BD3-793B-4C88-8F5E-CF649DB7F409}"/>
    <cellStyle name="Normal 9 5 6" xfId="2245" xr:uid="{00000000-0005-0000-0000-00006B200000}"/>
    <cellStyle name="Normal 9 5 6 2" xfId="4474" xr:uid="{00000000-0005-0000-0000-00006C200000}"/>
    <cellStyle name="Normal 9 5 6 2 2" xfId="8697" xr:uid="{00000000-0005-0000-0000-00006D200000}"/>
    <cellStyle name="Normal 9 5 6 2 2 2" xfId="17139" xr:uid="{BB4AEB94-6A3C-465B-AB8C-A801D44F83DF}"/>
    <cellStyle name="Normal 9 5 6 2 3" xfId="12921" xr:uid="{7124A87B-31F0-456E-BA49-A79219D0EC28}"/>
    <cellStyle name="Normal 9 5 6 3" xfId="6552" xr:uid="{00000000-0005-0000-0000-00006E200000}"/>
    <cellStyle name="Normal 9 5 6 3 2" xfId="14994" xr:uid="{E839E0A4-70BF-4E24-9038-2913B30FAEA5}"/>
    <cellStyle name="Normal 9 5 6 4" xfId="10776" xr:uid="{FEE0604C-D148-4721-8F82-1413080E47DF}"/>
    <cellStyle name="Normal 9 5 7" xfId="2681" xr:uid="{00000000-0005-0000-0000-00006F200000}"/>
    <cellStyle name="Normal 9 5 7 2" xfId="6965" xr:uid="{00000000-0005-0000-0000-000070200000}"/>
    <cellStyle name="Normal 9 5 7 2 2" xfId="15407" xr:uid="{7313556C-EA30-4118-A405-FA765D3FFB11}"/>
    <cellStyle name="Normal 9 5 7 3" xfId="11189" xr:uid="{EA92398F-DA1D-4B08-98C8-CEF8AF853C21}"/>
    <cellStyle name="Normal 9 5 8" xfId="4900" xr:uid="{00000000-0005-0000-0000-000071200000}"/>
    <cellStyle name="Normal 9 5 8 2" xfId="13342" xr:uid="{51F21104-B400-4DD9-9399-050820DD2758}"/>
    <cellStyle name="Normal 9 5 9" xfId="9124" xr:uid="{50CEB335-E82A-4D14-82DB-A0F267F3382F}"/>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C41E14F0-D626-4415-BBD1-1CF501326DDF}"/>
    <cellStyle name="Normal 9 6 2 2 3" xfId="11684" xr:uid="{C67E9DE1-C129-4B87-B13F-D98FDFD12778}"/>
    <cellStyle name="Normal 9 6 2 3" xfId="5315" xr:uid="{00000000-0005-0000-0000-000076200000}"/>
    <cellStyle name="Normal 9 6 2 3 2" xfId="13757" xr:uid="{7A051367-78F1-4B83-923D-FB202FDE71A1}"/>
    <cellStyle name="Normal 9 6 2 4" xfId="9539" xr:uid="{FAF8C938-EBED-4ACD-AA68-FE6B096ADDF6}"/>
    <cellStyle name="Normal 9 6 3" xfId="1420" xr:uid="{00000000-0005-0000-0000-000077200000}"/>
    <cellStyle name="Normal 9 6 3 2" xfId="3650" xr:uid="{00000000-0005-0000-0000-000078200000}"/>
    <cellStyle name="Normal 9 6 3 2 2" xfId="7873" xr:uid="{00000000-0005-0000-0000-000079200000}"/>
    <cellStyle name="Normal 9 6 3 2 2 2" xfId="16315" xr:uid="{4026C833-79B1-4333-84E0-69DFEC74AC14}"/>
    <cellStyle name="Normal 9 6 3 2 3" xfId="12097" xr:uid="{58FD820A-90E6-4534-AD78-330F93D5C88C}"/>
    <cellStyle name="Normal 9 6 3 3" xfId="5728" xr:uid="{00000000-0005-0000-0000-00007A200000}"/>
    <cellStyle name="Normal 9 6 3 3 2" xfId="14170" xr:uid="{B82EAFBA-C792-476F-A45F-9E12A19FB03F}"/>
    <cellStyle name="Normal 9 6 3 4" xfId="9952" xr:uid="{6610CBCA-7558-475A-B972-9AC5B948324E}"/>
    <cellStyle name="Normal 9 6 4" xfId="1833" xr:uid="{00000000-0005-0000-0000-00007B200000}"/>
    <cellStyle name="Normal 9 6 4 2" xfId="4063" xr:uid="{00000000-0005-0000-0000-00007C200000}"/>
    <cellStyle name="Normal 9 6 4 2 2" xfId="8286" xr:uid="{00000000-0005-0000-0000-00007D200000}"/>
    <cellStyle name="Normal 9 6 4 2 2 2" xfId="16728" xr:uid="{A8E12B02-14FD-4B31-A82B-CD04F4BDFD4E}"/>
    <cellStyle name="Normal 9 6 4 2 3" xfId="12510" xr:uid="{25CD9A55-D098-4B56-80BD-CAAC4B7C9BEA}"/>
    <cellStyle name="Normal 9 6 4 3" xfId="6141" xr:uid="{00000000-0005-0000-0000-00007E200000}"/>
    <cellStyle name="Normal 9 6 4 3 2" xfId="14583" xr:uid="{7B5CE257-73EB-46F7-AB1A-C283DCADD6BA}"/>
    <cellStyle name="Normal 9 6 4 4" xfId="10365" xr:uid="{BE276E60-8105-4F89-8159-0C8A083AF689}"/>
    <cellStyle name="Normal 9 6 5" xfId="2247" xr:uid="{00000000-0005-0000-0000-00007F200000}"/>
    <cellStyle name="Normal 9 6 5 2" xfId="4476" xr:uid="{00000000-0005-0000-0000-000080200000}"/>
    <cellStyle name="Normal 9 6 5 2 2" xfId="8699" xr:uid="{00000000-0005-0000-0000-000081200000}"/>
    <cellStyle name="Normal 9 6 5 2 2 2" xfId="17141" xr:uid="{79EF5947-79DD-45A5-B1F4-8E3AB4FB800D}"/>
    <cellStyle name="Normal 9 6 5 2 3" xfId="12923" xr:uid="{4E94FFAA-DF2A-4734-9AB7-BFF3D5CC7359}"/>
    <cellStyle name="Normal 9 6 5 3" xfId="6554" xr:uid="{00000000-0005-0000-0000-000082200000}"/>
    <cellStyle name="Normal 9 6 5 3 2" xfId="14996" xr:uid="{0CDB7E1E-9B38-46DF-BDB3-E12366D3DDED}"/>
    <cellStyle name="Normal 9 6 5 4" xfId="10778" xr:uid="{43B6822B-5829-49AA-803D-15FC22141D61}"/>
    <cellStyle name="Normal 9 6 6" xfId="2683" xr:uid="{00000000-0005-0000-0000-000083200000}"/>
    <cellStyle name="Normal 9 6 6 2" xfId="6967" xr:uid="{00000000-0005-0000-0000-000084200000}"/>
    <cellStyle name="Normal 9 6 6 2 2" xfId="15409" xr:uid="{CD2E7729-AD53-4FFB-B533-4C8F5045BFE5}"/>
    <cellStyle name="Normal 9 6 6 3" xfId="11191" xr:uid="{0E2FF1B3-EAD3-47AF-A9B7-1E2493B166AB}"/>
    <cellStyle name="Normal 9 6 7" xfId="4902" xr:uid="{00000000-0005-0000-0000-000085200000}"/>
    <cellStyle name="Normal 9 6 7 2" xfId="13344" xr:uid="{0ACFCDF7-DBE8-4B5C-88A1-6FC1E70FD5D8}"/>
    <cellStyle name="Normal 9 6 8" xfId="9126" xr:uid="{8921BCCD-E39D-4E2A-B10B-4C64AF182A6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21098496-1C50-49D9-9D4B-BD990E3956DA}"/>
    <cellStyle name="Note 2 2 10 3" xfId="11272" xr:uid="{C8047DD2-10C9-4F9D-A431-FAE95F2505C1}"/>
    <cellStyle name="Note 2 2 11" xfId="4903" xr:uid="{00000000-0005-0000-0000-000094200000}"/>
    <cellStyle name="Note 2 2 11 2" xfId="13345" xr:uid="{E853B65B-58E2-454D-AC19-82D938F2EC88}"/>
    <cellStyle name="Note 2 2 12" xfId="9127" xr:uid="{573EF3FD-D3CC-4DBC-94AB-F50B204220FF}"/>
    <cellStyle name="Note 2 2 2" xfId="546" xr:uid="{00000000-0005-0000-0000-000095200000}"/>
    <cellStyle name="Note 2 2 2 10" xfId="4904" xr:uid="{00000000-0005-0000-0000-000096200000}"/>
    <cellStyle name="Note 2 2 2 10 2" xfId="13346" xr:uid="{ADDD9A7D-6899-40E5-8155-6FE3F4E5273B}"/>
    <cellStyle name="Note 2 2 2 11" xfId="9128" xr:uid="{7F50DED7-D7DA-47BE-9CCF-C9B2F1C64C98}"/>
    <cellStyle name="Note 2 2 2 2" xfId="547" xr:uid="{00000000-0005-0000-0000-000097200000}"/>
    <cellStyle name="Note 2 2 2 2 10" xfId="9129" xr:uid="{520B6536-B9E1-4E6E-8319-731BD34568BF}"/>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6EF4971C-0750-4643-AD23-491621C4A1B2}"/>
    <cellStyle name="Note 2 2 2 2 2 2 3" xfId="11687" xr:uid="{D5B8F943-EEF3-4406-B898-837B192B609B}"/>
    <cellStyle name="Note 2 2 2 2 2 3" xfId="5318" xr:uid="{00000000-0005-0000-0000-00009B200000}"/>
    <cellStyle name="Note 2 2 2 2 2 3 2" xfId="13760" xr:uid="{1A699C2D-138F-409E-B68C-69EBCD5CE86F}"/>
    <cellStyle name="Note 2 2 2 2 2 4" xfId="9542" xr:uid="{677610AA-E123-4D29-AD9A-BC2CFFD0F340}"/>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71815A01-CDEB-4D26-BF11-7E4460094AF0}"/>
    <cellStyle name="Note 2 2 2 2 3 2 3" xfId="12100" xr:uid="{451CFC3D-94AF-41BC-A49F-BDF031B83FFE}"/>
    <cellStyle name="Note 2 2 2 2 3 3" xfId="5731" xr:uid="{00000000-0005-0000-0000-00009F200000}"/>
    <cellStyle name="Note 2 2 2 2 3 3 2" xfId="14173" xr:uid="{E152DD7D-5E54-4A5A-AE9D-CC332FE988A8}"/>
    <cellStyle name="Note 2 2 2 2 3 4" xfId="9955" xr:uid="{21A253BA-FEBB-44B7-8AD9-FE87E5BA2626}"/>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0961AFD4-8D01-4C3E-BB9C-2DBE5626BC76}"/>
    <cellStyle name="Note 2 2 2 2 4 2 3" xfId="12513" xr:uid="{EA0CA888-CDFC-4AAB-B72C-19D8712B7F3A}"/>
    <cellStyle name="Note 2 2 2 2 4 3" xfId="6144" xr:uid="{00000000-0005-0000-0000-0000A3200000}"/>
    <cellStyle name="Note 2 2 2 2 4 3 2" xfId="14586" xr:uid="{F216CF43-B1DF-4ADA-924B-1C476A23B511}"/>
    <cellStyle name="Note 2 2 2 2 4 4" xfId="10368" xr:uid="{1D4FFB40-7B9D-4627-A75D-3E2E31B747CE}"/>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10731368-BE91-456A-83E9-E406E268013C}"/>
    <cellStyle name="Note 2 2 2 2 5 2 3" xfId="12926" xr:uid="{7EDD5576-1238-4952-A243-E38DF59CD8EE}"/>
    <cellStyle name="Note 2 2 2 2 5 3" xfId="6557" xr:uid="{00000000-0005-0000-0000-0000A7200000}"/>
    <cellStyle name="Note 2 2 2 2 5 3 2" xfId="14999" xr:uid="{4FA8BEAC-D6D5-4633-B7E4-A4C88088C1CE}"/>
    <cellStyle name="Note 2 2 2 2 5 4" xfId="10781" xr:uid="{81C2A7ED-4F3F-41FD-8619-EE7D1CF173B4}"/>
    <cellStyle name="Note 2 2 2 2 6" xfId="2686" xr:uid="{00000000-0005-0000-0000-0000A8200000}"/>
    <cellStyle name="Note 2 2 2 2 6 2" xfId="6970" xr:uid="{00000000-0005-0000-0000-0000A9200000}"/>
    <cellStyle name="Note 2 2 2 2 6 2 2" xfId="15412" xr:uid="{A4E3843E-020F-4133-898D-E513B341144C}"/>
    <cellStyle name="Note 2 2 2 2 6 3" xfId="11194" xr:uid="{AE54B108-31D8-4D3A-A207-ECD74F765C35}"/>
    <cellStyle name="Note 2 2 2 2 7" xfId="2745" xr:uid="{00000000-0005-0000-0000-0000AA200000}"/>
    <cellStyle name="Note 2 2 2 2 8" xfId="2826" xr:uid="{00000000-0005-0000-0000-0000AB200000}"/>
    <cellStyle name="Note 2 2 2 2 8 2" xfId="7050" xr:uid="{00000000-0005-0000-0000-0000AC200000}"/>
    <cellStyle name="Note 2 2 2 2 8 2 2" xfId="15492" xr:uid="{DD3764ED-CF6D-44DA-8DB2-872E4456F302}"/>
    <cellStyle name="Note 2 2 2 2 8 3" xfId="11274" xr:uid="{4E4B7949-D717-4E48-998E-2F5B82909043}"/>
    <cellStyle name="Note 2 2 2 2 9" xfId="4905" xr:uid="{00000000-0005-0000-0000-0000AD200000}"/>
    <cellStyle name="Note 2 2 2 2 9 2" xfId="13347" xr:uid="{B90400F9-38B5-4751-910C-5D23BA151267}"/>
    <cellStyle name="Note 2 2 2 3" xfId="1007" xr:uid="{00000000-0005-0000-0000-0000AE200000}"/>
    <cellStyle name="Note 2 2 2 3 2" xfId="3239" xr:uid="{00000000-0005-0000-0000-0000AF200000}"/>
    <cellStyle name="Note 2 2 2 3 2 2" xfId="7462" xr:uid="{00000000-0005-0000-0000-0000B0200000}"/>
    <cellStyle name="Note 2 2 2 3 2 2 2" xfId="15904" xr:uid="{58976F12-C641-49F2-B599-142B5A1F2C89}"/>
    <cellStyle name="Note 2 2 2 3 2 3" xfId="11686" xr:uid="{63488998-936D-462D-8CD5-40C26FE80D27}"/>
    <cellStyle name="Note 2 2 2 3 3" xfId="5317" xr:uid="{00000000-0005-0000-0000-0000B1200000}"/>
    <cellStyle name="Note 2 2 2 3 3 2" xfId="13759" xr:uid="{9E18B440-3362-4C2D-A49E-84AACC75BF86}"/>
    <cellStyle name="Note 2 2 2 3 4" xfId="9541" xr:uid="{28A98606-4438-4E7A-B5FD-99F00105CD74}"/>
    <cellStyle name="Note 2 2 2 4" xfId="1422" xr:uid="{00000000-0005-0000-0000-0000B2200000}"/>
    <cellStyle name="Note 2 2 2 4 2" xfId="3652" xr:uid="{00000000-0005-0000-0000-0000B3200000}"/>
    <cellStyle name="Note 2 2 2 4 2 2" xfId="7875" xr:uid="{00000000-0005-0000-0000-0000B4200000}"/>
    <cellStyle name="Note 2 2 2 4 2 2 2" xfId="16317" xr:uid="{9CB0E549-19D3-4EC3-B176-A1B971DE65A6}"/>
    <cellStyle name="Note 2 2 2 4 2 3" xfId="12099" xr:uid="{1B950367-1FA3-4CE0-9F31-52D8203B39C6}"/>
    <cellStyle name="Note 2 2 2 4 3" xfId="5730" xr:uid="{00000000-0005-0000-0000-0000B5200000}"/>
    <cellStyle name="Note 2 2 2 4 3 2" xfId="14172" xr:uid="{22847178-9E20-49B9-9C3E-03068905FF3F}"/>
    <cellStyle name="Note 2 2 2 4 4" xfId="9954" xr:uid="{3299CDF3-5B01-45F3-8623-50EFF2D28416}"/>
    <cellStyle name="Note 2 2 2 5" xfId="1836" xr:uid="{00000000-0005-0000-0000-0000B6200000}"/>
    <cellStyle name="Note 2 2 2 5 2" xfId="4065" xr:uid="{00000000-0005-0000-0000-0000B7200000}"/>
    <cellStyle name="Note 2 2 2 5 2 2" xfId="8288" xr:uid="{00000000-0005-0000-0000-0000B8200000}"/>
    <cellStyle name="Note 2 2 2 5 2 2 2" xfId="16730" xr:uid="{A52C92A5-CDE3-4D76-BD59-6D2291B924E6}"/>
    <cellStyle name="Note 2 2 2 5 2 3" xfId="12512" xr:uid="{1B5D3564-1A73-4D3D-8A73-73F30F2DC9D8}"/>
    <cellStyle name="Note 2 2 2 5 3" xfId="6143" xr:uid="{00000000-0005-0000-0000-0000B9200000}"/>
    <cellStyle name="Note 2 2 2 5 3 2" xfId="14585" xr:uid="{A73E93B4-7899-4233-B32F-C3CC5CFB2D55}"/>
    <cellStyle name="Note 2 2 2 5 4" xfId="10367" xr:uid="{1EF81343-4E1C-4FD0-8F77-474A5145F3C4}"/>
    <cellStyle name="Note 2 2 2 6" xfId="2249" xr:uid="{00000000-0005-0000-0000-0000BA200000}"/>
    <cellStyle name="Note 2 2 2 6 2" xfId="4478" xr:uid="{00000000-0005-0000-0000-0000BB200000}"/>
    <cellStyle name="Note 2 2 2 6 2 2" xfId="8701" xr:uid="{00000000-0005-0000-0000-0000BC200000}"/>
    <cellStyle name="Note 2 2 2 6 2 2 2" xfId="17143" xr:uid="{0CFBB4AF-7845-43D5-BCE5-542C6F3C4BCB}"/>
    <cellStyle name="Note 2 2 2 6 2 3" xfId="12925" xr:uid="{8C8ADA98-26E4-466C-BC73-DC4277CC3512}"/>
    <cellStyle name="Note 2 2 2 6 3" xfId="6556" xr:uid="{00000000-0005-0000-0000-0000BD200000}"/>
    <cellStyle name="Note 2 2 2 6 3 2" xfId="14998" xr:uid="{797CC4BC-73C3-440C-BA0A-052F3BCD5368}"/>
    <cellStyle name="Note 2 2 2 6 4" xfId="10780" xr:uid="{A8AAA92D-BF53-473B-9A1F-F65349E93672}"/>
    <cellStyle name="Note 2 2 2 7" xfId="2685" xr:uid="{00000000-0005-0000-0000-0000BE200000}"/>
    <cellStyle name="Note 2 2 2 7 2" xfId="6969" xr:uid="{00000000-0005-0000-0000-0000BF200000}"/>
    <cellStyle name="Note 2 2 2 7 2 2" xfId="15411" xr:uid="{BE084DF9-0EF8-4DCE-B1FE-419D86D0430B}"/>
    <cellStyle name="Note 2 2 2 7 3" xfId="11193" xr:uid="{2101EC50-21FD-45BD-8161-12A477345D41}"/>
    <cellStyle name="Note 2 2 2 8" xfId="2744" xr:uid="{00000000-0005-0000-0000-0000C0200000}"/>
    <cellStyle name="Note 2 2 2 9" xfId="2825" xr:uid="{00000000-0005-0000-0000-0000C1200000}"/>
    <cellStyle name="Note 2 2 2 9 2" xfId="7049" xr:uid="{00000000-0005-0000-0000-0000C2200000}"/>
    <cellStyle name="Note 2 2 2 9 2 2" xfId="15491" xr:uid="{1BC23E44-D409-4162-9D36-8E3158D1099B}"/>
    <cellStyle name="Note 2 2 2 9 3" xfId="11273" xr:uid="{E9CC91CD-9A05-4021-B9D3-A4AA70596400}"/>
    <cellStyle name="Note 2 2 3" xfId="548" xr:uid="{00000000-0005-0000-0000-0000C3200000}"/>
    <cellStyle name="Note 2 2 3 10" xfId="9130" xr:uid="{13BAB426-2D6A-4156-83A7-27AE470570F3}"/>
    <cellStyle name="Note 2 2 3 2" xfId="1009" xr:uid="{00000000-0005-0000-0000-0000C4200000}"/>
    <cellStyle name="Note 2 2 3 2 2" xfId="3241" xr:uid="{00000000-0005-0000-0000-0000C5200000}"/>
    <cellStyle name="Note 2 2 3 2 2 2" xfId="7464" xr:uid="{00000000-0005-0000-0000-0000C6200000}"/>
    <cellStyle name="Note 2 2 3 2 2 2 2" xfId="15906" xr:uid="{37175E52-681E-47AF-98EF-4B7FD841D7A3}"/>
    <cellStyle name="Note 2 2 3 2 2 3" xfId="11688" xr:uid="{AA0EE4CE-AD56-4415-B112-EFB7628D2EB6}"/>
    <cellStyle name="Note 2 2 3 2 3" xfId="5319" xr:uid="{00000000-0005-0000-0000-0000C7200000}"/>
    <cellStyle name="Note 2 2 3 2 3 2" xfId="13761" xr:uid="{E1E5BCFC-92B9-445D-83DF-F8E2364F0F0A}"/>
    <cellStyle name="Note 2 2 3 2 4" xfId="9543" xr:uid="{853E1080-BA49-45A0-B6C6-B2FD4DA77A17}"/>
    <cellStyle name="Note 2 2 3 3" xfId="1424" xr:uid="{00000000-0005-0000-0000-0000C8200000}"/>
    <cellStyle name="Note 2 2 3 3 2" xfId="3654" xr:uid="{00000000-0005-0000-0000-0000C9200000}"/>
    <cellStyle name="Note 2 2 3 3 2 2" xfId="7877" xr:uid="{00000000-0005-0000-0000-0000CA200000}"/>
    <cellStyle name="Note 2 2 3 3 2 2 2" xfId="16319" xr:uid="{53A04AC4-863E-4323-A645-ED0CAE993182}"/>
    <cellStyle name="Note 2 2 3 3 2 3" xfId="12101" xr:uid="{5A4504C5-5211-4CBA-B1E8-7A656C96A0F6}"/>
    <cellStyle name="Note 2 2 3 3 3" xfId="5732" xr:uid="{00000000-0005-0000-0000-0000CB200000}"/>
    <cellStyle name="Note 2 2 3 3 3 2" xfId="14174" xr:uid="{CAF65441-FB92-44F8-AF9B-D22E0CAAE33B}"/>
    <cellStyle name="Note 2 2 3 3 4" xfId="9956" xr:uid="{932DE725-1880-424A-B143-2E5636803DC5}"/>
    <cellStyle name="Note 2 2 3 4" xfId="1838" xr:uid="{00000000-0005-0000-0000-0000CC200000}"/>
    <cellStyle name="Note 2 2 3 4 2" xfId="4067" xr:uid="{00000000-0005-0000-0000-0000CD200000}"/>
    <cellStyle name="Note 2 2 3 4 2 2" xfId="8290" xr:uid="{00000000-0005-0000-0000-0000CE200000}"/>
    <cellStyle name="Note 2 2 3 4 2 2 2" xfId="16732" xr:uid="{4E7752A7-C6FA-49FB-ABC5-EDEA0D69EF09}"/>
    <cellStyle name="Note 2 2 3 4 2 3" xfId="12514" xr:uid="{936C6671-1C6A-4D33-821C-55858139C91C}"/>
    <cellStyle name="Note 2 2 3 4 3" xfId="6145" xr:uid="{00000000-0005-0000-0000-0000CF200000}"/>
    <cellStyle name="Note 2 2 3 4 3 2" xfId="14587" xr:uid="{DDF259C2-B398-414B-BD11-623A7E8820C5}"/>
    <cellStyle name="Note 2 2 3 4 4" xfId="10369" xr:uid="{2D97E25C-CBE3-4D72-A1BC-D21B7EF3736B}"/>
    <cellStyle name="Note 2 2 3 5" xfId="2251" xr:uid="{00000000-0005-0000-0000-0000D0200000}"/>
    <cellStyle name="Note 2 2 3 5 2" xfId="4480" xr:uid="{00000000-0005-0000-0000-0000D1200000}"/>
    <cellStyle name="Note 2 2 3 5 2 2" xfId="8703" xr:uid="{00000000-0005-0000-0000-0000D2200000}"/>
    <cellStyle name="Note 2 2 3 5 2 2 2" xfId="17145" xr:uid="{C22AE8B0-0FFB-4743-B6E7-DE018FC8DD6F}"/>
    <cellStyle name="Note 2 2 3 5 2 3" xfId="12927" xr:uid="{66DE5373-4387-4106-AB59-DD9C8393905E}"/>
    <cellStyle name="Note 2 2 3 5 3" xfId="6558" xr:uid="{00000000-0005-0000-0000-0000D3200000}"/>
    <cellStyle name="Note 2 2 3 5 3 2" xfId="15000" xr:uid="{DF2156E9-F5A8-46DB-8B56-D08943A5AC81}"/>
    <cellStyle name="Note 2 2 3 5 4" xfId="10782" xr:uid="{92435D8A-788F-42B6-8547-1A6BAC4B4BDA}"/>
    <cellStyle name="Note 2 2 3 6" xfId="2687" xr:uid="{00000000-0005-0000-0000-0000D4200000}"/>
    <cellStyle name="Note 2 2 3 6 2" xfId="6971" xr:uid="{00000000-0005-0000-0000-0000D5200000}"/>
    <cellStyle name="Note 2 2 3 6 2 2" xfId="15413" xr:uid="{DA6F57DF-F3C5-4B63-9C15-D121AE639370}"/>
    <cellStyle name="Note 2 2 3 6 3" xfId="11195" xr:uid="{CD550464-D7A7-43DF-BDB9-D9B25459BF0D}"/>
    <cellStyle name="Note 2 2 3 7" xfId="2746" xr:uid="{00000000-0005-0000-0000-0000D6200000}"/>
    <cellStyle name="Note 2 2 3 8" xfId="2827" xr:uid="{00000000-0005-0000-0000-0000D7200000}"/>
    <cellStyle name="Note 2 2 3 8 2" xfId="7051" xr:uid="{00000000-0005-0000-0000-0000D8200000}"/>
    <cellStyle name="Note 2 2 3 8 2 2" xfId="15493" xr:uid="{3728D0D0-924A-4028-B440-984D54FAFA7C}"/>
    <cellStyle name="Note 2 2 3 8 3" xfId="11275" xr:uid="{0F7051CA-97BD-4869-9BBA-325FC28C8764}"/>
    <cellStyle name="Note 2 2 3 9" xfId="4906" xr:uid="{00000000-0005-0000-0000-0000D9200000}"/>
    <cellStyle name="Note 2 2 3 9 2" xfId="13348" xr:uid="{E9005D8C-9BCE-4C63-B2D5-A4E5A2786259}"/>
    <cellStyle name="Note 2 2 4" xfId="1006" xr:uid="{00000000-0005-0000-0000-0000DA200000}"/>
    <cellStyle name="Note 2 2 4 2" xfId="3238" xr:uid="{00000000-0005-0000-0000-0000DB200000}"/>
    <cellStyle name="Note 2 2 4 2 2" xfId="7461" xr:uid="{00000000-0005-0000-0000-0000DC200000}"/>
    <cellStyle name="Note 2 2 4 2 2 2" xfId="15903" xr:uid="{FBE18B61-2D56-4879-811B-5D6EA8502928}"/>
    <cellStyle name="Note 2 2 4 2 3" xfId="11685" xr:uid="{1C79A108-9C96-4A70-BADD-8FCC62982AD0}"/>
    <cellStyle name="Note 2 2 4 3" xfId="5316" xr:uid="{00000000-0005-0000-0000-0000DD200000}"/>
    <cellStyle name="Note 2 2 4 3 2" xfId="13758" xr:uid="{B317AC5D-A807-4C76-B298-CE6A4DDD10EB}"/>
    <cellStyle name="Note 2 2 4 4" xfId="9540" xr:uid="{6EA8F037-C1E3-4F2F-B0D0-12D9BFEC0D67}"/>
    <cellStyle name="Note 2 2 5" xfId="1421" xr:uid="{00000000-0005-0000-0000-0000DE200000}"/>
    <cellStyle name="Note 2 2 5 2" xfId="3651" xr:uid="{00000000-0005-0000-0000-0000DF200000}"/>
    <cellStyle name="Note 2 2 5 2 2" xfId="7874" xr:uid="{00000000-0005-0000-0000-0000E0200000}"/>
    <cellStyle name="Note 2 2 5 2 2 2" xfId="16316" xr:uid="{68E3B1D6-935D-4001-857B-BDCA5D12C1F3}"/>
    <cellStyle name="Note 2 2 5 2 3" xfId="12098" xr:uid="{8F9B4AD6-6BEC-4C0B-AEF5-B367A1656EA6}"/>
    <cellStyle name="Note 2 2 5 3" xfId="5729" xr:uid="{00000000-0005-0000-0000-0000E1200000}"/>
    <cellStyle name="Note 2 2 5 3 2" xfId="14171" xr:uid="{CC174255-1E1A-4DC3-AF4E-C9C885091BD5}"/>
    <cellStyle name="Note 2 2 5 4" xfId="9953" xr:uid="{2566AF5F-FDED-4C68-93E1-4CA32E160B07}"/>
    <cellStyle name="Note 2 2 6" xfId="1835" xr:uid="{00000000-0005-0000-0000-0000E2200000}"/>
    <cellStyle name="Note 2 2 6 2" xfId="4064" xr:uid="{00000000-0005-0000-0000-0000E3200000}"/>
    <cellStyle name="Note 2 2 6 2 2" xfId="8287" xr:uid="{00000000-0005-0000-0000-0000E4200000}"/>
    <cellStyle name="Note 2 2 6 2 2 2" xfId="16729" xr:uid="{ADE80538-0FF8-4EF3-83A8-DDFD3D427A89}"/>
    <cellStyle name="Note 2 2 6 2 3" xfId="12511" xr:uid="{FF9B8EDF-D81D-44B1-AF6F-B007D6B0FFAB}"/>
    <cellStyle name="Note 2 2 6 3" xfId="6142" xr:uid="{00000000-0005-0000-0000-0000E5200000}"/>
    <cellStyle name="Note 2 2 6 3 2" xfId="14584" xr:uid="{C593BE9D-B449-422C-9EBA-BB970D527294}"/>
    <cellStyle name="Note 2 2 6 4" xfId="10366" xr:uid="{D841A55D-6983-4BE2-B92D-9A3C722ED101}"/>
    <cellStyle name="Note 2 2 7" xfId="2248" xr:uid="{00000000-0005-0000-0000-0000E6200000}"/>
    <cellStyle name="Note 2 2 7 2" xfId="4477" xr:uid="{00000000-0005-0000-0000-0000E7200000}"/>
    <cellStyle name="Note 2 2 7 2 2" xfId="8700" xr:uid="{00000000-0005-0000-0000-0000E8200000}"/>
    <cellStyle name="Note 2 2 7 2 2 2" xfId="17142" xr:uid="{D1BC59EF-5A42-4D27-B6A3-C9C81CA5411C}"/>
    <cellStyle name="Note 2 2 7 2 3" xfId="12924" xr:uid="{E41AE79F-845F-438A-8C3A-3E4D60293AF3}"/>
    <cellStyle name="Note 2 2 7 3" xfId="6555" xr:uid="{00000000-0005-0000-0000-0000E9200000}"/>
    <cellStyle name="Note 2 2 7 3 2" xfId="14997" xr:uid="{97D30EB8-E621-41E1-889A-444FAD9B777D}"/>
    <cellStyle name="Note 2 2 7 4" xfId="10779" xr:uid="{83C1E645-4370-4A0B-9607-238408FD16FF}"/>
    <cellStyle name="Note 2 2 8" xfId="2684" xr:uid="{00000000-0005-0000-0000-0000EA200000}"/>
    <cellStyle name="Note 2 2 8 2" xfId="6968" xr:uid="{00000000-0005-0000-0000-0000EB200000}"/>
    <cellStyle name="Note 2 2 8 2 2" xfId="15410" xr:uid="{7A34A02E-8F28-4703-A0A1-1C116D429017}"/>
    <cellStyle name="Note 2 2 8 3" xfId="11192" xr:uid="{8FDD3E03-0781-4F3B-80DD-FF9DA3B2DF55}"/>
    <cellStyle name="Note 2 2 9" xfId="2743" xr:uid="{00000000-0005-0000-0000-0000EC200000}"/>
    <cellStyle name="Note 2 3" xfId="549" xr:uid="{00000000-0005-0000-0000-0000ED200000}"/>
    <cellStyle name="Note 2 3 10" xfId="4907" xr:uid="{00000000-0005-0000-0000-0000EE200000}"/>
    <cellStyle name="Note 2 3 10 2" xfId="13349" xr:uid="{2ED7587C-5BC8-4006-A5D5-2A4F45A036D5}"/>
    <cellStyle name="Note 2 3 11" xfId="9131" xr:uid="{A9FC9400-272B-4E83-A9AD-CC45C0B4A690}"/>
    <cellStyle name="Note 2 3 2" xfId="550" xr:uid="{00000000-0005-0000-0000-0000EF200000}"/>
    <cellStyle name="Note 2 3 2 10" xfId="9132" xr:uid="{BB72A56B-D5E0-43F4-BF07-0DDA324959C2}"/>
    <cellStyle name="Note 2 3 2 2" xfId="1011" xr:uid="{00000000-0005-0000-0000-0000F0200000}"/>
    <cellStyle name="Note 2 3 2 2 2" xfId="3243" xr:uid="{00000000-0005-0000-0000-0000F1200000}"/>
    <cellStyle name="Note 2 3 2 2 2 2" xfId="7466" xr:uid="{00000000-0005-0000-0000-0000F2200000}"/>
    <cellStyle name="Note 2 3 2 2 2 2 2" xfId="15908" xr:uid="{46DC50D4-D957-481C-895F-F5BE9416C2FA}"/>
    <cellStyle name="Note 2 3 2 2 2 3" xfId="11690" xr:uid="{F6933D01-2106-438D-A24D-82714DE0EB58}"/>
    <cellStyle name="Note 2 3 2 2 3" xfId="5321" xr:uid="{00000000-0005-0000-0000-0000F3200000}"/>
    <cellStyle name="Note 2 3 2 2 3 2" xfId="13763" xr:uid="{652C873B-AF38-4F6D-9E62-08170839E157}"/>
    <cellStyle name="Note 2 3 2 2 4" xfId="9545" xr:uid="{41FA42ED-E3B0-4DEC-81AD-AC12257923DC}"/>
    <cellStyle name="Note 2 3 2 3" xfId="1426" xr:uid="{00000000-0005-0000-0000-0000F4200000}"/>
    <cellStyle name="Note 2 3 2 3 2" xfId="3656" xr:uid="{00000000-0005-0000-0000-0000F5200000}"/>
    <cellStyle name="Note 2 3 2 3 2 2" xfId="7879" xr:uid="{00000000-0005-0000-0000-0000F6200000}"/>
    <cellStyle name="Note 2 3 2 3 2 2 2" xfId="16321" xr:uid="{10A29645-EB53-4364-A0DD-AC2CDA2747F9}"/>
    <cellStyle name="Note 2 3 2 3 2 3" xfId="12103" xr:uid="{D7BA64C1-BCDC-49F2-8BAE-ED8B6771CA4F}"/>
    <cellStyle name="Note 2 3 2 3 3" xfId="5734" xr:uid="{00000000-0005-0000-0000-0000F7200000}"/>
    <cellStyle name="Note 2 3 2 3 3 2" xfId="14176" xr:uid="{97B54A85-B03D-46A4-BA98-23003D5A0140}"/>
    <cellStyle name="Note 2 3 2 3 4" xfId="9958" xr:uid="{05E12E13-08D0-480A-8D1D-9E6FB893BEA1}"/>
    <cellStyle name="Note 2 3 2 4" xfId="1840" xr:uid="{00000000-0005-0000-0000-0000F8200000}"/>
    <cellStyle name="Note 2 3 2 4 2" xfId="4069" xr:uid="{00000000-0005-0000-0000-0000F9200000}"/>
    <cellStyle name="Note 2 3 2 4 2 2" xfId="8292" xr:uid="{00000000-0005-0000-0000-0000FA200000}"/>
    <cellStyle name="Note 2 3 2 4 2 2 2" xfId="16734" xr:uid="{FDF17E63-26E4-4CD6-9384-E59B883553F5}"/>
    <cellStyle name="Note 2 3 2 4 2 3" xfId="12516" xr:uid="{10BD2D42-6FFA-45A6-98E0-34C7B8715F5D}"/>
    <cellStyle name="Note 2 3 2 4 3" xfId="6147" xr:uid="{00000000-0005-0000-0000-0000FB200000}"/>
    <cellStyle name="Note 2 3 2 4 3 2" xfId="14589" xr:uid="{4192DB1B-10A7-4D5E-A914-BFC8CD27DA95}"/>
    <cellStyle name="Note 2 3 2 4 4" xfId="10371" xr:uid="{47F35F5E-60A2-4F95-ACF8-15ED5134802F}"/>
    <cellStyle name="Note 2 3 2 5" xfId="2253" xr:uid="{00000000-0005-0000-0000-0000FC200000}"/>
    <cellStyle name="Note 2 3 2 5 2" xfId="4482" xr:uid="{00000000-0005-0000-0000-0000FD200000}"/>
    <cellStyle name="Note 2 3 2 5 2 2" xfId="8705" xr:uid="{00000000-0005-0000-0000-0000FE200000}"/>
    <cellStyle name="Note 2 3 2 5 2 2 2" xfId="17147" xr:uid="{64DAC19F-B73F-46D3-AC54-B16BAB708C5D}"/>
    <cellStyle name="Note 2 3 2 5 2 3" xfId="12929" xr:uid="{4EB2FA1C-1979-47F2-B233-83813167B066}"/>
    <cellStyle name="Note 2 3 2 5 3" xfId="6560" xr:uid="{00000000-0005-0000-0000-0000FF200000}"/>
    <cellStyle name="Note 2 3 2 5 3 2" xfId="15002" xr:uid="{D6D700D0-453F-47B4-945D-866E67DD1F49}"/>
    <cellStyle name="Note 2 3 2 5 4" xfId="10784" xr:uid="{8436A460-4F08-41EA-AFB1-B1C58F9D8599}"/>
    <cellStyle name="Note 2 3 2 6" xfId="2689" xr:uid="{00000000-0005-0000-0000-000000210000}"/>
    <cellStyle name="Note 2 3 2 6 2" xfId="6973" xr:uid="{00000000-0005-0000-0000-000001210000}"/>
    <cellStyle name="Note 2 3 2 6 2 2" xfId="15415" xr:uid="{A2A3F67E-9BAE-41B6-8F71-46895E501F95}"/>
    <cellStyle name="Note 2 3 2 6 3" xfId="11197" xr:uid="{309FB05D-62E4-44F6-A7B9-46F711A284D1}"/>
    <cellStyle name="Note 2 3 2 7" xfId="2748" xr:uid="{00000000-0005-0000-0000-000002210000}"/>
    <cellStyle name="Note 2 3 2 8" xfId="2829" xr:uid="{00000000-0005-0000-0000-000003210000}"/>
    <cellStyle name="Note 2 3 2 8 2" xfId="7053" xr:uid="{00000000-0005-0000-0000-000004210000}"/>
    <cellStyle name="Note 2 3 2 8 2 2" xfId="15495" xr:uid="{F3793F5B-3D45-47A1-9A23-2D2E938D1DDC}"/>
    <cellStyle name="Note 2 3 2 8 3" xfId="11277" xr:uid="{3C980926-AD59-4634-9278-46628E7E9F7D}"/>
    <cellStyle name="Note 2 3 2 9" xfId="4908" xr:uid="{00000000-0005-0000-0000-000005210000}"/>
    <cellStyle name="Note 2 3 2 9 2" xfId="13350" xr:uid="{C0F709D1-0400-4056-A190-8582B83DBF09}"/>
    <cellStyle name="Note 2 3 3" xfId="1010" xr:uid="{00000000-0005-0000-0000-000006210000}"/>
    <cellStyle name="Note 2 3 3 2" xfId="3242" xr:uid="{00000000-0005-0000-0000-000007210000}"/>
    <cellStyle name="Note 2 3 3 2 2" xfId="7465" xr:uid="{00000000-0005-0000-0000-000008210000}"/>
    <cellStyle name="Note 2 3 3 2 2 2" xfId="15907" xr:uid="{3E4CA564-1315-4221-A0A6-9CFBB501DD27}"/>
    <cellStyle name="Note 2 3 3 2 3" xfId="11689" xr:uid="{0B343CCF-C744-40E6-8061-2610C8B8CCBF}"/>
    <cellStyle name="Note 2 3 3 3" xfId="5320" xr:uid="{00000000-0005-0000-0000-000009210000}"/>
    <cellStyle name="Note 2 3 3 3 2" xfId="13762" xr:uid="{5D69397F-73C8-4CFC-A0C3-799959147F99}"/>
    <cellStyle name="Note 2 3 3 4" xfId="9544" xr:uid="{173E5479-DA56-4491-9138-11A4E7F0CDE8}"/>
    <cellStyle name="Note 2 3 4" xfId="1425" xr:uid="{00000000-0005-0000-0000-00000A210000}"/>
    <cellStyle name="Note 2 3 4 2" xfId="3655" xr:uid="{00000000-0005-0000-0000-00000B210000}"/>
    <cellStyle name="Note 2 3 4 2 2" xfId="7878" xr:uid="{00000000-0005-0000-0000-00000C210000}"/>
    <cellStyle name="Note 2 3 4 2 2 2" xfId="16320" xr:uid="{EEE17BF3-1C5E-437B-896C-C6971227CDA9}"/>
    <cellStyle name="Note 2 3 4 2 3" xfId="12102" xr:uid="{E923EC57-7FF1-40ED-B8C8-BFEEBE2F961A}"/>
    <cellStyle name="Note 2 3 4 3" xfId="5733" xr:uid="{00000000-0005-0000-0000-00000D210000}"/>
    <cellStyle name="Note 2 3 4 3 2" xfId="14175" xr:uid="{A4CC4D9D-3AA2-450D-9800-5C2969B002A5}"/>
    <cellStyle name="Note 2 3 4 4" xfId="9957" xr:uid="{625DA450-750D-4E81-A50E-11C24156D1FA}"/>
    <cellStyle name="Note 2 3 5" xfId="1839" xr:uid="{00000000-0005-0000-0000-00000E210000}"/>
    <cellStyle name="Note 2 3 5 2" xfId="4068" xr:uid="{00000000-0005-0000-0000-00000F210000}"/>
    <cellStyle name="Note 2 3 5 2 2" xfId="8291" xr:uid="{00000000-0005-0000-0000-000010210000}"/>
    <cellStyle name="Note 2 3 5 2 2 2" xfId="16733" xr:uid="{ACAD42C8-7EB8-400C-82F2-4415181E0DFC}"/>
    <cellStyle name="Note 2 3 5 2 3" xfId="12515" xr:uid="{0103AA3D-1E2C-47E0-B318-E23CF1CE5C48}"/>
    <cellStyle name="Note 2 3 5 3" xfId="6146" xr:uid="{00000000-0005-0000-0000-000011210000}"/>
    <cellStyle name="Note 2 3 5 3 2" xfId="14588" xr:uid="{12C4A2B1-057E-46CA-B11F-EB31DAA4BC40}"/>
    <cellStyle name="Note 2 3 5 4" xfId="10370" xr:uid="{1C53673F-A4D7-4A84-A755-DDC5D25D981B}"/>
    <cellStyle name="Note 2 3 6" xfId="2252" xr:uid="{00000000-0005-0000-0000-000012210000}"/>
    <cellStyle name="Note 2 3 6 2" xfId="4481" xr:uid="{00000000-0005-0000-0000-000013210000}"/>
    <cellStyle name="Note 2 3 6 2 2" xfId="8704" xr:uid="{00000000-0005-0000-0000-000014210000}"/>
    <cellStyle name="Note 2 3 6 2 2 2" xfId="17146" xr:uid="{254994CE-72B1-4E16-BB52-409B4F733C1E}"/>
    <cellStyle name="Note 2 3 6 2 3" xfId="12928" xr:uid="{82229B46-FA82-4E18-A822-E15BC35E9E62}"/>
    <cellStyle name="Note 2 3 6 3" xfId="6559" xr:uid="{00000000-0005-0000-0000-000015210000}"/>
    <cellStyle name="Note 2 3 6 3 2" xfId="15001" xr:uid="{66CC83B0-50F2-421D-95CF-F8694C753D11}"/>
    <cellStyle name="Note 2 3 6 4" xfId="10783" xr:uid="{9B8D96E7-61E7-450D-9633-FF43D26F4E6D}"/>
    <cellStyle name="Note 2 3 7" xfId="2688" xr:uid="{00000000-0005-0000-0000-000016210000}"/>
    <cellStyle name="Note 2 3 7 2" xfId="6972" xr:uid="{00000000-0005-0000-0000-000017210000}"/>
    <cellStyle name="Note 2 3 7 2 2" xfId="15414" xr:uid="{B22B3E4E-3017-4F84-83EC-22375ACE1FF3}"/>
    <cellStyle name="Note 2 3 7 3" xfId="11196" xr:uid="{C3491116-3966-4E6F-B3B2-73C557C66A76}"/>
    <cellStyle name="Note 2 3 8" xfId="2747" xr:uid="{00000000-0005-0000-0000-000018210000}"/>
    <cellStyle name="Note 2 3 9" xfId="2828" xr:uid="{00000000-0005-0000-0000-000019210000}"/>
    <cellStyle name="Note 2 3 9 2" xfId="7052" xr:uid="{00000000-0005-0000-0000-00001A210000}"/>
    <cellStyle name="Note 2 3 9 2 2" xfId="15494" xr:uid="{66E915B1-53C0-47E9-87BE-04900DA677D4}"/>
    <cellStyle name="Note 2 3 9 3" xfId="11276" xr:uid="{72FDBFF1-DE86-49F4-93A6-7F0CBA55848F}"/>
    <cellStyle name="Note 2 4" xfId="551" xr:uid="{00000000-0005-0000-0000-00001B210000}"/>
    <cellStyle name="Note 2 4 10" xfId="9133" xr:uid="{EF0ED9F6-DE55-4EF2-B554-7F0D3B51CF54}"/>
    <cellStyle name="Note 2 4 2" xfId="1012" xr:uid="{00000000-0005-0000-0000-00001C210000}"/>
    <cellStyle name="Note 2 4 2 2" xfId="3244" xr:uid="{00000000-0005-0000-0000-00001D210000}"/>
    <cellStyle name="Note 2 4 2 2 2" xfId="7467" xr:uid="{00000000-0005-0000-0000-00001E210000}"/>
    <cellStyle name="Note 2 4 2 2 2 2" xfId="15909" xr:uid="{EFC881A3-4B0A-4CAD-B41E-B01DF78D205F}"/>
    <cellStyle name="Note 2 4 2 2 3" xfId="11691" xr:uid="{6533C1EE-3E45-42F3-96C3-3189E98E5FC2}"/>
    <cellStyle name="Note 2 4 2 3" xfId="5322" xr:uid="{00000000-0005-0000-0000-00001F210000}"/>
    <cellStyle name="Note 2 4 2 3 2" xfId="13764" xr:uid="{EF034C96-86DC-49C8-83CD-67118F35B5AA}"/>
    <cellStyle name="Note 2 4 2 4" xfId="9546" xr:uid="{F0DA2EEC-AB16-4A7F-8CF6-6349DA6CECFB}"/>
    <cellStyle name="Note 2 4 3" xfId="1427" xr:uid="{00000000-0005-0000-0000-000020210000}"/>
    <cellStyle name="Note 2 4 3 2" xfId="3657" xr:uid="{00000000-0005-0000-0000-000021210000}"/>
    <cellStyle name="Note 2 4 3 2 2" xfId="7880" xr:uid="{00000000-0005-0000-0000-000022210000}"/>
    <cellStyle name="Note 2 4 3 2 2 2" xfId="16322" xr:uid="{FC949D11-DCC2-486B-AF25-73FC6BC825F3}"/>
    <cellStyle name="Note 2 4 3 2 3" xfId="12104" xr:uid="{E135012E-9C9F-4440-BFDC-1C751C125237}"/>
    <cellStyle name="Note 2 4 3 3" xfId="5735" xr:uid="{00000000-0005-0000-0000-000023210000}"/>
    <cellStyle name="Note 2 4 3 3 2" xfId="14177" xr:uid="{BD50CB2E-F7B1-432F-A223-2F29B064CB21}"/>
    <cellStyle name="Note 2 4 3 4" xfId="9959" xr:uid="{46941512-3524-4460-ADBB-99609CA1C080}"/>
    <cellStyle name="Note 2 4 4" xfId="1841" xr:uid="{00000000-0005-0000-0000-000024210000}"/>
    <cellStyle name="Note 2 4 4 2" xfId="4070" xr:uid="{00000000-0005-0000-0000-000025210000}"/>
    <cellStyle name="Note 2 4 4 2 2" xfId="8293" xr:uid="{00000000-0005-0000-0000-000026210000}"/>
    <cellStyle name="Note 2 4 4 2 2 2" xfId="16735" xr:uid="{FEA81851-7D8F-4DAF-807E-968382ADD112}"/>
    <cellStyle name="Note 2 4 4 2 3" xfId="12517" xr:uid="{9156888B-3257-4AE3-A175-90E5B36E0657}"/>
    <cellStyle name="Note 2 4 4 3" xfId="6148" xr:uid="{00000000-0005-0000-0000-000027210000}"/>
    <cellStyle name="Note 2 4 4 3 2" xfId="14590" xr:uid="{FF06DD07-0252-4B8C-A6C3-E10E91FF3474}"/>
    <cellStyle name="Note 2 4 4 4" xfId="10372" xr:uid="{359FDF2C-4CD7-4D65-9436-356700C5F205}"/>
    <cellStyle name="Note 2 4 5" xfId="2254" xr:uid="{00000000-0005-0000-0000-000028210000}"/>
    <cellStyle name="Note 2 4 5 2" xfId="4483" xr:uid="{00000000-0005-0000-0000-000029210000}"/>
    <cellStyle name="Note 2 4 5 2 2" xfId="8706" xr:uid="{00000000-0005-0000-0000-00002A210000}"/>
    <cellStyle name="Note 2 4 5 2 2 2" xfId="17148" xr:uid="{633CC65D-F0F3-4B87-813C-8A9A8E8DBB6C}"/>
    <cellStyle name="Note 2 4 5 2 3" xfId="12930" xr:uid="{C70A9220-86FF-462C-B9E5-FE85DBE32D4F}"/>
    <cellStyle name="Note 2 4 5 3" xfId="6561" xr:uid="{00000000-0005-0000-0000-00002B210000}"/>
    <cellStyle name="Note 2 4 5 3 2" xfId="15003" xr:uid="{1748BF9F-6390-447D-B5CA-AED0C8667856}"/>
    <cellStyle name="Note 2 4 5 4" xfId="10785" xr:uid="{0B18A3F8-3F6E-41EC-8B8F-2CEFF266753F}"/>
    <cellStyle name="Note 2 4 6" xfId="2690" xr:uid="{00000000-0005-0000-0000-00002C210000}"/>
    <cellStyle name="Note 2 4 6 2" xfId="6974" xr:uid="{00000000-0005-0000-0000-00002D210000}"/>
    <cellStyle name="Note 2 4 6 2 2" xfId="15416" xr:uid="{25C14A62-C321-49FF-B955-65B4B94ED2E4}"/>
    <cellStyle name="Note 2 4 6 3" xfId="11198" xr:uid="{D15231AF-2D50-4550-9E22-1BDF7B3EB896}"/>
    <cellStyle name="Note 2 4 7" xfId="2749" xr:uid="{00000000-0005-0000-0000-00002E210000}"/>
    <cellStyle name="Note 2 4 8" xfId="2830" xr:uid="{00000000-0005-0000-0000-00002F210000}"/>
    <cellStyle name="Note 2 4 8 2" xfId="7054" xr:uid="{00000000-0005-0000-0000-000030210000}"/>
    <cellStyle name="Note 2 4 8 2 2" xfId="15496" xr:uid="{6EB775A7-E9B0-4D4F-9A33-007178809E28}"/>
    <cellStyle name="Note 2 4 8 3" xfId="11278" xr:uid="{31409BDF-FDF9-402D-BB2E-3A4AB2F93652}"/>
    <cellStyle name="Note 2 4 9" xfId="4909" xr:uid="{00000000-0005-0000-0000-000031210000}"/>
    <cellStyle name="Note 2 4 9 2" xfId="13351" xr:uid="{6B625CE2-8793-4BB2-A121-37F802A85DE4}"/>
    <cellStyle name="Note 2 5" xfId="552" xr:uid="{00000000-0005-0000-0000-000032210000}"/>
    <cellStyle name="Note 2 5 10" xfId="9134" xr:uid="{6656AED4-5AC3-43FD-A5F4-709D8811B52A}"/>
    <cellStyle name="Note 2 5 2" xfId="1013" xr:uid="{00000000-0005-0000-0000-000033210000}"/>
    <cellStyle name="Note 2 5 2 2" xfId="3245" xr:uid="{00000000-0005-0000-0000-000034210000}"/>
    <cellStyle name="Note 2 5 2 2 2" xfId="7468" xr:uid="{00000000-0005-0000-0000-000035210000}"/>
    <cellStyle name="Note 2 5 2 2 2 2" xfId="15910" xr:uid="{B469D750-5410-4455-AE38-3408F9A050C5}"/>
    <cellStyle name="Note 2 5 2 2 3" xfId="11692" xr:uid="{30F6CBE9-FA69-4CBB-8700-41C3EFB4D50D}"/>
    <cellStyle name="Note 2 5 2 3" xfId="5323" xr:uid="{00000000-0005-0000-0000-000036210000}"/>
    <cellStyle name="Note 2 5 2 3 2" xfId="13765" xr:uid="{3FF15012-52CD-40FC-A34B-20E39AC43514}"/>
    <cellStyle name="Note 2 5 2 4" xfId="9547" xr:uid="{B050F5DE-1399-4DF9-934D-F2E01DDF4C19}"/>
    <cellStyle name="Note 2 5 3" xfId="1428" xr:uid="{00000000-0005-0000-0000-000037210000}"/>
    <cellStyle name="Note 2 5 3 2" xfId="3658" xr:uid="{00000000-0005-0000-0000-000038210000}"/>
    <cellStyle name="Note 2 5 3 2 2" xfId="7881" xr:uid="{00000000-0005-0000-0000-000039210000}"/>
    <cellStyle name="Note 2 5 3 2 2 2" xfId="16323" xr:uid="{97E4D9E0-186F-423E-AFA2-0575351E668E}"/>
    <cellStyle name="Note 2 5 3 2 3" xfId="12105" xr:uid="{B07191A7-5445-498E-83F9-23D02BD2967B}"/>
    <cellStyle name="Note 2 5 3 3" xfId="5736" xr:uid="{00000000-0005-0000-0000-00003A210000}"/>
    <cellStyle name="Note 2 5 3 3 2" xfId="14178" xr:uid="{FF4E4134-F08B-4764-B048-53087B8B5333}"/>
    <cellStyle name="Note 2 5 3 4" xfId="9960" xr:uid="{3D13B051-9998-4869-A631-D1F14A42A898}"/>
    <cellStyle name="Note 2 5 4" xfId="1842" xr:uid="{00000000-0005-0000-0000-00003B210000}"/>
    <cellStyle name="Note 2 5 4 2" xfId="4071" xr:uid="{00000000-0005-0000-0000-00003C210000}"/>
    <cellStyle name="Note 2 5 4 2 2" xfId="8294" xr:uid="{00000000-0005-0000-0000-00003D210000}"/>
    <cellStyle name="Note 2 5 4 2 2 2" xfId="16736" xr:uid="{7797939C-BFFA-43BA-9E8F-253A71EF7E74}"/>
    <cellStyle name="Note 2 5 4 2 3" xfId="12518" xr:uid="{53D2658C-9BFB-435D-A3AA-841F2A10D980}"/>
    <cellStyle name="Note 2 5 4 3" xfId="6149" xr:uid="{00000000-0005-0000-0000-00003E210000}"/>
    <cellStyle name="Note 2 5 4 3 2" xfId="14591" xr:uid="{6176005F-BC60-4C87-ABB9-33FD2EE974E2}"/>
    <cellStyle name="Note 2 5 4 4" xfId="10373" xr:uid="{3679A2B8-78BB-4254-ADF0-100607E26B25}"/>
    <cellStyle name="Note 2 5 5" xfId="2255" xr:uid="{00000000-0005-0000-0000-00003F210000}"/>
    <cellStyle name="Note 2 5 5 2" xfId="4484" xr:uid="{00000000-0005-0000-0000-000040210000}"/>
    <cellStyle name="Note 2 5 5 2 2" xfId="8707" xr:uid="{00000000-0005-0000-0000-000041210000}"/>
    <cellStyle name="Note 2 5 5 2 2 2" xfId="17149" xr:uid="{C53FC1FC-0B5A-425D-864C-0A7E46A120B9}"/>
    <cellStyle name="Note 2 5 5 2 3" xfId="12931" xr:uid="{0D1B8043-458A-4AD8-A262-41F0D2EE746C}"/>
    <cellStyle name="Note 2 5 5 3" xfId="6562" xr:uid="{00000000-0005-0000-0000-000042210000}"/>
    <cellStyle name="Note 2 5 5 3 2" xfId="15004" xr:uid="{CF89CB5C-F52E-4BC9-AEE9-36CCF9D439F3}"/>
    <cellStyle name="Note 2 5 5 4" xfId="10786" xr:uid="{61BA1C4D-BCD2-4AA5-A4DD-7350C97BC24D}"/>
    <cellStyle name="Note 2 5 6" xfId="2691" xr:uid="{00000000-0005-0000-0000-000043210000}"/>
    <cellStyle name="Note 2 5 6 2" xfId="6975" xr:uid="{00000000-0005-0000-0000-000044210000}"/>
    <cellStyle name="Note 2 5 6 2 2" xfId="15417" xr:uid="{466CE615-04D8-46EF-AA05-950AFEFAF7E4}"/>
    <cellStyle name="Note 2 5 6 3" xfId="11199" xr:uid="{D53D79D8-E93D-49FD-865C-691C0D734963}"/>
    <cellStyle name="Note 2 5 7" xfId="2750" xr:uid="{00000000-0005-0000-0000-000045210000}"/>
    <cellStyle name="Note 2 5 8" xfId="2831" xr:uid="{00000000-0005-0000-0000-000046210000}"/>
    <cellStyle name="Note 2 5 8 2" xfId="7055" xr:uid="{00000000-0005-0000-0000-000047210000}"/>
    <cellStyle name="Note 2 5 8 2 2" xfId="15497" xr:uid="{4A745FDC-659C-4255-9215-3407A8AC1D49}"/>
    <cellStyle name="Note 2 5 8 3" xfId="11279" xr:uid="{1D73873D-F6B3-48A1-AE8E-A8BDD4BC87AF}"/>
    <cellStyle name="Note 2 5 9" xfId="4910" xr:uid="{00000000-0005-0000-0000-000048210000}"/>
    <cellStyle name="Note 2 5 9 2" xfId="13352" xr:uid="{D9CD24D2-359C-4602-B9CA-EB9EC323C4C4}"/>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B9D906A8-1C73-43AA-ABDD-D7D191C6E7E3}"/>
    <cellStyle name="Note 3 2 10 3" xfId="11280" xr:uid="{CFB2F0B8-1E71-4D0B-80C1-447D6B9ECECA}"/>
    <cellStyle name="Note 3 2 11" xfId="4911" xr:uid="{00000000-0005-0000-0000-00004D210000}"/>
    <cellStyle name="Note 3 2 11 2" xfId="13353" xr:uid="{80182328-5054-43BC-B062-B51249B722B5}"/>
    <cellStyle name="Note 3 2 12" xfId="9135" xr:uid="{B5E71CF1-E802-4A63-B886-82183B5AEDC8}"/>
    <cellStyle name="Note 3 2 2" xfId="555" xr:uid="{00000000-0005-0000-0000-00004E210000}"/>
    <cellStyle name="Note 3 2 2 10" xfId="4912" xr:uid="{00000000-0005-0000-0000-00004F210000}"/>
    <cellStyle name="Note 3 2 2 10 2" xfId="13354" xr:uid="{66C5CD09-14B3-4450-A847-767C3AE2277A}"/>
    <cellStyle name="Note 3 2 2 11" xfId="9136" xr:uid="{0FC27173-B3F5-4A34-A3FD-FEAE83A74BB2}"/>
    <cellStyle name="Note 3 2 2 2" xfId="556" xr:uid="{00000000-0005-0000-0000-000050210000}"/>
    <cellStyle name="Note 3 2 2 2 10" xfId="9137" xr:uid="{DF361D1E-AC55-4AC9-9ED0-BFC8202848F6}"/>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00554BC7-06A3-4F5F-8CF7-114BE33C0A8A}"/>
    <cellStyle name="Note 3 2 2 2 2 2 3" xfId="11695" xr:uid="{ABD7AA4B-D9BD-403B-AA86-45B8B002B845}"/>
    <cellStyle name="Note 3 2 2 2 2 3" xfId="5326" xr:uid="{00000000-0005-0000-0000-000054210000}"/>
    <cellStyle name="Note 3 2 2 2 2 3 2" xfId="13768" xr:uid="{9BF51A7C-7E1F-42F5-8448-4C1AC01266F9}"/>
    <cellStyle name="Note 3 2 2 2 2 4" xfId="9550" xr:uid="{41091286-4391-4418-9056-6B86730058DE}"/>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60AEF188-1851-45AF-B143-5788AAED73A6}"/>
    <cellStyle name="Note 3 2 2 2 3 2 3" xfId="12108" xr:uid="{A173E146-27ED-427E-88C8-46030621753C}"/>
    <cellStyle name="Note 3 2 2 2 3 3" xfId="5739" xr:uid="{00000000-0005-0000-0000-000058210000}"/>
    <cellStyle name="Note 3 2 2 2 3 3 2" xfId="14181" xr:uid="{82425176-1EDE-4C15-B15C-7B001D966D98}"/>
    <cellStyle name="Note 3 2 2 2 3 4" xfId="9963" xr:uid="{CBBB38B3-81E5-482B-A339-F61EEF9FF3F3}"/>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8CB107D1-2BD5-431E-8A56-827B29482ECF}"/>
    <cellStyle name="Note 3 2 2 2 4 2 3" xfId="12521" xr:uid="{B9BD62CD-7614-4E6C-9026-CBDC3F96F351}"/>
    <cellStyle name="Note 3 2 2 2 4 3" xfId="6152" xr:uid="{00000000-0005-0000-0000-00005C210000}"/>
    <cellStyle name="Note 3 2 2 2 4 3 2" xfId="14594" xr:uid="{73EFBB61-0BB3-420A-92E7-8264AB737BD8}"/>
    <cellStyle name="Note 3 2 2 2 4 4" xfId="10376" xr:uid="{8E397F37-136D-4FEC-9A45-4AACF8B12092}"/>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43DA469B-57D6-47AB-9560-7530FF8C0082}"/>
    <cellStyle name="Note 3 2 2 2 5 2 3" xfId="12934" xr:uid="{E1D27646-9F99-4C2D-88A2-A959123A15C0}"/>
    <cellStyle name="Note 3 2 2 2 5 3" xfId="6565" xr:uid="{00000000-0005-0000-0000-000060210000}"/>
    <cellStyle name="Note 3 2 2 2 5 3 2" xfId="15007" xr:uid="{D8BF71DF-C368-499F-8B1E-815DE9004AC9}"/>
    <cellStyle name="Note 3 2 2 2 5 4" xfId="10789" xr:uid="{7AEEC8D5-317A-44B7-A961-0F5174527D91}"/>
    <cellStyle name="Note 3 2 2 2 6" xfId="2694" xr:uid="{00000000-0005-0000-0000-000061210000}"/>
    <cellStyle name="Note 3 2 2 2 6 2" xfId="6978" xr:uid="{00000000-0005-0000-0000-000062210000}"/>
    <cellStyle name="Note 3 2 2 2 6 2 2" xfId="15420" xr:uid="{3EB4EA93-7F0B-4F8D-BE9F-26D313F94344}"/>
    <cellStyle name="Note 3 2 2 2 6 3" xfId="11202" xr:uid="{18CCC4F6-891C-4A49-8C61-C602ABAF1D13}"/>
    <cellStyle name="Note 3 2 2 2 7" xfId="2753" xr:uid="{00000000-0005-0000-0000-000063210000}"/>
    <cellStyle name="Note 3 2 2 2 8" xfId="2834" xr:uid="{00000000-0005-0000-0000-000064210000}"/>
    <cellStyle name="Note 3 2 2 2 8 2" xfId="7058" xr:uid="{00000000-0005-0000-0000-000065210000}"/>
    <cellStyle name="Note 3 2 2 2 8 2 2" xfId="15500" xr:uid="{C8908DF0-BAF0-41EA-8664-FA19F814C1B9}"/>
    <cellStyle name="Note 3 2 2 2 8 3" xfId="11282" xr:uid="{64462C24-BFC9-4C13-9C49-F1E8CFD6C438}"/>
    <cellStyle name="Note 3 2 2 2 9" xfId="4913" xr:uid="{00000000-0005-0000-0000-000066210000}"/>
    <cellStyle name="Note 3 2 2 2 9 2" xfId="13355" xr:uid="{0468E190-C3A4-4ED5-9BE7-C59EC83D26D8}"/>
    <cellStyle name="Note 3 2 2 3" xfId="1015" xr:uid="{00000000-0005-0000-0000-000067210000}"/>
    <cellStyle name="Note 3 2 2 3 2" xfId="3247" xr:uid="{00000000-0005-0000-0000-000068210000}"/>
    <cellStyle name="Note 3 2 2 3 2 2" xfId="7470" xr:uid="{00000000-0005-0000-0000-000069210000}"/>
    <cellStyle name="Note 3 2 2 3 2 2 2" xfId="15912" xr:uid="{648255AD-9A78-460F-9E84-3963D5111A9E}"/>
    <cellStyle name="Note 3 2 2 3 2 3" xfId="11694" xr:uid="{4F6BC4B0-926C-45A8-BC69-9C9DEE1281CD}"/>
    <cellStyle name="Note 3 2 2 3 3" xfId="5325" xr:uid="{00000000-0005-0000-0000-00006A210000}"/>
    <cellStyle name="Note 3 2 2 3 3 2" xfId="13767" xr:uid="{D81D2F5C-54BC-46E0-AEEE-20CA198CEB06}"/>
    <cellStyle name="Note 3 2 2 3 4" xfId="9549" xr:uid="{100ADAC4-6EE1-4412-8C28-A2BACADC767E}"/>
    <cellStyle name="Note 3 2 2 4" xfId="1430" xr:uid="{00000000-0005-0000-0000-00006B210000}"/>
    <cellStyle name="Note 3 2 2 4 2" xfId="3660" xr:uid="{00000000-0005-0000-0000-00006C210000}"/>
    <cellStyle name="Note 3 2 2 4 2 2" xfId="7883" xr:uid="{00000000-0005-0000-0000-00006D210000}"/>
    <cellStyle name="Note 3 2 2 4 2 2 2" xfId="16325" xr:uid="{67CB15BD-880E-4BFF-961E-1719FBB9ACE2}"/>
    <cellStyle name="Note 3 2 2 4 2 3" xfId="12107" xr:uid="{E7EF1CD4-C9A6-423E-B5B2-D362CF3C04F4}"/>
    <cellStyle name="Note 3 2 2 4 3" xfId="5738" xr:uid="{00000000-0005-0000-0000-00006E210000}"/>
    <cellStyle name="Note 3 2 2 4 3 2" xfId="14180" xr:uid="{45C4958C-2FAA-427B-AC2C-146FC40CA72E}"/>
    <cellStyle name="Note 3 2 2 4 4" xfId="9962" xr:uid="{019C9998-6609-46E1-A936-D5D764F0B907}"/>
    <cellStyle name="Note 3 2 2 5" xfId="1844" xr:uid="{00000000-0005-0000-0000-00006F210000}"/>
    <cellStyle name="Note 3 2 2 5 2" xfId="4073" xr:uid="{00000000-0005-0000-0000-000070210000}"/>
    <cellStyle name="Note 3 2 2 5 2 2" xfId="8296" xr:uid="{00000000-0005-0000-0000-000071210000}"/>
    <cellStyle name="Note 3 2 2 5 2 2 2" xfId="16738" xr:uid="{A8F29FB6-FBA3-4DCB-AF05-E2CF11680978}"/>
    <cellStyle name="Note 3 2 2 5 2 3" xfId="12520" xr:uid="{E6AED6CA-E792-4AC3-AA6C-E62BC5C5D939}"/>
    <cellStyle name="Note 3 2 2 5 3" xfId="6151" xr:uid="{00000000-0005-0000-0000-000072210000}"/>
    <cellStyle name="Note 3 2 2 5 3 2" xfId="14593" xr:uid="{26DD2753-3366-4BB6-B6E5-62B3160C834C}"/>
    <cellStyle name="Note 3 2 2 5 4" xfId="10375" xr:uid="{D519B10A-BF8E-4A0B-81CE-693F7E61868A}"/>
    <cellStyle name="Note 3 2 2 6" xfId="2257" xr:uid="{00000000-0005-0000-0000-000073210000}"/>
    <cellStyle name="Note 3 2 2 6 2" xfId="4486" xr:uid="{00000000-0005-0000-0000-000074210000}"/>
    <cellStyle name="Note 3 2 2 6 2 2" xfId="8709" xr:uid="{00000000-0005-0000-0000-000075210000}"/>
    <cellStyle name="Note 3 2 2 6 2 2 2" xfId="17151" xr:uid="{A8C9A684-69DC-4DAC-A3D8-C4546A9B8645}"/>
    <cellStyle name="Note 3 2 2 6 2 3" xfId="12933" xr:uid="{2D96CC0B-4994-4078-AC07-1D652F2149AA}"/>
    <cellStyle name="Note 3 2 2 6 3" xfId="6564" xr:uid="{00000000-0005-0000-0000-000076210000}"/>
    <cellStyle name="Note 3 2 2 6 3 2" xfId="15006" xr:uid="{B70B0D63-A6A8-42DF-8D32-887EB0532A68}"/>
    <cellStyle name="Note 3 2 2 6 4" xfId="10788" xr:uid="{AD97897A-9E19-4633-B428-9FF6769E6210}"/>
    <cellStyle name="Note 3 2 2 7" xfId="2693" xr:uid="{00000000-0005-0000-0000-000077210000}"/>
    <cellStyle name="Note 3 2 2 7 2" xfId="6977" xr:uid="{00000000-0005-0000-0000-000078210000}"/>
    <cellStyle name="Note 3 2 2 7 2 2" xfId="15419" xr:uid="{F2FAECB0-1071-44AC-B222-9CE520E23218}"/>
    <cellStyle name="Note 3 2 2 7 3" xfId="11201" xr:uid="{76EB2449-A304-4D12-B382-EFB5A1BE8B1C}"/>
    <cellStyle name="Note 3 2 2 8" xfId="2752" xr:uid="{00000000-0005-0000-0000-000079210000}"/>
    <cellStyle name="Note 3 2 2 9" xfId="2833" xr:uid="{00000000-0005-0000-0000-00007A210000}"/>
    <cellStyle name="Note 3 2 2 9 2" xfId="7057" xr:uid="{00000000-0005-0000-0000-00007B210000}"/>
    <cellStyle name="Note 3 2 2 9 2 2" xfId="15499" xr:uid="{D37422CD-ED7E-47A7-9D35-2BB815E4322F}"/>
    <cellStyle name="Note 3 2 2 9 3" xfId="11281" xr:uid="{6E6FB0B1-4826-4C51-B090-AAD11AD37B18}"/>
    <cellStyle name="Note 3 2 3" xfId="557" xr:uid="{00000000-0005-0000-0000-00007C210000}"/>
    <cellStyle name="Note 3 2 3 10" xfId="9138" xr:uid="{BE6894DF-3670-45B9-BFF3-CE8D1C460AED}"/>
    <cellStyle name="Note 3 2 3 2" xfId="1017" xr:uid="{00000000-0005-0000-0000-00007D210000}"/>
    <cellStyle name="Note 3 2 3 2 2" xfId="3249" xr:uid="{00000000-0005-0000-0000-00007E210000}"/>
    <cellStyle name="Note 3 2 3 2 2 2" xfId="7472" xr:uid="{00000000-0005-0000-0000-00007F210000}"/>
    <cellStyle name="Note 3 2 3 2 2 2 2" xfId="15914" xr:uid="{EFF14076-9231-4712-969F-97E422BED7CC}"/>
    <cellStyle name="Note 3 2 3 2 2 3" xfId="11696" xr:uid="{946A9B3A-7F4B-4E9E-897E-4DB66D7BAFD1}"/>
    <cellStyle name="Note 3 2 3 2 3" xfId="5327" xr:uid="{00000000-0005-0000-0000-000080210000}"/>
    <cellStyle name="Note 3 2 3 2 3 2" xfId="13769" xr:uid="{F010EB57-5F14-496F-AEC9-7E975E82C8E0}"/>
    <cellStyle name="Note 3 2 3 2 4" xfId="9551" xr:uid="{A751948A-0F76-4D4B-8D99-967154C7FBAC}"/>
    <cellStyle name="Note 3 2 3 3" xfId="1432" xr:uid="{00000000-0005-0000-0000-000081210000}"/>
    <cellStyle name="Note 3 2 3 3 2" xfId="3662" xr:uid="{00000000-0005-0000-0000-000082210000}"/>
    <cellStyle name="Note 3 2 3 3 2 2" xfId="7885" xr:uid="{00000000-0005-0000-0000-000083210000}"/>
    <cellStyle name="Note 3 2 3 3 2 2 2" xfId="16327" xr:uid="{26D61F08-537A-41A3-87B9-75CF6B1D7B46}"/>
    <cellStyle name="Note 3 2 3 3 2 3" xfId="12109" xr:uid="{D9A75096-F280-40C2-BDAA-F7AEFF9AB867}"/>
    <cellStyle name="Note 3 2 3 3 3" xfId="5740" xr:uid="{00000000-0005-0000-0000-000084210000}"/>
    <cellStyle name="Note 3 2 3 3 3 2" xfId="14182" xr:uid="{DCC4E98E-9519-4B8C-8DC0-6D31C8673FAE}"/>
    <cellStyle name="Note 3 2 3 3 4" xfId="9964" xr:uid="{B2D1DC76-754B-4264-8D09-B0D66BBB0024}"/>
    <cellStyle name="Note 3 2 3 4" xfId="1846" xr:uid="{00000000-0005-0000-0000-000085210000}"/>
    <cellStyle name="Note 3 2 3 4 2" xfId="4075" xr:uid="{00000000-0005-0000-0000-000086210000}"/>
    <cellStyle name="Note 3 2 3 4 2 2" xfId="8298" xr:uid="{00000000-0005-0000-0000-000087210000}"/>
    <cellStyle name="Note 3 2 3 4 2 2 2" xfId="16740" xr:uid="{DFBAA9EC-9453-4908-B2DF-C865F323D70B}"/>
    <cellStyle name="Note 3 2 3 4 2 3" xfId="12522" xr:uid="{79845610-2054-485D-B38A-E50823E0171A}"/>
    <cellStyle name="Note 3 2 3 4 3" xfId="6153" xr:uid="{00000000-0005-0000-0000-000088210000}"/>
    <cellStyle name="Note 3 2 3 4 3 2" xfId="14595" xr:uid="{115F94FA-B5F5-4AE0-9039-19A6CCD7CCE4}"/>
    <cellStyle name="Note 3 2 3 4 4" xfId="10377" xr:uid="{6D6D8AC1-5CFC-4D6C-8338-7DF8A85C7ADB}"/>
    <cellStyle name="Note 3 2 3 5" xfId="2259" xr:uid="{00000000-0005-0000-0000-000089210000}"/>
    <cellStyle name="Note 3 2 3 5 2" xfId="4488" xr:uid="{00000000-0005-0000-0000-00008A210000}"/>
    <cellStyle name="Note 3 2 3 5 2 2" xfId="8711" xr:uid="{00000000-0005-0000-0000-00008B210000}"/>
    <cellStyle name="Note 3 2 3 5 2 2 2" xfId="17153" xr:uid="{A26C9985-9597-4152-B8C5-A6FCD1E0A52F}"/>
    <cellStyle name="Note 3 2 3 5 2 3" xfId="12935" xr:uid="{9838D761-01A5-4530-A9B6-12CE1F7E04C6}"/>
    <cellStyle name="Note 3 2 3 5 3" xfId="6566" xr:uid="{00000000-0005-0000-0000-00008C210000}"/>
    <cellStyle name="Note 3 2 3 5 3 2" xfId="15008" xr:uid="{75860294-5194-4023-8FA2-D9D5AAF37AC8}"/>
    <cellStyle name="Note 3 2 3 5 4" xfId="10790" xr:uid="{68A866A5-6C67-46C7-8840-B275DD081029}"/>
    <cellStyle name="Note 3 2 3 6" xfId="2695" xr:uid="{00000000-0005-0000-0000-00008D210000}"/>
    <cellStyle name="Note 3 2 3 6 2" xfId="6979" xr:uid="{00000000-0005-0000-0000-00008E210000}"/>
    <cellStyle name="Note 3 2 3 6 2 2" xfId="15421" xr:uid="{CBFFC25C-C0B3-412D-947D-A5B8F7A01BD0}"/>
    <cellStyle name="Note 3 2 3 6 3" xfId="11203" xr:uid="{AB1DC06C-415E-4254-8885-B337C52E8654}"/>
    <cellStyle name="Note 3 2 3 7" xfId="2754" xr:uid="{00000000-0005-0000-0000-00008F210000}"/>
    <cellStyle name="Note 3 2 3 8" xfId="2835" xr:uid="{00000000-0005-0000-0000-000090210000}"/>
    <cellStyle name="Note 3 2 3 8 2" xfId="7059" xr:uid="{00000000-0005-0000-0000-000091210000}"/>
    <cellStyle name="Note 3 2 3 8 2 2" xfId="15501" xr:uid="{C94D1CC3-AA4F-4D9C-B62E-4265A9642429}"/>
    <cellStyle name="Note 3 2 3 8 3" xfId="11283" xr:uid="{BCF4070F-77F5-40F9-9DEA-5BEFD7A8DA37}"/>
    <cellStyle name="Note 3 2 3 9" xfId="4914" xr:uid="{00000000-0005-0000-0000-000092210000}"/>
    <cellStyle name="Note 3 2 3 9 2" xfId="13356" xr:uid="{52FF0E66-BF9C-40BE-BAEB-F732B58E8E0C}"/>
    <cellStyle name="Note 3 2 4" xfId="1014" xr:uid="{00000000-0005-0000-0000-000093210000}"/>
    <cellStyle name="Note 3 2 4 2" xfId="3246" xr:uid="{00000000-0005-0000-0000-000094210000}"/>
    <cellStyle name="Note 3 2 4 2 2" xfId="7469" xr:uid="{00000000-0005-0000-0000-000095210000}"/>
    <cellStyle name="Note 3 2 4 2 2 2" xfId="15911" xr:uid="{5374D716-262C-43B0-84A4-20107AD54326}"/>
    <cellStyle name="Note 3 2 4 2 3" xfId="11693" xr:uid="{51D64B6D-A389-46D0-856B-4731243919D8}"/>
    <cellStyle name="Note 3 2 4 3" xfId="5324" xr:uid="{00000000-0005-0000-0000-000096210000}"/>
    <cellStyle name="Note 3 2 4 3 2" xfId="13766" xr:uid="{30611A74-D32C-4C3C-B482-A6D50CCE8E60}"/>
    <cellStyle name="Note 3 2 4 4" xfId="9548" xr:uid="{DD3166EB-5571-4801-A4FD-FA4281CF0454}"/>
    <cellStyle name="Note 3 2 5" xfId="1429" xr:uid="{00000000-0005-0000-0000-000097210000}"/>
    <cellStyle name="Note 3 2 5 2" xfId="3659" xr:uid="{00000000-0005-0000-0000-000098210000}"/>
    <cellStyle name="Note 3 2 5 2 2" xfId="7882" xr:uid="{00000000-0005-0000-0000-000099210000}"/>
    <cellStyle name="Note 3 2 5 2 2 2" xfId="16324" xr:uid="{0B419926-D27C-44BB-BBA5-B64F525BF111}"/>
    <cellStyle name="Note 3 2 5 2 3" xfId="12106" xr:uid="{2E1A0F76-352F-4C08-913D-710B34C48959}"/>
    <cellStyle name="Note 3 2 5 3" xfId="5737" xr:uid="{00000000-0005-0000-0000-00009A210000}"/>
    <cellStyle name="Note 3 2 5 3 2" xfId="14179" xr:uid="{A3F34EB3-7B1A-4E81-8A4E-B8CF508C2AB0}"/>
    <cellStyle name="Note 3 2 5 4" xfId="9961" xr:uid="{7A58C878-35C8-4054-B119-554A41A2EBF0}"/>
    <cellStyle name="Note 3 2 6" xfId="1843" xr:uid="{00000000-0005-0000-0000-00009B210000}"/>
    <cellStyle name="Note 3 2 6 2" xfId="4072" xr:uid="{00000000-0005-0000-0000-00009C210000}"/>
    <cellStyle name="Note 3 2 6 2 2" xfId="8295" xr:uid="{00000000-0005-0000-0000-00009D210000}"/>
    <cellStyle name="Note 3 2 6 2 2 2" xfId="16737" xr:uid="{9F273C9C-A7F2-4B6E-ACA7-CB244EB315F6}"/>
    <cellStyle name="Note 3 2 6 2 3" xfId="12519" xr:uid="{CAC89C2E-B934-4786-8178-1DCD2C081B75}"/>
    <cellStyle name="Note 3 2 6 3" xfId="6150" xr:uid="{00000000-0005-0000-0000-00009E210000}"/>
    <cellStyle name="Note 3 2 6 3 2" xfId="14592" xr:uid="{840ACC7F-B9FD-4259-A973-AF4974C8DBE3}"/>
    <cellStyle name="Note 3 2 6 4" xfId="10374" xr:uid="{EC862F6B-CD04-473E-973F-472D450FD951}"/>
    <cellStyle name="Note 3 2 7" xfId="2256" xr:uid="{00000000-0005-0000-0000-00009F210000}"/>
    <cellStyle name="Note 3 2 7 2" xfId="4485" xr:uid="{00000000-0005-0000-0000-0000A0210000}"/>
    <cellStyle name="Note 3 2 7 2 2" xfId="8708" xr:uid="{00000000-0005-0000-0000-0000A1210000}"/>
    <cellStyle name="Note 3 2 7 2 2 2" xfId="17150" xr:uid="{DCBF4D49-2F88-441E-819E-0449FDEE0AD2}"/>
    <cellStyle name="Note 3 2 7 2 3" xfId="12932" xr:uid="{BBE80024-26FE-4B3A-83CF-BADC6F1EEBAC}"/>
    <cellStyle name="Note 3 2 7 3" xfId="6563" xr:uid="{00000000-0005-0000-0000-0000A2210000}"/>
    <cellStyle name="Note 3 2 7 3 2" xfId="15005" xr:uid="{08BE1B1D-4337-4C12-A7DE-C28A391F9C26}"/>
    <cellStyle name="Note 3 2 7 4" xfId="10787" xr:uid="{69B1C5FA-06C4-4D25-91F2-F8E21AF4F677}"/>
    <cellStyle name="Note 3 2 8" xfId="2692" xr:uid="{00000000-0005-0000-0000-0000A3210000}"/>
    <cellStyle name="Note 3 2 8 2" xfId="6976" xr:uid="{00000000-0005-0000-0000-0000A4210000}"/>
    <cellStyle name="Note 3 2 8 2 2" xfId="15418" xr:uid="{19C3A582-4808-469F-9879-D21B30764AE1}"/>
    <cellStyle name="Note 3 2 8 3" xfId="11200" xr:uid="{5D577693-D2AB-439C-90D7-BB56EA54169B}"/>
    <cellStyle name="Note 3 2 9" xfId="2751" xr:uid="{00000000-0005-0000-0000-0000A5210000}"/>
    <cellStyle name="Note 3 3" xfId="558" xr:uid="{00000000-0005-0000-0000-0000A6210000}"/>
    <cellStyle name="Note 3 3 10" xfId="4915" xr:uid="{00000000-0005-0000-0000-0000A7210000}"/>
    <cellStyle name="Note 3 3 10 2" xfId="13357" xr:uid="{1892F16A-EF9F-422A-8F2B-4FD182A28B99}"/>
    <cellStyle name="Note 3 3 11" xfId="9139" xr:uid="{265DEA1C-FA5E-48A7-A3B6-0A85B1E283CE}"/>
    <cellStyle name="Note 3 3 2" xfId="559" xr:uid="{00000000-0005-0000-0000-0000A8210000}"/>
    <cellStyle name="Note 3 3 2 10" xfId="9140" xr:uid="{E2EA1D02-1B54-435C-ACE7-FD42C50FEC20}"/>
    <cellStyle name="Note 3 3 2 2" xfId="1019" xr:uid="{00000000-0005-0000-0000-0000A9210000}"/>
    <cellStyle name="Note 3 3 2 2 2" xfId="3251" xr:uid="{00000000-0005-0000-0000-0000AA210000}"/>
    <cellStyle name="Note 3 3 2 2 2 2" xfId="7474" xr:uid="{00000000-0005-0000-0000-0000AB210000}"/>
    <cellStyle name="Note 3 3 2 2 2 2 2" xfId="15916" xr:uid="{830ABAD2-5E06-4AC0-A760-12B80EFE5649}"/>
    <cellStyle name="Note 3 3 2 2 2 3" xfId="11698" xr:uid="{10BCEA88-7CFD-4607-A272-1E8C6F088E30}"/>
    <cellStyle name="Note 3 3 2 2 3" xfId="5329" xr:uid="{00000000-0005-0000-0000-0000AC210000}"/>
    <cellStyle name="Note 3 3 2 2 3 2" xfId="13771" xr:uid="{A730334D-E406-4F8C-ACCA-F40FFC0362DA}"/>
    <cellStyle name="Note 3 3 2 2 4" xfId="9553" xr:uid="{098F1021-D239-4163-A38A-FD045CBF3DFC}"/>
    <cellStyle name="Note 3 3 2 3" xfId="1434" xr:uid="{00000000-0005-0000-0000-0000AD210000}"/>
    <cellStyle name="Note 3 3 2 3 2" xfId="3664" xr:uid="{00000000-0005-0000-0000-0000AE210000}"/>
    <cellStyle name="Note 3 3 2 3 2 2" xfId="7887" xr:uid="{00000000-0005-0000-0000-0000AF210000}"/>
    <cellStyle name="Note 3 3 2 3 2 2 2" xfId="16329" xr:uid="{EA444D5A-E30A-4950-8C74-8E8A211AF567}"/>
    <cellStyle name="Note 3 3 2 3 2 3" xfId="12111" xr:uid="{F28C6039-D894-439E-B026-6DA992A5FD75}"/>
    <cellStyle name="Note 3 3 2 3 3" xfId="5742" xr:uid="{00000000-0005-0000-0000-0000B0210000}"/>
    <cellStyle name="Note 3 3 2 3 3 2" xfId="14184" xr:uid="{F0E9DE0F-3092-4964-9CF3-EB2DF6AD4C9C}"/>
    <cellStyle name="Note 3 3 2 3 4" xfId="9966" xr:uid="{872A166F-0FC6-4218-9CCC-3AC0034BC80E}"/>
    <cellStyle name="Note 3 3 2 4" xfId="1848" xr:uid="{00000000-0005-0000-0000-0000B1210000}"/>
    <cellStyle name="Note 3 3 2 4 2" xfId="4077" xr:uid="{00000000-0005-0000-0000-0000B2210000}"/>
    <cellStyle name="Note 3 3 2 4 2 2" xfId="8300" xr:uid="{00000000-0005-0000-0000-0000B3210000}"/>
    <cellStyle name="Note 3 3 2 4 2 2 2" xfId="16742" xr:uid="{0692A879-7532-4B4E-90C3-513F718DD0DE}"/>
    <cellStyle name="Note 3 3 2 4 2 3" xfId="12524" xr:uid="{3BEAACAE-4528-4728-9095-B87970E06D5F}"/>
    <cellStyle name="Note 3 3 2 4 3" xfId="6155" xr:uid="{00000000-0005-0000-0000-0000B4210000}"/>
    <cellStyle name="Note 3 3 2 4 3 2" xfId="14597" xr:uid="{BDAC361C-63DE-4A4D-A594-3C8ECE5D9152}"/>
    <cellStyle name="Note 3 3 2 4 4" xfId="10379" xr:uid="{54BC6D81-4BBE-4A11-BC12-672F9AE0D067}"/>
    <cellStyle name="Note 3 3 2 5" xfId="2261" xr:uid="{00000000-0005-0000-0000-0000B5210000}"/>
    <cellStyle name="Note 3 3 2 5 2" xfId="4490" xr:uid="{00000000-0005-0000-0000-0000B6210000}"/>
    <cellStyle name="Note 3 3 2 5 2 2" xfId="8713" xr:uid="{00000000-0005-0000-0000-0000B7210000}"/>
    <cellStyle name="Note 3 3 2 5 2 2 2" xfId="17155" xr:uid="{BA8C7A50-5D70-4005-AFF6-42A573F468D3}"/>
    <cellStyle name="Note 3 3 2 5 2 3" xfId="12937" xr:uid="{44E874D2-5ACF-4945-8E66-E956385DA879}"/>
    <cellStyle name="Note 3 3 2 5 3" xfId="6568" xr:uid="{00000000-0005-0000-0000-0000B8210000}"/>
    <cellStyle name="Note 3 3 2 5 3 2" xfId="15010" xr:uid="{9DEE5D93-0CBE-4813-88D9-F399A2753B97}"/>
    <cellStyle name="Note 3 3 2 5 4" xfId="10792" xr:uid="{73EEE6BF-686F-42B7-9323-844D183AFFF5}"/>
    <cellStyle name="Note 3 3 2 6" xfId="2697" xr:uid="{00000000-0005-0000-0000-0000B9210000}"/>
    <cellStyle name="Note 3 3 2 6 2" xfId="6981" xr:uid="{00000000-0005-0000-0000-0000BA210000}"/>
    <cellStyle name="Note 3 3 2 6 2 2" xfId="15423" xr:uid="{30669930-D9B2-43FA-9D4C-C55689E2086E}"/>
    <cellStyle name="Note 3 3 2 6 3" xfId="11205" xr:uid="{927A9983-A817-4DBF-8065-1CDE0889A8EA}"/>
    <cellStyle name="Note 3 3 2 7" xfId="2756" xr:uid="{00000000-0005-0000-0000-0000BB210000}"/>
    <cellStyle name="Note 3 3 2 8" xfId="2837" xr:uid="{00000000-0005-0000-0000-0000BC210000}"/>
    <cellStyle name="Note 3 3 2 8 2" xfId="7061" xr:uid="{00000000-0005-0000-0000-0000BD210000}"/>
    <cellStyle name="Note 3 3 2 8 2 2" xfId="15503" xr:uid="{FB0ED3F7-4C71-4247-87EC-954F6486509E}"/>
    <cellStyle name="Note 3 3 2 8 3" xfId="11285" xr:uid="{4A0EEA3D-0FF3-4FAF-934B-57E6B49B910E}"/>
    <cellStyle name="Note 3 3 2 9" xfId="4916" xr:uid="{00000000-0005-0000-0000-0000BE210000}"/>
    <cellStyle name="Note 3 3 2 9 2" xfId="13358" xr:uid="{6C6771DE-F3E4-4B45-B09E-11850C5C5251}"/>
    <cellStyle name="Note 3 3 3" xfId="1018" xr:uid="{00000000-0005-0000-0000-0000BF210000}"/>
    <cellStyle name="Note 3 3 3 2" xfId="3250" xr:uid="{00000000-0005-0000-0000-0000C0210000}"/>
    <cellStyle name="Note 3 3 3 2 2" xfId="7473" xr:uid="{00000000-0005-0000-0000-0000C1210000}"/>
    <cellStyle name="Note 3 3 3 2 2 2" xfId="15915" xr:uid="{BFD86E55-60E5-455B-ACBD-EA5CEF7B62D8}"/>
    <cellStyle name="Note 3 3 3 2 3" xfId="11697" xr:uid="{893E5127-8BAC-4478-A5B4-9E9FAB14D2E5}"/>
    <cellStyle name="Note 3 3 3 3" xfId="5328" xr:uid="{00000000-0005-0000-0000-0000C2210000}"/>
    <cellStyle name="Note 3 3 3 3 2" xfId="13770" xr:uid="{ADA117F9-C671-4429-B751-80ADDA18D098}"/>
    <cellStyle name="Note 3 3 3 4" xfId="9552" xr:uid="{C1A218B4-367F-41FA-B42F-A6E344FF28F7}"/>
    <cellStyle name="Note 3 3 4" xfId="1433" xr:uid="{00000000-0005-0000-0000-0000C3210000}"/>
    <cellStyle name="Note 3 3 4 2" xfId="3663" xr:uid="{00000000-0005-0000-0000-0000C4210000}"/>
    <cellStyle name="Note 3 3 4 2 2" xfId="7886" xr:uid="{00000000-0005-0000-0000-0000C5210000}"/>
    <cellStyle name="Note 3 3 4 2 2 2" xfId="16328" xr:uid="{DDE5966F-A5AB-42DA-9DB7-3284F50A6E5E}"/>
    <cellStyle name="Note 3 3 4 2 3" xfId="12110" xr:uid="{F2B59614-BAF2-40C1-B93A-F14D0A1EFF4B}"/>
    <cellStyle name="Note 3 3 4 3" xfId="5741" xr:uid="{00000000-0005-0000-0000-0000C6210000}"/>
    <cellStyle name="Note 3 3 4 3 2" xfId="14183" xr:uid="{21F08907-F239-4FE6-B06A-54D854764D53}"/>
    <cellStyle name="Note 3 3 4 4" xfId="9965" xr:uid="{FC7D7893-BEF0-457D-AF52-119833B86E2F}"/>
    <cellStyle name="Note 3 3 5" xfId="1847" xr:uid="{00000000-0005-0000-0000-0000C7210000}"/>
    <cellStyle name="Note 3 3 5 2" xfId="4076" xr:uid="{00000000-0005-0000-0000-0000C8210000}"/>
    <cellStyle name="Note 3 3 5 2 2" xfId="8299" xr:uid="{00000000-0005-0000-0000-0000C9210000}"/>
    <cellStyle name="Note 3 3 5 2 2 2" xfId="16741" xr:uid="{6FA7E281-5786-4D11-B53D-F2689B9A9A2E}"/>
    <cellStyle name="Note 3 3 5 2 3" xfId="12523" xr:uid="{CEF50831-4C90-457F-BC07-EF8485F8649F}"/>
    <cellStyle name="Note 3 3 5 3" xfId="6154" xr:uid="{00000000-0005-0000-0000-0000CA210000}"/>
    <cellStyle name="Note 3 3 5 3 2" xfId="14596" xr:uid="{C3DD82D5-A8C2-4E88-A012-CCF7669B0196}"/>
    <cellStyle name="Note 3 3 5 4" xfId="10378" xr:uid="{1A4E0AD7-4BF1-4362-8E54-DE07C293E5BC}"/>
    <cellStyle name="Note 3 3 6" xfId="2260" xr:uid="{00000000-0005-0000-0000-0000CB210000}"/>
    <cellStyle name="Note 3 3 6 2" xfId="4489" xr:uid="{00000000-0005-0000-0000-0000CC210000}"/>
    <cellStyle name="Note 3 3 6 2 2" xfId="8712" xr:uid="{00000000-0005-0000-0000-0000CD210000}"/>
    <cellStyle name="Note 3 3 6 2 2 2" xfId="17154" xr:uid="{D86BC6CA-0416-4898-9373-2F5AE9B9A0F9}"/>
    <cellStyle name="Note 3 3 6 2 3" xfId="12936" xr:uid="{E4AB4070-7E3F-4708-90FD-897AA6F8F658}"/>
    <cellStyle name="Note 3 3 6 3" xfId="6567" xr:uid="{00000000-0005-0000-0000-0000CE210000}"/>
    <cellStyle name="Note 3 3 6 3 2" xfId="15009" xr:uid="{B109FA7A-8267-456D-872E-37A7F60F9906}"/>
    <cellStyle name="Note 3 3 6 4" xfId="10791" xr:uid="{D97E71D1-C8F6-4761-A093-CCC94FD8FBD7}"/>
    <cellStyle name="Note 3 3 7" xfId="2696" xr:uid="{00000000-0005-0000-0000-0000CF210000}"/>
    <cellStyle name="Note 3 3 7 2" xfId="6980" xr:uid="{00000000-0005-0000-0000-0000D0210000}"/>
    <cellStyle name="Note 3 3 7 2 2" xfId="15422" xr:uid="{4EE2CCDB-A9C7-4436-9BA4-55D89B5F371A}"/>
    <cellStyle name="Note 3 3 7 3" xfId="11204" xr:uid="{D76E96C5-A557-41A8-9FFD-94F0EB3395B7}"/>
    <cellStyle name="Note 3 3 8" xfId="2755" xr:uid="{00000000-0005-0000-0000-0000D1210000}"/>
    <cellStyle name="Note 3 3 9" xfId="2836" xr:uid="{00000000-0005-0000-0000-0000D2210000}"/>
    <cellStyle name="Note 3 3 9 2" xfId="7060" xr:uid="{00000000-0005-0000-0000-0000D3210000}"/>
    <cellStyle name="Note 3 3 9 2 2" xfId="15502" xr:uid="{90CF030F-75FD-4BE0-8681-EBBBAA780332}"/>
    <cellStyle name="Note 3 3 9 3" xfId="11284" xr:uid="{B1F076D7-EF48-416C-BCDC-2C8A4185D4D9}"/>
    <cellStyle name="Note 3 4" xfId="560" xr:uid="{00000000-0005-0000-0000-0000D4210000}"/>
    <cellStyle name="Note 3 4 10" xfId="9141" xr:uid="{0130DF37-5D12-4A50-9798-878D29FAE7AE}"/>
    <cellStyle name="Note 3 4 2" xfId="1020" xr:uid="{00000000-0005-0000-0000-0000D5210000}"/>
    <cellStyle name="Note 3 4 2 2" xfId="3252" xr:uid="{00000000-0005-0000-0000-0000D6210000}"/>
    <cellStyle name="Note 3 4 2 2 2" xfId="7475" xr:uid="{00000000-0005-0000-0000-0000D7210000}"/>
    <cellStyle name="Note 3 4 2 2 2 2" xfId="15917" xr:uid="{2FF33E99-E5F1-4A14-8238-2D3F512F7DF7}"/>
    <cellStyle name="Note 3 4 2 2 3" xfId="11699" xr:uid="{8AD879A7-F136-4EA7-BED9-4A811744CBE9}"/>
    <cellStyle name="Note 3 4 2 3" xfId="5330" xr:uid="{00000000-0005-0000-0000-0000D8210000}"/>
    <cellStyle name="Note 3 4 2 3 2" xfId="13772" xr:uid="{D3FDAC9C-BC1C-445E-842C-7A6C3EC5DFDD}"/>
    <cellStyle name="Note 3 4 2 4" xfId="9554" xr:uid="{3A35EB98-2B69-4783-B308-973777AA5743}"/>
    <cellStyle name="Note 3 4 3" xfId="1435" xr:uid="{00000000-0005-0000-0000-0000D9210000}"/>
    <cellStyle name="Note 3 4 3 2" xfId="3665" xr:uid="{00000000-0005-0000-0000-0000DA210000}"/>
    <cellStyle name="Note 3 4 3 2 2" xfId="7888" xr:uid="{00000000-0005-0000-0000-0000DB210000}"/>
    <cellStyle name="Note 3 4 3 2 2 2" xfId="16330" xr:uid="{AF89F616-FB4C-466F-B8E2-E4DFEE616266}"/>
    <cellStyle name="Note 3 4 3 2 3" xfId="12112" xr:uid="{A47E8462-CD10-4D4D-9408-30EFD35024CD}"/>
    <cellStyle name="Note 3 4 3 3" xfId="5743" xr:uid="{00000000-0005-0000-0000-0000DC210000}"/>
    <cellStyle name="Note 3 4 3 3 2" xfId="14185" xr:uid="{EE335120-DC9F-4AE5-97E2-586CF42E0212}"/>
    <cellStyle name="Note 3 4 3 4" xfId="9967" xr:uid="{BAC05070-69D6-41BA-935E-B62DEF43B7EC}"/>
    <cellStyle name="Note 3 4 4" xfId="1849" xr:uid="{00000000-0005-0000-0000-0000DD210000}"/>
    <cellStyle name="Note 3 4 4 2" xfId="4078" xr:uid="{00000000-0005-0000-0000-0000DE210000}"/>
    <cellStyle name="Note 3 4 4 2 2" xfId="8301" xr:uid="{00000000-0005-0000-0000-0000DF210000}"/>
    <cellStyle name="Note 3 4 4 2 2 2" xfId="16743" xr:uid="{BE6A145A-9136-43F9-BD33-925334E1F409}"/>
    <cellStyle name="Note 3 4 4 2 3" xfId="12525" xr:uid="{5AB1D4D0-7CB4-406D-8F08-EEE537BA7DB1}"/>
    <cellStyle name="Note 3 4 4 3" xfId="6156" xr:uid="{00000000-0005-0000-0000-0000E0210000}"/>
    <cellStyle name="Note 3 4 4 3 2" xfId="14598" xr:uid="{7746E663-ABBF-4104-B4D0-D8A805E54834}"/>
    <cellStyle name="Note 3 4 4 4" xfId="10380" xr:uid="{ED1C642E-FAFE-43A1-BF81-CE1928E065FA}"/>
    <cellStyle name="Note 3 4 5" xfId="2262" xr:uid="{00000000-0005-0000-0000-0000E1210000}"/>
    <cellStyle name="Note 3 4 5 2" xfId="4491" xr:uid="{00000000-0005-0000-0000-0000E2210000}"/>
    <cellStyle name="Note 3 4 5 2 2" xfId="8714" xr:uid="{00000000-0005-0000-0000-0000E3210000}"/>
    <cellStyle name="Note 3 4 5 2 2 2" xfId="17156" xr:uid="{9F6A1215-35FD-4D33-B34E-CD1693DCB2B7}"/>
    <cellStyle name="Note 3 4 5 2 3" xfId="12938" xr:uid="{E449CC36-376C-41CF-8473-4AC3D296348D}"/>
    <cellStyle name="Note 3 4 5 3" xfId="6569" xr:uid="{00000000-0005-0000-0000-0000E4210000}"/>
    <cellStyle name="Note 3 4 5 3 2" xfId="15011" xr:uid="{FF19EC2A-8A1D-40D2-BE06-58F127EAB518}"/>
    <cellStyle name="Note 3 4 5 4" xfId="10793" xr:uid="{660A8457-CB33-4246-B2D0-F81F339413B0}"/>
    <cellStyle name="Note 3 4 6" xfId="2698" xr:uid="{00000000-0005-0000-0000-0000E5210000}"/>
    <cellStyle name="Note 3 4 6 2" xfId="6982" xr:uid="{00000000-0005-0000-0000-0000E6210000}"/>
    <cellStyle name="Note 3 4 6 2 2" xfId="15424" xr:uid="{940D4BE8-97F8-4143-9FB3-267BE01C00FA}"/>
    <cellStyle name="Note 3 4 6 3" xfId="11206" xr:uid="{345F1D4D-AD92-4C68-BCCC-CD65375278A8}"/>
    <cellStyle name="Note 3 4 7" xfId="2757" xr:uid="{00000000-0005-0000-0000-0000E7210000}"/>
    <cellStyle name="Note 3 4 8" xfId="2838" xr:uid="{00000000-0005-0000-0000-0000E8210000}"/>
    <cellStyle name="Note 3 4 8 2" xfId="7062" xr:uid="{00000000-0005-0000-0000-0000E9210000}"/>
    <cellStyle name="Note 3 4 8 2 2" xfId="15504" xr:uid="{E9E06AC1-D1E9-41CE-B0A2-43CD95EDF693}"/>
    <cellStyle name="Note 3 4 8 3" xfId="11286" xr:uid="{CC3567F3-C144-4397-8EBC-72B5602A984B}"/>
    <cellStyle name="Note 3 4 9" xfId="4917" xr:uid="{00000000-0005-0000-0000-0000EA210000}"/>
    <cellStyle name="Note 3 4 9 2" xfId="13359" xr:uid="{2AF5CE2E-DCD0-4641-96B7-ABFE44558E10}"/>
    <cellStyle name="Note 3 5" xfId="561" xr:uid="{00000000-0005-0000-0000-0000EB210000}"/>
    <cellStyle name="Note 3 5 10" xfId="9142" xr:uid="{80EED652-FAAA-42BE-BAC7-65B900E67698}"/>
    <cellStyle name="Note 3 5 2" xfId="1021" xr:uid="{00000000-0005-0000-0000-0000EC210000}"/>
    <cellStyle name="Note 3 5 2 2" xfId="3253" xr:uid="{00000000-0005-0000-0000-0000ED210000}"/>
    <cellStyle name="Note 3 5 2 2 2" xfId="7476" xr:uid="{00000000-0005-0000-0000-0000EE210000}"/>
    <cellStyle name="Note 3 5 2 2 2 2" xfId="15918" xr:uid="{09857424-8F89-4BD3-8799-EAC17F80B7F4}"/>
    <cellStyle name="Note 3 5 2 2 3" xfId="11700" xr:uid="{548F5CC9-CFF3-4DE3-8D33-BE26D29123A7}"/>
    <cellStyle name="Note 3 5 2 3" xfId="5331" xr:uid="{00000000-0005-0000-0000-0000EF210000}"/>
    <cellStyle name="Note 3 5 2 3 2" xfId="13773" xr:uid="{2D8D08FD-3B8B-43FD-8DA5-DCA2452CC3BA}"/>
    <cellStyle name="Note 3 5 2 4" xfId="9555" xr:uid="{F7D96C8F-4FFD-4E39-8060-8A57DB9A6ED6}"/>
    <cellStyle name="Note 3 5 3" xfId="1436" xr:uid="{00000000-0005-0000-0000-0000F0210000}"/>
    <cellStyle name="Note 3 5 3 2" xfId="3666" xr:uid="{00000000-0005-0000-0000-0000F1210000}"/>
    <cellStyle name="Note 3 5 3 2 2" xfId="7889" xr:uid="{00000000-0005-0000-0000-0000F2210000}"/>
    <cellStyle name="Note 3 5 3 2 2 2" xfId="16331" xr:uid="{792D11E8-38F6-4DDE-983F-5E8C2389CCA8}"/>
    <cellStyle name="Note 3 5 3 2 3" xfId="12113" xr:uid="{3B94ADC8-A15D-4B48-AAF7-379E8AF94BF6}"/>
    <cellStyle name="Note 3 5 3 3" xfId="5744" xr:uid="{00000000-0005-0000-0000-0000F3210000}"/>
    <cellStyle name="Note 3 5 3 3 2" xfId="14186" xr:uid="{68BAB814-F158-4B6C-82E5-EC5465DB625A}"/>
    <cellStyle name="Note 3 5 3 4" xfId="9968" xr:uid="{7518A4E7-382C-41B6-8EAC-A347082D1D65}"/>
    <cellStyle name="Note 3 5 4" xfId="1850" xr:uid="{00000000-0005-0000-0000-0000F4210000}"/>
    <cellStyle name="Note 3 5 4 2" xfId="4079" xr:uid="{00000000-0005-0000-0000-0000F5210000}"/>
    <cellStyle name="Note 3 5 4 2 2" xfId="8302" xr:uid="{00000000-0005-0000-0000-0000F6210000}"/>
    <cellStyle name="Note 3 5 4 2 2 2" xfId="16744" xr:uid="{87A8F464-42CC-48E9-A566-51675EF8447A}"/>
    <cellStyle name="Note 3 5 4 2 3" xfId="12526" xr:uid="{269CF32D-87EF-4B98-96C9-CA4AF4D2628C}"/>
    <cellStyle name="Note 3 5 4 3" xfId="6157" xr:uid="{00000000-0005-0000-0000-0000F7210000}"/>
    <cellStyle name="Note 3 5 4 3 2" xfId="14599" xr:uid="{29E4E276-DE4F-49B9-9123-9A187767E998}"/>
    <cellStyle name="Note 3 5 4 4" xfId="10381" xr:uid="{6AB8ABC6-1099-481A-8946-2D4B12A152B5}"/>
    <cellStyle name="Note 3 5 5" xfId="2263" xr:uid="{00000000-0005-0000-0000-0000F8210000}"/>
    <cellStyle name="Note 3 5 5 2" xfId="4492" xr:uid="{00000000-0005-0000-0000-0000F9210000}"/>
    <cellStyle name="Note 3 5 5 2 2" xfId="8715" xr:uid="{00000000-0005-0000-0000-0000FA210000}"/>
    <cellStyle name="Note 3 5 5 2 2 2" xfId="17157" xr:uid="{BCB71545-9C9A-4895-83B5-906812741CFD}"/>
    <cellStyle name="Note 3 5 5 2 3" xfId="12939" xr:uid="{6CC1924B-EA82-44AB-8DAE-2EA02E616353}"/>
    <cellStyle name="Note 3 5 5 3" xfId="6570" xr:uid="{00000000-0005-0000-0000-0000FB210000}"/>
    <cellStyle name="Note 3 5 5 3 2" xfId="15012" xr:uid="{CA1973CB-B184-4D9A-AF25-0E9F3438B6BB}"/>
    <cellStyle name="Note 3 5 5 4" xfId="10794" xr:uid="{2D4310EA-1816-4A01-9932-B92C7DF751DB}"/>
    <cellStyle name="Note 3 5 6" xfId="2699" xr:uid="{00000000-0005-0000-0000-0000FC210000}"/>
    <cellStyle name="Note 3 5 6 2" xfId="6983" xr:uid="{00000000-0005-0000-0000-0000FD210000}"/>
    <cellStyle name="Note 3 5 6 2 2" xfId="15425" xr:uid="{0F8E4CF7-89B3-4802-B4EE-8E2D0264BB5A}"/>
    <cellStyle name="Note 3 5 6 3" xfId="11207" xr:uid="{5F792604-F630-4927-8CBA-13403EDB63E5}"/>
    <cellStyle name="Note 3 5 7" xfId="2758" xr:uid="{00000000-0005-0000-0000-0000FE210000}"/>
    <cellStyle name="Note 3 5 8" xfId="2839" xr:uid="{00000000-0005-0000-0000-0000FF210000}"/>
    <cellStyle name="Note 3 5 8 2" xfId="7063" xr:uid="{00000000-0005-0000-0000-000000220000}"/>
    <cellStyle name="Note 3 5 8 2 2" xfId="15505" xr:uid="{E4561004-3010-4EC7-9DFE-67088E97434A}"/>
    <cellStyle name="Note 3 5 8 3" xfId="11287" xr:uid="{22FFB876-FC3B-4F47-A496-D5018813CECE}"/>
    <cellStyle name="Note 3 5 9" xfId="4918" xr:uid="{00000000-0005-0000-0000-000001220000}"/>
    <cellStyle name="Note 3 5 9 2" xfId="13360" xr:uid="{69EBEB83-E207-4B48-8AA6-3197FF829455}"/>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D4D3A395-26A2-47BE-8393-BF6E638A1079}"/>
    <cellStyle name="Percent 4" xfId="4502" xr:uid="{00000000-0005-0000-0000-000007220000}"/>
    <cellStyle name="Percent 4 2" xfId="8718" xr:uid="{00000000-0005-0000-0000-000008220000}"/>
    <cellStyle name="Percent 4 2 2" xfId="17160" xr:uid="{7CFD4821-486D-44F8-85A7-1CCDEA2ACE6A}"/>
    <cellStyle name="Percent 4 3" xfId="8721" xr:uid="{D09CD3FC-D632-4B66-A68A-5CC92F993799}"/>
    <cellStyle name="Percent 4 3 2" xfId="8725" xr:uid="{D57AE941-8E59-43F0-AB73-09B3BCCFA234}"/>
    <cellStyle name="Percent 4 3 2 2" xfId="8728" xr:uid="{D24D76A7-D076-4554-9944-551B122393DE}"/>
    <cellStyle name="Percent 4 3 2 2 2" xfId="17169" xr:uid="{8365DF57-D0FB-4D48-A263-364C8154AD01}"/>
    <cellStyle name="Percent 4 3 2 3" xfId="17166" xr:uid="{8947C19E-FF3C-44D7-8E41-D6ECAF9EEBEC}"/>
    <cellStyle name="Percent 4 3 3" xfId="17163" xr:uid="{9F01238D-3990-418C-80DB-31FB81A6D895}"/>
    <cellStyle name="Percent 4 4" xfId="12946" xr:uid="{D9EF4800-BD75-4A7E-B39D-3864652B0E3B}"/>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7" t="s">
        <v>2414</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2461</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3" t="str">
        <f>IF(Application!H18="","",Application!H18)</f>
        <v>Sierra Vista Apartments</v>
      </c>
      <c r="M4" s="2574"/>
      <c r="N4" s="2574"/>
      <c r="O4" s="2574"/>
      <c r="P4" s="2574"/>
      <c r="Q4" s="2574"/>
      <c r="R4" s="2574"/>
      <c r="S4" s="2574"/>
      <c r="T4" s="2574"/>
      <c r="U4" s="2574"/>
      <c r="V4" s="2574"/>
      <c r="W4" s="2574"/>
      <c r="X4" s="2574"/>
      <c r="Y4" s="2574"/>
      <c r="Z4" s="2574"/>
      <c r="AA4" s="2574"/>
      <c r="AB4" s="2574"/>
      <c r="AC4" s="2575"/>
      <c r="AD4" s="1209"/>
      <c r="AE4" s="1209"/>
      <c r="AF4" s="2220" t="s">
        <v>2462</v>
      </c>
      <c r="AG4" s="2220"/>
      <c r="AH4" s="2220"/>
      <c r="AI4" s="2220"/>
      <c r="AJ4" s="2220"/>
      <c r="AK4" s="2220"/>
      <c r="AL4" s="2220"/>
      <c r="AM4" s="2220"/>
      <c r="AN4" s="2220"/>
      <c r="AO4" s="2220"/>
      <c r="AP4" s="2221"/>
      <c r="AQ4" s="2222"/>
      <c r="AR4" s="2222"/>
      <c r="AS4" s="2222"/>
      <c r="AT4" s="2222"/>
      <c r="AU4" s="222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2463</v>
      </c>
      <c r="AG5" s="2220"/>
      <c r="AH5" s="2220"/>
      <c r="AI5" s="2220"/>
      <c r="AJ5" s="2220"/>
      <c r="AK5" s="2220"/>
      <c r="AL5" s="2220"/>
      <c r="AM5" s="2220"/>
      <c r="AN5" s="2220"/>
      <c r="AO5" s="2220"/>
      <c r="AP5" s="2221"/>
      <c r="AQ5" s="2222"/>
      <c r="AR5" s="2222"/>
      <c r="AS5" s="2222"/>
      <c r="AT5" s="2222"/>
      <c r="AU5" s="222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3" t="str">
        <f>IF(Application!H16="","",Application!H16)</f>
        <v>Greek Orthodox Housing Corporation</v>
      </c>
      <c r="M6" s="2574"/>
      <c r="N6" s="2574"/>
      <c r="O6" s="2574"/>
      <c r="P6" s="2574"/>
      <c r="Q6" s="2574"/>
      <c r="R6" s="2574"/>
      <c r="S6" s="2574"/>
      <c r="T6" s="2574"/>
      <c r="U6" s="2574"/>
      <c r="V6" s="2574"/>
      <c r="W6" s="2574"/>
      <c r="X6" s="2574"/>
      <c r="Y6" s="2574"/>
      <c r="Z6" s="2574"/>
      <c r="AA6" s="2574"/>
      <c r="AB6" s="2574"/>
      <c r="AC6" s="2575"/>
      <c r="AD6" s="1209"/>
      <c r="AE6" s="1209"/>
      <c r="AF6" s="2576" t="s">
        <v>2464</v>
      </c>
      <c r="AG6" s="2576"/>
      <c r="AH6" s="2576"/>
      <c r="AI6" s="2576"/>
      <c r="AJ6" s="2576"/>
      <c r="AK6" s="2576"/>
      <c r="AL6" s="2576"/>
      <c r="AM6" s="2576"/>
      <c r="AN6" s="2576"/>
      <c r="AO6" s="2576"/>
      <c r="AP6" s="2566">
        <v>0</v>
      </c>
      <c r="AQ6" s="2566"/>
      <c r="AR6" s="2566"/>
      <c r="AS6" s="2566"/>
      <c r="AT6" s="2566"/>
      <c r="AU6" s="256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2465</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2466</v>
      </c>
      <c r="AG8" s="2576"/>
      <c r="AH8" s="2576"/>
      <c r="AI8" s="2576"/>
      <c r="AJ8" s="2576"/>
      <c r="AK8" s="2576"/>
      <c r="AL8" s="2576"/>
      <c r="AM8" s="2576"/>
      <c r="AN8" s="2576"/>
      <c r="AO8" s="2576"/>
      <c r="AP8" s="2566" t="s">
        <v>2418</v>
      </c>
      <c r="AQ8" s="2566"/>
      <c r="AR8" s="2566"/>
      <c r="AS8" s="2566"/>
      <c r="AT8" s="2566"/>
      <c r="AU8" s="2566"/>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2626</v>
      </c>
      <c r="AG9" s="2220"/>
      <c r="AH9" s="2220"/>
      <c r="AI9" s="2220"/>
      <c r="AJ9" s="2220"/>
      <c r="AK9" s="2220"/>
      <c r="AL9" s="2220"/>
      <c r="AM9" s="2220"/>
      <c r="AN9" s="2220"/>
      <c r="AO9" s="2220"/>
      <c r="AP9" s="2221"/>
      <c r="AQ9" s="2222"/>
      <c r="AR9" s="2222"/>
      <c r="AS9" s="2222"/>
      <c r="AT9" s="2222"/>
      <c r="AU9" s="2222"/>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48">
        <f>Application!AO627</f>
        <v>24036322</v>
      </c>
      <c r="O10" s="2548"/>
      <c r="P10" s="2548"/>
      <c r="Q10" s="2548"/>
      <c r="R10" s="2548"/>
      <c r="S10" s="2548"/>
      <c r="T10" s="2548"/>
      <c r="U10" s="1209"/>
      <c r="V10" s="1209"/>
      <c r="W10" s="1209"/>
      <c r="X10" s="1258"/>
      <c r="Y10" s="1258"/>
      <c r="Z10" s="1258"/>
      <c r="AA10" s="1258"/>
      <c r="AB10" s="1258"/>
      <c r="AC10" s="1258"/>
      <c r="AD10" s="1258"/>
      <c r="AE10" s="1258"/>
      <c r="AF10" s="2220" t="s">
        <v>2625</v>
      </c>
      <c r="AG10" s="2220"/>
      <c r="AH10" s="2220"/>
      <c r="AI10" s="2220"/>
      <c r="AJ10" s="2220"/>
      <c r="AK10" s="2220"/>
      <c r="AL10" s="2220"/>
      <c r="AM10" s="2220"/>
      <c r="AN10" s="2220"/>
      <c r="AO10" s="2220"/>
      <c r="AP10" s="2221"/>
      <c r="AQ10" s="2222"/>
      <c r="AR10" s="2222"/>
      <c r="AS10" s="2222"/>
      <c r="AT10" s="2222"/>
      <c r="AU10" s="2222"/>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2624</v>
      </c>
      <c r="AG11" s="2220"/>
      <c r="AH11" s="2220"/>
      <c r="AI11" s="2220"/>
      <c r="AJ11" s="2220"/>
      <c r="AK11" s="2220"/>
      <c r="AL11" s="2220"/>
      <c r="AM11" s="2220"/>
      <c r="AN11" s="2220"/>
      <c r="AO11" s="2220"/>
      <c r="AP11" s="2221"/>
      <c r="AQ11" s="2222"/>
      <c r="AR11" s="2222"/>
      <c r="AS11" s="2222"/>
      <c r="AT11" s="2222"/>
      <c r="AU11" s="2222"/>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5" t="s">
        <v>1795</v>
      </c>
      <c r="C13" s="2556"/>
      <c r="D13" s="2556"/>
      <c r="E13" s="2556"/>
      <c r="F13" s="2556"/>
      <c r="G13" s="2556"/>
      <c r="H13" s="2556"/>
      <c r="I13" s="2556"/>
      <c r="J13" s="2556"/>
      <c r="K13" s="2556"/>
      <c r="L13" s="2556"/>
      <c r="M13" s="2556"/>
      <c r="N13" s="2556"/>
      <c r="O13" s="2556"/>
      <c r="P13" s="2557"/>
      <c r="Q13" s="2558" t="s">
        <v>678</v>
      </c>
      <c r="R13" s="2559"/>
      <c r="S13" s="2559"/>
      <c r="T13" s="2560"/>
      <c r="U13" s="1258"/>
      <c r="V13" s="1209"/>
      <c r="W13" s="1209"/>
      <c r="X13" s="1209"/>
      <c r="Y13" s="1209"/>
      <c r="Z13" s="1209"/>
      <c r="AA13" s="2549" t="s">
        <v>2468</v>
      </c>
      <c r="AB13" s="2549"/>
      <c r="AC13" s="2549"/>
      <c r="AD13" s="2549"/>
      <c r="AE13" s="2549"/>
      <c r="AF13" s="2549"/>
      <c r="AG13" s="2549"/>
      <c r="AH13" s="2549"/>
      <c r="AI13" s="2549"/>
      <c r="AJ13" s="2549"/>
      <c r="AK13" s="2549"/>
      <c r="AL13" s="2549"/>
      <c r="AM13" s="2549"/>
      <c r="AN13" s="2549"/>
      <c r="AO13" s="2550">
        <f>Application!W473</f>
        <v>27</v>
      </c>
      <c r="AP13" s="2551"/>
      <c r="AQ13" s="2551"/>
      <c r="AR13" s="2551"/>
      <c r="AS13" s="2551"/>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2470</v>
      </c>
      <c r="AB14" s="2552"/>
      <c r="AC14" s="2552"/>
      <c r="AD14" s="2552"/>
      <c r="AE14" s="2552"/>
      <c r="AF14" s="2552"/>
      <c r="AG14" s="2552"/>
      <c r="AH14" s="2552"/>
      <c r="AI14" s="2552"/>
      <c r="AJ14" s="2552"/>
      <c r="AK14" s="2552"/>
      <c r="AL14" s="2552"/>
      <c r="AM14" s="2552"/>
      <c r="AN14" s="2552"/>
      <c r="AO14" s="2553"/>
      <c r="AP14" s="2554"/>
      <c r="AQ14" s="2554"/>
      <c r="AR14" s="2554"/>
      <c r="AS14" s="2554"/>
      <c r="AT14" s="1258"/>
      <c r="AU14" s="1258"/>
      <c r="AV14" s="1258"/>
      <c r="AW14" s="1258"/>
      <c r="AX14" s="1258"/>
      <c r="AY14" s="1258"/>
      <c r="AZ14" s="1258"/>
      <c r="BA14" s="1258"/>
      <c r="BB14" s="1258"/>
      <c r="BC14" s="1258"/>
      <c r="BD14" s="1258"/>
      <c r="BE14" s="1205"/>
    </row>
    <row r="15" spans="1:65" thickBot="1">
      <c r="A15" s="1209"/>
      <c r="B15" s="2561" t="s">
        <v>1796</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2471</v>
      </c>
      <c r="AB15" s="2549"/>
      <c r="AC15" s="2549"/>
      <c r="AD15" s="2549"/>
      <c r="AE15" s="2549"/>
      <c r="AF15" s="2549"/>
      <c r="AG15" s="2549"/>
      <c r="AH15" s="2549"/>
      <c r="AI15" s="2549"/>
      <c r="AJ15" s="2549"/>
      <c r="AK15" s="2549"/>
      <c r="AL15" s="2549"/>
      <c r="AM15" s="2549"/>
      <c r="AN15" s="2549"/>
      <c r="AO15" s="2553"/>
      <c r="AP15" s="2554"/>
      <c r="AQ15" s="2554"/>
      <c r="AR15" s="2554"/>
      <c r="AS15" s="2554"/>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9" t="s">
        <v>1797</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75" customHeight="1">
      <c r="A18" s="1209"/>
      <c r="B18" s="2541" t="s">
        <v>1798</v>
      </c>
      <c r="C18" s="2542"/>
      <c r="D18" s="2542"/>
      <c r="E18" s="2542"/>
      <c r="F18" s="2542"/>
      <c r="G18" s="2542"/>
      <c r="H18" s="2542"/>
      <c r="I18" s="2543"/>
      <c r="J18" s="2544" t="s">
        <v>1699</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1799</v>
      </c>
      <c r="AU18" s="2545"/>
      <c r="AV18" s="2545"/>
      <c r="AW18" s="2545"/>
      <c r="AX18" s="2545"/>
      <c r="AY18" s="2547"/>
      <c r="AZ18" s="1209"/>
      <c r="BA18" s="1209"/>
      <c r="BB18" s="1209"/>
      <c r="BC18" s="1209"/>
      <c r="BD18" s="1209"/>
      <c r="BE18" s="1205"/>
    </row>
    <row r="19" spans="1:58" ht="15">
      <c r="A19" s="1209"/>
      <c r="B19" s="2518">
        <v>0.3</v>
      </c>
      <c r="C19" s="2519"/>
      <c r="D19" s="2519"/>
      <c r="E19" s="2519"/>
      <c r="F19" s="2519"/>
      <c r="G19" s="2519"/>
      <c r="H19" s="2519"/>
      <c r="I19" s="2520"/>
      <c r="J19" s="2521">
        <f t="shared" ref="J19:J28" si="0">SUM(P19:AS19)</f>
        <v>18</v>
      </c>
      <c r="K19" s="2522"/>
      <c r="L19" s="2522"/>
      <c r="M19" s="2522"/>
      <c r="N19" s="2522"/>
      <c r="O19" s="2523"/>
      <c r="P19" s="2521" cm="1">
        <f t="array" ref="P19">SUMPRODUCT((Application!$B$718:$B$752 = 'CalHFA Addendum'!P$18)*(Application!$AC$718:$AC$752 = 'CalHFA Addendum'!$B19),Application!$G$718:$G$752)</f>
        <v>0</v>
      </c>
      <c r="Q19" s="2522"/>
      <c r="R19" s="2522"/>
      <c r="S19" s="2522"/>
      <c r="T19" s="2522"/>
      <c r="U19" s="2523"/>
      <c r="V19" s="2521" cm="1">
        <f t="array" ref="V19">SUMPRODUCT((Application!$B$714:$B$738 = 'CalHFA Addendum'!V$18)*(Application!$AC$714:$AC$738 = 'CalHFA Addendum'!$B19),Application!$G$714:$G$738)</f>
        <v>5</v>
      </c>
      <c r="W19" s="2522"/>
      <c r="X19" s="2522"/>
      <c r="Y19" s="2522"/>
      <c r="Z19" s="2522"/>
      <c r="AA19" s="2523"/>
      <c r="AB19" s="2521" cm="1">
        <f t="array" ref="AB19">SUMPRODUCT((Application!$B$714:$B$738 = 'CalHFA Addendum'!AB$18)*(Application!$AC$714:$AC$738 = 'CalHFA Addendum'!$B19),Application!$G$714:$G$738)</f>
        <v>8</v>
      </c>
      <c r="AC19" s="2522"/>
      <c r="AD19" s="2522"/>
      <c r="AE19" s="2522"/>
      <c r="AF19" s="2522"/>
      <c r="AG19" s="2523"/>
      <c r="AH19" s="2521" cm="1">
        <f t="array" ref="AH19">SUMPRODUCT((Application!$B$714:$B$738 = 'CalHFA Addendum'!AH$18)*(Application!$AC$714:$AC$738 = 'CalHFA Addendum'!$B19),Application!$G$714:$G$738)</f>
        <v>5</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0.10344827586206896</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0</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v>
      </c>
      <c r="AU20" s="2525"/>
      <c r="AV20" s="2525"/>
      <c r="AW20" s="2525"/>
      <c r="AX20" s="2525"/>
      <c r="AY20" s="2526"/>
      <c r="AZ20" s="1209"/>
      <c r="BA20" s="1209"/>
      <c r="BB20" s="1209"/>
      <c r="BC20" s="1209"/>
      <c r="BD20" s="1209"/>
      <c r="BE20" s="1205"/>
    </row>
    <row r="21" spans="1:58" ht="15">
      <c r="A21" s="1209"/>
      <c r="B21" s="2518">
        <v>0.5</v>
      </c>
      <c r="C21" s="2519"/>
      <c r="D21" s="2519"/>
      <c r="E21" s="2519"/>
      <c r="F21" s="2519"/>
      <c r="G21" s="2519"/>
      <c r="H21" s="2519"/>
      <c r="I21" s="2520"/>
      <c r="J21" s="2521">
        <f t="shared" si="0"/>
        <v>70</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27</v>
      </c>
      <c r="W21" s="2522"/>
      <c r="X21" s="2522"/>
      <c r="Y21" s="2522"/>
      <c r="Z21" s="2522"/>
      <c r="AA21" s="2523"/>
      <c r="AB21" s="2521" cm="1">
        <f t="array" ref="AB21">SUMPRODUCT((Application!$B$714:$B$738 = 'CalHFA Addendum'!AB$18)*(Application!$AC$714:$AC$738 = 'CalHFA Addendum'!$B21),Application!$G$714:$G$738)</f>
        <v>38</v>
      </c>
      <c r="AC21" s="2522"/>
      <c r="AD21" s="2522"/>
      <c r="AE21" s="2522"/>
      <c r="AF21" s="2522"/>
      <c r="AG21" s="2523"/>
      <c r="AH21" s="2521" cm="1">
        <f t="array" ref="AH21">SUMPRODUCT((Application!$B$714:$B$738 = 'CalHFA Addendum'!AH$18)*(Application!$AC$714:$AC$738 = 'CalHFA Addendum'!$B21),Application!$G$714:$G$738)</f>
        <v>5</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0.40229885057471265</v>
      </c>
      <c r="AU21" s="2525"/>
      <c r="AV21" s="2525"/>
      <c r="AW21" s="2525"/>
      <c r="AX21" s="2525"/>
      <c r="AY21" s="2526"/>
      <c r="AZ21" s="1209"/>
      <c r="BA21" s="1209"/>
      <c r="BB21" s="1209"/>
      <c r="BC21" s="1209"/>
      <c r="BD21" s="1209"/>
      <c r="BE21" s="1205"/>
    </row>
    <row r="22" spans="1:58" ht="15">
      <c r="A22" s="1209"/>
      <c r="B22" s="2518">
        <v>0.6</v>
      </c>
      <c r="C22" s="2519"/>
      <c r="D22" s="2519"/>
      <c r="E22" s="2519"/>
      <c r="F22" s="2519"/>
      <c r="G22" s="2519"/>
      <c r="H22" s="2519"/>
      <c r="I22" s="2520"/>
      <c r="J22" s="2521">
        <f t="shared" si="0"/>
        <v>24</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13</v>
      </c>
      <c r="W22" s="2522"/>
      <c r="X22" s="2522"/>
      <c r="Y22" s="2522"/>
      <c r="Z22" s="2522"/>
      <c r="AA22" s="2523"/>
      <c r="AB22" s="2521" cm="1">
        <f t="array" ref="AB22">SUMPRODUCT((Application!$B$714:$B$738 = 'CalHFA Addendum'!AB$18)*(Application!$AC$714:$AC$738 = 'CalHFA Addendum'!$B22),Application!$G$714:$G$738)</f>
        <v>0</v>
      </c>
      <c r="AC22" s="2522"/>
      <c r="AD22" s="2522"/>
      <c r="AE22" s="2522"/>
      <c r="AF22" s="2522"/>
      <c r="AG22" s="2523"/>
      <c r="AH22" s="2521" cm="1">
        <f t="array" ref="AH22">SUMPRODUCT((Application!$B$714:$B$738 = 'CalHFA Addendum'!AH$18)*(Application!$AC$714:$AC$738 = 'CalHFA Addendum'!$B22),Application!$G$714:$G$738)</f>
        <v>11</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0.13793103448275862</v>
      </c>
      <c r="AU22" s="2525"/>
      <c r="AV22" s="2525"/>
      <c r="AW22" s="2525"/>
      <c r="AX22" s="2525"/>
      <c r="AY22" s="2526"/>
      <c r="AZ22" s="1209"/>
      <c r="BA22" s="1209"/>
      <c r="BB22" s="1209"/>
      <c r="BC22" s="1209"/>
      <c r="BD22" s="1209"/>
      <c r="BE22" s="1205"/>
    </row>
    <row r="23" spans="1:58" ht="15">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5">
      <c r="A24" s="1209"/>
      <c r="B24" s="2518">
        <v>0.8</v>
      </c>
      <c r="C24" s="2519"/>
      <c r="D24" s="2519"/>
      <c r="E24" s="2519"/>
      <c r="F24" s="2519"/>
      <c r="G24" s="2519"/>
      <c r="H24" s="2519"/>
      <c r="I24" s="2520"/>
      <c r="J24" s="2521">
        <f t="shared" si="0"/>
        <v>62</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5</v>
      </c>
      <c r="W24" s="2522"/>
      <c r="X24" s="2522"/>
      <c r="Y24" s="2522"/>
      <c r="Z24" s="2522"/>
      <c r="AA24" s="2523"/>
      <c r="AB24" s="2521" cm="1">
        <f t="array" ref="AB24">SUMPRODUCT((Application!$B$714:$B$738 = 'CalHFA Addendum'!AB$18)*(Application!$AC$714:$AC$738 = 'CalHFA Addendum'!$B24),Application!$G$714:$G$738)</f>
        <v>33</v>
      </c>
      <c r="AC24" s="2522"/>
      <c r="AD24" s="2522"/>
      <c r="AE24" s="2522"/>
      <c r="AF24" s="2522"/>
      <c r="AG24" s="2523"/>
      <c r="AH24" s="2521" cm="1">
        <f t="array" ref="AH24">SUMPRODUCT((Application!$B$714:$B$738 = 'CalHFA Addendum'!AH$18)*(Application!$AC$714:$AC$738 = 'CalHFA Addendum'!$B24),Application!$G$714:$G$738)</f>
        <v>24</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0.35632183908045978</v>
      </c>
      <c r="AU24" s="2525"/>
      <c r="AV24" s="2525"/>
      <c r="AW24" s="2525"/>
      <c r="AX24" s="2525"/>
      <c r="AY24" s="2526"/>
      <c r="AZ24" s="1209"/>
      <c r="BA24" s="1209"/>
      <c r="BB24" s="1209"/>
      <c r="BC24" s="1209"/>
      <c r="BD24" s="1209"/>
      <c r="BE24" s="1205"/>
    </row>
    <row r="25" spans="1:58" ht="1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thickBot="1">
      <c r="A28" s="1209"/>
      <c r="B28" s="2527" t="s">
        <v>1800</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thickBot="1">
      <c r="A29" s="1209"/>
      <c r="B29" s="2507" t="s">
        <v>1699</v>
      </c>
      <c r="C29" s="2485"/>
      <c r="D29" s="2485"/>
      <c r="E29" s="2485"/>
      <c r="F29" s="2485"/>
      <c r="G29" s="2485"/>
      <c r="H29" s="2485"/>
      <c r="I29" s="2486"/>
      <c r="J29" s="2484">
        <f>SUM(J19:O28)</f>
        <v>174</v>
      </c>
      <c r="K29" s="2485"/>
      <c r="L29" s="2485"/>
      <c r="M29" s="2485"/>
      <c r="N29" s="2485"/>
      <c r="O29" s="2486"/>
      <c r="P29" s="2484">
        <f>SUM(P19:U28)</f>
        <v>0</v>
      </c>
      <c r="Q29" s="2485"/>
      <c r="R29" s="2485"/>
      <c r="S29" s="2485"/>
      <c r="T29" s="2485"/>
      <c r="U29" s="2486"/>
      <c r="V29" s="2484">
        <f>SUM(V19:AA28)</f>
        <v>50</v>
      </c>
      <c r="W29" s="2485"/>
      <c r="X29" s="2485"/>
      <c r="Y29" s="2485"/>
      <c r="Z29" s="2485"/>
      <c r="AA29" s="2486"/>
      <c r="AB29" s="2484">
        <f>SUM(AB19:AG28)</f>
        <v>79</v>
      </c>
      <c r="AC29" s="2485"/>
      <c r="AD29" s="2485"/>
      <c r="AE29" s="2485"/>
      <c r="AF29" s="2485"/>
      <c r="AG29" s="2486"/>
      <c r="AH29" s="2484">
        <f>SUM(AH19:AM28)</f>
        <v>45</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8" t="s">
        <v>1801</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thickBot="1">
      <c r="A32" s="1209"/>
      <c r="B32" s="2503" t="s">
        <v>2474</v>
      </c>
      <c r="C32" s="2504"/>
      <c r="D32" s="2504"/>
      <c r="E32" s="2504"/>
      <c r="F32" s="2504"/>
      <c r="G32" s="2504"/>
      <c r="H32" s="2504"/>
      <c r="I32" s="2504"/>
      <c r="J32" s="2536" t="s">
        <v>2475</v>
      </c>
      <c r="K32" s="2537"/>
      <c r="L32" s="2537"/>
      <c r="M32" s="2537"/>
      <c r="N32" s="2536" t="s">
        <v>1802</v>
      </c>
      <c r="O32" s="2537"/>
      <c r="P32" s="2537"/>
      <c r="Q32" s="2539"/>
      <c r="R32" s="2497" t="s">
        <v>1803</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1804</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1805</v>
      </c>
      <c r="AT35" s="2515"/>
      <c r="AU35" s="2515"/>
      <c r="AV35" s="2515"/>
      <c r="AW35" s="2515"/>
      <c r="AX35" s="2516"/>
      <c r="AY35" s="2514" t="s">
        <v>1806</v>
      </c>
      <c r="AZ35" s="2515"/>
      <c r="BA35" s="2515"/>
      <c r="BB35" s="2515"/>
      <c r="BC35" s="2515"/>
      <c r="BD35" s="2517"/>
      <c r="BE35" s="1205"/>
    </row>
    <row r="36" spans="1:58" ht="15.75" customHeight="1">
      <c r="A36" s="1209"/>
      <c r="B36" s="2245" t="s">
        <v>1807</v>
      </c>
      <c r="C36" s="2246"/>
      <c r="D36" s="2246"/>
      <c r="E36" s="2246"/>
      <c r="F36" s="2246"/>
      <c r="G36" s="2246"/>
      <c r="H36" s="2246"/>
      <c r="I36" s="2246"/>
      <c r="J36" s="2477" t="s">
        <v>1808</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0.28735632183908044</v>
      </c>
      <c r="AZ36" s="2482"/>
      <c r="BA36" s="2482"/>
      <c r="BB36" s="2482"/>
      <c r="BC36" s="2482"/>
      <c r="BD36" s="2483"/>
      <c r="BE36" s="1205"/>
    </row>
    <row r="37" spans="1:58" ht="15.75" customHeight="1">
      <c r="A37" s="1209"/>
      <c r="B37" s="2245" t="s">
        <v>2476</v>
      </c>
      <c r="C37" s="2246"/>
      <c r="D37" s="2246"/>
      <c r="E37" s="2246"/>
      <c r="F37" s="2246"/>
      <c r="G37" s="2246"/>
      <c r="H37" s="2246"/>
      <c r="I37" s="2246"/>
      <c r="J37" s="2477" t="s">
        <v>1809</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5.7471264367816091E-2</v>
      </c>
      <c r="AZ37" s="2482"/>
      <c r="BA37" s="2482"/>
      <c r="BB37" s="2482"/>
      <c r="BC37" s="2482"/>
      <c r="BD37" s="2483"/>
      <c r="BE37" s="1205"/>
    </row>
    <row r="38" spans="1:58" ht="15.75" customHeight="1">
      <c r="A38" s="1209"/>
      <c r="B38" s="2245" t="s">
        <v>2415</v>
      </c>
      <c r="C38" s="2246"/>
      <c r="D38" s="2246"/>
      <c r="E38" s="2246"/>
      <c r="F38" s="2246"/>
      <c r="G38" s="2246"/>
      <c r="H38" s="2246"/>
      <c r="I38" s="2246"/>
      <c r="J38" s="2477" t="s">
        <v>1810</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5"/>
    </row>
    <row r="39" spans="1:58" ht="15.75" customHeight="1">
      <c r="A39" s="1209"/>
      <c r="B39" s="2245" t="s">
        <v>1811</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5"/>
    </row>
    <row r="40" spans="1:58" ht="15.75" customHeight="1">
      <c r="A40" s="1209"/>
      <c r="B40" s="2245" t="s">
        <v>1811</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5"/>
    </row>
    <row r="41" spans="1:58" ht="15.75" customHeight="1">
      <c r="A41" s="1209"/>
      <c r="B41" s="2245" t="s">
        <v>1812</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5"/>
    </row>
    <row r="42" spans="1:58" ht="15.75" customHeight="1">
      <c r="A42" s="1209"/>
      <c r="B42" s="2245" t="s">
        <v>1812</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75" customHeight="1">
      <c r="A43" s="1209"/>
      <c r="B43" s="2216" t="s">
        <v>1813</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5"/>
    </row>
    <row r="44" spans="1:58" ht="15.75" customHeight="1">
      <c r="A44" s="1209"/>
      <c r="B44" s="2216" t="s">
        <v>1814</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75" customHeight="1">
      <c r="A45" s="1209"/>
      <c r="B45" s="2216" t="s">
        <v>1815</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75" customHeight="1">
      <c r="A46" s="1209"/>
      <c r="B46" s="2216" t="s">
        <v>1816</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75" customHeight="1" thickBot="1">
      <c r="A47" s="1209"/>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8" t="s">
        <v>1817</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6" t="s">
        <v>1818</v>
      </c>
      <c r="C51" s="2177"/>
      <c r="D51" s="2177"/>
      <c r="E51" s="2177"/>
      <c r="F51" s="2177"/>
      <c r="G51" s="2177"/>
      <c r="H51" s="2177"/>
      <c r="I51" s="2177"/>
      <c r="J51" s="2177" t="s">
        <v>2478</v>
      </c>
      <c r="K51" s="2177"/>
      <c r="L51" s="2177"/>
      <c r="M51" s="2177"/>
      <c r="N51" s="2177"/>
      <c r="O51" s="2177"/>
      <c r="P51" s="2177"/>
      <c r="Q51" s="2177"/>
      <c r="R51" s="2468" t="s">
        <v>2479</v>
      </c>
      <c r="S51" s="2468"/>
      <c r="T51" s="2468"/>
      <c r="U51" s="2468"/>
      <c r="V51" s="2468"/>
      <c r="W51" s="2468"/>
      <c r="X51" s="2468"/>
      <c r="Y51" s="2468"/>
      <c r="Z51" s="2468" t="s">
        <v>1819</v>
      </c>
      <c r="AA51" s="2468"/>
      <c r="AB51" s="2468"/>
      <c r="AC51" s="2468"/>
      <c r="AD51" s="2468"/>
      <c r="AE51" s="2468"/>
      <c r="AF51" s="2468"/>
      <c r="AG51" s="2468"/>
      <c r="AH51" s="2468" t="s">
        <v>1820</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6" t="s">
        <v>2186</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6" t="s">
        <v>2187</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0" t="s">
        <v>1699</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1818</v>
      </c>
      <c r="C59" s="2465"/>
      <c r="D59" s="2465"/>
      <c r="E59" s="2465"/>
      <c r="F59" s="2465"/>
      <c r="G59" s="2465"/>
      <c r="H59" s="2465"/>
      <c r="I59" s="2466"/>
      <c r="J59" s="2430" t="s">
        <v>2480</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75" customHeight="1">
      <c r="A60" s="1209"/>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75" customHeight="1">
      <c r="A61" s="1209"/>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9" t="s">
        <v>1822</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1823</v>
      </c>
      <c r="AD68" s="2182"/>
      <c r="AE68" s="2182"/>
      <c r="AF68" s="2182"/>
      <c r="AG68" s="2182"/>
      <c r="AH68" s="2182"/>
      <c r="AI68" s="2182"/>
      <c r="AJ68" s="2182"/>
      <c r="AK68" s="2182"/>
      <c r="AL68" s="2182"/>
      <c r="AM68" s="2182"/>
      <c r="AN68" s="2182"/>
      <c r="AO68" s="2182"/>
      <c r="AP68" s="2182"/>
      <c r="AQ68" s="2182"/>
      <c r="AR68" s="2182"/>
      <c r="AS68" s="2182"/>
      <c r="AT68" s="2182"/>
      <c r="AU68" s="2182"/>
      <c r="AV68" s="2232" t="s">
        <v>678</v>
      </c>
      <c r="AW68" s="2233"/>
      <c r="AX68" s="2233"/>
      <c r="AY68" s="2233"/>
      <c r="AZ68" s="2233"/>
      <c r="BA68" s="2233"/>
      <c r="BB68" s="2233"/>
      <c r="BC68" s="2234"/>
      <c r="BD68" s="1209"/>
      <c r="BE68" s="1205"/>
      <c r="BM68" s="1254" t="s">
        <v>2481</v>
      </c>
    </row>
    <row r="69" spans="1:65" ht="15.75" customHeight="1" thickTop="1" thickBot="1">
      <c r="A69" s="1209"/>
      <c r="B69" s="2235" t="s">
        <v>1824</v>
      </c>
      <c r="C69" s="2236"/>
      <c r="D69" s="2236"/>
      <c r="E69" s="2236"/>
      <c r="F69" s="2236"/>
      <c r="G69" s="2236"/>
      <c r="H69" s="2236"/>
      <c r="I69" s="2236"/>
      <c r="J69" s="2236"/>
      <c r="K69" s="2236"/>
      <c r="L69" s="2236"/>
      <c r="M69" s="2236"/>
      <c r="N69" s="2236"/>
      <c r="O69" s="2237" t="s">
        <v>1825</v>
      </c>
      <c r="P69" s="2238"/>
      <c r="Q69" s="2238"/>
      <c r="R69" s="2238"/>
      <c r="S69" s="2238"/>
      <c r="T69" s="2238"/>
      <c r="U69" s="2238"/>
      <c r="V69" s="2238"/>
      <c r="W69" s="2238"/>
      <c r="X69" s="2238"/>
      <c r="Y69" s="2238"/>
      <c r="Z69" s="2238"/>
      <c r="AA69" s="2239"/>
      <c r="AB69" s="1209"/>
      <c r="AC69" s="2240" t="s">
        <v>1826</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554</v>
      </c>
    </row>
    <row r="70" spans="1:65" ht="15.75" customHeight="1">
      <c r="A70" s="1209"/>
      <c r="B70" s="2245" t="s">
        <v>2482</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1827</v>
      </c>
      <c r="AD70" s="2214"/>
      <c r="AE70" s="2214"/>
      <c r="AF70" s="2443"/>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678</v>
      </c>
    </row>
    <row r="71" spans="1:65" ht="15.75" customHeight="1" thickBot="1">
      <c r="A71" s="1209"/>
      <c r="B71" s="2245" t="s">
        <v>2483</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1828</v>
      </c>
      <c r="AD71" s="2446"/>
      <c r="AE71" s="2446"/>
      <c r="AF71" s="2447"/>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2484</v>
      </c>
    </row>
    <row r="72" spans="1:65" ht="15.75" customHeight="1">
      <c r="A72" s="1209"/>
      <c r="B72" s="2245" t="s">
        <v>2485</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2486</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75" customHeight="1">
      <c r="A73" s="1209"/>
      <c r="B73" s="2216" t="s">
        <v>2487</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2188</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0"/>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4" t="s">
        <v>2554</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2171</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2621</v>
      </c>
      <c r="AK83" s="2185"/>
      <c r="AL83" s="2185"/>
      <c r="AM83" s="2185"/>
      <c r="AN83" s="2185"/>
      <c r="AO83" s="2185"/>
      <c r="AP83" s="2185"/>
      <c r="AQ83" s="2185"/>
      <c r="AR83" s="2185"/>
      <c r="AS83" s="2185"/>
      <c r="AT83" s="2185"/>
      <c r="AU83" s="2185"/>
      <c r="AV83" s="2185"/>
      <c r="AW83" s="2185"/>
      <c r="AX83" s="2185"/>
      <c r="AY83" s="2206" t="s">
        <v>554</v>
      </c>
      <c r="AZ83" s="2206"/>
      <c r="BA83" s="2206"/>
      <c r="BB83" s="2207"/>
      <c r="BC83" s="1209"/>
      <c r="BD83" s="1209"/>
      <c r="BE83" s="1205"/>
    </row>
    <row r="84" spans="1:70" ht="15.75" customHeight="1">
      <c r="A84" s="1209"/>
      <c r="B84" s="2176"/>
      <c r="C84" s="2177"/>
      <c r="D84" s="2177"/>
      <c r="E84" s="2177"/>
      <c r="F84" s="2177"/>
      <c r="G84" s="2177"/>
      <c r="H84" s="2177"/>
      <c r="I84" s="2177" t="s">
        <v>1829</v>
      </c>
      <c r="J84" s="2177"/>
      <c r="K84" s="2177"/>
      <c r="L84" s="2177"/>
      <c r="M84" s="2177"/>
      <c r="N84" s="2177"/>
      <c r="O84" s="2177" t="s">
        <v>1830</v>
      </c>
      <c r="P84" s="2177"/>
      <c r="Q84" s="2177"/>
      <c r="R84" s="2177"/>
      <c r="S84" s="2177"/>
      <c r="T84" s="2177"/>
      <c r="U84" s="2177"/>
      <c r="V84" s="2178" t="s">
        <v>2189</v>
      </c>
      <c r="W84" s="2178"/>
      <c r="X84" s="2178"/>
      <c r="Y84" s="2178"/>
      <c r="Z84" s="2178"/>
      <c r="AA84" s="2178"/>
      <c r="AB84" s="2179" t="s">
        <v>1831</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75"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75" customHeight="1">
      <c r="A86" s="1209"/>
      <c r="B86" s="2176" t="s">
        <v>2172</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75" customHeight="1">
      <c r="A87" s="1209"/>
      <c r="B87" s="2176" t="s">
        <v>2173</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2488</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75" customHeight="1" thickBot="1">
      <c r="A88" s="1209"/>
      <c r="B88" s="2170" t="s">
        <v>1832</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4" t="s">
        <v>2554</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2618</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2617</v>
      </c>
      <c r="AK96" s="2185"/>
      <c r="AL96" s="2185"/>
      <c r="AM96" s="2185"/>
      <c r="AN96" s="2185"/>
      <c r="AO96" s="2185"/>
      <c r="AP96" s="2185"/>
      <c r="AQ96" s="2185"/>
      <c r="AR96" s="2185"/>
      <c r="AS96" s="2185"/>
      <c r="AT96" s="2185"/>
      <c r="AU96" s="2185"/>
      <c r="AV96" s="2185"/>
      <c r="AW96" s="2185"/>
      <c r="AX96" s="2185"/>
      <c r="AY96" s="2206" t="s">
        <v>554</v>
      </c>
      <c r="AZ96" s="2206"/>
      <c r="BA96" s="2206"/>
      <c r="BB96" s="2207"/>
      <c r="BC96" s="1209"/>
      <c r="BD96" s="1209"/>
      <c r="BE96" s="1205"/>
      <c r="BQ96" s="1248" t="str">
        <f>Application!M243</f>
        <v>Koroni LLC</v>
      </c>
      <c r="BR96" s="1248">
        <f>Application!AH245</f>
        <v>0</v>
      </c>
    </row>
    <row r="97" spans="1:70" ht="15.75" customHeight="1">
      <c r="A97" s="1209"/>
      <c r="B97" s="2176"/>
      <c r="C97" s="2177"/>
      <c r="D97" s="2177"/>
      <c r="E97" s="2177"/>
      <c r="F97" s="2177"/>
      <c r="G97" s="2177"/>
      <c r="H97" s="2177"/>
      <c r="I97" s="2177" t="s">
        <v>1829</v>
      </c>
      <c r="J97" s="2177"/>
      <c r="K97" s="2177"/>
      <c r="L97" s="2177"/>
      <c r="M97" s="2177"/>
      <c r="N97" s="2177"/>
      <c r="O97" s="2177" t="s">
        <v>1830</v>
      </c>
      <c r="P97" s="2177"/>
      <c r="Q97" s="2177"/>
      <c r="R97" s="2177"/>
      <c r="S97" s="2177"/>
      <c r="T97" s="2177"/>
      <c r="U97" s="2177"/>
      <c r="V97" s="2178" t="s">
        <v>2189</v>
      </c>
      <c r="W97" s="2178"/>
      <c r="X97" s="2178"/>
      <c r="Y97" s="2178"/>
      <c r="Z97" s="2178"/>
      <c r="AA97" s="2178"/>
      <c r="AB97" s="2179" t="s">
        <v>1831</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t="str">
        <f>Application!M251</f>
        <v>Adarte LLC</v>
      </c>
      <c r="BR97" s="1248">
        <f>Application!AH253</f>
        <v>0</v>
      </c>
    </row>
    <row r="98" spans="1:70" ht="15.75"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t="str">
        <f>Application!M259</f>
        <v>Greek Orthodox Housing Corporation</v>
      </c>
      <c r="BR98" s="1248">
        <f>Application!AH261</f>
        <v>0</v>
      </c>
    </row>
    <row r="99" spans="1:70" ht="15.75" customHeight="1">
      <c r="A99" s="1209"/>
      <c r="B99" s="2176" t="s">
        <v>2172</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75" customHeight="1">
      <c r="A100" s="1209"/>
      <c r="B100" s="2176" t="s">
        <v>2173</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2488</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75" customHeight="1" thickBot="1">
      <c r="A101" s="1209"/>
      <c r="B101" s="2170" t="s">
        <v>1832</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1" t="s">
        <v>2614</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6"/>
      <c r="C108" s="2177"/>
      <c r="D108" s="2177"/>
      <c r="E108" s="2177"/>
      <c r="F108" s="2177"/>
      <c r="G108" s="2177"/>
      <c r="H108" s="2177"/>
      <c r="I108" s="2177" t="s">
        <v>1829</v>
      </c>
      <c r="J108" s="2177"/>
      <c r="K108" s="2177"/>
      <c r="L108" s="2177"/>
      <c r="M108" s="2177"/>
      <c r="N108" s="2177"/>
      <c r="O108" s="2177" t="s">
        <v>1830</v>
      </c>
      <c r="P108" s="2177"/>
      <c r="Q108" s="2177"/>
      <c r="R108" s="2177"/>
      <c r="S108" s="2177"/>
      <c r="T108" s="2177"/>
      <c r="U108" s="2177"/>
      <c r="V108" s="2178" t="s">
        <v>2189</v>
      </c>
      <c r="W108" s="2178"/>
      <c r="X108" s="2178"/>
      <c r="Y108" s="2178"/>
      <c r="Z108" s="2178"/>
      <c r="AA108" s="2178"/>
      <c r="AB108" s="2179" t="s">
        <v>1831</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6" t="s">
        <v>2172</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6" t="s">
        <v>2173</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0" t="s">
        <v>1832</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4" t="s">
        <v>2489</v>
      </c>
      <c r="C117" s="2185"/>
      <c r="D117" s="2185"/>
      <c r="E117" s="2185"/>
      <c r="F117" s="2185"/>
      <c r="G117" s="2185"/>
      <c r="H117" s="2185"/>
      <c r="I117" s="2185"/>
      <c r="J117" s="2185"/>
      <c r="K117" s="2185"/>
      <c r="L117" s="2185"/>
      <c r="M117" s="2185"/>
      <c r="N117" s="2185"/>
      <c r="O117" s="2185"/>
      <c r="P117" s="2185"/>
      <c r="Q117" s="2206" t="s">
        <v>554</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8" t="s">
        <v>2190</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2174</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75" customHeight="1">
      <c r="A126" s="1209"/>
      <c r="B126" s="2434" t="s">
        <v>1689</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75" customHeight="1">
      <c r="A127" s="1209"/>
      <c r="B127" s="2397"/>
      <c r="C127" s="2398"/>
      <c r="D127" s="2398"/>
      <c r="E127" s="2398"/>
      <c r="F127" s="2398"/>
      <c r="G127" s="2398"/>
      <c r="H127" s="2398"/>
      <c r="I127" s="2177" t="s">
        <v>2175</v>
      </c>
      <c r="J127" s="2177"/>
      <c r="K127" s="2177"/>
      <c r="L127" s="2177"/>
      <c r="M127" s="2177"/>
      <c r="N127" s="2177"/>
      <c r="O127" s="2437" t="s">
        <v>2176</v>
      </c>
      <c r="P127" s="2437"/>
      <c r="Q127" s="2437"/>
      <c r="R127" s="2437"/>
      <c r="S127" s="2437"/>
      <c r="T127" s="2437"/>
      <c r="U127" s="2438"/>
      <c r="V127" s="1209"/>
      <c r="W127" s="1209"/>
      <c r="X127" s="2400" t="s">
        <v>2188</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14" t="s">
        <v>2177</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16" t="s">
        <v>2178</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429" t="s">
        <v>1835</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397"/>
      <c r="C134" s="2398"/>
      <c r="D134" s="2398"/>
      <c r="E134" s="2398"/>
      <c r="F134" s="2398"/>
      <c r="G134" s="2398"/>
      <c r="H134" s="2398"/>
      <c r="I134" s="2412" t="s">
        <v>1830</v>
      </c>
      <c r="J134" s="2412"/>
      <c r="K134" s="2412"/>
      <c r="L134" s="2412"/>
      <c r="M134" s="2412"/>
      <c r="N134" s="2412"/>
      <c r="O134" s="2412"/>
      <c r="P134" s="2412" t="s">
        <v>2189</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14" t="s">
        <v>2177</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16" t="s">
        <v>2178</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4" t="s">
        <v>1836</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554</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75" customHeight="1">
      <c r="A140" s="1209"/>
      <c r="B140" s="2419" t="s">
        <v>1837</v>
      </c>
      <c r="C140" s="2420"/>
      <c r="D140" s="2420"/>
      <c r="E140" s="2420"/>
      <c r="F140" s="2420"/>
      <c r="G140" s="2420"/>
      <c r="H140" s="2420"/>
      <c r="I140" s="2420"/>
      <c r="J140" s="2420"/>
      <c r="K140" s="2420"/>
      <c r="L140" s="2420"/>
      <c r="M140" s="2420"/>
      <c r="N140" s="2420"/>
      <c r="O140" s="2420"/>
      <c r="P140" s="2420"/>
      <c r="Q140" s="2420"/>
      <c r="R140" s="2421" t="s">
        <v>2191</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251</v>
      </c>
      <c r="BD140" s="1209"/>
      <c r="BE140" s="1205"/>
    </row>
    <row r="141" spans="1:57" ht="15.75" customHeight="1">
      <c r="A141" s="1209"/>
      <c r="B141" s="2423" t="s">
        <v>2192</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75"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75"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75"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75"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75"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75"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75"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75"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75"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8" t="s">
        <v>1839</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2194</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7"/>
      <c r="C155" s="2398"/>
      <c r="D155" s="2398"/>
      <c r="E155" s="2398"/>
      <c r="F155" s="2398"/>
      <c r="G155" s="2398"/>
      <c r="H155" s="2398"/>
      <c r="I155" s="2412" t="s">
        <v>1830</v>
      </c>
      <c r="J155" s="2412"/>
      <c r="K155" s="2412"/>
      <c r="L155" s="2412"/>
      <c r="M155" s="2412"/>
      <c r="N155" s="2412"/>
      <c r="O155" s="2412"/>
      <c r="P155" s="2412" t="s">
        <v>2195</v>
      </c>
      <c r="Q155" s="2412"/>
      <c r="R155" s="2412"/>
      <c r="S155" s="2412"/>
      <c r="T155" s="2412"/>
      <c r="U155" s="2413"/>
      <c r="V155" s="1209"/>
      <c r="W155" s="1209"/>
      <c r="X155" s="2397"/>
      <c r="Y155" s="2398"/>
      <c r="Z155" s="2398"/>
      <c r="AA155" s="2398"/>
      <c r="AB155" s="2398"/>
      <c r="AC155" s="2398"/>
      <c r="AD155" s="2398"/>
      <c r="AE155" s="2412" t="s">
        <v>1830</v>
      </c>
      <c r="AF155" s="2412"/>
      <c r="AG155" s="2412"/>
      <c r="AH155" s="2412"/>
      <c r="AI155" s="2412"/>
      <c r="AJ155" s="2412"/>
      <c r="AK155" s="2412"/>
      <c r="AL155" s="2412" t="s">
        <v>2189</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2177</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9"/>
      <c r="W157" s="1209"/>
      <c r="X157" s="2416" t="s">
        <v>2177</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2178</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8" t="s">
        <v>2179</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7" t="s">
        <v>1840</v>
      </c>
      <c r="D161" s="2398"/>
      <c r="E161" s="2398"/>
      <c r="F161" s="2398"/>
      <c r="G161" s="2398"/>
      <c r="H161" s="2398"/>
      <c r="I161" s="2398"/>
      <c r="J161" s="2398"/>
      <c r="K161" s="2398"/>
      <c r="L161" s="2398"/>
      <c r="M161" s="2398"/>
      <c r="N161" s="2398"/>
      <c r="O161" s="2398"/>
      <c r="P161" s="2398"/>
      <c r="Q161" s="2398" t="s">
        <v>1841</v>
      </c>
      <c r="R161" s="2398"/>
      <c r="S161" s="2398"/>
      <c r="T161" s="2179" t="s">
        <v>2180</v>
      </c>
      <c r="U161" s="2179"/>
      <c r="V161" s="2179"/>
      <c r="W161" s="2179"/>
      <c r="X161" s="2179"/>
      <c r="Y161" s="2179"/>
      <c r="Z161" s="2179"/>
      <c r="AA161" s="2179"/>
      <c r="AB161" s="2398" t="s">
        <v>1842</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6" t="s">
        <v>1843</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6" t="s">
        <v>1844</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6" t="s">
        <v>1845</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6" t="s">
        <v>1816</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6" t="s">
        <v>170</v>
      </c>
      <c r="D166" s="2407"/>
      <c r="E166" s="2407"/>
      <c r="F166" s="2408" t="s">
        <v>1846</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6" t="s">
        <v>170</v>
      </c>
      <c r="D167" s="2407"/>
      <c r="E167" s="2407"/>
      <c r="F167" s="2408" t="s">
        <v>1846</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7" t="s">
        <v>170</v>
      </c>
      <c r="D168" s="2378"/>
      <c r="E168" s="2378"/>
      <c r="F168" s="2379" t="s">
        <v>1846</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1" t="s">
        <v>1847</v>
      </c>
      <c r="D170" s="2182"/>
      <c r="E170" s="2182"/>
      <c r="F170" s="2182"/>
      <c r="G170" s="2182"/>
      <c r="H170" s="2182"/>
      <c r="I170" s="2182"/>
      <c r="J170" s="2182"/>
      <c r="K170" s="2182"/>
      <c r="L170" s="2182"/>
      <c r="M170" s="2182"/>
      <c r="N170" s="2183"/>
      <c r="O170" s="1209"/>
      <c r="P170" s="2394" t="s">
        <v>1848</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7" t="s">
        <v>1849</v>
      </c>
      <c r="D171" s="2398"/>
      <c r="E171" s="2398"/>
      <c r="F171" s="2398"/>
      <c r="G171" s="2398"/>
      <c r="H171" s="2398"/>
      <c r="I171" s="2398" t="s">
        <v>1850</v>
      </c>
      <c r="J171" s="2398"/>
      <c r="K171" s="2398"/>
      <c r="L171" s="2398"/>
      <c r="M171" s="2398"/>
      <c r="N171" s="2399"/>
      <c r="O171" s="1209"/>
      <c r="P171" s="2400" t="s">
        <v>2188</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9"/>
      <c r="D172" s="2350"/>
      <c r="E172" s="2350"/>
      <c r="F172" s="2350"/>
      <c r="G172" s="2350"/>
      <c r="H172" s="2350"/>
      <c r="I172" s="2370"/>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8" t="s">
        <v>2490</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2607</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2628</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81" t="s">
        <v>1840</v>
      </c>
      <c r="D182" s="2182"/>
      <c r="E182" s="2182"/>
      <c r="F182" s="2182"/>
      <c r="G182" s="2182"/>
      <c r="H182" s="2182"/>
      <c r="I182" s="2182"/>
      <c r="J182" s="2182"/>
      <c r="K182" s="2182"/>
      <c r="L182" s="2182"/>
      <c r="M182" s="2182"/>
      <c r="N182" s="2182" t="s">
        <v>1851</v>
      </c>
      <c r="O182" s="2182"/>
      <c r="P182" s="2182"/>
      <c r="Q182" s="2182"/>
      <c r="R182" s="2182"/>
      <c r="S182" s="2182"/>
      <c r="T182" s="2182"/>
      <c r="U182" s="2214" t="s">
        <v>1840</v>
      </c>
      <c r="V182" s="2214"/>
      <c r="W182" s="2214"/>
      <c r="X182" s="2214"/>
      <c r="Y182" s="2214"/>
      <c r="Z182" s="2214"/>
      <c r="AA182" s="2214"/>
      <c r="AB182" s="2214"/>
      <c r="AC182" s="2214"/>
      <c r="AD182" s="2214"/>
      <c r="AE182" s="2215"/>
      <c r="AF182" s="1209"/>
      <c r="AG182" s="1209"/>
      <c r="AH182" s="2369" t="s">
        <v>2612</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9"/>
      <c r="B183" s="1209"/>
      <c r="C183" s="2358" t="s">
        <v>2491</v>
      </c>
      <c r="D183" s="2359"/>
      <c r="E183" s="2359"/>
      <c r="F183" s="2359"/>
      <c r="G183" s="2359"/>
      <c r="H183" s="2359"/>
      <c r="I183" s="2359"/>
      <c r="J183" s="2359"/>
      <c r="K183" s="2359"/>
      <c r="L183" s="2359"/>
      <c r="M183" s="2359"/>
      <c r="N183" s="2372">
        <f>'Sources and Uses Budget'!B105</f>
        <v>67849527</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2611</v>
      </c>
      <c r="AI183" s="2369"/>
      <c r="AJ183" s="2369"/>
      <c r="AK183" s="2369"/>
      <c r="AL183" s="2369"/>
      <c r="AM183" s="2369"/>
      <c r="AN183" s="2369"/>
      <c r="AO183" s="2369"/>
      <c r="AP183" s="2369"/>
      <c r="AQ183" s="2369"/>
      <c r="AR183" s="2369"/>
      <c r="AS183" s="2369"/>
      <c r="AT183" s="2369"/>
      <c r="AU183" s="2595">
        <f>MAX(0,Application!AG439-100)*20000</f>
        <v>1480000</v>
      </c>
      <c r="AV183" s="2595"/>
      <c r="AW183" s="2595"/>
      <c r="AX183" s="2595"/>
      <c r="AY183" s="2595"/>
      <c r="AZ183" s="2595"/>
      <c r="BA183" s="2595"/>
      <c r="BB183" s="2595"/>
      <c r="BC183" s="2328"/>
      <c r="BD183" s="2329"/>
      <c r="BE183" s="2330"/>
    </row>
    <row r="184" spans="1:57" ht="15.75" customHeight="1">
      <c r="A184" s="1209"/>
      <c r="B184" s="1209"/>
      <c r="C184" s="2358" t="s">
        <v>2492</v>
      </c>
      <c r="D184" s="2359"/>
      <c r="E184" s="2359"/>
      <c r="F184" s="2359"/>
      <c r="G184" s="2359"/>
      <c r="H184" s="2359"/>
      <c r="I184" s="2359"/>
      <c r="J184" s="2359"/>
      <c r="K184" s="2359"/>
      <c r="L184" s="2359"/>
      <c r="M184" s="2359"/>
      <c r="N184" s="2372">
        <f>N183/J29</f>
        <v>389939.81034482759</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2610</v>
      </c>
      <c r="AI184" s="2587"/>
      <c r="AJ184" s="2587"/>
      <c r="AK184" s="2587"/>
      <c r="AL184" s="2587"/>
      <c r="AM184" s="2587"/>
      <c r="AN184" s="2587"/>
      <c r="AO184" s="2587"/>
      <c r="AP184" s="2587"/>
      <c r="AQ184" s="2587"/>
      <c r="AR184" s="2587"/>
      <c r="AS184" s="2587"/>
      <c r="AT184" s="2587"/>
      <c r="AU184" s="2327">
        <f>AU182+AU183</f>
        <v>3980000</v>
      </c>
      <c r="AV184" s="2327"/>
      <c r="AW184" s="2327"/>
      <c r="AX184" s="2327"/>
      <c r="AY184" s="2327"/>
      <c r="AZ184" s="2327"/>
      <c r="BA184" s="2327"/>
      <c r="BB184" s="2327"/>
      <c r="BC184" s="2328"/>
      <c r="BD184" s="2329"/>
      <c r="BE184" s="2330"/>
    </row>
    <row r="185" spans="1:57" ht="15.75" customHeight="1">
      <c r="A185" s="1209"/>
      <c r="B185" s="1209"/>
      <c r="C185" s="2375" t="s">
        <v>2493</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2609</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9"/>
      <c r="B186" s="1209"/>
      <c r="C186" s="2358" t="s">
        <v>2494</v>
      </c>
      <c r="D186" s="2359"/>
      <c r="E186" s="2359"/>
      <c r="F186" s="2359"/>
      <c r="G186" s="2359"/>
      <c r="H186" s="2359"/>
      <c r="I186" s="2359"/>
      <c r="J186" s="2359"/>
      <c r="K186" s="2359"/>
      <c r="L186" s="2359"/>
      <c r="M186" s="2359"/>
      <c r="N186" s="2360">
        <f>SUM('Sources and Uses Budget'!B85:B86)</f>
        <v>10032582</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8" t="s">
        <v>2495</v>
      </c>
      <c r="D187" s="2359"/>
      <c r="E187" s="2359"/>
      <c r="F187" s="2359"/>
      <c r="G187" s="2359"/>
      <c r="H187" s="2359"/>
      <c r="I187" s="2359"/>
      <c r="J187" s="2359"/>
      <c r="K187" s="2359"/>
      <c r="L187" s="2359"/>
      <c r="M187" s="2359"/>
      <c r="N187" s="2360">
        <f>'Sources and Uses Budget'!B8</f>
        <v>2000000</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1852</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9"/>
      <c r="B188" s="1209"/>
      <c r="C188" s="2358" t="s">
        <v>2496</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1852</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9"/>
      <c r="B189" s="1209"/>
      <c r="C189" s="2358" t="s">
        <v>2497</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2608</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9"/>
      <c r="B190" s="1209"/>
      <c r="C190" s="2355" t="s">
        <v>301</v>
      </c>
      <c r="D190" s="2356"/>
      <c r="E190" s="2351" t="s">
        <v>1846</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2607</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9"/>
      <c r="B191" s="1209"/>
      <c r="C191" s="2349" t="s">
        <v>301</v>
      </c>
      <c r="D191" s="2350"/>
      <c r="E191" s="2351" t="s">
        <v>1846</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75" customHeight="1" thickBot="1">
      <c r="A192" s="1209"/>
      <c r="B192" s="1209"/>
      <c r="C192" s="2338" t="s">
        <v>301</v>
      </c>
      <c r="D192" s="2339"/>
      <c r="E192" s="2340" t="s">
        <v>1846</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1853</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75" customHeight="1">
      <c r="A193" s="1209"/>
      <c r="B193" s="1209"/>
      <c r="C193" s="2334" t="s">
        <v>1854</v>
      </c>
      <c r="D193" s="2335"/>
      <c r="E193" s="2335"/>
      <c r="F193" s="2335"/>
      <c r="G193" s="2335"/>
      <c r="H193" s="2335"/>
      <c r="I193" s="2335"/>
      <c r="J193" s="2335"/>
      <c r="K193" s="2335"/>
      <c r="L193" s="2335"/>
      <c r="M193" s="2335"/>
      <c r="N193" s="2336">
        <f>SUM(N185:T192)</f>
        <v>12032582</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2606</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9"/>
      <c r="B194" s="1209"/>
      <c r="C194" s="2314" t="s">
        <v>2498</v>
      </c>
      <c r="D194" s="2315"/>
      <c r="E194" s="2315"/>
      <c r="F194" s="2315"/>
      <c r="G194" s="2315"/>
      <c r="H194" s="2315"/>
      <c r="I194" s="2315"/>
      <c r="J194" s="2315"/>
      <c r="K194" s="2315"/>
      <c r="L194" s="2315"/>
      <c r="M194" s="2315"/>
      <c r="N194" s="2316">
        <f>(N183-N193)/J29</f>
        <v>320787.04022988508</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4" t="s">
        <v>2605</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2604</v>
      </c>
      <c r="D198" s="2590"/>
      <c r="E198" s="2590"/>
      <c r="F198" s="2590"/>
      <c r="G198" s="2590"/>
      <c r="H198" s="2590"/>
      <c r="I198" s="2590"/>
      <c r="J198" s="2590"/>
      <c r="K198" s="2590"/>
      <c r="L198" s="2590"/>
      <c r="M198" s="2590"/>
      <c r="N198" s="2590"/>
      <c r="O198" s="2591" t="s">
        <v>2603</v>
      </c>
      <c r="P198" s="2591"/>
      <c r="Q198" s="2591"/>
      <c r="R198" s="2591"/>
      <c r="S198" s="2591"/>
      <c r="T198" s="2591"/>
      <c r="U198" s="2591"/>
      <c r="V198" s="2591"/>
      <c r="W198" s="2591"/>
      <c r="X198" s="2591" t="s">
        <v>2602</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2601</v>
      </c>
      <c r="D199" s="2588"/>
      <c r="E199" s="2588"/>
      <c r="F199" s="2588"/>
      <c r="G199" s="2588"/>
      <c r="H199" s="2588"/>
      <c r="I199" s="2588"/>
      <c r="J199" s="2588"/>
      <c r="K199" s="2588"/>
      <c r="L199" s="2588"/>
      <c r="M199" s="2588"/>
      <c r="N199" s="2588"/>
      <c r="O199" s="2320" t="s">
        <v>2600</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866</v>
      </c>
      <c r="D200" s="2588"/>
      <c r="E200" s="2588"/>
      <c r="F200" s="2588"/>
      <c r="G200" s="2588"/>
      <c r="H200" s="2588"/>
      <c r="I200" s="2588"/>
      <c r="J200" s="2588"/>
      <c r="K200" s="2588"/>
      <c r="L200" s="2588"/>
      <c r="M200" s="2588"/>
      <c r="N200" s="2588"/>
      <c r="O200" s="2320" t="s">
        <v>2600</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2599</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2598</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2597</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9" t="s">
        <v>2596</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2" t="s">
        <v>2595</v>
      </c>
      <c r="D205" s="2260"/>
      <c r="E205" s="2260"/>
      <c r="F205" s="2303"/>
      <c r="G205" s="2259" t="s">
        <v>2594</v>
      </c>
      <c r="H205" s="2260"/>
      <c r="I205" s="2260"/>
      <c r="J205" s="2260"/>
      <c r="K205" s="2260"/>
      <c r="L205" s="2260"/>
      <c r="M205" s="2260"/>
      <c r="N205" s="2260"/>
      <c r="O205" s="2303"/>
      <c r="P205" s="2306" t="s">
        <v>2593</v>
      </c>
      <c r="Q205" s="2307"/>
      <c r="R205" s="2307"/>
      <c r="S205" s="2307"/>
      <c r="T205" s="2308"/>
      <c r="U205" s="2253" t="s">
        <v>2592</v>
      </c>
      <c r="V205" s="2254"/>
      <c r="W205" s="2254"/>
      <c r="X205" s="2255"/>
      <c r="Y205" s="2253" t="s">
        <v>2591</v>
      </c>
      <c r="Z205" s="2254"/>
      <c r="AA205" s="2254"/>
      <c r="AB205" s="2255"/>
      <c r="AC205" s="2253" t="s">
        <v>2590</v>
      </c>
      <c r="AD205" s="2254"/>
      <c r="AE205" s="2254"/>
      <c r="AF205" s="2255"/>
      <c r="AG205" s="2259" t="s">
        <v>2589</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5">
        <v>1</v>
      </c>
      <c r="D207" s="2266"/>
      <c r="E207" s="2266"/>
      <c r="F207" s="2266"/>
      <c r="G207" s="2267" t="s">
        <v>2155</v>
      </c>
      <c r="H207" s="2267"/>
      <c r="I207" s="2267"/>
      <c r="J207" s="2267"/>
      <c r="K207" s="2267"/>
      <c r="L207" s="2267"/>
      <c r="M207" s="2267"/>
      <c r="N207" s="2267"/>
      <c r="O207" s="2267"/>
      <c r="P207" s="2268"/>
      <c r="Q207" s="2269"/>
      <c r="R207" s="2269"/>
      <c r="S207" s="2269"/>
      <c r="T207" s="2269"/>
      <c r="U207" s="2270" t="s">
        <v>2155</v>
      </c>
      <c r="V207" s="2270"/>
      <c r="W207" s="2270"/>
      <c r="X207" s="2270"/>
      <c r="Y207" s="2270" t="s">
        <v>2155</v>
      </c>
      <c r="Z207" s="2270"/>
      <c r="AA207" s="2270"/>
      <c r="AB207" s="2270"/>
      <c r="AC207" s="2271" t="s">
        <v>2155</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5">
        <v>2</v>
      </c>
      <c r="D208" s="2266"/>
      <c r="E208" s="2266"/>
      <c r="F208" s="2266"/>
      <c r="G208" s="2267" t="s">
        <v>2155</v>
      </c>
      <c r="H208" s="2267"/>
      <c r="I208" s="2267"/>
      <c r="J208" s="2267"/>
      <c r="K208" s="2267"/>
      <c r="L208" s="2267"/>
      <c r="M208" s="2267"/>
      <c r="N208" s="2267"/>
      <c r="O208" s="2267"/>
      <c r="P208" s="2268"/>
      <c r="Q208" s="2268"/>
      <c r="R208" s="2268"/>
      <c r="S208" s="2268"/>
      <c r="T208" s="2268"/>
      <c r="U208" s="2270" t="s">
        <v>2155</v>
      </c>
      <c r="V208" s="2270"/>
      <c r="W208" s="2270"/>
      <c r="X208" s="2270"/>
      <c r="Y208" s="2270" t="s">
        <v>2155</v>
      </c>
      <c r="Z208" s="2270"/>
      <c r="AA208" s="2270"/>
      <c r="AB208" s="2270"/>
      <c r="AC208" s="2271" t="s">
        <v>2155</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5">
        <v>3</v>
      </c>
      <c r="D209" s="2266"/>
      <c r="E209" s="2266"/>
      <c r="F209" s="2266"/>
      <c r="G209" s="2267" t="s">
        <v>2155</v>
      </c>
      <c r="H209" s="2267"/>
      <c r="I209" s="2267"/>
      <c r="J209" s="2267"/>
      <c r="K209" s="2267"/>
      <c r="L209" s="2267"/>
      <c r="M209" s="2267"/>
      <c r="N209" s="2267"/>
      <c r="O209" s="2267"/>
      <c r="P209" s="2268"/>
      <c r="Q209" s="2268"/>
      <c r="R209" s="2268"/>
      <c r="S209" s="2268"/>
      <c r="T209" s="2268"/>
      <c r="U209" s="2270" t="s">
        <v>2155</v>
      </c>
      <c r="V209" s="2270"/>
      <c r="W209" s="2270"/>
      <c r="X209" s="2270"/>
      <c r="Y209" s="2270" t="s">
        <v>2155</v>
      </c>
      <c r="Z209" s="2270"/>
      <c r="AA209" s="2270"/>
      <c r="AB209" s="2270"/>
      <c r="AC209" s="2271" t="s">
        <v>2155</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5">
        <v>4</v>
      </c>
      <c r="D210" s="2266"/>
      <c r="E210" s="2266"/>
      <c r="F210" s="2266"/>
      <c r="G210" s="2267" t="s">
        <v>2155</v>
      </c>
      <c r="H210" s="2267"/>
      <c r="I210" s="2267"/>
      <c r="J210" s="2267"/>
      <c r="K210" s="2267"/>
      <c r="L210" s="2267"/>
      <c r="M210" s="2267"/>
      <c r="N210" s="2267"/>
      <c r="O210" s="2267"/>
      <c r="P210" s="2268"/>
      <c r="Q210" s="2268"/>
      <c r="R210" s="2268"/>
      <c r="S210" s="2268"/>
      <c r="T210" s="2268"/>
      <c r="U210" s="2270" t="s">
        <v>2155</v>
      </c>
      <c r="V210" s="2270"/>
      <c r="W210" s="2270"/>
      <c r="X210" s="2270"/>
      <c r="Y210" s="2270" t="s">
        <v>2155</v>
      </c>
      <c r="Z210" s="2270"/>
      <c r="AA210" s="2270"/>
      <c r="AB210" s="2270"/>
      <c r="AC210" s="2271" t="s">
        <v>2155</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2155</v>
      </c>
      <c r="V211" s="2270"/>
      <c r="W211" s="2270"/>
      <c r="X211" s="2270"/>
      <c r="Y211" s="2270" t="s">
        <v>2155</v>
      </c>
      <c r="Z211" s="2270"/>
      <c r="AA211" s="2270"/>
      <c r="AB211" s="2270"/>
      <c r="AC211" s="2271" t="s">
        <v>2155</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5">
        <v>6</v>
      </c>
      <c r="D212" s="2266"/>
      <c r="E212" s="2266"/>
      <c r="F212" s="2266"/>
      <c r="G212" s="2267" t="s">
        <v>2155</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2155</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2155</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2588</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5" t="s">
        <v>1855</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75"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75" customHeight="1">
      <c r="A221" s="1209"/>
      <c r="B221" s="2281" t="s">
        <v>1856</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75" customHeight="1">
      <c r="A222" s="1209"/>
      <c r="B222" s="2281" t="s">
        <v>1857</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4" t="s">
        <v>1858</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8" t="s">
        <v>1860</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7" t="s">
        <v>2499</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75"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75"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75"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6" t="s">
        <v>1861</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2" t="s">
        <v>1862</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2" t="s">
        <v>1863</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2" t="s">
        <v>444</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3" t="s">
        <v>1864</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4" t="s">
        <v>1865</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J72" sqref="AJ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0" t="s">
        <v>1391</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63846304</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506</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507</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508</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509</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815</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510</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709" t="s">
        <v>980</v>
      </c>
      <c r="D18" s="1709"/>
      <c r="E18" s="1709"/>
      <c r="F18" s="1709"/>
      <c r="G18" s="1709"/>
      <c r="H18" s="1709"/>
      <c r="I18" s="1709"/>
      <c r="J18" s="1709"/>
      <c r="K18" s="1709"/>
      <c r="L18" s="1709"/>
      <c r="M18" s="1709"/>
      <c r="N18" s="1709"/>
      <c r="O18" s="1709"/>
      <c r="P18" s="1709"/>
      <c r="Q18" s="1709"/>
      <c r="R18" s="1709"/>
      <c r="S18" s="1710"/>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709" t="s">
        <v>980</v>
      </c>
      <c r="D19" s="1709"/>
      <c r="E19" s="1709"/>
      <c r="F19" s="1709"/>
      <c r="G19" s="1709"/>
      <c r="H19" s="1709"/>
      <c r="I19" s="1709"/>
      <c r="J19" s="1709"/>
      <c r="K19" s="1709"/>
      <c r="L19" s="1709"/>
      <c r="M19" s="1709"/>
      <c r="N19" s="1709"/>
      <c r="O19" s="1709"/>
      <c r="P19" s="1709"/>
      <c r="Q19" s="1709"/>
      <c r="R19" s="1709"/>
      <c r="S19" s="1710"/>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511</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1374</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512</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513</v>
      </c>
      <c r="C23" s="2622"/>
      <c r="D23" s="2622"/>
      <c r="E23" s="2622"/>
      <c r="F23" s="2622"/>
      <c r="G23" s="2622"/>
      <c r="H23" s="2622"/>
      <c r="I23" s="2622"/>
      <c r="J23" s="2622"/>
      <c r="K23" s="2622"/>
      <c r="L23" s="2622"/>
      <c r="M23" s="2622"/>
      <c r="N23" s="2622"/>
      <c r="O23" s="2622"/>
      <c r="P23" s="2622"/>
      <c r="Q23" s="2622"/>
      <c r="R23" s="2622"/>
      <c r="S23" s="2623"/>
      <c r="T23" s="2614">
        <f>T11+T22</f>
        <v>63846304</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981</v>
      </c>
      <c r="C24" s="2622"/>
      <c r="D24" s="2622"/>
      <c r="E24" s="2622"/>
      <c r="F24" s="2622"/>
      <c r="G24" s="2622"/>
      <c r="H24" s="2622"/>
      <c r="I24" s="2622"/>
      <c r="J24" s="2622"/>
      <c r="K24" s="2622"/>
      <c r="L24" s="2622"/>
      <c r="M24" s="2622"/>
      <c r="N24" s="2622"/>
      <c r="O24" s="2622"/>
      <c r="P24" s="2622"/>
      <c r="Q24" s="2622"/>
      <c r="R24" s="2622"/>
      <c r="S24" s="2623"/>
      <c r="T24" s="2616">
        <f>Application!AJ1052</f>
        <v>142917403</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1375</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514</v>
      </c>
      <c r="C26" s="2622"/>
      <c r="D26" s="2622"/>
      <c r="E26" s="2622"/>
      <c r="F26" s="2622"/>
      <c r="G26" s="2622"/>
      <c r="H26" s="2622"/>
      <c r="I26" s="2622"/>
      <c r="J26" s="2622"/>
      <c r="K26" s="2622"/>
      <c r="L26" s="2622"/>
      <c r="M26" s="2622"/>
      <c r="N26" s="2622"/>
      <c r="O26" s="2622"/>
      <c r="P26" s="2622"/>
      <c r="Q26" s="2622"/>
      <c r="R26" s="2622"/>
      <c r="S26" s="2623"/>
      <c r="T26" s="2614">
        <f>T23*T25</f>
        <v>83000195.200000003</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14">
        <f>IF(ISERROR((T26*T27)),0,(T26*T27))</f>
        <v>83000195.200000003</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532</v>
      </c>
      <c r="C29" s="2622"/>
      <c r="D29" s="2622"/>
      <c r="E29" s="2622"/>
      <c r="F29" s="2622"/>
      <c r="G29" s="2622"/>
      <c r="H29" s="2622"/>
      <c r="I29" s="2622"/>
      <c r="J29" s="2622"/>
      <c r="K29" s="2622"/>
      <c r="L29" s="2622"/>
      <c r="M29" s="2622"/>
      <c r="N29" s="2622"/>
      <c r="O29" s="2622"/>
      <c r="P29" s="2622"/>
      <c r="Q29" s="2622"/>
      <c r="R29" s="2622"/>
      <c r="S29" s="2623"/>
      <c r="T29" s="2616">
        <f>T28+Y28+AD28+AI28</f>
        <v>83000195.200000003</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1377</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1376</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1257</v>
      </c>
      <c r="Z35" s="2642"/>
      <c r="AA35" s="2642"/>
      <c r="AB35" s="2642"/>
      <c r="AC35" s="2642"/>
      <c r="AD35" s="2665" t="s">
        <v>370</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83000195.200000003</v>
      </c>
      <c r="Z38" s="2615"/>
      <c r="AA38" s="2615"/>
      <c r="AB38" s="2615"/>
      <c r="AC38" s="2615"/>
      <c r="AD38" s="2615">
        <f>IF(T24&gt;=(T23+Y23+AD23+AI23),AD28+AI28,0)</f>
        <v>0</v>
      </c>
      <c r="AE38" s="2615"/>
      <c r="AF38" s="2615"/>
      <c r="AG38" s="2615"/>
      <c r="AH38" s="2615"/>
    </row>
    <row r="39" spans="1:76" ht="12.95" customHeight="1">
      <c r="B39" s="2621" t="s">
        <v>1882</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3320008</v>
      </c>
      <c r="Z40" s="2615"/>
      <c r="AA40" s="2615"/>
      <c r="AB40" s="2615"/>
      <c r="AC40" s="2615"/>
      <c r="AD40" s="2614">
        <f>ROUND(AD38*AD39,0)</f>
        <v>0</v>
      </c>
      <c r="AE40" s="2615"/>
      <c r="AF40" s="2615"/>
      <c r="AG40" s="2615"/>
      <c r="AH40" s="2615"/>
    </row>
    <row r="41" spans="1:76" ht="12.95"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3320008</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1387</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67849527</v>
      </c>
      <c r="AC47" s="2632"/>
      <c r="AD47" s="2632"/>
      <c r="AE47" s="2632"/>
      <c r="AF47" s="2633"/>
    </row>
    <row r="48" spans="1:76" ht="12.95" customHeight="1">
      <c r="D48" s="435" t="s">
        <v>21</v>
      </c>
      <c r="AB48" s="2631">
        <f>Application!AO639-MAX(IF('Sources and Uses Budget'!B15="",0,'Sources and Uses Budget'!B15),IF(Application!AG394="",0,Application!AG394))</f>
        <v>33908401</v>
      </c>
      <c r="AC48" s="2632"/>
      <c r="AD48" s="2632"/>
      <c r="AE48" s="2632"/>
      <c r="AF48" s="2633"/>
    </row>
    <row r="49" spans="1:76" ht="12.95" customHeight="1">
      <c r="D49" s="435" t="s">
        <v>91</v>
      </c>
      <c r="AB49" s="2631">
        <f>AB47-AB48</f>
        <v>33941126</v>
      </c>
      <c r="AC49" s="2632"/>
      <c r="AD49" s="2632"/>
      <c r="AE49" s="2632"/>
      <c r="AF49" s="2633"/>
    </row>
    <row r="50" spans="1:76" ht="12.95" customHeight="1">
      <c r="D50" s="435" t="s">
        <v>690</v>
      </c>
      <c r="AA50" s="446"/>
      <c r="AB50" s="2658">
        <v>0.89</v>
      </c>
      <c r="AC50" s="2659"/>
      <c r="AD50" s="2659"/>
      <c r="AE50" s="2659"/>
      <c r="AF50" s="2660"/>
    </row>
    <row r="51" spans="1:76" s="448" customFormat="1" ht="12.95" customHeight="1">
      <c r="A51" s="433"/>
      <c r="B51" s="433"/>
      <c r="C51" s="433"/>
      <c r="D51" s="433"/>
      <c r="E51" s="2661" t="s">
        <v>2042</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38136097</v>
      </c>
      <c r="AC54" s="2632"/>
      <c r="AD54" s="2632"/>
      <c r="AE54" s="2632"/>
      <c r="AF54" s="2633"/>
    </row>
    <row r="55" spans="1:76" ht="12.95" customHeight="1">
      <c r="D55" s="435" t="s">
        <v>334</v>
      </c>
      <c r="AB55" s="2631">
        <f>(AB54/10)</f>
        <v>3813609.7</v>
      </c>
      <c r="AC55" s="2632"/>
      <c r="AD55" s="2632"/>
      <c r="AE55" s="2632"/>
      <c r="AF55" s="2633"/>
    </row>
    <row r="56" spans="1:76" ht="12.95" customHeight="1">
      <c r="D56" s="435" t="s">
        <v>766</v>
      </c>
      <c r="AB56" s="2662">
        <f>(IF((Y41&lt;AB55),Y41,AB55))</f>
        <v>3320008</v>
      </c>
      <c r="AC56" s="2663"/>
      <c r="AD56" s="2663"/>
      <c r="AE56" s="2663"/>
      <c r="AF56" s="2664"/>
    </row>
    <row r="57" spans="1:76" ht="12.95" customHeight="1">
      <c r="D57" s="435" t="s">
        <v>765</v>
      </c>
      <c r="AB57" s="2631">
        <f>ROUND((10*AB56*AB50),0)</f>
        <v>29548071</v>
      </c>
      <c r="AC57" s="2632"/>
      <c r="AD57" s="2632"/>
      <c r="AE57" s="2632"/>
      <c r="AF57" s="2633"/>
    </row>
    <row r="58" spans="1:76" ht="12.95" customHeight="1">
      <c r="D58" s="435"/>
      <c r="AB58" s="454"/>
      <c r="AC58" s="454"/>
      <c r="AD58" s="454"/>
      <c r="AE58" s="454"/>
      <c r="AF58" s="454"/>
    </row>
    <row r="59" spans="1:76" ht="12.95" customHeight="1">
      <c r="D59" s="435" t="s">
        <v>764</v>
      </c>
      <c r="AB59" s="2654">
        <f>AB49-AB57</f>
        <v>4393055</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598</v>
      </c>
      <c r="C63" s="219" t="s">
        <v>1358</v>
      </c>
      <c r="Y63" s="2655" t="s">
        <v>1004</v>
      </c>
      <c r="Z63" s="2655"/>
      <c r="AA63" s="2655"/>
      <c r="AB63" s="2655"/>
      <c r="AC63" s="2655"/>
      <c r="AD63" s="2655" t="s">
        <v>370</v>
      </c>
      <c r="AE63" s="2655"/>
      <c r="AF63" s="2655"/>
      <c r="AG63" s="2655"/>
      <c r="AH63" s="2655"/>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63846304</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1360</v>
      </c>
      <c r="Y68" s="2615">
        <f>ROUND(Y64*Y67,0)</f>
        <v>19153891</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8">
        <v>0.8</v>
      </c>
      <c r="AC71" s="2659"/>
      <c r="AD71" s="2659"/>
      <c r="AE71" s="2659"/>
      <c r="AF71" s="2660"/>
    </row>
    <row r="72" spans="1:36" ht="12.95" customHeight="1">
      <c r="A72" s="435"/>
      <c r="C72" s="435"/>
      <c r="D72" s="435"/>
      <c r="E72" s="2674" t="s">
        <v>1362</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7">
        <f>ROUND(IF(ISERROR((AB59/AB71)),0,(AB59/AB71)),0)</f>
        <v>5491319</v>
      </c>
      <c r="AC76" s="2667"/>
      <c r="AD76" s="2667"/>
      <c r="AE76" s="2667"/>
      <c r="AF76" s="2667"/>
    </row>
    <row r="77" spans="1:36" ht="12.95" customHeight="1">
      <c r="C77" s="435"/>
      <c r="D77" s="219" t="s">
        <v>1364</v>
      </c>
      <c r="AB77" s="2668">
        <f>IF((Y68+AD68&lt;AB76),Y68+AD68,AB76)</f>
        <v>5491319</v>
      </c>
      <c r="AC77" s="2669"/>
      <c r="AD77" s="2669"/>
      <c r="AE77" s="2669"/>
      <c r="AF77" s="2670"/>
    </row>
    <row r="78" spans="1:36" ht="12.95" customHeight="1">
      <c r="C78" s="435"/>
      <c r="D78" s="219" t="s">
        <v>1365</v>
      </c>
      <c r="AB78" s="2671">
        <f>AB77*AB71</f>
        <v>4393055.2</v>
      </c>
      <c r="AC78" s="2671"/>
      <c r="AD78" s="2671"/>
      <c r="AE78" s="2671"/>
      <c r="AF78" s="2671"/>
    </row>
    <row r="79" spans="1:36" ht="12.95" customHeight="1">
      <c r="C79" s="435"/>
      <c r="D79" s="435"/>
      <c r="AB79" s="456"/>
      <c r="AC79" s="456"/>
      <c r="AD79" s="456"/>
      <c r="AE79" s="456"/>
      <c r="AF79" s="456"/>
    </row>
    <row r="80" spans="1:36" ht="12.95" customHeight="1">
      <c r="D80" s="435" t="s">
        <v>764</v>
      </c>
      <c r="AB80" s="2654">
        <f>AB49-(AB57+AB78)</f>
        <v>-0.20000000298023224</v>
      </c>
      <c r="AC80" s="2654"/>
      <c r="AD80" s="2654"/>
      <c r="AE80" s="2654"/>
      <c r="AF80" s="2654"/>
    </row>
    <row r="81" spans="1:78" ht="12.95" customHeight="1">
      <c r="F81" s="556"/>
      <c r="J81" s="556" t="str">
        <f>IF(AB80&gt;0,"FUNDING GAP MUST NOT EXCEED ZERO","")</f>
        <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5</v>
      </c>
      <c r="C4" s="1122"/>
      <c r="D4" s="459">
        <f>Application!O718</f>
        <v>555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27</v>
      </c>
      <c r="C5" s="1122"/>
      <c r="D5" s="459">
        <f>Application!O719</f>
        <v>957</v>
      </c>
      <c r="E5" s="460"/>
      <c r="F5" s="1123"/>
      <c r="G5" s="459">
        <f t="shared" ref="G5:G38" si="2">F5*B5</f>
        <v>0</v>
      </c>
      <c r="H5" s="460"/>
      <c r="I5" s="459" t="str">
        <f t="shared" si="0"/>
        <v/>
      </c>
      <c r="J5" s="459" t="str">
        <f t="shared" si="1"/>
        <v/>
      </c>
      <c r="K5" s="218"/>
      <c r="L5" s="328"/>
    </row>
    <row r="6" spans="1:12">
      <c r="A6" s="459" t="str">
        <f>Application!B720</f>
        <v>1 Bedroom</v>
      </c>
      <c r="B6" s="1121">
        <f>Application!G720</f>
        <v>13</v>
      </c>
      <c r="C6" s="1122"/>
      <c r="D6" s="459">
        <f>Application!O720</f>
        <v>1158</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1561</v>
      </c>
      <c r="E7" s="460"/>
      <c r="F7" s="1123"/>
      <c r="G7" s="459">
        <f t="shared" si="2"/>
        <v>0</v>
      </c>
      <c r="H7" s="460"/>
      <c r="I7" s="459" t="str">
        <f t="shared" si="0"/>
        <v/>
      </c>
      <c r="J7" s="459" t="str">
        <f t="shared" si="1"/>
        <v/>
      </c>
      <c r="K7" s="218"/>
      <c r="L7" s="328"/>
    </row>
    <row r="8" spans="1:12">
      <c r="A8" s="459" t="str">
        <f>Application!B722</f>
        <v>2 Bedrooms</v>
      </c>
      <c r="B8" s="1121">
        <f>Application!G722</f>
        <v>8</v>
      </c>
      <c r="C8" s="1122"/>
      <c r="D8" s="459">
        <f>Application!O722</f>
        <v>674</v>
      </c>
      <c r="E8" s="460"/>
      <c r="F8" s="1123"/>
      <c r="G8" s="459">
        <f t="shared" si="2"/>
        <v>0</v>
      </c>
      <c r="H8" s="460"/>
      <c r="I8" s="459" t="str">
        <f t="shared" si="0"/>
        <v/>
      </c>
      <c r="J8" s="459" t="str">
        <f t="shared" si="1"/>
        <v/>
      </c>
      <c r="K8" s="218"/>
      <c r="L8" s="328"/>
    </row>
    <row r="9" spans="1:12">
      <c r="A9" s="459" t="str">
        <f>Application!B723</f>
        <v>2 Bedrooms</v>
      </c>
      <c r="B9" s="1121">
        <f>Application!G723</f>
        <v>38</v>
      </c>
      <c r="C9" s="1122"/>
      <c r="D9" s="459">
        <f>Application!O723</f>
        <v>1157</v>
      </c>
      <c r="E9" s="460"/>
      <c r="F9" s="1123"/>
      <c r="G9" s="459">
        <f t="shared" si="2"/>
        <v>0</v>
      </c>
      <c r="H9" s="460"/>
      <c r="I9" s="459" t="str">
        <f t="shared" si="0"/>
        <v/>
      </c>
      <c r="J9" s="459" t="str">
        <f t="shared" si="1"/>
        <v/>
      </c>
      <c r="K9" s="218"/>
      <c r="L9" s="328"/>
    </row>
    <row r="10" spans="1:12">
      <c r="A10" s="459" t="str">
        <f>Application!B724</f>
        <v>2 Bedrooms</v>
      </c>
      <c r="B10" s="1121">
        <f>Application!G724</f>
        <v>33</v>
      </c>
      <c r="C10" s="1122"/>
      <c r="D10" s="459">
        <f>Application!O724</f>
        <v>1881</v>
      </c>
      <c r="E10" s="460"/>
      <c r="F10" s="1123"/>
      <c r="G10" s="459">
        <f t="shared" si="2"/>
        <v>0</v>
      </c>
      <c r="H10" s="460"/>
      <c r="I10" s="459" t="str">
        <f t="shared" si="0"/>
        <v/>
      </c>
      <c r="J10" s="459" t="str">
        <f t="shared" si="1"/>
        <v/>
      </c>
      <c r="K10" s="218"/>
      <c r="L10" s="328"/>
    </row>
    <row r="11" spans="1:12">
      <c r="A11" s="459" t="str">
        <f>Application!B725</f>
        <v>3 Bedrooms</v>
      </c>
      <c r="B11" s="1121">
        <f>Application!G725</f>
        <v>5</v>
      </c>
      <c r="C11" s="1122"/>
      <c r="D11" s="459">
        <f>Application!O725</f>
        <v>780</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1337</v>
      </c>
      <c r="E12" s="460"/>
      <c r="F12" s="1123"/>
      <c r="G12" s="459">
        <f t="shared" si="2"/>
        <v>0</v>
      </c>
      <c r="H12" s="460"/>
      <c r="I12" s="459" t="str">
        <f t="shared" si="0"/>
        <v/>
      </c>
      <c r="J12" s="459" t="str">
        <f t="shared" si="1"/>
        <v/>
      </c>
      <c r="K12" s="218"/>
      <c r="L12" s="328"/>
    </row>
    <row r="13" spans="1:12">
      <c r="A13" s="459" t="str">
        <f>Application!B727</f>
        <v>3 Bedrooms</v>
      </c>
      <c r="B13" s="1121">
        <f>Application!G727</f>
        <v>11</v>
      </c>
      <c r="C13" s="1122"/>
      <c r="D13" s="459">
        <f>Application!O727</f>
        <v>1616</v>
      </c>
      <c r="E13" s="460"/>
      <c r="F13" s="1123"/>
      <c r="G13" s="459">
        <f t="shared" si="2"/>
        <v>0</v>
      </c>
      <c r="H13" s="460"/>
      <c r="I13" s="459" t="str">
        <f t="shared" si="0"/>
        <v/>
      </c>
      <c r="J13" s="459" t="str">
        <f t="shared" si="1"/>
        <v/>
      </c>
      <c r="K13" s="218"/>
      <c r="L13" s="328"/>
    </row>
    <row r="14" spans="1:12">
      <c r="A14" s="459" t="str">
        <f>Application!B728</f>
        <v>3 Bedrooms</v>
      </c>
      <c r="B14" s="1121">
        <f>Application!G728</f>
        <v>24</v>
      </c>
      <c r="C14" s="1122"/>
      <c r="D14" s="459">
        <f>Application!O728</f>
        <v>2125</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242265</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27" workbookViewId="0">
      <selection activeCell="AG63" sqref="AG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2907180</v>
      </c>
      <c r="G4" s="235">
        <f>E4*$C$4</f>
        <v>2979859.4999999995</v>
      </c>
      <c r="I4" s="235">
        <f>G4*$C$4</f>
        <v>3054355.9874999993</v>
      </c>
      <c r="K4" s="235">
        <f>I4*$C$4</f>
        <v>3130714.8871874991</v>
      </c>
      <c r="M4" s="235">
        <f>K4*$C$4</f>
        <v>3208982.7593671861</v>
      </c>
      <c r="O4" s="235">
        <f>M4*$C$4</f>
        <v>3289207.3283513654</v>
      </c>
      <c r="Q4" s="235">
        <f>O4*$C$4</f>
        <v>3371437.511560149</v>
      </c>
      <c r="S4" s="235">
        <f>Q4*$C$4</f>
        <v>3455723.4493491524</v>
      </c>
      <c r="U4" s="235">
        <f>S4*$C$4</f>
        <v>3542116.535582881</v>
      </c>
      <c r="W4" s="235">
        <f>U4*$C$4</f>
        <v>3630669.4489724524</v>
      </c>
      <c r="Y4" s="235">
        <f>W4*$C$4</f>
        <v>3721436.1851967634</v>
      </c>
      <c r="AA4" s="235">
        <f>Y4*$C$4</f>
        <v>3814472.0898266821</v>
      </c>
      <c r="AC4" s="235">
        <f>AA4*$C$4</f>
        <v>3909833.8920723489</v>
      </c>
      <c r="AE4" s="235">
        <f>AC4*$C$4</f>
        <v>4007579.739374157</v>
      </c>
      <c r="AG4" s="235">
        <f>AE4*$C$4</f>
        <v>4107769.2328585107</v>
      </c>
    </row>
    <row r="5" spans="1:34" s="225" customFormat="1" ht="14.25">
      <c r="B5" s="225" t="s">
        <v>850</v>
      </c>
      <c r="C5" s="254">
        <f>IF(Application!$D$211="Special Needs",0.1,0.05)</f>
        <v>0.05</v>
      </c>
      <c r="E5" s="237">
        <f>-E4*$C$5</f>
        <v>-145359</v>
      </c>
      <c r="F5" s="237"/>
      <c r="G5" s="237">
        <f>-G4*$C$5</f>
        <v>-148992.97499999998</v>
      </c>
      <c r="H5" s="237"/>
      <c r="I5" s="237">
        <f>-I4*$C$5</f>
        <v>-152717.79937499997</v>
      </c>
      <c r="J5" s="237"/>
      <c r="K5" s="237">
        <f>-K4*$C$5</f>
        <v>-156535.74435937495</v>
      </c>
      <c r="L5" s="237"/>
      <c r="M5" s="237">
        <f>-M4*$C$5</f>
        <v>-160449.13796835931</v>
      </c>
      <c r="N5" s="237"/>
      <c r="O5" s="237">
        <f>-O4*$C$5</f>
        <v>-164460.36641756829</v>
      </c>
      <c r="P5" s="237"/>
      <c r="Q5" s="237">
        <f>-Q4*$C$5</f>
        <v>-168571.87557800746</v>
      </c>
      <c r="R5" s="237"/>
      <c r="S5" s="237">
        <f>-S4*$C$5</f>
        <v>-172786.17246745763</v>
      </c>
      <c r="T5" s="237"/>
      <c r="U5" s="237">
        <f>-U4*$C$5</f>
        <v>-177105.82677914406</v>
      </c>
      <c r="V5" s="237"/>
      <c r="W5" s="237">
        <f>-W4*$C$5</f>
        <v>-181533.47244862263</v>
      </c>
      <c r="X5" s="237"/>
      <c r="Y5" s="237">
        <f>-Y4*$C$5</f>
        <v>-186071.80925983819</v>
      </c>
      <c r="Z5" s="237"/>
      <c r="AA5" s="237">
        <f>-AA4*$C$5</f>
        <v>-190723.60449133412</v>
      </c>
      <c r="AB5" s="237"/>
      <c r="AC5" s="237">
        <f>-AC4*$C$5</f>
        <v>-195491.69460361745</v>
      </c>
      <c r="AD5" s="237"/>
      <c r="AE5" s="237">
        <f>-AE4*$C$5</f>
        <v>-200378.98696870788</v>
      </c>
      <c r="AF5" s="237"/>
      <c r="AG5" s="237">
        <f>-AG4*$C$5</f>
        <v>-205388.46164292554</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52800</v>
      </c>
      <c r="F8" s="238"/>
      <c r="G8" s="238">
        <f>E8*$C$8</f>
        <v>54119.999999999993</v>
      </c>
      <c r="H8" s="238"/>
      <c r="I8" s="238">
        <f>G8*$C$8</f>
        <v>55472.999999999985</v>
      </c>
      <c r="J8" s="238"/>
      <c r="K8" s="238">
        <f>I8*$C$8</f>
        <v>56859.824999999983</v>
      </c>
      <c r="L8" s="238"/>
      <c r="M8" s="238">
        <f>K8*$C$8</f>
        <v>58281.320624999978</v>
      </c>
      <c r="N8" s="238"/>
      <c r="O8" s="238">
        <f>M8*$C$8</f>
        <v>59738.35364062497</v>
      </c>
      <c r="P8" s="238"/>
      <c r="Q8" s="238">
        <f>O8*$C$8</f>
        <v>61231.812481640591</v>
      </c>
      <c r="R8" s="238"/>
      <c r="S8" s="238">
        <f>Q8*$C$8</f>
        <v>62762.6077936816</v>
      </c>
      <c r="T8" s="238"/>
      <c r="U8" s="238">
        <f>S8*$C$8</f>
        <v>64331.672988523635</v>
      </c>
      <c r="V8" s="238"/>
      <c r="W8" s="238">
        <f>U8*$C$8</f>
        <v>65939.964813236715</v>
      </c>
      <c r="X8" s="238"/>
      <c r="Y8" s="238">
        <f>W8*$C$8</f>
        <v>67588.463933567633</v>
      </c>
      <c r="Z8" s="238"/>
      <c r="AA8" s="238">
        <f>Y8*$C$8</f>
        <v>69278.175531906818</v>
      </c>
      <c r="AB8" s="238"/>
      <c r="AC8" s="238">
        <f>AA8*$C$8</f>
        <v>71010.129920204476</v>
      </c>
      <c r="AD8" s="238"/>
      <c r="AE8" s="238">
        <f>AC8*$C$8</f>
        <v>72785.383168209577</v>
      </c>
      <c r="AF8" s="238"/>
      <c r="AG8" s="238">
        <f>AE8*$C$8</f>
        <v>74605.017747414808</v>
      </c>
    </row>
    <row r="9" spans="1:34" s="225" customFormat="1" ht="14.25">
      <c r="B9" s="225" t="s">
        <v>850</v>
      </c>
      <c r="C9" s="254">
        <f>IF(Application!$D$211="Special Needs",0.1,0.05)</f>
        <v>0.05</v>
      </c>
      <c r="E9" s="237">
        <f>-E8*$C$9</f>
        <v>-2640</v>
      </c>
      <c r="F9" s="237"/>
      <c r="G9" s="237">
        <f>-G8*$C$9</f>
        <v>-2706</v>
      </c>
      <c r="H9" s="237"/>
      <c r="I9" s="237">
        <f>-I8*$C$9</f>
        <v>-2773.6499999999996</v>
      </c>
      <c r="J9" s="237"/>
      <c r="K9" s="237">
        <f>-K8*$C$9</f>
        <v>-2842.9912499999991</v>
      </c>
      <c r="L9" s="237"/>
      <c r="M9" s="237">
        <f>-M8*$C$9</f>
        <v>-2914.066031249999</v>
      </c>
      <c r="N9" s="237"/>
      <c r="O9" s="237">
        <f>-O8*$C$9</f>
        <v>-2986.9176820312487</v>
      </c>
      <c r="P9" s="237"/>
      <c r="Q9" s="237">
        <f>-Q8*$C$9</f>
        <v>-3061.5906240820295</v>
      </c>
      <c r="R9" s="237"/>
      <c r="S9" s="237">
        <f>-S8*$C$9</f>
        <v>-3138.13038968408</v>
      </c>
      <c r="T9" s="237"/>
      <c r="U9" s="237">
        <f>-U8*$C$9</f>
        <v>-3216.5836494261821</v>
      </c>
      <c r="V9" s="237"/>
      <c r="W9" s="237">
        <f>-W8*$C$9</f>
        <v>-3296.998240661836</v>
      </c>
      <c r="X9" s="237"/>
      <c r="Y9" s="237">
        <f>-Y8*$C$9</f>
        <v>-3379.4231966783818</v>
      </c>
      <c r="Z9" s="237"/>
      <c r="AA9" s="237">
        <f>-AA8*$C$9</f>
        <v>-3463.9087765953409</v>
      </c>
      <c r="AB9" s="237"/>
      <c r="AC9" s="237">
        <f>-AC8*$C$9</f>
        <v>-3550.5064960102241</v>
      </c>
      <c r="AD9" s="237"/>
      <c r="AE9" s="237">
        <f>-AE8*$C$9</f>
        <v>-3639.2691584104791</v>
      </c>
      <c r="AF9" s="237"/>
      <c r="AG9" s="237">
        <f>-AG8*$C$9</f>
        <v>-3730.2508873707407</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2811981</v>
      </c>
      <c r="G11" s="239">
        <f>SUM(G4:G10)</f>
        <v>2882280.5249999994</v>
      </c>
      <c r="I11" s="239">
        <f>SUM(I4:I10)</f>
        <v>2954337.5381249995</v>
      </c>
      <c r="K11" s="239">
        <f>SUM(K4:K10)</f>
        <v>3028195.9765781243</v>
      </c>
      <c r="M11" s="239">
        <f>SUM(M4:M10)</f>
        <v>3103900.8759925766</v>
      </c>
      <c r="O11" s="239">
        <f>SUM(O4:O10)</f>
        <v>3181498.3978923908</v>
      </c>
      <c r="Q11" s="239">
        <f>SUM(Q4:Q10)</f>
        <v>3261035.8578396998</v>
      </c>
      <c r="S11" s="239">
        <f>SUM(S4:S10)</f>
        <v>3342561.7542856927</v>
      </c>
      <c r="U11" s="239">
        <f>SUM(U4:U10)</f>
        <v>3426125.7981428346</v>
      </c>
      <c r="W11" s="239">
        <f>SUM(W4:W10)</f>
        <v>3511778.9430964044</v>
      </c>
      <c r="Y11" s="239">
        <f>SUM(Y4:Y10)</f>
        <v>3599573.4166738144</v>
      </c>
      <c r="AA11" s="239">
        <f>SUM(AA4:AA10)</f>
        <v>3689562.7520906599</v>
      </c>
      <c r="AC11" s="239">
        <f>SUM(AC4:AC10)</f>
        <v>3781801.8208929258</v>
      </c>
      <c r="AE11" s="239">
        <f>SUM(AE4:AE10)</f>
        <v>3876346.8664152487</v>
      </c>
      <c r="AG11" s="239">
        <f>SUM(AG4:AG10)</f>
        <v>3973255.5380756292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100000</v>
      </c>
      <c r="G15" s="235">
        <f>E15*$C$14</f>
        <v>103499.99999999999</v>
      </c>
      <c r="I15" s="235">
        <f>G15*$C$14</f>
        <v>107122.49999999997</v>
      </c>
      <c r="K15" s="235">
        <f>I15*$C$14</f>
        <v>110871.78749999996</v>
      </c>
      <c r="M15" s="235">
        <f>K15*$C$14</f>
        <v>114752.30006249995</v>
      </c>
      <c r="O15" s="235">
        <f>M15*$C$14</f>
        <v>118768.63056468744</v>
      </c>
      <c r="Q15" s="235">
        <f>O15*$C$14</f>
        <v>122925.53263445149</v>
      </c>
      <c r="S15" s="235">
        <f>Q15*$C$14</f>
        <v>127227.92627665728</v>
      </c>
      <c r="U15" s="235">
        <f>S15*$C$14</f>
        <v>131680.90369634028</v>
      </c>
      <c r="W15" s="235">
        <f>U15*$C$14</f>
        <v>136289.73532571219</v>
      </c>
      <c r="Y15" s="235">
        <f>W15*$C$14</f>
        <v>141059.8760621121</v>
      </c>
      <c r="AA15" s="235">
        <f>Y15*$C$14</f>
        <v>145996.97172428601</v>
      </c>
      <c r="AC15" s="235">
        <f>AA15*$C$14</f>
        <v>151106.865734636</v>
      </c>
      <c r="AE15" s="235">
        <f>AC15*$C$14</f>
        <v>156395.60603534823</v>
      </c>
      <c r="AG15" s="235">
        <f>AE15*$C$14</f>
        <v>161869.4522465854</v>
      </c>
    </row>
    <row r="16" spans="1:34" s="225" customFormat="1" ht="14.25">
      <c r="A16" s="225" t="s">
        <v>345</v>
      </c>
      <c r="C16" s="249"/>
      <c r="E16" s="238">
        <f>Application!W849</f>
        <v>105600</v>
      </c>
      <c r="F16" s="238"/>
      <c r="G16" s="238">
        <f t="shared" ref="G16:AG21" si="0">E16*$C$14</f>
        <v>109295.99999999999</v>
      </c>
      <c r="H16" s="238"/>
      <c r="I16" s="238">
        <f t="shared" si="0"/>
        <v>113121.35999999997</v>
      </c>
      <c r="J16" s="238"/>
      <c r="K16" s="238">
        <f t="shared" si="0"/>
        <v>117080.60759999996</v>
      </c>
      <c r="L16" s="238"/>
      <c r="M16" s="238">
        <f t="shared" si="0"/>
        <v>121178.42886599994</v>
      </c>
      <c r="N16" s="238"/>
      <c r="O16" s="238">
        <f t="shared" si="0"/>
        <v>125419.67387630993</v>
      </c>
      <c r="P16" s="238"/>
      <c r="Q16" s="238">
        <f t="shared" si="0"/>
        <v>129809.36246198077</v>
      </c>
      <c r="R16" s="238"/>
      <c r="S16" s="238">
        <f t="shared" si="0"/>
        <v>134352.69014815008</v>
      </c>
      <c r="T16" s="238"/>
      <c r="U16" s="238">
        <f t="shared" si="0"/>
        <v>139055.03430333533</v>
      </c>
      <c r="V16" s="238"/>
      <c r="W16" s="238">
        <f t="shared" si="0"/>
        <v>143921.96050395205</v>
      </c>
      <c r="X16" s="238"/>
      <c r="Y16" s="238">
        <f t="shared" si="0"/>
        <v>148959.22912159035</v>
      </c>
      <c r="Z16" s="238"/>
      <c r="AA16" s="238">
        <f t="shared" si="0"/>
        <v>154172.802140846</v>
      </c>
      <c r="AB16" s="238"/>
      <c r="AC16" s="238">
        <f t="shared" si="0"/>
        <v>159568.8502157756</v>
      </c>
      <c r="AD16" s="238"/>
      <c r="AE16" s="238">
        <f t="shared" si="0"/>
        <v>165153.75997332775</v>
      </c>
      <c r="AF16" s="238"/>
      <c r="AG16" s="238">
        <f t="shared" si="0"/>
        <v>170934.1415723942</v>
      </c>
    </row>
    <row r="17" spans="1:33" s="225" customFormat="1" ht="14.25">
      <c r="A17" s="225" t="s">
        <v>570</v>
      </c>
      <c r="C17" s="249"/>
      <c r="E17" s="238">
        <f>Application!W855</f>
        <v>175000</v>
      </c>
      <c r="F17" s="238"/>
      <c r="G17" s="238">
        <f t="shared" si="0"/>
        <v>181125</v>
      </c>
      <c r="H17" s="238"/>
      <c r="I17" s="238">
        <f t="shared" si="0"/>
        <v>187464.375</v>
      </c>
      <c r="J17" s="238"/>
      <c r="K17" s="238">
        <f t="shared" si="0"/>
        <v>194025.62812499999</v>
      </c>
      <c r="L17" s="238"/>
      <c r="M17" s="238">
        <f t="shared" si="0"/>
        <v>200816.52510937498</v>
      </c>
      <c r="N17" s="238"/>
      <c r="O17" s="238">
        <f t="shared" si="0"/>
        <v>207845.10348820308</v>
      </c>
      <c r="P17" s="238"/>
      <c r="Q17" s="238">
        <f t="shared" si="0"/>
        <v>215119.68211029016</v>
      </c>
      <c r="R17" s="238"/>
      <c r="S17" s="238">
        <f t="shared" si="0"/>
        <v>222648.8709841503</v>
      </c>
      <c r="T17" s="238"/>
      <c r="U17" s="238">
        <f t="shared" si="0"/>
        <v>230441.58146859554</v>
      </c>
      <c r="V17" s="238"/>
      <c r="W17" s="238">
        <f t="shared" si="0"/>
        <v>238507.03681999637</v>
      </c>
      <c r="X17" s="238"/>
      <c r="Y17" s="238">
        <f t="shared" si="0"/>
        <v>246854.78310869623</v>
      </c>
      <c r="Z17" s="238"/>
      <c r="AA17" s="238">
        <f t="shared" si="0"/>
        <v>255494.70051750058</v>
      </c>
      <c r="AB17" s="238"/>
      <c r="AC17" s="238">
        <f t="shared" si="0"/>
        <v>264437.01503561309</v>
      </c>
      <c r="AD17" s="238"/>
      <c r="AE17" s="238">
        <f t="shared" si="0"/>
        <v>273692.31056185951</v>
      </c>
      <c r="AF17" s="238"/>
      <c r="AG17" s="238">
        <f t="shared" si="0"/>
        <v>283271.54143152456</v>
      </c>
    </row>
    <row r="18" spans="1:33" s="225" customFormat="1" ht="14.25">
      <c r="A18" s="225" t="s">
        <v>854</v>
      </c>
      <c r="C18" s="249"/>
      <c r="E18" s="238">
        <f>Application!W862</f>
        <v>280000</v>
      </c>
      <c r="F18" s="238"/>
      <c r="G18" s="238">
        <f t="shared" si="0"/>
        <v>289800</v>
      </c>
      <c r="H18" s="238"/>
      <c r="I18" s="238">
        <f t="shared" si="0"/>
        <v>299943</v>
      </c>
      <c r="J18" s="238"/>
      <c r="K18" s="238">
        <f t="shared" si="0"/>
        <v>310441.005</v>
      </c>
      <c r="L18" s="238"/>
      <c r="M18" s="238">
        <f t="shared" si="0"/>
        <v>321306.440175</v>
      </c>
      <c r="N18" s="238"/>
      <c r="O18" s="238">
        <f t="shared" si="0"/>
        <v>332552.16558112495</v>
      </c>
      <c r="P18" s="238"/>
      <c r="Q18" s="238">
        <f t="shared" si="0"/>
        <v>344191.49137646431</v>
      </c>
      <c r="R18" s="238"/>
      <c r="S18" s="238">
        <f t="shared" si="0"/>
        <v>356238.19357464055</v>
      </c>
      <c r="T18" s="238"/>
      <c r="U18" s="238">
        <f t="shared" si="0"/>
        <v>368706.53034975292</v>
      </c>
      <c r="V18" s="238"/>
      <c r="W18" s="238">
        <f t="shared" si="0"/>
        <v>381611.25891199423</v>
      </c>
      <c r="X18" s="238"/>
      <c r="Y18" s="238">
        <f t="shared" si="0"/>
        <v>394967.652973914</v>
      </c>
      <c r="Z18" s="238"/>
      <c r="AA18" s="238">
        <f t="shared" si="0"/>
        <v>408791.52082800097</v>
      </c>
      <c r="AB18" s="238"/>
      <c r="AC18" s="238">
        <f t="shared" si="0"/>
        <v>423099.22405698098</v>
      </c>
      <c r="AD18" s="238"/>
      <c r="AE18" s="238">
        <f t="shared" si="0"/>
        <v>437907.69689897529</v>
      </c>
      <c r="AF18" s="238"/>
      <c r="AG18" s="238">
        <f t="shared" si="0"/>
        <v>453234.46629043942</v>
      </c>
    </row>
    <row r="19" spans="1:33" s="225" customFormat="1" ht="14.25">
      <c r="A19" s="225" t="s">
        <v>155</v>
      </c>
      <c r="C19" s="249"/>
      <c r="E19" s="238">
        <f>Application!W863</f>
        <v>64400</v>
      </c>
      <c r="F19" s="238"/>
      <c r="G19" s="238">
        <f t="shared" si="0"/>
        <v>66654</v>
      </c>
      <c r="H19" s="238"/>
      <c r="I19" s="238">
        <f t="shared" si="0"/>
        <v>68986.89</v>
      </c>
      <c r="J19" s="238"/>
      <c r="K19" s="238">
        <f t="shared" si="0"/>
        <v>71401.431149999989</v>
      </c>
      <c r="L19" s="238"/>
      <c r="M19" s="238">
        <f t="shared" si="0"/>
        <v>73900.481240249981</v>
      </c>
      <c r="N19" s="238"/>
      <c r="O19" s="238">
        <f t="shared" si="0"/>
        <v>76486.99808365872</v>
      </c>
      <c r="P19" s="238"/>
      <c r="Q19" s="238">
        <f t="shared" si="0"/>
        <v>79164.043016586773</v>
      </c>
      <c r="R19" s="238"/>
      <c r="S19" s="238">
        <f t="shared" si="0"/>
        <v>81934.784522167305</v>
      </c>
      <c r="T19" s="238"/>
      <c r="U19" s="238">
        <f t="shared" si="0"/>
        <v>84802.50198044315</v>
      </c>
      <c r="V19" s="238"/>
      <c r="W19" s="238">
        <f t="shared" si="0"/>
        <v>87770.589549758661</v>
      </c>
      <c r="X19" s="238"/>
      <c r="Y19" s="238">
        <f t="shared" si="0"/>
        <v>90842.560184000205</v>
      </c>
      <c r="Z19" s="238"/>
      <c r="AA19" s="238">
        <f t="shared" si="0"/>
        <v>94022.0497904402</v>
      </c>
      <c r="AB19" s="238"/>
      <c r="AC19" s="238">
        <f t="shared" si="0"/>
        <v>97312.821533105598</v>
      </c>
      <c r="AD19" s="238"/>
      <c r="AE19" s="238">
        <f t="shared" si="0"/>
        <v>100718.77028676428</v>
      </c>
      <c r="AF19" s="238"/>
      <c r="AG19" s="238">
        <f t="shared" si="0"/>
        <v>104243.92724680102</v>
      </c>
    </row>
    <row r="20" spans="1:33" s="225" customFormat="1" ht="14.25">
      <c r="A20" s="225" t="s">
        <v>391</v>
      </c>
      <c r="C20" s="249"/>
      <c r="E20" s="238">
        <f>Application!W872</f>
        <v>155000</v>
      </c>
      <c r="F20" s="238"/>
      <c r="G20" s="238">
        <f t="shared" si="0"/>
        <v>160425</v>
      </c>
      <c r="H20" s="238"/>
      <c r="I20" s="238">
        <f t="shared" si="0"/>
        <v>166039.875</v>
      </c>
      <c r="J20" s="238"/>
      <c r="K20" s="238">
        <f t="shared" si="0"/>
        <v>171851.27062499998</v>
      </c>
      <c r="L20" s="238"/>
      <c r="M20" s="238">
        <f t="shared" si="0"/>
        <v>177866.06509687495</v>
      </c>
      <c r="N20" s="238"/>
      <c r="O20" s="238">
        <f t="shared" si="0"/>
        <v>184091.37737526555</v>
      </c>
      <c r="P20" s="238"/>
      <c r="Q20" s="238">
        <f t="shared" si="0"/>
        <v>190534.57558339983</v>
      </c>
      <c r="R20" s="238"/>
      <c r="S20" s="238">
        <f t="shared" si="0"/>
        <v>197203.2857288188</v>
      </c>
      <c r="T20" s="238"/>
      <c r="U20" s="238">
        <f t="shared" si="0"/>
        <v>204105.40072932743</v>
      </c>
      <c r="V20" s="238"/>
      <c r="W20" s="238">
        <f t="shared" si="0"/>
        <v>211249.08975485386</v>
      </c>
      <c r="X20" s="238"/>
      <c r="Y20" s="238">
        <f t="shared" si="0"/>
        <v>218642.80789627373</v>
      </c>
      <c r="Z20" s="238"/>
      <c r="AA20" s="238">
        <f t="shared" si="0"/>
        <v>226295.30617264329</v>
      </c>
      <c r="AB20" s="238"/>
      <c r="AC20" s="238">
        <f t="shared" si="0"/>
        <v>234215.64188868579</v>
      </c>
      <c r="AD20" s="238"/>
      <c r="AE20" s="238">
        <f t="shared" si="0"/>
        <v>242413.18935478976</v>
      </c>
      <c r="AF20" s="238"/>
      <c r="AG20" s="238">
        <f t="shared" si="0"/>
        <v>250897.65098220739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880000</v>
      </c>
      <c r="G22" s="239">
        <f>SUM(G15:G21)</f>
        <v>910800</v>
      </c>
      <c r="I22" s="239">
        <f>SUM(I15:I21)</f>
        <v>942677.99999999988</v>
      </c>
      <c r="K22" s="239">
        <f>SUM(K15:K21)</f>
        <v>975671.72999999986</v>
      </c>
      <c r="M22" s="239">
        <f>SUM(M15:M21)</f>
        <v>1009820.2405499998</v>
      </c>
      <c r="O22" s="239">
        <f>SUM(O15:O21)</f>
        <v>1045163.9489692497</v>
      </c>
      <c r="Q22" s="239">
        <f>SUM(Q15:Q21)</f>
        <v>1081744.6871831734</v>
      </c>
      <c r="S22" s="239">
        <f>SUM(S15:S21)</f>
        <v>1119605.7512345843</v>
      </c>
      <c r="U22" s="239">
        <f>SUM(U15:U21)</f>
        <v>1158791.9525277945</v>
      </c>
      <c r="W22" s="239">
        <f>SUM(W15:W21)</f>
        <v>1199349.6708662673</v>
      </c>
      <c r="Y22" s="239">
        <f>SUM(Y15:Y21)</f>
        <v>1241326.9093465866</v>
      </c>
      <c r="AA22" s="239">
        <f>SUM(AA15:AA21)</f>
        <v>1284773.3511737171</v>
      </c>
      <c r="AC22" s="239">
        <f>SUM(AC15:AC21)</f>
        <v>1329740.4184647971</v>
      </c>
      <c r="AE22" s="239">
        <f>SUM(AE15:AE21)</f>
        <v>1376281.3331110647</v>
      </c>
      <c r="AG22" s="239">
        <f>SUM(AG15:AG21)</f>
        <v>1424451.1797699521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28500</v>
      </c>
      <c r="F27" s="238"/>
      <c r="G27" s="238">
        <f>E27*$C$27</f>
        <v>29497.499999999996</v>
      </c>
      <c r="H27" s="238"/>
      <c r="I27" s="238">
        <f>G27*$C$27</f>
        <v>30529.912499999995</v>
      </c>
      <c r="J27" s="238"/>
      <c r="K27" s="238">
        <f>I27*$C$27</f>
        <v>31598.459437499991</v>
      </c>
      <c r="L27" s="238"/>
      <c r="M27" s="238">
        <f>K27*$C$27</f>
        <v>32704.405517812487</v>
      </c>
      <c r="N27" s="238"/>
      <c r="O27" s="238">
        <f>M27*$C$27</f>
        <v>33849.059710935922</v>
      </c>
      <c r="P27" s="238"/>
      <c r="Q27" s="238">
        <f>O27*$C$27</f>
        <v>35033.776800818676</v>
      </c>
      <c r="R27" s="238"/>
      <c r="S27" s="238">
        <f>Q27*$C$27</f>
        <v>36259.958988847327</v>
      </c>
      <c r="T27" s="238"/>
      <c r="U27" s="238">
        <f>S27*$C$27</f>
        <v>37529.05755345698</v>
      </c>
      <c r="V27" s="238"/>
      <c r="W27" s="238">
        <f>U27*$C$27</f>
        <v>38842.574567827971</v>
      </c>
      <c r="X27" s="238"/>
      <c r="Y27" s="238">
        <f>W27*$C$27</f>
        <v>40202.06467770195</v>
      </c>
      <c r="Z27" s="238"/>
      <c r="AA27" s="238">
        <f>Y27*$C$27</f>
        <v>41609.136941421515</v>
      </c>
      <c r="AB27" s="238"/>
      <c r="AC27" s="238">
        <f>AA27*$C$27</f>
        <v>43065.456734371262</v>
      </c>
      <c r="AD27" s="238"/>
      <c r="AE27" s="238">
        <f>AC27*$C$27</f>
        <v>44572.747720074251</v>
      </c>
      <c r="AF27" s="238"/>
      <c r="AG27" s="238">
        <f>AE27*$C$27</f>
        <v>46132.793890276844</v>
      </c>
    </row>
    <row r="28" spans="1:33" s="225" customFormat="1" ht="14.25">
      <c r="A28" s="225" t="s">
        <v>858</v>
      </c>
      <c r="C28" s="253"/>
      <c r="E28" s="238">
        <f>Application!AC889</f>
        <v>44000</v>
      </c>
      <c r="F28" s="238"/>
      <c r="G28" s="238">
        <f>$E$28</f>
        <v>44000</v>
      </c>
      <c r="H28" s="238"/>
      <c r="I28" s="238">
        <f>$E$28</f>
        <v>44000</v>
      </c>
      <c r="J28" s="238"/>
      <c r="K28" s="238">
        <f>$E$28</f>
        <v>44000</v>
      </c>
      <c r="L28" s="238"/>
      <c r="M28" s="238">
        <f>$E$28</f>
        <v>44000</v>
      </c>
      <c r="N28" s="238"/>
      <c r="O28" s="238">
        <f>$E$28</f>
        <v>44000</v>
      </c>
      <c r="P28" s="238"/>
      <c r="Q28" s="238">
        <f>$E$28</f>
        <v>44000</v>
      </c>
      <c r="R28" s="238"/>
      <c r="S28" s="238">
        <f>$E$28</f>
        <v>44000</v>
      </c>
      <c r="T28" s="238"/>
      <c r="U28" s="238">
        <f>$E$28</f>
        <v>44000</v>
      </c>
      <c r="V28" s="238"/>
      <c r="W28" s="238">
        <f>$E$28</f>
        <v>44000</v>
      </c>
      <c r="X28" s="238"/>
      <c r="Y28" s="238">
        <f>$E$28</f>
        <v>44000</v>
      </c>
      <c r="Z28" s="238"/>
      <c r="AA28" s="238">
        <f>$E$28</f>
        <v>44000</v>
      </c>
      <c r="AB28" s="238"/>
      <c r="AC28" s="238">
        <f>$E$28</f>
        <v>44000</v>
      </c>
      <c r="AD28" s="238"/>
      <c r="AE28" s="238">
        <f>$E$28</f>
        <v>44000</v>
      </c>
      <c r="AF28" s="238"/>
      <c r="AG28" s="238">
        <f>$E$28</f>
        <v>44000</v>
      </c>
    </row>
    <row r="29" spans="1:33" s="225" customFormat="1" ht="14.25">
      <c r="A29" s="225" t="s">
        <v>1870</v>
      </c>
      <c r="C29" s="253"/>
      <c r="E29" s="238">
        <f>Application!AC890</f>
        <v>11100</v>
      </c>
      <c r="F29" s="238"/>
      <c r="G29" s="238">
        <f>$E$29</f>
        <v>11100</v>
      </c>
      <c r="H29" s="238"/>
      <c r="I29" s="238">
        <f>$E$29</f>
        <v>11100</v>
      </c>
      <c r="J29" s="238"/>
      <c r="K29" s="238">
        <f>$E$29</f>
        <v>11100</v>
      </c>
      <c r="L29" s="238"/>
      <c r="M29" s="238">
        <f>$E$29</f>
        <v>11100</v>
      </c>
      <c r="N29" s="238"/>
      <c r="O29" s="238">
        <f>$E$29</f>
        <v>11100</v>
      </c>
      <c r="P29" s="238"/>
      <c r="Q29" s="238">
        <f>$E$29</f>
        <v>11100</v>
      </c>
      <c r="R29" s="238"/>
      <c r="S29" s="238">
        <f>$E$29</f>
        <v>11100</v>
      </c>
      <c r="T29" s="238"/>
      <c r="U29" s="238">
        <f>$E$29</f>
        <v>11100</v>
      </c>
      <c r="V29" s="238"/>
      <c r="W29" s="238">
        <f>$E$29</f>
        <v>11100</v>
      </c>
      <c r="X29" s="238"/>
      <c r="Y29" s="238">
        <f>$E$29</f>
        <v>11100</v>
      </c>
      <c r="Z29" s="238"/>
      <c r="AA29" s="238">
        <f>$E$29</f>
        <v>11100</v>
      </c>
      <c r="AB29" s="238"/>
      <c r="AC29" s="238">
        <f>$E$29</f>
        <v>11100</v>
      </c>
      <c r="AD29" s="238"/>
      <c r="AE29" s="238">
        <f>$E$29</f>
        <v>11100</v>
      </c>
      <c r="AF29" s="238"/>
      <c r="AG29" s="238">
        <f>$E$29</f>
        <v>11100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963600</v>
      </c>
      <c r="G35" s="239">
        <f>SUM(G22:G33)</f>
        <v>995397.5</v>
      </c>
      <c r="I35" s="239">
        <f>SUM(I22:I33)</f>
        <v>1028307.9124999999</v>
      </c>
      <c r="K35" s="239">
        <f>SUM(K22:K33)</f>
        <v>1062370.1894374997</v>
      </c>
      <c r="M35" s="239">
        <f>SUM(M22:M33)</f>
        <v>1097624.6460678121</v>
      </c>
      <c r="O35" s="239">
        <f>SUM(O22:O33)</f>
        <v>1134113.0086801858</v>
      </c>
      <c r="Q35" s="239">
        <f>SUM(Q22:Q33)</f>
        <v>1171878.4639839921</v>
      </c>
      <c r="S35" s="239">
        <f>SUM(S22:S33)</f>
        <v>1210965.7102234317</v>
      </c>
      <c r="U35" s="239">
        <f>SUM(U22:U33)</f>
        <v>1251421.0100812516</v>
      </c>
      <c r="W35" s="239">
        <f>SUM(W22:W33)</f>
        <v>1293292.2454340952</v>
      </c>
      <c r="Y35" s="239">
        <f>SUM(Y22:Y33)</f>
        <v>1336628.9740242886</v>
      </c>
      <c r="AA35" s="239">
        <f>SUM(AA22:AA33)</f>
        <v>1381482.4881151386</v>
      </c>
      <c r="AC35" s="239">
        <f>SUM(AC22:AC33)</f>
        <v>1427905.8751991685</v>
      </c>
      <c r="AE35" s="239">
        <f>SUM(AE22:AE33)</f>
        <v>1475954.0808311389</v>
      </c>
      <c r="AG35" s="239">
        <f>SUM(AG22:AG33)</f>
        <v>1525683.973660229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1848381</v>
      </c>
      <c r="G37" s="239">
        <f>G11-G35</f>
        <v>1886883.0249999994</v>
      </c>
      <c r="I37" s="239">
        <f>I11-I35</f>
        <v>1926029.6256249996</v>
      </c>
      <c r="K37" s="239">
        <f>K11-K35</f>
        <v>1965825.7871406246</v>
      </c>
      <c r="M37" s="239">
        <f>M11-M35</f>
        <v>2006276.2299247645</v>
      </c>
      <c r="O37" s="239">
        <f>O11-O35</f>
        <v>2047385.3892122051</v>
      </c>
      <c r="Q37" s="239">
        <f>Q11-Q35</f>
        <v>2089157.3938557077</v>
      </c>
      <c r="S37" s="239">
        <f>S11-S35</f>
        <v>2131596.044062261</v>
      </c>
      <c r="U37" s="239">
        <f>U11-U35</f>
        <v>2174704.7880615829</v>
      </c>
      <c r="W37" s="239">
        <f>W11-W35</f>
        <v>2218486.6976623093</v>
      </c>
      <c r="Y37" s="239">
        <f>Y11-Y35</f>
        <v>2262944.4426495256</v>
      </c>
      <c r="AA37" s="239">
        <f>AA11-AA35</f>
        <v>2308080.2639755215</v>
      </c>
      <c r="AC37" s="239">
        <f>AC11-AC35</f>
        <v>2353895.9456937574</v>
      </c>
      <c r="AE37" s="239">
        <f>AE11-AE35</f>
        <v>2400392.7855841098</v>
      </c>
      <c r="AG37" s="239">
        <f>AG11-AG35</f>
        <v>2447571.5644153999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1607166</v>
      </c>
      <c r="F40" s="238"/>
      <c r="G40" s="238">
        <f>$E$40</f>
        <v>1607166</v>
      </c>
      <c r="H40" s="238"/>
      <c r="I40" s="238">
        <f>$E$40</f>
        <v>1607166</v>
      </c>
      <c r="J40" s="238"/>
      <c r="K40" s="238">
        <f>$E$40</f>
        <v>1607166</v>
      </c>
      <c r="L40" s="238"/>
      <c r="M40" s="238">
        <f>$E$40</f>
        <v>1607166</v>
      </c>
      <c r="N40" s="238"/>
      <c r="O40" s="238">
        <f>$E$40</f>
        <v>1607166</v>
      </c>
      <c r="P40" s="238"/>
      <c r="Q40" s="238">
        <f>$E$40</f>
        <v>1607166</v>
      </c>
      <c r="R40" s="238"/>
      <c r="S40" s="238">
        <f>$E$40</f>
        <v>1607166</v>
      </c>
      <c r="T40" s="238"/>
      <c r="U40" s="238">
        <f>$E$40</f>
        <v>1607166</v>
      </c>
      <c r="V40" s="238"/>
      <c r="W40" s="238">
        <f>$E$40</f>
        <v>1607166</v>
      </c>
      <c r="X40" s="238"/>
      <c r="Y40" s="238">
        <f>$E$40</f>
        <v>1607166</v>
      </c>
      <c r="Z40" s="238"/>
      <c r="AA40" s="238">
        <f>$E$40</f>
        <v>1607166</v>
      </c>
      <c r="AB40" s="238"/>
      <c r="AC40" s="238">
        <f>$E$40</f>
        <v>1607166</v>
      </c>
      <c r="AD40" s="238"/>
      <c r="AE40" s="238">
        <f>$E$40</f>
        <v>1607166</v>
      </c>
      <c r="AF40" s="238"/>
      <c r="AG40" s="238">
        <f>$E$40</f>
        <v>1607166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1607166</v>
      </c>
      <c r="G43" s="239">
        <f>SUM(G40:G42)</f>
        <v>1607166</v>
      </c>
      <c r="I43" s="239">
        <f>SUM(I40:I42)</f>
        <v>1607166</v>
      </c>
      <c r="K43" s="239">
        <f>SUM(K40:K42)</f>
        <v>1607166</v>
      </c>
      <c r="M43" s="239">
        <f>SUM(M40:M42)</f>
        <v>1607166</v>
      </c>
      <c r="O43" s="239">
        <f>SUM(O40:O42)</f>
        <v>1607166</v>
      </c>
      <c r="Q43" s="239">
        <f>SUM(Q40:Q42)</f>
        <v>1607166</v>
      </c>
      <c r="S43" s="239">
        <f>SUM(S40:S42)</f>
        <v>1607166</v>
      </c>
      <c r="U43" s="239">
        <f>SUM(U40:U42)</f>
        <v>1607166</v>
      </c>
      <c r="W43" s="239">
        <f>SUM(W40:W42)</f>
        <v>1607166</v>
      </c>
      <c r="Y43" s="239">
        <f>SUM(Y40:Y42)</f>
        <v>1607166</v>
      </c>
      <c r="AA43" s="239">
        <f>SUM(AA40:AA42)</f>
        <v>1607166</v>
      </c>
      <c r="AC43" s="239">
        <f>SUM(AC40:AC42)</f>
        <v>1607166</v>
      </c>
      <c r="AE43" s="239">
        <f>SUM(AE40:AE42)</f>
        <v>1607166</v>
      </c>
      <c r="AG43" s="239">
        <f>SUM(AG40:AG42)</f>
        <v>1607166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241215</v>
      </c>
      <c r="G45" s="239">
        <f>G37-G43</f>
        <v>279717.02499999944</v>
      </c>
      <c r="I45" s="239">
        <f>I37-I43</f>
        <v>318863.62562499964</v>
      </c>
      <c r="K45" s="239">
        <f>K37-K43</f>
        <v>358659.7871406246</v>
      </c>
      <c r="M45" s="239">
        <f>M37-M43</f>
        <v>399110.22992476448</v>
      </c>
      <c r="O45" s="239">
        <f>O37-O43</f>
        <v>440219.38921220507</v>
      </c>
      <c r="Q45" s="239">
        <f>Q37-Q43</f>
        <v>481991.39385570772</v>
      </c>
      <c r="S45" s="239">
        <f>S37-S43</f>
        <v>524430.044062261</v>
      </c>
      <c r="U45" s="239">
        <f>U37-U43</f>
        <v>567538.78806158295</v>
      </c>
      <c r="W45" s="239">
        <f>W37-W43</f>
        <v>611320.69766230928</v>
      </c>
      <c r="Y45" s="239">
        <f>Y37-Y43</f>
        <v>655778.44264952559</v>
      </c>
      <c r="AA45" s="239">
        <f>AA37-AA43</f>
        <v>700914.26397552155</v>
      </c>
      <c r="AC45" s="239">
        <f>AC37-AC43</f>
        <v>746729.94569375739</v>
      </c>
      <c r="AE45" s="239">
        <f>AE37-AE43</f>
        <v>793226.78558410984</v>
      </c>
      <c r="AG45" s="239">
        <f>AG37-AG43</f>
        <v>840405.56441539992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8.1492104676382945E-2</v>
      </c>
      <c r="G47" s="243">
        <f>G45/(G4+G6+G8)</f>
        <v>9.2194764335091745E-2</v>
      </c>
      <c r="I47" s="243">
        <f>I45/(I4+I6+I8)</f>
        <v>0.10253413512661834</v>
      </c>
      <c r="K47" s="243">
        <f>K45/(K4+K6+K8)</f>
        <v>0.11251808020979416</v>
      </c>
      <c r="M47" s="243">
        <f>M45/(M4+M6+M8)</f>
        <v>0.12215426122694036</v>
      </c>
      <c r="O47" s="243">
        <f>O45/(O4+O6+O8)</f>
        <v>0.13145014312395706</v>
      </c>
      <c r="Q47" s="243">
        <f>Q45/(Q4+Q6+Q8)</f>
        <v>0.14041299885192202</v>
      </c>
      <c r="S47" s="243">
        <f>S45/(S4+S6+S8)</f>
        <v>0.14904991395308281</v>
      </c>
      <c r="U47" s="243">
        <f>U45/(U4+U6+U8)</f>
        <v>0.15736779103404838</v>
      </c>
      <c r="W47" s="243">
        <f>W45/(W4+W6+W8)</f>
        <v>0.1653733541289279</v>
      </c>
      <c r="Y47" s="243">
        <f>Y45/(Y4+Y6+Y8)</f>
        <v>0.17307315295508621</v>
      </c>
      <c r="AA47" s="243">
        <f>AA45/(AA4+AA6+AA8)</f>
        <v>0.18047356706412884</v>
      </c>
      <c r="AC47" s="243">
        <f>AC45/(AC4+AC6+AC8)</f>
        <v>0.18758080989066048</v>
      </c>
      <c r="AE47" s="243">
        <f>AE45/(AE4+AE6+AE8)</f>
        <v>0.19440093270130479</v>
      </c>
      <c r="AG47" s="243">
        <f>AG45/(AG4+AG6+AG8)</f>
        <v>0.20093982844640107</v>
      </c>
    </row>
    <row r="48" spans="1:33" s="243" customFormat="1" ht="14.25">
      <c r="A48" s="243" t="s">
        <v>864</v>
      </c>
      <c r="C48" s="236"/>
      <c r="E48" s="243">
        <f>E45/E43</f>
        <v>0.15008717207805541</v>
      </c>
      <c r="G48" s="243">
        <f>G45/G43</f>
        <v>0.17404364266043423</v>
      </c>
      <c r="I48" s="243">
        <f>I45/I43</f>
        <v>0.19840117674527685</v>
      </c>
      <c r="K48" s="243">
        <f>K45/K43</f>
        <v>0.22316287623097092</v>
      </c>
      <c r="M48" s="243">
        <f>M45/M43</f>
        <v>0.24833167819924296</v>
      </c>
      <c r="O48" s="243">
        <f>O45/O43</f>
        <v>0.27391034231199829</v>
      </c>
      <c r="Q48" s="243">
        <f>Q45/Q43</f>
        <v>0.29990143759618343</v>
      </c>
      <c r="S48" s="243">
        <f>S45/S43</f>
        <v>0.32630732859098627</v>
      </c>
      <c r="U48" s="243">
        <f>U45/U43</f>
        <v>0.353130160830669</v>
      </c>
      <c r="W48" s="243">
        <f>W45/W43</f>
        <v>0.38037184563530418</v>
      </c>
      <c r="Y48" s="243">
        <f>Y45/Y43</f>
        <v>0.4080340441805797</v>
      </c>
      <c r="AA48" s="243">
        <f>AA45/AA43</f>
        <v>0.43611815081673055</v>
      </c>
      <c r="AC48" s="243">
        <f>AC45/AC43</f>
        <v>0.46462527560548034</v>
      </c>
      <c r="AE48" s="243">
        <f>AE45/AE43</f>
        <v>0.49355622604268001</v>
      </c>
      <c r="AG48" s="243">
        <f>AG45/AG43</f>
        <v>0.52291148793304487</v>
      </c>
    </row>
    <row r="49" spans="1:35" s="244" customFormat="1" ht="14.25">
      <c r="A49" s="244" t="s">
        <v>862</v>
      </c>
      <c r="C49" s="245"/>
      <c r="E49" s="244">
        <f>E37/E43</f>
        <v>1.1500871720780554</v>
      </c>
      <c r="G49" s="244">
        <f>G37/G43</f>
        <v>1.1740436426604342</v>
      </c>
      <c r="I49" s="244">
        <f>I37/I43</f>
        <v>1.1984011767452769</v>
      </c>
      <c r="K49" s="244">
        <f>K37/K43</f>
        <v>1.223162876230971</v>
      </c>
      <c r="M49" s="244">
        <f>M37/M43</f>
        <v>1.2483316781992428</v>
      </c>
      <c r="O49" s="244">
        <f>O37/O43</f>
        <v>1.2739103423119984</v>
      </c>
      <c r="Q49" s="244">
        <f>Q37/Q43</f>
        <v>1.2999014375961835</v>
      </c>
      <c r="S49" s="244">
        <f>S37/S43</f>
        <v>1.3263073285909863</v>
      </c>
      <c r="U49" s="244">
        <f>U37/U43</f>
        <v>1.3531301608306689</v>
      </c>
      <c r="W49" s="244">
        <f>W37/W43</f>
        <v>1.3803718456353042</v>
      </c>
      <c r="Y49" s="244">
        <f>Y37/Y43</f>
        <v>1.4080340441805796</v>
      </c>
      <c r="AA49" s="244">
        <f>AA37/AA43</f>
        <v>1.4361181508167304</v>
      </c>
      <c r="AC49" s="244">
        <f>AC37/AC43</f>
        <v>1.4646252756054803</v>
      </c>
      <c r="AE49" s="244">
        <f>AE37/AE43</f>
        <v>1.49355622604268</v>
      </c>
      <c r="AG49" s="244">
        <f>AG37/AG43</f>
        <v>1.5229114879330448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1291</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867</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231215</v>
      </c>
      <c r="G60" s="997">
        <f>G45-G58</f>
        <v>269417.02499999944</v>
      </c>
      <c r="I60" s="997">
        <f>I45-I58</f>
        <v>308254.62562499964</v>
      </c>
      <c r="K60" s="997">
        <f>K45-K58</f>
        <v>347732.51714062458</v>
      </c>
      <c r="M60" s="997">
        <f>M45-M58</f>
        <v>387855.14182476449</v>
      </c>
      <c r="O60" s="997">
        <f>O45-O58</f>
        <v>428626.64846920507</v>
      </c>
      <c r="Q60" s="997">
        <f>Q45-Q58</f>
        <v>470050.87089041772</v>
      </c>
      <c r="S60" s="997">
        <f>S45-S58</f>
        <v>512131.3054080123</v>
      </c>
      <c r="U60" s="997">
        <f>U45-U58</f>
        <v>554871.08724770683</v>
      </c>
      <c r="W60" s="997">
        <f>W45-W58</f>
        <v>598272.96582401684</v>
      </c>
      <c r="Y60" s="997">
        <f>Y45-Y58</f>
        <v>642339.27885608433</v>
      </c>
      <c r="AA60" s="997">
        <f>AA45-AA58</f>
        <v>687071.92526827706</v>
      </c>
      <c r="AC60" s="997">
        <f>AC45-AC58</f>
        <v>732472.33682529558</v>
      </c>
      <c r="AE60" s="997">
        <f>AE45-AE58</f>
        <v>778541.4484495942</v>
      </c>
      <c r="AG60" s="997">
        <f>AG45-AG58</f>
        <v>825279.66716684878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231215</v>
      </c>
      <c r="G62" s="997">
        <f>G60*$C$62</f>
        <v>269417.02499999944</v>
      </c>
      <c r="I62" s="997">
        <f>I60*$C$62</f>
        <v>308254.62562499964</v>
      </c>
      <c r="K62" s="997">
        <f>K60*$C$62</f>
        <v>347732.51714062458</v>
      </c>
      <c r="M62" s="997">
        <f>M60*$C$62</f>
        <v>387855.14182476449</v>
      </c>
      <c r="O62" s="997">
        <f>O60*$C$62</f>
        <v>428626.64846920507</v>
      </c>
      <c r="Q62" s="997">
        <f>Q60*$C$62</f>
        <v>470050.87089041772</v>
      </c>
      <c r="S62" s="997">
        <f>S60*$C$62</f>
        <v>512131.3054080123</v>
      </c>
      <c r="U62" s="997">
        <f>U60*$C$62</f>
        <v>554871.08724770683</v>
      </c>
      <c r="W62" s="997">
        <f>W60*$C$62</f>
        <v>598272.96582401684</v>
      </c>
      <c r="Y62" s="997">
        <f>Y60*$C$62</f>
        <v>642339.27885608433</v>
      </c>
      <c r="AA62" s="997">
        <f>AA60*$C$62</f>
        <v>687071.92526827706</v>
      </c>
      <c r="AC62" s="997">
        <f>AC60*$C$62</f>
        <v>732472.33682529558</v>
      </c>
      <c r="AE62" s="997">
        <f>AE60*$C$62</f>
        <v>778541.4484495942</v>
      </c>
      <c r="AG62" s="997">
        <v>504955</v>
      </c>
    </row>
    <row r="63" spans="1:35" s="997" customFormat="1">
      <c r="A63" s="2678" t="s">
        <v>1291</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320324.66716684878</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6" t="s">
        <v>1912</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2000000</v>
      </c>
      <c r="C5" s="286">
        <f>'Sources and Uses Budget'!$C4</f>
        <v>2000000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2000000</v>
      </c>
      <c r="C9" s="290">
        <f>SUM(C5:C8)</f>
        <v>2000000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73689</v>
      </c>
      <c r="C11" s="286">
        <f>'Sources and Uses Budget'!$C10</f>
        <v>73689</v>
      </c>
      <c r="D11" s="290">
        <f t="shared" si="0"/>
        <v>0</v>
      </c>
      <c r="E11" s="288"/>
      <c r="F11" s="287"/>
      <c r="G11" s="383"/>
    </row>
    <row r="12" spans="1:7" s="380" customFormat="1">
      <c r="A12" s="396" t="s">
        <v>605</v>
      </c>
      <c r="B12" s="290">
        <f>SUM(B10:B11)</f>
        <v>73689</v>
      </c>
      <c r="C12" s="290">
        <f>SUM(C10:C11)</f>
        <v>73689</v>
      </c>
      <c r="D12" s="290">
        <f t="shared" si="0"/>
        <v>0</v>
      </c>
      <c r="E12" s="288"/>
      <c r="F12" s="287"/>
      <c r="G12" s="383"/>
    </row>
    <row r="13" spans="1:7" s="380" customFormat="1">
      <c r="A13" s="396" t="s">
        <v>84</v>
      </c>
      <c r="B13" s="290">
        <f>SUM(B9+B12)</f>
        <v>2073689</v>
      </c>
      <c r="C13" s="290">
        <f>SUM(C9+C12)</f>
        <v>2073689</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2000000</v>
      </c>
      <c r="C30" s="286">
        <f>'Sources and Uses Budget'!$C29</f>
        <v>2000000</v>
      </c>
      <c r="D30" s="290">
        <f t="shared" si="0"/>
        <v>0</v>
      </c>
      <c r="E30" s="288"/>
      <c r="F30" s="287"/>
      <c r="G30" s="383"/>
    </row>
    <row r="31" spans="1:7" s="380" customFormat="1">
      <c r="A31" s="145" t="s">
        <v>608</v>
      </c>
      <c r="B31" s="286">
        <f>'Sources and Uses Budget'!$C30</f>
        <v>34309598</v>
      </c>
      <c r="C31" s="286">
        <f>'Sources and Uses Budget'!$C30</f>
        <v>34309598</v>
      </c>
      <c r="D31" s="290">
        <f t="shared" si="0"/>
        <v>0</v>
      </c>
      <c r="E31" s="288"/>
      <c r="F31" s="287"/>
      <c r="G31" s="383"/>
    </row>
    <row r="32" spans="1:7" s="380" customFormat="1">
      <c r="A32" s="145" t="s">
        <v>609</v>
      </c>
      <c r="B32" s="286">
        <f>'Sources and Uses Budget'!$C31</f>
        <v>442134</v>
      </c>
      <c r="C32" s="286">
        <f>'Sources and Uses Budget'!$C31</f>
        <v>442134</v>
      </c>
      <c r="D32" s="290">
        <f t="shared" si="0"/>
        <v>0</v>
      </c>
      <c r="E32" s="288"/>
      <c r="F32" s="287"/>
      <c r="G32" s="383"/>
    </row>
    <row r="33" spans="1:7" s="380" customFormat="1">
      <c r="A33" s="145" t="s">
        <v>137</v>
      </c>
      <c r="B33" s="286">
        <f>'Sources and Uses Budget'!$C32</f>
        <v>589512</v>
      </c>
      <c r="C33" s="286">
        <f>'Sources and Uses Budget'!$C32</f>
        <v>589512</v>
      </c>
      <c r="D33" s="290">
        <f t="shared" si="0"/>
        <v>0</v>
      </c>
      <c r="E33" s="288"/>
      <c r="F33" s="287"/>
      <c r="G33" s="383"/>
    </row>
    <row r="34" spans="1:7" s="380" customFormat="1">
      <c r="A34" s="145" t="s">
        <v>138</v>
      </c>
      <c r="B34" s="286">
        <f>'Sources and Uses Budget'!$C33</f>
        <v>589512</v>
      </c>
      <c r="C34" s="286">
        <f>'Sources and Uses Budget'!$C33</f>
        <v>589512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180000</v>
      </c>
      <c r="C36" s="286">
        <f>'Sources and Uses Budget'!$C35</f>
        <v>180000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38110756</v>
      </c>
      <c r="C39" s="290">
        <f>SUM(C30:C38)</f>
        <v>38110756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120000</v>
      </c>
      <c r="C41" s="286">
        <f>'Sources and Uses Budget'!$C40</f>
        <v>120000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120000</v>
      </c>
      <c r="C43" s="290">
        <f>SUM(C41:C42)</f>
        <v>120000</v>
      </c>
      <c r="D43" s="290">
        <f t="shared" si="0"/>
        <v>0</v>
      </c>
      <c r="E43" s="288"/>
      <c r="F43" s="287"/>
      <c r="G43" s="383"/>
    </row>
    <row r="44" spans="1:7" s="380" customFormat="1">
      <c r="A44" s="291" t="s">
        <v>148</v>
      </c>
      <c r="B44" s="286">
        <f>'Sources and Uses Budget'!$C43</f>
        <v>250000</v>
      </c>
      <c r="C44" s="286">
        <f>'Sources and Uses Budget'!$C43</f>
        <v>250000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4500000</v>
      </c>
      <c r="C46" s="286">
        <f>'Sources and Uses Budget'!$C45</f>
        <v>4500000</v>
      </c>
      <c r="D46" s="290">
        <f t="shared" si="0"/>
        <v>0</v>
      </c>
      <c r="E46" s="288"/>
      <c r="F46" s="287"/>
      <c r="G46" s="383"/>
    </row>
    <row r="47" spans="1:7" s="380" customFormat="1">
      <c r="A47" s="145" t="s">
        <v>151</v>
      </c>
      <c r="B47" s="286">
        <f>'Sources and Uses Budget'!$C46</f>
        <v>520100</v>
      </c>
      <c r="C47" s="286">
        <f>'Sources and Uses Budget'!$C46</f>
        <v>520100</v>
      </c>
      <c r="D47" s="290">
        <f t="shared" si="0"/>
        <v>0</v>
      </c>
      <c r="E47" s="288"/>
      <c r="F47" s="287"/>
      <c r="G47" s="383"/>
    </row>
    <row r="48" spans="1:7" s="380" customFormat="1" ht="12" customHeight="1">
      <c r="A48" s="198" t="s">
        <v>152</v>
      </c>
      <c r="B48" s="286">
        <f>'Sources and Uses Budget'!$C47</f>
        <v>40000</v>
      </c>
      <c r="C48" s="286">
        <f>'Sources and Uses Budget'!$C47</f>
        <v>40000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57100</v>
      </c>
      <c r="C50" s="286">
        <f>'Sources and Uses Budget'!$C49</f>
        <v>57100</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110000</v>
      </c>
      <c r="C53" s="286">
        <f>'Sources and Uses Budget'!$C52</f>
        <v>110000</v>
      </c>
      <c r="D53" s="290">
        <f t="shared" si="0"/>
        <v>0</v>
      </c>
      <c r="E53" s="288"/>
      <c r="F53" s="287"/>
      <c r="G53" s="383"/>
    </row>
    <row r="54" spans="1:7" s="380" customFormat="1">
      <c r="A54" s="155" t="str">
        <f>'Sources and Uses Budget'!A53</f>
        <v>Bank Inspections</v>
      </c>
      <c r="B54" s="286">
        <f>'Sources and Uses Budget'!$C53</f>
        <v>28000</v>
      </c>
      <c r="C54" s="286">
        <f>'Sources and Uses Budget'!$C53</f>
        <v>28000</v>
      </c>
      <c r="D54" s="290">
        <f t="shared" si="0"/>
        <v>0</v>
      </c>
      <c r="E54" s="288"/>
      <c r="F54" s="287"/>
      <c r="G54" s="383"/>
    </row>
    <row r="55" spans="1:7" s="381" customFormat="1">
      <c r="A55" s="291" t="s">
        <v>157</v>
      </c>
      <c r="B55" s="293">
        <f>SUM(B46:B54)</f>
        <v>5315200</v>
      </c>
      <c r="C55" s="293">
        <f>SUM(C46:C54)</f>
        <v>5315200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239474</v>
      </c>
      <c r="C57" s="286">
        <f>'Sources and Uses Budget'!$C56</f>
        <v>239474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 &amp; CDLAC Fees</v>
      </c>
      <c r="B62" s="286">
        <f>'Sources and Uses Budget'!$C61</f>
        <v>79050</v>
      </c>
      <c r="C62" s="286">
        <f>'Sources and Uses Budget'!$C61</f>
        <v>79050</v>
      </c>
      <c r="D62" s="290">
        <f t="shared" si="0"/>
        <v>0</v>
      </c>
      <c r="E62" s="288"/>
      <c r="F62" s="287"/>
      <c r="G62" s="383"/>
    </row>
    <row r="63" spans="1:7" s="380" customFormat="1" ht="13.7" customHeight="1">
      <c r="A63" s="291" t="s">
        <v>302</v>
      </c>
      <c r="B63" s="290">
        <f>SUM(B57:B62)</f>
        <v>318524</v>
      </c>
      <c r="C63" s="290">
        <f>SUM(C57:C62)</f>
        <v>318524</v>
      </c>
      <c r="D63" s="290">
        <f t="shared" si="0"/>
        <v>0</v>
      </c>
      <c r="E63" s="288"/>
      <c r="F63" s="287"/>
      <c r="G63" s="383"/>
    </row>
    <row r="64" spans="1:7" s="380" customFormat="1">
      <c r="A64" s="294" t="s">
        <v>303</v>
      </c>
      <c r="B64" s="290">
        <f>SUM(B9+B12+B14+B15+B17+B26+B28+B39+B43+B44+B55+B63)</f>
        <v>46188169</v>
      </c>
      <c r="C64" s="290">
        <f>SUM(C9+C12+C14+C15+C17+C26+C28+C39+C43+C44+C55+C63)</f>
        <v>46188169</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Borrower Counsel</v>
      </c>
      <c r="B70" s="286">
        <f>'Sources and Uses Budget'!$C69</f>
        <v>125000</v>
      </c>
      <c r="C70" s="286">
        <f>'Sources and Uses Budget'!$C69</f>
        <v>125000</v>
      </c>
      <c r="D70" s="290">
        <f t="shared" si="0"/>
        <v>0</v>
      </c>
      <c r="E70" s="288"/>
      <c r="F70" s="287"/>
      <c r="G70" s="383"/>
    </row>
    <row r="71" spans="1:7" s="380" customFormat="1">
      <c r="A71" s="149" t="s">
        <v>1759</v>
      </c>
      <c r="B71" s="290">
        <f>SUM(B66:B70)</f>
        <v>185000</v>
      </c>
      <c r="C71" s="290">
        <f>SUM(C66:C70)</f>
        <v>185000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627411</v>
      </c>
      <c r="C76" s="286">
        <f>'Sources and Uses Budget'!$C75</f>
        <v>627411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627411</v>
      </c>
      <c r="C78" s="290">
        <f>SUM(C73:C77)</f>
        <v>627411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1837587</v>
      </c>
      <c r="C80" s="286">
        <f>'Sources and Uses Budget'!$C79</f>
        <v>1837587</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1316</v>
      </c>
      <c r="B82" s="290">
        <f>SUM(B80:B81)</f>
        <v>2137587</v>
      </c>
      <c r="C82" s="290">
        <f>SUM(C80:C81)</f>
        <v>2137587</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156499</v>
      </c>
      <c r="C84" s="286">
        <f>'Sources and Uses Budget'!$C83</f>
        <v>156499</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9939707</v>
      </c>
      <c r="C86" s="286">
        <f>'Sources and Uses Budget'!$C85</f>
        <v>9939707</v>
      </c>
      <c r="D86" s="290">
        <f t="shared" si="1"/>
        <v>0</v>
      </c>
      <c r="E86" s="288"/>
      <c r="F86" s="287"/>
      <c r="G86" s="383"/>
    </row>
    <row r="87" spans="1:7" s="380" customFormat="1">
      <c r="A87" s="289" t="s">
        <v>779</v>
      </c>
      <c r="B87" s="286">
        <f>'Sources and Uses Budget'!$C86</f>
        <v>92875</v>
      </c>
      <c r="C87" s="286">
        <f>'Sources and Uses Budget'!$C86</f>
        <v>92875</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120000</v>
      </c>
      <c r="C90" s="286">
        <f>'Sources and Uses Budget'!$C89</f>
        <v>120000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30000</v>
      </c>
      <c r="C92" s="286">
        <f>'Sources and Uses Budget'!$C91</f>
        <v>30000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10383581</v>
      </c>
      <c r="C97" s="290">
        <f>SUM(C84:C96)</f>
        <v>10383581</v>
      </c>
      <c r="D97" s="290">
        <f t="shared" si="1"/>
        <v>0</v>
      </c>
      <c r="E97" s="288"/>
      <c r="F97" s="287"/>
      <c r="G97" s="383"/>
    </row>
    <row r="98" spans="1:7" s="380" customFormat="1">
      <c r="A98" s="291" t="s">
        <v>785</v>
      </c>
      <c r="B98" s="290">
        <f>SUM(B64+B71+B78+B82+B97)</f>
        <v>59521748</v>
      </c>
      <c r="C98" s="290">
        <f>SUM(C64+C71+C78+C82+C97)</f>
        <v>59521748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8327779</v>
      </c>
      <c r="C100" s="286">
        <f>'Sources and Uses Budget'!$C99</f>
        <v>8327779</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8327779</v>
      </c>
      <c r="C105" s="290">
        <f>SUM(C100:C104)</f>
        <v>8327779</v>
      </c>
      <c r="D105" s="290">
        <f t="shared" si="1"/>
        <v>0</v>
      </c>
      <c r="E105" s="288"/>
      <c r="F105" s="287"/>
      <c r="G105" s="383"/>
    </row>
    <row r="106" spans="1:7" s="380" customFormat="1">
      <c r="A106" s="291" t="s">
        <v>790</v>
      </c>
      <c r="B106" s="293">
        <f>SUM(B98+B105)</f>
        <v>67849527</v>
      </c>
      <c r="C106" s="293">
        <f>SUM(C98+C105)</f>
        <v>67849527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69" workbookViewId="0">
      <selection activeCell="B525" sqref="B52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2718</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2718</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2719</v>
      </c>
      <c r="D24" s="1281" t="s">
        <v>1154</v>
      </c>
      <c r="E24" s="1281"/>
      <c r="F24" s="1281"/>
      <c r="I24" s="524" t="s">
        <v>2075</v>
      </c>
    </row>
    <row r="25" spans="1:9" ht="14.25">
      <c r="A25" s="518"/>
      <c r="B25" s="518"/>
      <c r="D25" s="1281"/>
      <c r="E25" s="1281"/>
      <c r="F25" s="1281"/>
      <c r="I25" s="524"/>
    </row>
    <row r="26" spans="1:9">
      <c r="I26" s="524"/>
    </row>
    <row r="27" spans="1:9" ht="14.25">
      <c r="A27" s="518"/>
      <c r="B27" s="519" t="s">
        <v>2718</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2719</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2719</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2719</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2719</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2719</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2718</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2719</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2719</v>
      </c>
      <c r="D65" s="1281" t="s">
        <v>1163</v>
      </c>
      <c r="E65" s="1281"/>
      <c r="F65" s="1281"/>
      <c r="I65" s="524" t="s">
        <v>2077</v>
      </c>
    </row>
    <row r="66" spans="1:9">
      <c r="D66" s="1281"/>
      <c r="E66" s="1281"/>
      <c r="F66" s="1281"/>
      <c r="I66" s="524"/>
    </row>
    <row r="67" spans="1:9">
      <c r="I67" s="524"/>
    </row>
    <row r="68" spans="1:9" ht="14.25">
      <c r="A68" s="518"/>
      <c r="B68" s="519" t="s">
        <v>2718</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2719</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2718</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2718</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2718</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2718</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2719</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2719</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2719</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2719</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2719</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2718</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2718</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2718</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2719</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2719</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2718</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2719</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2719</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2719</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2719</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2719</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2718</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2718</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2719</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2719</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2718</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2718</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2719</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2719</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2719</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2719</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2719</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2719</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2719</v>
      </c>
      <c r="D305" s="1310" t="s">
        <v>1216</v>
      </c>
      <c r="E305" s="1310"/>
      <c r="F305" s="1310"/>
      <c r="I305" s="524" t="s">
        <v>2092</v>
      </c>
    </row>
    <row r="306" spans="1:9" ht="14.25">
      <c r="A306" s="518"/>
      <c r="B306" s="518"/>
      <c r="D306" s="528"/>
      <c r="E306" s="529"/>
      <c r="F306" s="529"/>
      <c r="I306" s="524"/>
    </row>
    <row r="307" spans="1:9" ht="13.7" customHeight="1">
      <c r="B307" s="519" t="s">
        <v>2719</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2719</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2719</v>
      </c>
      <c r="D316" s="1310" t="s">
        <v>1219</v>
      </c>
      <c r="E316" s="1310"/>
      <c r="F316" s="1310"/>
      <c r="I316" s="524" t="s">
        <v>2078</v>
      </c>
    </row>
    <row r="317" spans="1:9">
      <c r="E317" s="480"/>
      <c r="F317" s="480"/>
      <c r="I317" s="524"/>
    </row>
    <row r="318" spans="1:9" ht="14.25">
      <c r="A318" s="518"/>
      <c r="B318" s="519" t="s">
        <v>2719</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2719</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2719</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2719</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2719</v>
      </c>
      <c r="C360" s="510"/>
      <c r="D360" s="1314" t="s">
        <v>2372</v>
      </c>
      <c r="E360" s="1314"/>
      <c r="F360" s="1314"/>
      <c r="I360" s="514"/>
    </row>
    <row r="361" spans="1:9">
      <c r="A361" s="510"/>
      <c r="B361" s="510"/>
      <c r="C361" s="510"/>
      <c r="D361" s="481"/>
      <c r="E361" s="481"/>
      <c r="F361" s="480"/>
      <c r="I361" s="524"/>
    </row>
    <row r="362" spans="1:9">
      <c r="A362" s="510"/>
      <c r="B362" s="519" t="s">
        <v>2719</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2719</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2719</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2719</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2719</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2719</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2719</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2719</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2719</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2719</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2719</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2719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2719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2719</v>
      </c>
      <c r="C486" s="433"/>
      <c r="D486" s="1281"/>
      <c r="E486" s="1281"/>
      <c r="F486" s="1281"/>
      <c r="I486" s="524"/>
    </row>
    <row r="487" spans="1:9">
      <c r="A487" s="433"/>
      <c r="C487" s="433"/>
      <c r="D487" s="1281"/>
      <c r="E487" s="1281"/>
      <c r="F487" s="1281"/>
      <c r="I487" s="524"/>
    </row>
    <row r="488" spans="1:9">
      <c r="A488" s="433"/>
      <c r="B488" s="519" t="s">
        <v>2719</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2719</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2719</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2719</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2719</v>
      </c>
      <c r="D509" s="1310" t="s">
        <v>1243</v>
      </c>
      <c r="E509" s="1310"/>
      <c r="F509" s="1310"/>
      <c r="I509" s="524" t="s">
        <v>2097</v>
      </c>
    </row>
    <row r="510" spans="1:9" ht="14.25">
      <c r="A510" s="518"/>
      <c r="B510" s="518"/>
      <c r="D510" s="480"/>
      <c r="I510" s="524"/>
    </row>
    <row r="511" spans="1:9" ht="14.25">
      <c r="A511" s="518"/>
      <c r="B511" s="519" t="s">
        <v>2719</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2719</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2718</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2718</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2719</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2718</v>
      </c>
      <c r="C543" s="521"/>
      <c r="D543" s="1310" t="s">
        <v>897</v>
      </c>
      <c r="E543" s="1310"/>
      <c r="F543" s="1310"/>
      <c r="I543" s="524" t="s">
        <v>2148</v>
      </c>
    </row>
    <row r="544" spans="1:9" ht="13.7" customHeight="1">
      <c r="A544" s="521"/>
      <c r="B544" s="521"/>
      <c r="C544" s="521"/>
      <c r="D544" s="480"/>
      <c r="I544" s="524"/>
    </row>
    <row r="545" spans="1:9" ht="14.25">
      <c r="A545" s="518"/>
      <c r="B545" s="519" t="s">
        <v>2718</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2718</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2718</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2718</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2719</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2719</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2718</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2718</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2718</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2718</v>
      </c>
      <c r="D583" s="1303" t="s">
        <v>903</v>
      </c>
      <c r="E583" s="1303"/>
      <c r="F583" s="1303"/>
      <c r="I583" s="524"/>
    </row>
    <row r="584" spans="1:9">
      <c r="A584" s="524"/>
      <c r="B584" s="524"/>
      <c r="D584" s="510"/>
      <c r="I584" s="524"/>
    </row>
    <row r="585" spans="1:9">
      <c r="A585" s="524"/>
      <c r="B585" s="519" t="s">
        <v>2718</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2719</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2718</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2719</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2718</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2718</v>
      </c>
      <c r="D615" s="1283" t="s">
        <v>1189</v>
      </c>
      <c r="E615" s="1283"/>
      <c r="F615" s="1283"/>
      <c r="I615" s="524" t="s">
        <v>2153</v>
      </c>
    </row>
    <row r="616" spans="1:9">
      <c r="D616" s="1283"/>
      <c r="E616" s="1283"/>
      <c r="F616" s="1283"/>
      <c r="I616" s="524"/>
    </row>
    <row r="617" spans="1:9">
      <c r="I617" s="524"/>
    </row>
    <row r="618" spans="1:9">
      <c r="B618" s="519" t="s">
        <v>2718</v>
      </c>
      <c r="D618" s="1283" t="s">
        <v>1190</v>
      </c>
      <c r="E618" s="1283"/>
      <c r="F618" s="1283"/>
      <c r="I618" s="524" t="s">
        <v>2106</v>
      </c>
    </row>
    <row r="619" spans="1:9">
      <c r="C619" s="534"/>
      <c r="D619" s="1283"/>
      <c r="E619" s="1283"/>
      <c r="F619" s="1283"/>
      <c r="I619" s="524"/>
    </row>
    <row r="620" spans="1:9">
      <c r="C620" s="534"/>
      <c r="I620" s="524"/>
    </row>
    <row r="621" spans="1:9">
      <c r="B621" s="519" t="s">
        <v>2719</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2718</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2719</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2719</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2719</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2718</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2719</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2719</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2719</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2718</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2719</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2718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2719</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2719</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2719</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2719</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2719</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2719</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2719</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2719</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2718</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2719</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2719</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2719</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2719</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2718</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2719</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2719</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2719</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2719</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2719</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2719</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2718</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2718</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2719</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2719</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2719</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2718</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2718</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2719</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2719</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2719</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2718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2718</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2718</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2719</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2719</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2719</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2719</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2718</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2718</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2719</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2719</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2719</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2719</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2719</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2718</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2719</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2719</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2719</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2719</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2718</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2718</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2719</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2719</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2719</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2719</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2718</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2719</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2719</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2718</v>
      </c>
      <c r="C1050" s="433"/>
      <c r="D1050" s="433" t="s">
        <v>2004</v>
      </c>
      <c r="I1050" s="524" t="s">
        <v>2116</v>
      </c>
    </row>
    <row r="1051" spans="1:9">
      <c r="A1051" s="433"/>
      <c r="B1051" s="433"/>
      <c r="C1051" s="433"/>
      <c r="I1051" s="524"/>
    </row>
    <row r="1052" spans="1:9">
      <c r="A1052" s="433"/>
      <c r="B1052" s="519" t="s">
        <v>2719</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2718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2719</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2719</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2719</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2719</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2719</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2719</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2719</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2718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2719</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O641" sqref="AO641:AS64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5" t="s">
        <v>100</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6" t="s">
        <v>2638</v>
      </c>
      <c r="B12" s="1856"/>
      <c r="C12" s="1856"/>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56" t="s">
        <v>2657</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row>
    <row r="17" spans="1:52" ht="12.95" customHeight="1"/>
    <row r="18" spans="1:52" ht="12.95" customHeight="1">
      <c r="A18" s="57" t="s">
        <v>101</v>
      </c>
      <c r="C18" s="4"/>
      <c r="D18" s="4"/>
      <c r="E18" s="4"/>
      <c r="F18" s="4"/>
      <c r="G18" s="4"/>
      <c r="H18" s="1493" t="s">
        <v>2640</v>
      </c>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row>
    <row r="19" spans="1:52" ht="12.95" customHeight="1"/>
    <row r="20" spans="1:52" ht="12.95" customHeight="1">
      <c r="A20" s="1857" t="s">
        <v>885</v>
      </c>
      <c r="B20" s="1857"/>
      <c r="C20" s="185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c r="AP20" s="1857"/>
      <c r="AQ20" s="1857"/>
      <c r="AR20" s="1857"/>
      <c r="AS20" s="1857"/>
      <c r="AT20" s="1857"/>
      <c r="AU20" s="935"/>
      <c r="AV20" s="935"/>
      <c r="AW20" s="935"/>
      <c r="AX20" s="935"/>
      <c r="AY20" s="935"/>
    </row>
    <row r="21" spans="1:52" ht="12.95" customHeight="1">
      <c r="A21" s="1557" t="s">
        <v>1034</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3320008</v>
      </c>
      <c r="N26" s="1555"/>
      <c r="O26" s="1555"/>
      <c r="P26" s="1555"/>
      <c r="Q26" s="1555"/>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5491319</v>
      </c>
      <c r="N27" s="1359"/>
      <c r="O27" s="1359"/>
      <c r="P27" s="1359"/>
      <c r="Q27" s="1359"/>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2511</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51" t="s">
        <v>678</v>
      </c>
      <c r="P33" s="1451"/>
      <c r="Q33" s="1858" t="s">
        <v>2512</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5" customHeight="1">
      <c r="A34" s="1852" t="s">
        <v>2513</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6" t="s">
        <v>2520</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row>
    <row r="66" spans="1:52"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row>
    <row r="67" spans="1:52"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6" t="s">
        <v>2521</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row>
    <row r="70" spans="1:52"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2522</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5" t="s">
        <v>2523</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row>
    <row r="76" spans="1:52"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row>
    <row r="77" spans="1:52"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6" t="s">
        <v>2524</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row>
    <row r="80" spans="1:52"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row>
    <row r="81" spans="1:52"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3" t="s">
        <v>2527</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5" t="s">
        <v>2528</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row>
    <row r="93" spans="1:52"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row>
    <row r="94" spans="1:52"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row>
    <row r="95" spans="1:52"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row>
    <row r="96" spans="1:52"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row>
    <row r="97" spans="1:52"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row>
    <row r="98" spans="1:52"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6"/>
      <c r="H113" s="1396"/>
      <c r="I113" s="3" t="s">
        <v>182</v>
      </c>
      <c r="L113" s="1396" t="s">
        <v>2722</v>
      </c>
      <c r="M113" s="1396"/>
      <c r="N113" s="1396"/>
      <c r="O113" s="1396"/>
      <c r="P113" s="1563" t="s">
        <v>2532</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9"/>
      <c r="D115" s="1569"/>
      <c r="E115" s="1569"/>
      <c r="F115" s="1569"/>
      <c r="G115" s="1569"/>
      <c r="H115" s="1569"/>
      <c r="I115" s="1569"/>
      <c r="J115" s="1569"/>
      <c r="K115" s="156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96"/>
      <c r="Z117" s="1396"/>
      <c r="AA117" s="1396"/>
      <c r="AB117" s="1396"/>
      <c r="AC117" s="1396"/>
      <c r="AD117" s="1396"/>
      <c r="AE117" s="1396"/>
      <c r="AF117" s="1396"/>
      <c r="AG117" s="1396"/>
      <c r="AH117" s="1396"/>
      <c r="AI117" s="1396"/>
      <c r="AJ117" s="1396"/>
      <c r="AK117" s="1396"/>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6" t="s">
        <v>2723</v>
      </c>
      <c r="Z120" s="1396"/>
      <c r="AA120" s="1396"/>
      <c r="AB120" s="1396"/>
      <c r="AC120" s="1396"/>
      <c r="AD120" s="1396"/>
      <c r="AE120" s="1396"/>
      <c r="AF120" s="1396"/>
      <c r="AG120" s="1396"/>
      <c r="AH120" s="1396"/>
      <c r="AI120" s="1396"/>
      <c r="AJ120" s="1396"/>
      <c r="AK120" s="139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6" t="s">
        <v>2724</v>
      </c>
      <c r="Z123" s="1396"/>
      <c r="AA123" s="1396"/>
      <c r="AB123" s="1396"/>
      <c r="AC123" s="1396"/>
      <c r="AD123" s="1396"/>
      <c r="AE123" s="1396"/>
      <c r="AF123" s="1396"/>
      <c r="AG123" s="1396"/>
      <c r="AH123" s="1396"/>
      <c r="AI123" s="1396"/>
      <c r="AJ123" s="1396"/>
      <c r="AK123" s="139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02" t="s">
        <v>2641</v>
      </c>
      <c r="P153" s="1502"/>
      <c r="Q153" s="1502"/>
      <c r="R153" s="1502"/>
      <c r="S153" s="1502"/>
      <c r="T153" s="1502"/>
      <c r="U153" s="1502"/>
      <c r="V153" s="1502"/>
      <c r="W153" s="1502"/>
      <c r="X153" s="1502"/>
      <c r="Y153" s="1502"/>
      <c r="Z153" s="1502"/>
      <c r="AA153" s="1502"/>
      <c r="AB153" s="1502"/>
      <c r="AC153" s="1502"/>
      <c r="AD153" s="1502"/>
      <c r="AE153" s="1502"/>
      <c r="AF153" s="1502"/>
      <c r="AG153" s="1502"/>
      <c r="AH153" s="1502"/>
    </row>
    <row r="154" spans="1:72" ht="12.95" customHeight="1">
      <c r="D154" s="325" t="s">
        <v>442</v>
      </c>
      <c r="O154" s="1510" t="s">
        <v>2642</v>
      </c>
      <c r="P154" s="1510"/>
      <c r="Q154" s="1510"/>
      <c r="R154" s="1510"/>
      <c r="S154" s="1510"/>
      <c r="T154" s="1510"/>
      <c r="U154" s="1510"/>
      <c r="V154" s="1510"/>
      <c r="W154" s="1510"/>
      <c r="X154" s="1510"/>
      <c r="Y154" s="1510"/>
      <c r="Z154" s="1510"/>
      <c r="AA154" s="1510"/>
      <c r="AB154" s="1510"/>
      <c r="AC154" s="1510"/>
      <c r="AD154" s="1510"/>
      <c r="AE154" s="1510"/>
      <c r="AF154" s="1510"/>
      <c r="AG154" s="1510"/>
      <c r="AH154" s="1510"/>
    </row>
    <row r="155" spans="1:72" ht="12.95" customHeight="1">
      <c r="D155" s="8" t="s">
        <v>444</v>
      </c>
      <c r="F155" s="8"/>
      <c r="G155" s="8"/>
      <c r="H155" s="8"/>
      <c r="I155" s="8"/>
      <c r="J155" s="8"/>
      <c r="K155" s="8"/>
      <c r="L155" s="8"/>
      <c r="M155" s="8"/>
      <c r="N155" s="8"/>
      <c r="O155" s="1559" t="s">
        <v>443</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2.95" customHeight="1">
      <c r="D156" t="s">
        <v>314</v>
      </c>
      <c r="O156" s="1367" t="s">
        <v>2643</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BT156" t="s">
        <v>308</v>
      </c>
    </row>
    <row r="157" spans="1:72" ht="12.95" customHeight="1">
      <c r="D157" t="s">
        <v>315</v>
      </c>
      <c r="O157" s="1502" t="s">
        <v>2644</v>
      </c>
      <c r="P157" s="1502"/>
      <c r="Q157" s="1502"/>
      <c r="R157" s="1502"/>
      <c r="S157" s="1502"/>
      <c r="T157" s="1502"/>
      <c r="U157" s="1502"/>
      <c r="V157" s="1502"/>
      <c r="W157" s="1502"/>
      <c r="X157" s="1502"/>
      <c r="Y157" s="8"/>
      <c r="Z157" s="8"/>
      <c r="AA157" s="8"/>
      <c r="AB157" s="8"/>
      <c r="AC157" s="8"/>
      <c r="AD157" s="8"/>
      <c r="AE157" s="8"/>
      <c r="AF157" s="8"/>
      <c r="BN157" s="23" t="s">
        <v>645</v>
      </c>
      <c r="BT157" t="s">
        <v>485</v>
      </c>
    </row>
    <row r="158" spans="1:72" ht="12.95" customHeight="1">
      <c r="D158" t="s">
        <v>316</v>
      </c>
      <c r="O158" s="1560">
        <v>95678</v>
      </c>
      <c r="P158" s="1560"/>
      <c r="Q158" s="1560"/>
      <c r="R158" s="1560"/>
      <c r="S158" s="9"/>
      <c r="T158" s="9"/>
      <c r="U158" s="9"/>
      <c r="V158" s="9"/>
      <c r="W158" s="9"/>
      <c r="X158" s="9"/>
      <c r="Y158" s="9"/>
      <c r="Z158" s="9"/>
      <c r="AA158" s="9"/>
      <c r="AB158" s="9"/>
      <c r="AC158" s="9"/>
      <c r="AD158" s="9"/>
      <c r="AE158" s="9"/>
      <c r="AF158" s="9"/>
      <c r="BN158" s="23" t="s">
        <v>646</v>
      </c>
      <c r="BT158" t="s">
        <v>486</v>
      </c>
    </row>
    <row r="159" spans="1:72" ht="12.95" customHeight="1">
      <c r="D159" t="s">
        <v>317</v>
      </c>
      <c r="O159" s="1562">
        <v>9167745270</v>
      </c>
      <c r="P159" s="1562"/>
      <c r="Q159" s="1562"/>
      <c r="R159" s="1562"/>
      <c r="S159" s="1562"/>
      <c r="T159" s="1562"/>
      <c r="V159" s="97" t="s">
        <v>272</v>
      </c>
      <c r="W159" s="1561"/>
      <c r="X159" s="1561"/>
      <c r="Y159" s="10"/>
      <c r="Z159" s="10"/>
      <c r="AA159" s="10"/>
      <c r="AB159" s="10"/>
      <c r="AC159" s="10"/>
      <c r="AD159" s="10"/>
      <c r="AE159" s="10"/>
      <c r="AF159" s="10"/>
      <c r="BN159" s="23" t="s">
        <v>340</v>
      </c>
      <c r="BT159" t="s">
        <v>487</v>
      </c>
    </row>
    <row r="160" spans="1:72" ht="12.95" customHeight="1">
      <c r="D160" t="s">
        <v>318</v>
      </c>
      <c r="O160" s="1562">
        <v>9167745286</v>
      </c>
      <c r="P160" s="1562"/>
      <c r="Q160" s="1562"/>
      <c r="R160" s="1562"/>
      <c r="S160" s="1562"/>
      <c r="T160" s="1562"/>
      <c r="U160" s="10"/>
      <c r="V160" s="10"/>
      <c r="W160" s="10"/>
      <c r="X160" s="10"/>
      <c r="Y160" s="10"/>
      <c r="Z160" s="10"/>
      <c r="AA160" s="10"/>
      <c r="AB160" s="10"/>
      <c r="AC160" s="10"/>
      <c r="AD160" s="10"/>
      <c r="AE160" s="10"/>
      <c r="AF160" s="10"/>
      <c r="BN160" s="23" t="s">
        <v>669</v>
      </c>
      <c r="BT160" t="s">
        <v>488</v>
      </c>
    </row>
    <row r="161" spans="1:72" ht="12.95" customHeight="1">
      <c r="D161" t="s">
        <v>319</v>
      </c>
      <c r="O161" s="1543" t="s">
        <v>2645</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70" t="s">
        <v>2627</v>
      </c>
      <c r="E164" s="1570"/>
      <c r="F164" s="1570"/>
      <c r="G164" s="1570"/>
      <c r="H164" s="1570"/>
      <c r="I164" s="1570"/>
      <c r="J164" s="1570"/>
      <c r="K164" s="1570"/>
      <c r="L164" s="1570"/>
      <c r="M164" s="1570"/>
      <c r="N164" s="1570"/>
      <c r="O164" s="1570"/>
      <c r="P164" s="1570"/>
      <c r="Q164" s="1570"/>
      <c r="R164" s="1570"/>
      <c r="S164" s="1570"/>
      <c r="T164" s="1570"/>
      <c r="U164" s="1570"/>
      <c r="V164" s="1570"/>
      <c r="W164" s="1570"/>
      <c r="X164" s="1570"/>
      <c r="Y164" s="1570"/>
      <c r="Z164" s="1570"/>
      <c r="AA164" s="1570"/>
      <c r="AB164" s="1570"/>
      <c r="AC164" s="1570"/>
      <c r="AD164" s="1570"/>
      <c r="AE164" s="1570"/>
      <c r="AF164" s="1570"/>
      <c r="AG164" s="1570"/>
      <c r="AH164" s="157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63" t="s">
        <v>548</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AM169" s="1663"/>
      <c r="AN169" s="1663"/>
      <c r="AO169" s="1663"/>
      <c r="AP169" s="1663"/>
      <c r="AQ169" s="1663"/>
      <c r="AR169" s="1663"/>
      <c r="AS169" s="1663"/>
      <c r="AT169" s="1663"/>
      <c r="AU169" s="95"/>
      <c r="AV169" s="95"/>
      <c r="AW169" s="95"/>
      <c r="AX169" s="95"/>
      <c r="AY169" s="95"/>
      <c r="BN169" s="23" t="s">
        <v>682</v>
      </c>
      <c r="BT169" t="s">
        <v>497</v>
      </c>
    </row>
    <row r="170" spans="1:72" ht="12.95" customHeigh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1663"/>
      <c r="AN170" s="1663"/>
      <c r="AO170" s="1663"/>
      <c r="AP170" s="1663"/>
      <c r="AQ170" s="1663"/>
      <c r="AR170" s="1663"/>
      <c r="AS170" s="1663"/>
      <c r="AT170" s="1663"/>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501</v>
      </c>
    </row>
    <row r="174" spans="1:72" ht="12.95" customHeight="1">
      <c r="C174" s="24"/>
      <c r="D174" s="3" t="s">
        <v>1309</v>
      </c>
      <c r="J174" s="1367" t="s">
        <v>2422</v>
      </c>
      <c r="K174" s="1367"/>
      <c r="L174" s="1367"/>
      <c r="M174" s="1367"/>
      <c r="N174" s="1367"/>
      <c r="O174" s="1367"/>
      <c r="P174" s="1367"/>
      <c r="Q174" s="1367"/>
      <c r="R174" s="1367"/>
      <c r="S174" s="1367"/>
      <c r="T174" s="1367"/>
      <c r="U174" s="1367"/>
      <c r="V174" s="1367"/>
      <c r="W174" s="1367"/>
      <c r="X174" s="1367"/>
      <c r="Y174" s="1367"/>
      <c r="Z174" s="1367"/>
      <c r="AA174" s="1367"/>
      <c r="AB174" s="1367"/>
      <c r="BB174" t="s">
        <v>2275</v>
      </c>
      <c r="BN174" s="23" t="s">
        <v>217</v>
      </c>
      <c r="BT174" t="s">
        <v>502</v>
      </c>
    </row>
    <row r="175" spans="1:72" ht="12.95" customHeight="1">
      <c r="C175" s="8"/>
      <c r="D175" s="3" t="s">
        <v>323</v>
      </c>
      <c r="O175" s="27"/>
      <c r="U175" s="1451" t="s">
        <v>554</v>
      </c>
      <c r="V175" s="1451"/>
      <c r="BB175" t="s">
        <v>2239</v>
      </c>
      <c r="BN175" s="23" t="s">
        <v>218</v>
      </c>
      <c r="BT175" t="s">
        <v>503</v>
      </c>
    </row>
    <row r="176" spans="1:72" ht="12.95" customHeight="1">
      <c r="C176" s="8"/>
      <c r="D176" s="26"/>
      <c r="E176" t="s">
        <v>305</v>
      </c>
      <c r="O176" s="27"/>
      <c r="P176" t="s">
        <v>2397</v>
      </c>
      <c r="T176" s="27" t="s">
        <v>306</v>
      </c>
      <c r="U176" s="1568">
        <v>23</v>
      </c>
      <c r="V176" s="1568"/>
      <c r="W176" s="1" t="s">
        <v>307</v>
      </c>
      <c r="X176" s="1554">
        <v>553</v>
      </c>
      <c r="Y176" s="1554"/>
      <c r="BB176" t="s">
        <v>2276</v>
      </c>
      <c r="BN176" s="23" t="s">
        <v>220</v>
      </c>
      <c r="BT176" t="s">
        <v>504</v>
      </c>
    </row>
    <row r="177" spans="1:72" ht="12.95" customHeight="1">
      <c r="C177" s="24"/>
      <c r="D177" t="s">
        <v>250</v>
      </c>
      <c r="R177" s="1451" t="s">
        <v>678</v>
      </c>
      <c r="S177" s="1451"/>
      <c r="BB177" t="s">
        <v>2581</v>
      </c>
      <c r="BN177" s="23" t="s">
        <v>221</v>
      </c>
      <c r="BT177" t="s">
        <v>505</v>
      </c>
    </row>
    <row r="178" spans="1:72" ht="12.95" customHeight="1">
      <c r="C178" s="24"/>
      <c r="D178" s="3" t="s">
        <v>1310</v>
      </c>
      <c r="AA178" t="s">
        <v>2397</v>
      </c>
      <c r="AE178" s="27" t="s">
        <v>306</v>
      </c>
      <c r="AF178" s="1735"/>
      <c r="AG178" s="1735"/>
      <c r="AH178" s="1" t="s">
        <v>307</v>
      </c>
      <c r="AI178" s="1533"/>
      <c r="AJ178" s="1533"/>
      <c r="AK178" s="1533"/>
      <c r="BB178" t="s">
        <v>2582</v>
      </c>
      <c r="BN178" s="23" t="s">
        <v>222</v>
      </c>
      <c r="BT178" t="s">
        <v>53</v>
      </c>
    </row>
    <row r="179" spans="1:72" ht="12.95" customHeight="1">
      <c r="C179" s="24"/>
      <c r="BN179" s="23" t="s">
        <v>223</v>
      </c>
      <c r="BT179" t="s">
        <v>54</v>
      </c>
    </row>
    <row r="180" spans="1:72" ht="12.95" customHeight="1">
      <c r="C180" s="24"/>
      <c r="D180" t="s">
        <v>2398</v>
      </c>
      <c r="X180" s="1451"/>
      <c r="Y180" s="1451"/>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385" t="str">
        <f>H18</f>
        <v>Sierra Vista Apartments</v>
      </c>
      <c r="J184" s="1385"/>
      <c r="K184" s="1385"/>
      <c r="L184" s="1385"/>
      <c r="M184" s="1385"/>
      <c r="N184" s="1385"/>
      <c r="O184" s="1385"/>
      <c r="P184" s="1385"/>
      <c r="Q184" s="1385"/>
      <c r="R184" s="1385"/>
      <c r="S184" s="1385"/>
      <c r="T184" s="1385"/>
      <c r="U184" s="1385"/>
      <c r="V184" s="1385"/>
      <c r="W184" s="1385"/>
      <c r="X184" s="1385"/>
      <c r="Y184" s="1385"/>
      <c r="Z184" s="1385"/>
      <c r="AA184" s="1385"/>
      <c r="AB184" s="1385"/>
      <c r="AC184" s="1385"/>
      <c r="AD184" s="1385"/>
      <c r="AE184" s="1385"/>
      <c r="BC184" t="s">
        <v>596</v>
      </c>
      <c r="BN184" s="23" t="s">
        <v>231</v>
      </c>
      <c r="BT184" t="s">
        <v>62</v>
      </c>
    </row>
    <row r="185" spans="1:72" ht="12.95" customHeight="1">
      <c r="C185" s="21"/>
      <c r="D185" t="s">
        <v>588</v>
      </c>
      <c r="I185" s="1368"/>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597</v>
      </c>
      <c r="BN185" s="23" t="s">
        <v>232</v>
      </c>
      <c r="BT185" t="s">
        <v>63</v>
      </c>
    </row>
    <row r="186" spans="1:72" ht="12.95" customHeight="1">
      <c r="C186" s="21"/>
      <c r="E186" t="s">
        <v>168</v>
      </c>
      <c r="BN186" s="23" t="s">
        <v>233</v>
      </c>
      <c r="BT186" t="s">
        <v>64</v>
      </c>
    </row>
    <row r="187" spans="1:72" ht="12.95" customHeight="1">
      <c r="C187" s="21"/>
      <c r="E187" s="1498" t="s">
        <v>2646</v>
      </c>
      <c r="F187" s="1498"/>
      <c r="G187" s="1498"/>
      <c r="H187" s="1498"/>
      <c r="I187" s="1498"/>
      <c r="J187" s="1498"/>
      <c r="K187" s="1498"/>
      <c r="L187" s="1498"/>
      <c r="M187" s="1498"/>
      <c r="N187" s="1498"/>
      <c r="O187" s="1498"/>
      <c r="P187" s="1498"/>
      <c r="Q187" s="1498"/>
      <c r="R187" s="1498"/>
      <c r="S187" s="1498"/>
      <c r="T187" s="1498"/>
      <c r="U187" s="1498"/>
      <c r="V187" s="1498"/>
      <c r="W187" s="1498"/>
      <c r="X187" s="1498"/>
      <c r="Y187" s="1498"/>
      <c r="Z187" s="1498"/>
      <c r="AA187" s="1498"/>
      <c r="AB187" s="1498"/>
      <c r="AC187" s="1498"/>
      <c r="AD187" s="1498"/>
      <c r="AE187" s="1498"/>
      <c r="BN187" s="23" t="s">
        <v>234</v>
      </c>
      <c r="BT187" t="s">
        <v>65</v>
      </c>
    </row>
    <row r="188" spans="1:72" ht="12.95" customHeight="1">
      <c r="C188" s="21"/>
      <c r="E188" s="1499"/>
      <c r="F188" s="1499"/>
      <c r="G188" s="1499"/>
      <c r="H188" s="1499"/>
      <c r="I188" s="1499"/>
      <c r="J188" s="1499"/>
      <c r="K188" s="1499"/>
      <c r="L188" s="1499"/>
      <c r="M188" s="1499"/>
      <c r="N188" s="1499"/>
      <c r="O188" s="1499"/>
      <c r="P188" s="1499"/>
      <c r="Q188" s="1499"/>
      <c r="R188" s="1499"/>
      <c r="S188" s="1499"/>
      <c r="T188" s="1499"/>
      <c r="U188" s="1499"/>
      <c r="V188" s="1499"/>
      <c r="W188" s="1499"/>
      <c r="X188" s="1499"/>
      <c r="Y188" s="1499"/>
      <c r="Z188" s="1499"/>
      <c r="AA188" s="1499"/>
      <c r="AB188" s="1499"/>
      <c r="AC188" s="1499"/>
      <c r="AD188" s="1499"/>
      <c r="AE188" s="1499"/>
      <c r="BN188" s="23" t="s">
        <v>236</v>
      </c>
      <c r="BT188" t="s">
        <v>66</v>
      </c>
    </row>
    <row r="189" spans="1:72" ht="12.95" customHeight="1">
      <c r="C189" s="21"/>
      <c r="D189" t="s">
        <v>589</v>
      </c>
      <c r="I189" s="1493" t="s">
        <v>2644</v>
      </c>
      <c r="J189" s="1367"/>
      <c r="K189" s="1367"/>
      <c r="L189" s="1367"/>
      <c r="M189" s="1367"/>
      <c r="N189" s="1367"/>
      <c r="O189" s="1367"/>
      <c r="P189" s="1367"/>
      <c r="Q189" t="s">
        <v>591</v>
      </c>
      <c r="T189" s="1367" t="s">
        <v>65</v>
      </c>
      <c r="U189" s="1367"/>
      <c r="V189" s="1367"/>
      <c r="W189" s="1367"/>
      <c r="X189" s="1367"/>
      <c r="Y189" s="1367"/>
      <c r="Z189" s="1367"/>
      <c r="AA189" s="1367"/>
      <c r="AB189" s="1367"/>
      <c r="AC189" s="1367"/>
      <c r="AD189" s="1367"/>
      <c r="AE189" s="1367"/>
      <c r="BC189" t="s">
        <v>308</v>
      </c>
      <c r="BH189" s="3" t="s">
        <v>600</v>
      </c>
      <c r="BN189" s="23" t="s">
        <v>237</v>
      </c>
      <c r="BT189" t="s">
        <v>67</v>
      </c>
    </row>
    <row r="190" spans="1:72" ht="12.95" customHeight="1">
      <c r="C190" s="21"/>
      <c r="D190" t="s">
        <v>592</v>
      </c>
      <c r="I190" s="1368">
        <v>95747</v>
      </c>
      <c r="J190" s="1368"/>
      <c r="K190" s="1368"/>
      <c r="L190" s="1368"/>
      <c r="M190" s="1368"/>
      <c r="N190" s="1368"/>
      <c r="O190" t="s">
        <v>594</v>
      </c>
      <c r="T190" s="1564">
        <v>213.27</v>
      </c>
      <c r="U190" s="1564"/>
      <c r="V190" s="1564"/>
      <c r="W190" s="1564"/>
      <c r="X190" s="1564"/>
      <c r="Y190" s="1564"/>
      <c r="Z190" s="1564"/>
      <c r="AA190" s="1564"/>
      <c r="AB190" s="1564"/>
      <c r="AC190" s="1564"/>
      <c r="AD190" s="1564"/>
      <c r="AE190" s="1564"/>
      <c r="BC190" t="s">
        <v>1066</v>
      </c>
      <c r="BH190" t="s">
        <v>1066</v>
      </c>
      <c r="BN190" s="23" t="s">
        <v>644</v>
      </c>
      <c r="BT190" t="s">
        <v>68</v>
      </c>
    </row>
    <row r="191" spans="1:72" ht="12.95" customHeight="1">
      <c r="C191" s="21"/>
      <c r="D191" t="s">
        <v>471</v>
      </c>
      <c r="N191" s="1498" t="s">
        <v>2721</v>
      </c>
      <c r="O191" s="1498"/>
      <c r="P191" s="1498"/>
      <c r="Q191" s="1498"/>
      <c r="R191" s="1498"/>
      <c r="S191" s="1498"/>
      <c r="T191" s="1498"/>
      <c r="U191" s="1498"/>
      <c r="V191" s="1498"/>
      <c r="W191" s="1498"/>
      <c r="X191" s="1498"/>
      <c r="Y191" s="1498"/>
      <c r="Z191" s="1498"/>
      <c r="AA191" s="1498"/>
      <c r="AB191" s="1498"/>
      <c r="AC191" s="1498"/>
      <c r="AD191" s="1498"/>
      <c r="AE191" s="1498"/>
      <c r="BC191" t="s">
        <v>1065</v>
      </c>
      <c r="BH191" t="s">
        <v>1065</v>
      </c>
      <c r="BN191" s="23" t="s">
        <v>698</v>
      </c>
      <c r="BT191" t="s">
        <v>737</v>
      </c>
    </row>
    <row r="192" spans="1:72" ht="12.95" customHeight="1">
      <c r="C192" s="21"/>
      <c r="M192" s="40"/>
      <c r="N192" s="1499"/>
      <c r="O192" s="1499"/>
      <c r="P192" s="1499"/>
      <c r="Q192" s="1499"/>
      <c r="R192" s="1499"/>
      <c r="S192" s="1499"/>
      <c r="T192" s="1499"/>
      <c r="U192" s="1499"/>
      <c r="V192" s="1499"/>
      <c r="W192" s="1499"/>
      <c r="X192" s="1499"/>
      <c r="Y192" s="1499"/>
      <c r="Z192" s="1499"/>
      <c r="AA192" s="1499"/>
      <c r="AB192" s="1499"/>
      <c r="AC192" s="1499"/>
      <c r="AD192" s="1499"/>
      <c r="AE192" s="1499"/>
      <c r="BC192" t="s">
        <v>1068</v>
      </c>
      <c r="BH192" s="3" t="s">
        <v>1476</v>
      </c>
      <c r="BN192" s="23" t="s">
        <v>699</v>
      </c>
      <c r="BT192" t="s">
        <v>738</v>
      </c>
    </row>
    <row r="193" spans="1:74" ht="12.95" customHeight="1">
      <c r="C193" s="21"/>
      <c r="D193" t="s">
        <v>2399</v>
      </c>
      <c r="M193" s="40"/>
      <c r="N193" s="928"/>
      <c r="O193" s="928"/>
      <c r="P193" s="928"/>
      <c r="Q193" s="928"/>
      <c r="R193" s="928"/>
      <c r="S193" s="928"/>
      <c r="T193" s="1552" t="s">
        <v>2275</v>
      </c>
      <c r="U193" s="1552"/>
      <c r="V193" s="1552"/>
      <c r="W193" s="1552"/>
      <c r="X193" s="1552"/>
      <c r="Y193" s="1552"/>
      <c r="Z193" s="1552"/>
      <c r="AA193" s="1552"/>
      <c r="AB193" s="1552"/>
      <c r="AC193" s="1552"/>
      <c r="AD193" s="1552"/>
      <c r="AE193" s="1552"/>
      <c r="AF193" s="1552"/>
      <c r="AG193" s="1552"/>
      <c r="AH193" s="1552"/>
      <c r="AI193" s="1552"/>
      <c r="BC193" t="s">
        <v>1067</v>
      </c>
      <c r="BH193" s="3" t="s">
        <v>1743</v>
      </c>
      <c r="BN193" s="23" t="s">
        <v>700</v>
      </c>
      <c r="BT193" t="s">
        <v>739</v>
      </c>
    </row>
    <row r="194" spans="1:74" ht="12.95" customHeight="1">
      <c r="C194" s="21"/>
      <c r="D194" s="3" t="s">
        <v>2583</v>
      </c>
      <c r="M194" s="40"/>
      <c r="N194" s="928"/>
      <c r="O194" s="928"/>
      <c r="P194" s="928"/>
      <c r="Q194" s="928"/>
      <c r="R194" s="928"/>
      <c r="S194" s="928"/>
      <c r="AH194" s="1451" t="s">
        <v>678</v>
      </c>
      <c r="AI194" s="1451"/>
      <c r="BC194" t="s">
        <v>1476</v>
      </c>
      <c r="BN194" s="23" t="s">
        <v>701</v>
      </c>
      <c r="BT194" t="s">
        <v>740</v>
      </c>
    </row>
    <row r="195" spans="1:74" ht="12.95" customHeight="1">
      <c r="C195" s="21"/>
      <c r="D195" t="s">
        <v>332</v>
      </c>
      <c r="T195" s="1451" t="s">
        <v>554</v>
      </c>
      <c r="U195" s="1451"/>
      <c r="W195" t="s">
        <v>694</v>
      </c>
      <c r="AH195" s="1451">
        <v>4</v>
      </c>
      <c r="AI195" s="1451"/>
      <c r="BC195" t="s">
        <v>2049</v>
      </c>
      <c r="BN195" s="23" t="s">
        <v>243</v>
      </c>
      <c r="BT195" t="s">
        <v>741</v>
      </c>
    </row>
    <row r="196" spans="1:74" ht="12.95" customHeight="1">
      <c r="C196" s="21"/>
      <c r="D196" t="s">
        <v>387</v>
      </c>
      <c r="T196" s="1423" t="s">
        <v>678</v>
      </c>
      <c r="U196" s="1423"/>
      <c r="W196" t="s">
        <v>695</v>
      </c>
      <c r="AH196" s="1451">
        <v>7</v>
      </c>
      <c r="AI196" s="1451"/>
      <c r="BN196" s="23" t="s">
        <v>244</v>
      </c>
      <c r="BT196" t="s">
        <v>69</v>
      </c>
    </row>
    <row r="197" spans="1:74" ht="12.95" customHeight="1">
      <c r="C197" s="21"/>
      <c r="D197" s="3" t="s">
        <v>169</v>
      </c>
      <c r="T197" s="1423" t="s">
        <v>678</v>
      </c>
      <c r="U197" s="1423"/>
      <c r="W197" t="s">
        <v>696</v>
      </c>
      <c r="AH197" s="1451">
        <v>4</v>
      </c>
      <c r="AI197" s="1451"/>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23"/>
      <c r="U198" s="142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51" t="s">
        <v>678</v>
      </c>
      <c r="AA199" s="145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385" t="s">
        <v>386</v>
      </c>
      <c r="E204" s="1385"/>
      <c r="F204" s="1385"/>
      <c r="G204" s="1385"/>
      <c r="H204" s="1385"/>
      <c r="I204" s="1385"/>
      <c r="J204" s="1385"/>
      <c r="K204" s="1385"/>
      <c r="L204" s="1385"/>
      <c r="M204" s="1385"/>
      <c r="P204" s="1566">
        <f>M26</f>
        <v>3320008</v>
      </c>
      <c r="Q204" s="1567"/>
      <c r="R204" s="1567"/>
      <c r="S204" s="1567"/>
      <c r="T204" s="1567"/>
      <c r="U204" s="1567"/>
      <c r="Z204" s="1572" t="s">
        <v>2631</v>
      </c>
      <c r="AA204" s="1572"/>
      <c r="AB204" s="1572"/>
      <c r="AC204" s="1572"/>
      <c r="AD204" s="1572"/>
      <c r="AE204" s="1572"/>
      <c r="AF204" s="1572"/>
      <c r="BC204" t="s">
        <v>619</v>
      </c>
      <c r="BN204" s="23" t="s">
        <v>713</v>
      </c>
      <c r="BT204" s="32" t="s">
        <v>198</v>
      </c>
      <c r="BU204" s="14"/>
    </row>
    <row r="205" spans="1:74" ht="12.95" customHeight="1">
      <c r="C205" s="21"/>
      <c r="D205" s="1571" t="s">
        <v>1356</v>
      </c>
      <c r="E205" s="1385"/>
      <c r="F205" s="1385"/>
      <c r="G205" s="1385"/>
      <c r="H205" s="1385"/>
      <c r="I205" s="1385"/>
      <c r="J205" s="1385"/>
      <c r="K205" s="1385"/>
      <c r="L205" s="1385"/>
      <c r="M205" s="1385"/>
      <c r="P205" s="1567">
        <f>M27</f>
        <v>5491319</v>
      </c>
      <c r="Q205" s="1567"/>
      <c r="R205" s="1567"/>
      <c r="S205" s="1567"/>
      <c r="T205" s="1567"/>
      <c r="U205" s="1567"/>
      <c r="V205" s="28"/>
      <c r="W205" s="3" t="s">
        <v>1911</v>
      </c>
      <c r="Z205" s="1572"/>
      <c r="AA205" s="1572"/>
      <c r="AB205" s="1572"/>
      <c r="AC205" s="1572"/>
      <c r="AD205" s="1572"/>
      <c r="AE205" s="1572"/>
      <c r="AF205" s="1572"/>
      <c r="AG205" t="s">
        <v>1357</v>
      </c>
      <c r="AP205" s="1451" t="s">
        <v>678</v>
      </c>
      <c r="AQ205" s="145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3"/>
      <c r="AA206" s="1573"/>
      <c r="AB206" s="1573"/>
      <c r="AC206" s="1573"/>
      <c r="AD206" s="1573"/>
      <c r="AE206" s="1573"/>
      <c r="AF206" s="1573"/>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502" t="s">
        <v>2647</v>
      </c>
      <c r="E208" s="1502"/>
      <c r="F208" s="1502"/>
      <c r="G208" s="1502"/>
      <c r="H208" s="1502"/>
      <c r="I208" s="1502"/>
      <c r="J208" s="1502"/>
      <c r="K208" s="1502"/>
      <c r="L208" s="1502"/>
      <c r="M208" s="1502"/>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02" t="s">
        <v>1066</v>
      </c>
      <c r="E211" s="1502"/>
      <c r="F211" s="1502"/>
      <c r="G211" s="1502"/>
      <c r="H211" s="1502"/>
      <c r="I211" s="1502"/>
      <c r="J211" s="1502"/>
      <c r="K211" s="1502"/>
      <c r="L211" s="1502"/>
      <c r="M211" s="1502"/>
      <c r="BN211" s="23" t="s">
        <v>129</v>
      </c>
      <c r="BT211" s="32" t="s">
        <v>130</v>
      </c>
    </row>
    <row r="212" spans="1:72" ht="12.95" customHeight="1">
      <c r="C212" s="21"/>
      <c r="D212" t="s">
        <v>1353</v>
      </c>
      <c r="Y212" s="1451"/>
      <c r="Z212" s="1451"/>
      <c r="AB212" s="1550">
        <f>IFERROR(Y212/AG440,"")</f>
        <v>0</v>
      </c>
      <c r="AC212" s="1551"/>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04" t="s">
        <v>600</v>
      </c>
      <c r="E214" s="1504"/>
      <c r="F214" s="1504"/>
      <c r="G214" s="1504"/>
      <c r="H214" s="1504"/>
      <c r="I214" s="1504"/>
      <c r="J214" s="1504"/>
      <c r="K214" s="1504"/>
      <c r="L214" s="1504"/>
      <c r="M214" s="1504"/>
      <c r="N214" s="1504"/>
      <c r="O214" s="1504"/>
      <c r="P214" s="1504"/>
      <c r="Q214" s="1504"/>
      <c r="R214" s="1504"/>
      <c r="S214" s="1504"/>
      <c r="T214" s="1504"/>
      <c r="U214" s="1504"/>
      <c r="V214" s="1504"/>
      <c r="W214" s="1504"/>
      <c r="X214" s="1504"/>
      <c r="Y214" s="1504"/>
      <c r="Z214" s="1504"/>
      <c r="AU214" s="21"/>
      <c r="AV214" s="21"/>
      <c r="AW214" s="21"/>
      <c r="AX214" s="21"/>
      <c r="AY214" s="21"/>
      <c r="BC214" t="s">
        <v>539</v>
      </c>
      <c r="BI214" t="s">
        <v>2637</v>
      </c>
      <c r="BN214" s="23" t="s">
        <v>327</v>
      </c>
      <c r="BT214" s="32" t="s">
        <v>206</v>
      </c>
    </row>
    <row r="215" spans="1:72" ht="12.95" customHeight="1">
      <c r="D215" s="3" t="s">
        <v>1767</v>
      </c>
      <c r="Z215" s="40"/>
      <c r="AB215" s="1503"/>
      <c r="AC215" s="1503"/>
      <c r="AD215" s="1503"/>
      <c r="AE215" s="1503"/>
      <c r="AF215" s="1503"/>
      <c r="AG215" s="1503"/>
      <c r="AH215" s="1503"/>
      <c r="AI215" s="1503"/>
      <c r="AJ215" s="1503"/>
      <c r="AK215" s="1503"/>
      <c r="AL215" s="1503"/>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503"/>
      <c r="AC216" s="1503"/>
      <c r="AD216" s="1503"/>
      <c r="AE216" s="1503"/>
      <c r="AF216" s="1503"/>
      <c r="AG216" s="1503"/>
      <c r="AH216" s="1503"/>
      <c r="AI216" s="1503"/>
      <c r="AJ216" s="1503"/>
      <c r="AK216" s="1503"/>
      <c r="AL216" s="1503"/>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02" t="s">
        <v>1094</v>
      </c>
      <c r="E220" s="1502"/>
      <c r="F220" s="1502"/>
      <c r="G220" s="1502"/>
      <c r="H220" s="1502"/>
      <c r="I220" s="1502"/>
      <c r="J220" s="1502"/>
      <c r="K220" s="1502"/>
      <c r="L220" s="1502"/>
      <c r="M220" s="1502"/>
      <c r="N220" s="1502"/>
      <c r="O220" s="1502"/>
      <c r="P220" s="1502"/>
      <c r="Q220" s="1502"/>
      <c r="R220" s="1502"/>
      <c r="S220" s="1502"/>
      <c r="T220" s="1502"/>
      <c r="U220" s="1502"/>
      <c r="V220" s="1502"/>
      <c r="W220" s="1502"/>
      <c r="X220" s="1502"/>
      <c r="Y220" s="1502"/>
      <c r="Z220" s="1502"/>
      <c r="BA220" s="3"/>
      <c r="BC220" t="s">
        <v>301</v>
      </c>
    </row>
    <row r="221" spans="1:72" ht="12.95" customHeight="1">
      <c r="A221" s="2"/>
      <c r="B221" s="14"/>
      <c r="C221" s="2"/>
      <c r="AU221" s="95"/>
      <c r="AV221" s="95"/>
      <c r="AW221" s="95"/>
      <c r="AX221" s="95"/>
      <c r="AY221" s="95"/>
      <c r="BA221" s="3"/>
    </row>
    <row r="222" spans="1:72" ht="12.95" customHeight="1">
      <c r="A222" s="1663" t="s">
        <v>549</v>
      </c>
      <c r="B222" s="1663"/>
      <c r="C222" s="1663"/>
      <c r="D222" s="1663"/>
      <c r="E222" s="1663"/>
      <c r="F222" s="1663"/>
      <c r="G222" s="1663"/>
      <c r="H222" s="1663"/>
      <c r="I222" s="1663"/>
      <c r="J222" s="1663"/>
      <c r="K222" s="1663"/>
      <c r="L222" s="1663"/>
      <c r="M222" s="1663"/>
      <c r="N222" s="1663"/>
      <c r="O222" s="1663"/>
      <c r="P222" s="1663"/>
      <c r="Q222" s="1663"/>
      <c r="R222" s="1663"/>
      <c r="S222" s="1663"/>
      <c r="T222" s="1663"/>
      <c r="U222" s="1663"/>
      <c r="V222" s="1663"/>
      <c r="W222" s="1663"/>
      <c r="X222" s="1663"/>
      <c r="Y222" s="1663"/>
      <c r="Z222" s="1663"/>
      <c r="AA222" s="1663"/>
      <c r="AB222" s="1663"/>
      <c r="AC222" s="1663"/>
      <c r="AD222" s="1663"/>
      <c r="AE222" s="1663"/>
      <c r="AF222" s="1663"/>
      <c r="AG222" s="1663"/>
      <c r="AH222" s="1663"/>
      <c r="AI222" s="1663"/>
      <c r="AJ222" s="1663"/>
      <c r="AK222" s="1663"/>
      <c r="AL222" s="1663"/>
      <c r="AM222" s="1663"/>
      <c r="AN222" s="1663"/>
      <c r="AO222" s="1663"/>
      <c r="AP222" s="1663"/>
      <c r="AQ222" s="1663"/>
      <c r="AR222" s="1663"/>
      <c r="AS222" s="1663"/>
      <c r="AT222" s="1663"/>
      <c r="AU222" s="95"/>
      <c r="AV222" s="95"/>
      <c r="AW222" s="95"/>
      <c r="AX222" s="95"/>
      <c r="AY222" s="95"/>
      <c r="AZ222" s="3"/>
      <c r="BA222" s="3"/>
      <c r="BP222" s="34"/>
    </row>
    <row r="223" spans="1:72" ht="12.95" customHeight="1">
      <c r="A223" s="1663"/>
      <c r="B223" s="1663"/>
      <c r="C223" s="1663"/>
      <c r="D223" s="1663"/>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1663"/>
      <c r="AK223" s="1663"/>
      <c r="AL223" s="1663"/>
      <c r="AM223" s="1663"/>
      <c r="AN223" s="1663"/>
      <c r="AO223" s="1663"/>
      <c r="AP223" s="1663"/>
      <c r="AQ223" s="1663"/>
      <c r="AR223" s="1663"/>
      <c r="AS223" s="1663"/>
      <c r="AT223" s="1663"/>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1" t="s">
        <v>600</v>
      </c>
      <c r="AJ226" s="145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1" t="s">
        <v>554</v>
      </c>
      <c r="AJ227" s="145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1" t="s">
        <v>600</v>
      </c>
      <c r="AJ228" s="145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1" t="s">
        <v>600</v>
      </c>
      <c r="AJ229" s="145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5" t="str">
        <f>H16</f>
        <v>Greek Orthodox Housing Corporation</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93" t="s">
        <v>2735</v>
      </c>
      <c r="N233" s="1502"/>
      <c r="O233" s="1502"/>
      <c r="P233" s="1502"/>
      <c r="Q233" s="1502"/>
      <c r="R233" s="1502"/>
      <c r="S233" s="1502"/>
      <c r="T233" s="1502"/>
      <c r="U233" s="1502"/>
      <c r="V233" s="1502"/>
      <c r="W233" s="1502"/>
      <c r="X233" s="1502"/>
      <c r="Y233" s="1502"/>
      <c r="Z233" s="1502"/>
      <c r="AA233" s="1502"/>
      <c r="AB233" s="1502"/>
      <c r="AC233" s="1502"/>
      <c r="AD233" s="1502"/>
      <c r="AE233" s="1502"/>
      <c r="BB233" s="219" t="s">
        <v>547</v>
      </c>
      <c r="BG233" s="259">
        <f>IF(AND(AND($M$249="nonprofit",$M$257="for profit",$M$265="nonprofit")),2,0)</f>
        <v>0</v>
      </c>
    </row>
    <row r="234" spans="1:69" ht="12.95" customHeight="1">
      <c r="D234" s="4" t="s">
        <v>589</v>
      </c>
      <c r="E234" s="4"/>
      <c r="M234" s="1493" t="s">
        <v>2659</v>
      </c>
      <c r="N234" s="1502"/>
      <c r="O234" s="1502"/>
      <c r="P234" s="1502"/>
      <c r="Q234" s="1502"/>
      <c r="R234" s="1502"/>
      <c r="S234" s="1502"/>
      <c r="T234" s="1502"/>
      <c r="V234" s="33" t="s">
        <v>86</v>
      </c>
      <c r="W234" s="1510" t="s">
        <v>2649</v>
      </c>
      <c r="X234" s="1510"/>
      <c r="Y234" s="4" t="s">
        <v>592</v>
      </c>
      <c r="AC234" s="1502">
        <v>95746</v>
      </c>
      <c r="AD234" s="1502"/>
      <c r="AE234" s="1502"/>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93" t="s">
        <v>2660</v>
      </c>
      <c r="N235" s="1502"/>
      <c r="O235" s="1502"/>
      <c r="P235" s="1502"/>
      <c r="Q235" s="1502"/>
      <c r="R235" s="1502"/>
      <c r="S235" s="1502"/>
      <c r="T235" s="1502"/>
      <c r="U235" s="1502"/>
      <c r="V235" s="1502"/>
      <c r="W235" s="1502"/>
      <c r="X235" s="1502"/>
      <c r="Y235" s="1502"/>
      <c r="Z235" s="1502"/>
      <c r="AA235" s="1502"/>
      <c r="AB235" s="1502"/>
      <c r="AC235" s="1502"/>
      <c r="AD235" s="1502"/>
      <c r="AE235" s="1502"/>
      <c r="AI235" s="4"/>
      <c r="AJ235" s="4"/>
      <c r="AK235" s="4"/>
      <c r="AL235" s="4"/>
      <c r="AM235" s="4"/>
      <c r="AN235" s="4"/>
      <c r="AO235" s="4"/>
      <c r="AP235" s="4"/>
      <c r="AQ235" s="4"/>
      <c r="AR235" s="4"/>
      <c r="AS235" s="4"/>
      <c r="AT235" s="4"/>
      <c r="BB235" s="219"/>
      <c r="BG235" s="218"/>
    </row>
    <row r="236" spans="1:69" ht="12.95" customHeight="1">
      <c r="D236" s="4" t="s">
        <v>88</v>
      </c>
      <c r="E236" s="4"/>
      <c r="F236" s="4"/>
      <c r="M236" s="1384">
        <v>8777834642</v>
      </c>
      <c r="N236" s="1384"/>
      <c r="O236" s="1384"/>
      <c r="P236" s="1384"/>
      <c r="Q236" s="1384"/>
      <c r="R236" s="1384"/>
      <c r="S236" s="4" t="s">
        <v>207</v>
      </c>
      <c r="T236" s="4"/>
      <c r="U236" s="1510"/>
      <c r="V236" s="1510"/>
      <c r="W236" s="1510"/>
      <c r="X236" s="4" t="s">
        <v>89</v>
      </c>
      <c r="Z236" s="1384"/>
      <c r="AA236" s="1384"/>
      <c r="AB236" s="1384"/>
      <c r="AC236" s="1384"/>
      <c r="AD236" s="1384"/>
      <c r="AE236" s="1384"/>
      <c r="AU236" s="4"/>
      <c r="AV236" s="4"/>
      <c r="AW236" s="4"/>
      <c r="AX236" s="4"/>
      <c r="AY236" s="4"/>
      <c r="AZ236" s="4"/>
      <c r="BB236" s="218" t="s">
        <v>546</v>
      </c>
      <c r="BG236" s="259">
        <f>IF(AND(AND($M$249="nonprofit",$M$257="nonprofit",$M$265="(select one)")),1,0)</f>
        <v>0</v>
      </c>
    </row>
    <row r="237" spans="1:69" ht="12.95" customHeight="1">
      <c r="D237" s="4" t="s">
        <v>90</v>
      </c>
      <c r="E237" s="4"/>
      <c r="F237" s="4"/>
      <c r="M237" s="1543" t="s">
        <v>2661</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368" t="s">
        <v>378</v>
      </c>
      <c r="N238" s="1368"/>
      <c r="O238" s="1368"/>
      <c r="P238" s="1368"/>
      <c r="Q238" s="1368"/>
      <c r="R238" s="1368"/>
      <c r="S238" s="1368"/>
      <c r="T238" s="1368"/>
      <c r="U238" s="218" t="s">
        <v>922</v>
      </c>
      <c r="V238" s="218"/>
      <c r="W238" s="218"/>
      <c r="X238" s="218"/>
      <c r="Y238" s="218"/>
      <c r="Z238" s="218"/>
      <c r="AA238" s="1540"/>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67"/>
      <c r="N239" s="1367"/>
      <c r="O239" s="1367"/>
      <c r="P239" s="1367"/>
      <c r="Q239" s="1367"/>
      <c r="R239" s="1367"/>
      <c r="S239" s="1367"/>
      <c r="T239" s="1367"/>
      <c r="U239" s="1367"/>
      <c r="V239" s="1367"/>
      <c r="W239" s="1367"/>
      <c r="X239" s="1367"/>
      <c r="Y239" s="1367"/>
      <c r="Z239" s="1367"/>
      <c r="AA239" s="1367"/>
      <c r="AB239" s="1367"/>
      <c r="AC239" s="1367"/>
      <c r="AD239" s="1367"/>
      <c r="AE239" s="136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56" t="s">
        <v>2639</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2652</v>
      </c>
      <c r="AG243" s="1547"/>
      <c r="AH243" s="1547"/>
      <c r="AI243" s="1547"/>
      <c r="AJ243" s="1547"/>
      <c r="AK243" s="1547"/>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502" t="s">
        <v>2648</v>
      </c>
      <c r="N244" s="1502"/>
      <c r="O244" s="1502"/>
      <c r="P244" s="1502"/>
      <c r="Q244" s="1502"/>
      <c r="R244" s="1502"/>
      <c r="S244" s="1502"/>
      <c r="T244" s="1502"/>
      <c r="U244" s="1502"/>
      <c r="V244" s="1502"/>
      <c r="W244" s="1502"/>
      <c r="X244" s="1502"/>
      <c r="Y244" s="1502"/>
      <c r="Z244" s="1502"/>
      <c r="AA244" s="1502"/>
      <c r="AB244" s="1502"/>
      <c r="AC244" s="1502"/>
      <c r="AD244" s="1502"/>
      <c r="AE244" s="150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02" t="s">
        <v>2644</v>
      </c>
      <c r="N245" s="1502"/>
      <c r="O245" s="1502"/>
      <c r="P245" s="1502"/>
      <c r="Q245" s="1502"/>
      <c r="R245" s="1502"/>
      <c r="S245" s="1502"/>
      <c r="T245" s="1502"/>
      <c r="V245" s="33" t="s">
        <v>86</v>
      </c>
      <c r="W245" s="1510" t="s">
        <v>2649</v>
      </c>
      <c r="X245" s="1510"/>
      <c r="Y245" s="4" t="s">
        <v>592</v>
      </c>
      <c r="AC245" s="1502">
        <v>95661</v>
      </c>
      <c r="AD245" s="1502"/>
      <c r="AE245" s="1502"/>
      <c r="AF245" s="3" t="s">
        <v>1287</v>
      </c>
      <c r="AU245" s="4"/>
      <c r="AV245" s="4"/>
      <c r="AW245" s="4"/>
      <c r="AX245" s="4"/>
      <c r="AY245" s="4"/>
      <c r="BB245" s="4" t="s">
        <v>281</v>
      </c>
      <c r="BG245">
        <v>2</v>
      </c>
      <c r="BH245" t="s">
        <v>575</v>
      </c>
      <c r="BO245" s="257">
        <f>VLOOKUP(BG243,BG244:BH247,2,FALSE)</f>
        <v>0</v>
      </c>
    </row>
    <row r="246" spans="1:71" ht="12.95" customHeight="1">
      <c r="A246" s="19"/>
      <c r="B246" s="4"/>
      <c r="C246" s="4"/>
      <c r="D246" s="4" t="s">
        <v>87</v>
      </c>
      <c r="E246" s="4"/>
      <c r="F246" s="4"/>
      <c r="G246" s="4"/>
      <c r="H246" s="4"/>
      <c r="I246" s="4"/>
      <c r="J246" s="4"/>
      <c r="K246" s="4"/>
      <c r="L246" s="19"/>
      <c r="M246" s="1502" t="s">
        <v>2650</v>
      </c>
      <c r="N246" s="1502"/>
      <c r="O246" s="1502"/>
      <c r="P246" s="1502"/>
      <c r="Q246" s="1502"/>
      <c r="R246" s="1502"/>
      <c r="S246" s="1502"/>
      <c r="T246" s="1502"/>
      <c r="U246" s="1502"/>
      <c r="V246" s="1502"/>
      <c r="W246" s="1502"/>
      <c r="X246" s="1502"/>
      <c r="Y246" s="1502"/>
      <c r="Z246" s="1502"/>
      <c r="AA246" s="1502"/>
      <c r="AB246" s="1502"/>
      <c r="AC246" s="1502"/>
      <c r="AD246" s="1502"/>
      <c r="AE246" s="1502"/>
      <c r="AH246" s="1492">
        <v>4.4999999999999997E-3</v>
      </c>
      <c r="AI246" s="1492"/>
      <c r="AJ246" s="1492"/>
      <c r="AK246" s="149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4">
        <v>9167830330</v>
      </c>
      <c r="N247" s="1384"/>
      <c r="O247" s="1384"/>
      <c r="P247" s="1384"/>
      <c r="Q247" s="1384"/>
      <c r="R247" s="1384"/>
      <c r="S247" s="4" t="s">
        <v>207</v>
      </c>
      <c r="T247" s="4"/>
      <c r="U247" s="1510"/>
      <c r="V247" s="1510"/>
      <c r="W247" s="1510"/>
      <c r="X247" s="4" t="s">
        <v>89</v>
      </c>
      <c r="Z247" s="1384"/>
      <c r="AA247" s="1384"/>
      <c r="AB247" s="1384"/>
      <c r="AC247" s="1384"/>
      <c r="AD247" s="1384"/>
      <c r="AE247" s="1384"/>
      <c r="AU247" s="4"/>
      <c r="AV247" s="4"/>
      <c r="AW247" s="4"/>
      <c r="AX247" s="4"/>
      <c r="AY247" s="4"/>
      <c r="BG247">
        <v>0</v>
      </c>
      <c r="BH247" s="3"/>
      <c r="BN247" s="34"/>
    </row>
    <row r="248" spans="1:71" ht="12.95" customHeight="1">
      <c r="A248" s="19"/>
      <c r="B248" s="4"/>
      <c r="C248" s="4"/>
      <c r="D248" s="4" t="s">
        <v>90</v>
      </c>
      <c r="E248" s="4"/>
      <c r="F248" s="4"/>
      <c r="M248" s="1543" t="s">
        <v>2651</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68" t="s">
        <v>545</v>
      </c>
      <c r="N249" s="1368"/>
      <c r="O249" s="1368"/>
      <c r="P249" s="1368"/>
      <c r="Q249" s="1368"/>
      <c r="R249" s="1368"/>
      <c r="S249" s="1368"/>
      <c r="T249" s="1368"/>
      <c r="U249" s="218" t="s">
        <v>922</v>
      </c>
      <c r="V249" s="218"/>
      <c r="W249" s="218"/>
      <c r="X249" s="218"/>
      <c r="Y249" s="218"/>
      <c r="Z249" s="218"/>
      <c r="AA249" s="1540"/>
      <c r="AB249" s="1540"/>
      <c r="AC249" s="1540"/>
      <c r="AD249" s="1540"/>
      <c r="AE249" s="1540"/>
      <c r="AF249" s="1540"/>
      <c r="AG249" s="1540"/>
      <c r="AH249" s="1540"/>
      <c r="AI249" s="1540"/>
      <c r="AJ249" s="1540"/>
      <c r="AK249" s="154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7" t="s">
        <v>2653</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2652</v>
      </c>
      <c r="AG251" s="1547"/>
      <c r="AH251" s="1547"/>
      <c r="AI251" s="1547"/>
      <c r="AJ251" s="1547"/>
      <c r="AK251" s="1547"/>
      <c r="AU251" s="4"/>
      <c r="AV251" s="4"/>
      <c r="AW251" s="4"/>
      <c r="AX251" s="4"/>
      <c r="AY251" s="4"/>
      <c r="BN251" s="34"/>
    </row>
    <row r="252" spans="1:71" ht="12.95" customHeight="1">
      <c r="A252" s="19"/>
      <c r="B252" s="4"/>
      <c r="C252" s="4"/>
      <c r="D252" s="4" t="s">
        <v>85</v>
      </c>
      <c r="E252" s="4"/>
      <c r="F252" s="4"/>
      <c r="G252" s="4"/>
      <c r="H252" s="4"/>
      <c r="I252" s="4"/>
      <c r="J252" s="4"/>
      <c r="K252" s="4"/>
      <c r="L252" s="4"/>
      <c r="M252" s="1502" t="s">
        <v>2648</v>
      </c>
      <c r="N252" s="1502"/>
      <c r="O252" s="1502"/>
      <c r="P252" s="1502"/>
      <c r="Q252" s="1502"/>
      <c r="R252" s="1502"/>
      <c r="S252" s="1502"/>
      <c r="T252" s="1502"/>
      <c r="U252" s="1502"/>
      <c r="V252" s="1502"/>
      <c r="W252" s="1502"/>
      <c r="X252" s="1502"/>
      <c r="Y252" s="1502"/>
      <c r="Z252" s="1502"/>
      <c r="AA252" s="1502"/>
      <c r="AB252" s="1502"/>
      <c r="AC252" s="1502"/>
      <c r="AD252" s="1502"/>
      <c r="AE252" s="1502"/>
      <c r="AF252" s="3" t="s">
        <v>1286</v>
      </c>
      <c r="AL252" s="4"/>
      <c r="AM252" s="4"/>
      <c r="AN252" s="4"/>
      <c r="AO252" s="4"/>
      <c r="AP252" s="4"/>
      <c r="AQ252" s="4"/>
      <c r="AR252" s="4"/>
      <c r="AS252" s="4"/>
      <c r="AT252" s="4"/>
      <c r="BN252" s="34"/>
    </row>
    <row r="253" spans="1:71" ht="12.95" customHeight="1">
      <c r="A253" s="19"/>
      <c r="B253" s="4"/>
      <c r="C253" s="4"/>
      <c r="D253" s="4" t="s">
        <v>589</v>
      </c>
      <c r="E253" s="4"/>
      <c r="M253" s="1502" t="s">
        <v>2644</v>
      </c>
      <c r="N253" s="1502"/>
      <c r="O253" s="1502"/>
      <c r="P253" s="1502"/>
      <c r="Q253" s="1502"/>
      <c r="R253" s="1502"/>
      <c r="S253" s="1502"/>
      <c r="T253" s="1502"/>
      <c r="V253" s="33" t="s">
        <v>86</v>
      </c>
      <c r="W253" s="1510" t="s">
        <v>2649</v>
      </c>
      <c r="X253" s="1510"/>
      <c r="Y253" s="4" t="s">
        <v>592</v>
      </c>
      <c r="AC253" s="1502">
        <v>95661</v>
      </c>
      <c r="AD253" s="1502"/>
      <c r="AE253" s="1502"/>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02" t="s">
        <v>2654</v>
      </c>
      <c r="N254" s="1502"/>
      <c r="O254" s="1502"/>
      <c r="P254" s="1502"/>
      <c r="Q254" s="1502"/>
      <c r="R254" s="1502"/>
      <c r="S254" s="1502"/>
      <c r="T254" s="1502"/>
      <c r="U254" s="1502"/>
      <c r="V254" s="1502"/>
      <c r="W254" s="1502"/>
      <c r="X254" s="1502"/>
      <c r="Y254" s="1502"/>
      <c r="Z254" s="1502"/>
      <c r="AA254" s="1502"/>
      <c r="AB254" s="1502"/>
      <c r="AC254" s="1502"/>
      <c r="AD254" s="1502"/>
      <c r="AE254" s="1502"/>
      <c r="AH254" s="1492">
        <v>4.4999999999999997E-3</v>
      </c>
      <c r="AI254" s="1492"/>
      <c r="AJ254" s="1492"/>
      <c r="AK254" s="1492"/>
      <c r="AL254" s="4"/>
      <c r="AM254" s="4"/>
      <c r="AN254" s="4"/>
      <c r="AO254" s="4"/>
      <c r="AP254" s="4"/>
      <c r="AQ254" s="4"/>
      <c r="AR254" s="4"/>
      <c r="AS254" s="4"/>
      <c r="AT254" s="4"/>
    </row>
    <row r="255" spans="1:71" ht="12.95" customHeight="1">
      <c r="A255" s="19"/>
      <c r="B255" s="4"/>
      <c r="C255" s="4"/>
      <c r="D255" s="4" t="s">
        <v>88</v>
      </c>
      <c r="E255" s="4"/>
      <c r="F255" s="4"/>
      <c r="M255" s="1548" t="s">
        <v>2655</v>
      </c>
      <c r="N255" s="1384"/>
      <c r="O255" s="1384"/>
      <c r="P255" s="1384"/>
      <c r="Q255" s="1384"/>
      <c r="R255" s="1384"/>
      <c r="S255" s="4" t="s">
        <v>207</v>
      </c>
      <c r="T255" s="4"/>
      <c r="U255" s="1510"/>
      <c r="V255" s="1510"/>
      <c r="W255" s="1510"/>
      <c r="X255" s="4" t="s">
        <v>89</v>
      </c>
      <c r="Z255" s="1384"/>
      <c r="AA255" s="1384"/>
      <c r="AB255" s="1384"/>
      <c r="AC255" s="1384"/>
      <c r="AD255" s="1384"/>
      <c r="AE255" s="1384"/>
      <c r="AU255" s="4"/>
      <c r="AV255" s="4"/>
      <c r="AW255" s="4"/>
      <c r="AX255" s="4"/>
      <c r="AY255" s="4"/>
      <c r="BN255" s="34"/>
    </row>
    <row r="256" spans="1:71" ht="12.95" customHeight="1">
      <c r="A256" s="19"/>
      <c r="B256" s="4"/>
      <c r="C256" s="4"/>
      <c r="D256" s="4" t="s">
        <v>90</v>
      </c>
      <c r="E256" s="4"/>
      <c r="F256" s="4"/>
      <c r="M256" s="1543" t="s">
        <v>2656</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68" t="s">
        <v>308</v>
      </c>
      <c r="N257" s="1368"/>
      <c r="O257" s="1368"/>
      <c r="P257" s="1368"/>
      <c r="Q257" s="1368"/>
      <c r="R257" s="1368"/>
      <c r="S257" s="1368"/>
      <c r="T257" s="1368"/>
      <c r="U257" s="218" t="s">
        <v>922</v>
      </c>
      <c r="V257" s="218"/>
      <c r="W257" s="218"/>
      <c r="X257" s="218"/>
      <c r="Y257" s="218"/>
      <c r="Z257" s="218"/>
      <c r="AA257" s="1540"/>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7" t="s">
        <v>2657</v>
      </c>
      <c r="N259" s="1547"/>
      <c r="O259" s="1547"/>
      <c r="P259" s="1547"/>
      <c r="Q259" s="1547"/>
      <c r="R259" s="1547"/>
      <c r="S259" s="1547"/>
      <c r="T259" s="1547"/>
      <c r="U259" s="1547"/>
      <c r="V259" s="1547"/>
      <c r="W259" s="1547"/>
      <c r="X259" s="1547"/>
      <c r="Y259" s="1547"/>
      <c r="Z259" s="1547"/>
      <c r="AA259" s="1547"/>
      <c r="AB259" s="1547"/>
      <c r="AC259" s="1547"/>
      <c r="AD259" s="1547"/>
      <c r="AE259" s="1547"/>
      <c r="AF259" s="1547" t="s">
        <v>308</v>
      </c>
      <c r="AG259" s="1547"/>
      <c r="AH259" s="1547"/>
      <c r="AI259" s="1547"/>
      <c r="AJ259" s="1547"/>
      <c r="AK259" s="154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2" t="s">
        <v>2658</v>
      </c>
      <c r="N260" s="1502"/>
      <c r="O260" s="1502"/>
      <c r="P260" s="1502"/>
      <c r="Q260" s="1502"/>
      <c r="R260" s="1502"/>
      <c r="S260" s="1502"/>
      <c r="T260" s="1502"/>
      <c r="U260" s="1502"/>
      <c r="V260" s="1502"/>
      <c r="W260" s="1502"/>
      <c r="X260" s="1502"/>
      <c r="Y260" s="1502"/>
      <c r="Z260" s="1502"/>
      <c r="AA260" s="1502"/>
      <c r="AB260" s="1502"/>
      <c r="AC260" s="1502"/>
      <c r="AD260" s="1502"/>
      <c r="AE260" s="1502"/>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02" t="s">
        <v>2659</v>
      </c>
      <c r="N261" s="1502"/>
      <c r="O261" s="1502"/>
      <c r="P261" s="1502"/>
      <c r="Q261" s="1502"/>
      <c r="R261" s="1502"/>
      <c r="S261" s="1502"/>
      <c r="T261" s="1502"/>
      <c r="V261" s="33" t="s">
        <v>86</v>
      </c>
      <c r="W261" s="1510" t="s">
        <v>2649</v>
      </c>
      <c r="X261" s="1510"/>
      <c r="Y261" s="4" t="s">
        <v>592</v>
      </c>
      <c r="AC261" s="1502">
        <v>95746</v>
      </c>
      <c r="AD261" s="1502"/>
      <c r="AE261" s="1502"/>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2" t="s">
        <v>2660</v>
      </c>
      <c r="N262" s="1502"/>
      <c r="O262" s="1502"/>
      <c r="P262" s="1502"/>
      <c r="Q262" s="1502"/>
      <c r="R262" s="1502"/>
      <c r="S262" s="1502"/>
      <c r="T262" s="1502"/>
      <c r="U262" s="1502"/>
      <c r="V262" s="1502"/>
      <c r="W262" s="1502"/>
      <c r="X262" s="1502"/>
      <c r="Y262" s="1502"/>
      <c r="Z262" s="1502"/>
      <c r="AA262" s="1502"/>
      <c r="AB262" s="1502"/>
      <c r="AC262" s="1502"/>
      <c r="AD262" s="1502"/>
      <c r="AE262" s="1502"/>
      <c r="AH262" s="1492">
        <v>1E-3</v>
      </c>
      <c r="AI262" s="1492"/>
      <c r="AJ262" s="1492"/>
      <c r="AK262" s="149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4">
        <v>8777834642</v>
      </c>
      <c r="N263" s="1384"/>
      <c r="O263" s="1384"/>
      <c r="P263" s="1384"/>
      <c r="Q263" s="1384"/>
      <c r="R263" s="1384"/>
      <c r="S263" s="4" t="s">
        <v>207</v>
      </c>
      <c r="T263" s="4"/>
      <c r="U263" s="1510"/>
      <c r="V263" s="1510"/>
      <c r="W263" s="1510"/>
      <c r="X263" s="4" t="s">
        <v>89</v>
      </c>
      <c r="Z263" s="1384"/>
      <c r="AA263" s="1384"/>
      <c r="AB263" s="1384"/>
      <c r="AC263" s="1384"/>
      <c r="AD263" s="1384"/>
      <c r="AE263" s="138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3" t="s">
        <v>2661</v>
      </c>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68" t="s">
        <v>543</v>
      </c>
      <c r="N265" s="1368"/>
      <c r="O265" s="1368"/>
      <c r="P265" s="1368"/>
      <c r="Q265" s="1368"/>
      <c r="R265" s="1368"/>
      <c r="S265" s="1368"/>
      <c r="T265" s="1368"/>
      <c r="U265" s="218" t="s">
        <v>922</v>
      </c>
      <c r="V265" s="218"/>
      <c r="W265" s="218"/>
      <c r="X265" s="218"/>
      <c r="Y265" s="218"/>
      <c r="Z265" s="218"/>
      <c r="AA265" s="1541"/>
      <c r="AB265" s="1541"/>
      <c r="AC265" s="1541"/>
      <c r="AD265" s="1541"/>
      <c r="AE265" s="1541"/>
      <c r="AF265" s="1541"/>
      <c r="AG265" s="1541"/>
      <c r="AH265" s="1541"/>
      <c r="AI265" s="1541"/>
      <c r="AJ265" s="1541"/>
      <c r="AK265" s="154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9">
        <f>IFERROR(BO245,"")</f>
        <v>0</v>
      </c>
      <c r="U267" s="1549"/>
      <c r="V267" s="1549"/>
      <c r="W267" s="1549"/>
      <c r="X267" s="1549"/>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02" t="s">
        <v>173</v>
      </c>
      <c r="E270" s="1502"/>
      <c r="F270" s="1502"/>
      <c r="G270" s="1502"/>
      <c r="H270" s="1502"/>
      <c r="J270" t="s">
        <v>280</v>
      </c>
      <c r="X270" s="1542">
        <v>45519</v>
      </c>
      <c r="Y270" s="1542"/>
      <c r="Z270" s="1542"/>
      <c r="AA270" s="1542"/>
      <c r="AB270" s="1542"/>
      <c r="AC270" s="154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7" t="s">
        <v>2662</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2" t="s">
        <v>2663</v>
      </c>
      <c r="M275" s="1502"/>
      <c r="N275" s="1502"/>
      <c r="O275" s="1502"/>
      <c r="P275" s="1502"/>
      <c r="Q275" s="1502"/>
      <c r="R275" s="1502"/>
      <c r="S275" s="1502"/>
      <c r="T275" s="1502"/>
      <c r="U275" s="1502"/>
      <c r="V275" s="1502"/>
      <c r="W275" s="1502"/>
      <c r="X275" s="1502"/>
      <c r="Y275" s="1502"/>
      <c r="Z275" s="1502"/>
      <c r="AA275" s="1502"/>
      <c r="AB275" s="1502"/>
      <c r="AC275" s="1502"/>
      <c r="AD275" s="150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02" t="s">
        <v>68</v>
      </c>
      <c r="M276" s="1502"/>
      <c r="N276" s="1502"/>
      <c r="O276" s="1502"/>
      <c r="P276" s="1502"/>
      <c r="Q276" s="1502"/>
      <c r="R276" s="1502"/>
      <c r="S276" s="1502"/>
      <c r="U276" s="33" t="s">
        <v>86</v>
      </c>
      <c r="V276" s="1509" t="s">
        <v>2649</v>
      </c>
      <c r="W276" s="1510"/>
      <c r="X276" s="4" t="s">
        <v>592</v>
      </c>
      <c r="AB276" s="1502">
        <v>95811</v>
      </c>
      <c r="AC276" s="1502"/>
      <c r="AD276" s="150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2" t="s">
        <v>2664</v>
      </c>
      <c r="M277" s="1502"/>
      <c r="N277" s="1502"/>
      <c r="O277" s="1502"/>
      <c r="P277" s="1502"/>
      <c r="Q277" s="1502"/>
      <c r="R277" s="1502"/>
      <c r="S277" s="1502"/>
      <c r="T277" s="1502"/>
      <c r="U277" s="1502"/>
      <c r="V277" s="1502"/>
      <c r="W277" s="1502"/>
      <c r="X277" s="1502"/>
      <c r="Y277" s="1502"/>
      <c r="Z277" s="1502"/>
      <c r="AA277" s="1502"/>
      <c r="AB277" s="1502"/>
      <c r="AC277" s="1502"/>
      <c r="AD277" s="1502"/>
      <c r="AI277" s="4"/>
      <c r="AJ277" s="4"/>
      <c r="AK277" s="3"/>
      <c r="AL277" s="3"/>
      <c r="AM277" s="3"/>
      <c r="AN277" s="3"/>
      <c r="AO277" s="3"/>
      <c r="AP277" s="3"/>
      <c r="AQ277" s="3"/>
      <c r="AR277" s="3"/>
      <c r="AS277" s="3"/>
      <c r="AT277" s="3"/>
      <c r="BN277" s="34"/>
    </row>
    <row r="278" spans="1:66" ht="12.95" customHeight="1">
      <c r="D278" s="4" t="s">
        <v>88</v>
      </c>
      <c r="E278" s="4"/>
      <c r="F278" s="4"/>
      <c r="L278" s="1384">
        <v>9164440286</v>
      </c>
      <c r="M278" s="1384"/>
      <c r="N278" s="1384"/>
      <c r="O278" s="1384"/>
      <c r="P278" s="1384"/>
      <c r="Q278" s="1384"/>
      <c r="R278" s="4" t="s">
        <v>207</v>
      </c>
      <c r="S278" s="4"/>
      <c r="T278" s="1510"/>
      <c r="U278" s="1510"/>
      <c r="V278" s="1510"/>
      <c r="W278" s="4" t="s">
        <v>89</v>
      </c>
      <c r="Y278" s="1384"/>
      <c r="Z278" s="1384"/>
      <c r="AA278" s="1384"/>
      <c r="AB278" s="1384"/>
      <c r="AC278" s="1384"/>
      <c r="AD278" s="1384"/>
      <c r="BN278" s="34"/>
    </row>
    <row r="279" spans="1:66" ht="12.95" customHeight="1">
      <c r="D279" s="4" t="s">
        <v>90</v>
      </c>
      <c r="E279" s="4"/>
      <c r="F279" s="4"/>
      <c r="L279" s="1543" t="s">
        <v>2665</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c r="BN279" s="34"/>
    </row>
    <row r="280" spans="1:66" ht="12.95" customHeight="1">
      <c r="D280" s="3" t="s">
        <v>632</v>
      </c>
      <c r="E280" s="3"/>
      <c r="F280" s="3"/>
      <c r="G280" s="3"/>
      <c r="H280" s="3"/>
      <c r="I280" s="3"/>
      <c r="L280" s="1509" t="s">
        <v>2666</v>
      </c>
      <c r="M280" s="1509"/>
      <c r="N280" s="1509"/>
      <c r="O280" s="1509"/>
      <c r="P280" s="1509"/>
      <c r="Q280" s="1509"/>
      <c r="R280" s="1509"/>
      <c r="S280" s="1509"/>
      <c r="T280" s="1509"/>
      <c r="U280" s="1509"/>
      <c r="V280" s="1509"/>
      <c r="W280" s="1509"/>
      <c r="X280" s="1509"/>
      <c r="Y280" s="1509"/>
      <c r="Z280" s="1509"/>
      <c r="AA280" s="1509"/>
      <c r="AB280" s="1509"/>
      <c r="AC280" s="1509"/>
      <c r="AD280" s="150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63" t="s">
        <v>550</v>
      </c>
      <c r="B282" s="1663"/>
      <c r="C282" s="1663"/>
      <c r="D282" s="1663"/>
      <c r="E282" s="1663"/>
      <c r="F282" s="1663"/>
      <c r="G282" s="1663"/>
      <c r="H282" s="1663"/>
      <c r="I282" s="1663"/>
      <c r="J282" s="1663"/>
      <c r="K282" s="1663"/>
      <c r="L282" s="1663"/>
      <c r="M282" s="1663"/>
      <c r="N282" s="1663"/>
      <c r="O282" s="1663"/>
      <c r="P282" s="1663"/>
      <c r="Q282" s="1663"/>
      <c r="R282" s="1663"/>
      <c r="S282" s="1663"/>
      <c r="T282" s="1663"/>
      <c r="U282" s="1663"/>
      <c r="V282" s="1663"/>
      <c r="W282" s="1663"/>
      <c r="X282" s="1663"/>
      <c r="Y282" s="1663"/>
      <c r="Z282" s="1663"/>
      <c r="AA282" s="1663"/>
      <c r="AB282" s="1663"/>
      <c r="AC282" s="1663"/>
      <c r="AD282" s="1663"/>
      <c r="AE282" s="1663"/>
      <c r="AF282" s="1663"/>
      <c r="AG282" s="1663"/>
      <c r="AH282" s="1663"/>
      <c r="AI282" s="1663"/>
      <c r="AJ282" s="1663"/>
      <c r="AK282" s="1663"/>
      <c r="AL282" s="1663"/>
      <c r="AM282" s="1663"/>
      <c r="AN282" s="1663"/>
      <c r="AO282" s="1663"/>
      <c r="AP282" s="1663"/>
      <c r="AQ282" s="1663"/>
      <c r="AR282" s="1663"/>
      <c r="AS282" s="1663"/>
      <c r="AT282" s="1663"/>
      <c r="AU282" s="95"/>
      <c r="AV282" s="95"/>
      <c r="AW282" s="95"/>
      <c r="AX282" s="95"/>
      <c r="AY282" s="95"/>
      <c r="BN282" s="34"/>
    </row>
    <row r="283" spans="1:66" ht="12.95" customHeight="1">
      <c r="A283" s="1663"/>
      <c r="B283" s="1663"/>
      <c r="C283" s="1663"/>
      <c r="D283" s="1663"/>
      <c r="E283" s="1663"/>
      <c r="F283" s="1663"/>
      <c r="G283" s="1663"/>
      <c r="H283" s="1663"/>
      <c r="I283" s="1663"/>
      <c r="J283" s="1663"/>
      <c r="K283" s="1663"/>
      <c r="L283" s="1663"/>
      <c r="M283" s="1663"/>
      <c r="N283" s="1663"/>
      <c r="O283" s="1663"/>
      <c r="P283" s="1663"/>
      <c r="Q283" s="1663"/>
      <c r="R283" s="1663"/>
      <c r="S283" s="1663"/>
      <c r="T283" s="1663"/>
      <c r="U283" s="1663"/>
      <c r="V283" s="1663"/>
      <c r="W283" s="1663"/>
      <c r="X283" s="1663"/>
      <c r="Y283" s="1663"/>
      <c r="Z283" s="1663"/>
      <c r="AA283" s="1663"/>
      <c r="AB283" s="1663"/>
      <c r="AC283" s="1663"/>
      <c r="AD283" s="1663"/>
      <c r="AE283" s="1663"/>
      <c r="AF283" s="1663"/>
      <c r="AG283" s="1663"/>
      <c r="AH283" s="1663"/>
      <c r="AI283" s="1663"/>
      <c r="AJ283" s="1663"/>
      <c r="AK283" s="1663"/>
      <c r="AL283" s="1663"/>
      <c r="AM283" s="1663"/>
      <c r="AN283" s="1663"/>
      <c r="AO283" s="1663"/>
      <c r="AP283" s="1663"/>
      <c r="AQ283" s="1663"/>
      <c r="AR283" s="1663"/>
      <c r="AS283" s="1663"/>
      <c r="AT283" s="166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67" t="s">
        <v>2653</v>
      </c>
      <c r="I287" s="1367"/>
      <c r="J287" s="1367"/>
      <c r="K287" s="1367"/>
      <c r="L287" s="1367"/>
      <c r="M287" s="1367"/>
      <c r="N287" s="1367"/>
      <c r="O287" s="1367"/>
      <c r="P287" s="1367"/>
      <c r="Q287" s="1367"/>
      <c r="R287" s="1367"/>
      <c r="T287" s="3" t="s">
        <v>576</v>
      </c>
      <c r="V287" s="3"/>
      <c r="W287" s="3"/>
      <c r="X287" s="3"/>
      <c r="Y287" s="3"/>
      <c r="AA287" s="1367" t="s">
        <v>2674</v>
      </c>
      <c r="AB287" s="1367"/>
      <c r="AC287" s="1367"/>
      <c r="AD287" s="1367"/>
      <c r="AE287" s="1367"/>
      <c r="AF287" s="1367"/>
      <c r="AG287" s="1367"/>
      <c r="AH287" s="1367"/>
      <c r="AI287" s="1367"/>
      <c r="AJ287" s="1367"/>
      <c r="AK287" s="1367"/>
      <c r="BN287" s="34"/>
    </row>
    <row r="288" spans="1:66" ht="12.95" customHeight="1">
      <c r="B288" s="3" t="s">
        <v>480</v>
      </c>
      <c r="C288" s="3"/>
      <c r="D288" s="3"/>
      <c r="E288" s="3"/>
      <c r="F288" s="3"/>
      <c r="H288" s="1368" t="s">
        <v>2648</v>
      </c>
      <c r="I288" s="1368"/>
      <c r="J288" s="1368"/>
      <c r="K288" s="1368"/>
      <c r="L288" s="1368"/>
      <c r="M288" s="1368"/>
      <c r="N288" s="1368"/>
      <c r="O288" s="1368"/>
      <c r="P288" s="1368"/>
      <c r="Q288" s="1368"/>
      <c r="R288" s="1368"/>
      <c r="T288" s="3" t="s">
        <v>480</v>
      </c>
      <c r="V288" s="3"/>
      <c r="W288" s="3"/>
      <c r="X288" s="3"/>
      <c r="Y288" s="3"/>
      <c r="AA288" s="1368" t="s">
        <v>2675</v>
      </c>
      <c r="AB288" s="1368"/>
      <c r="AC288" s="1368"/>
      <c r="AD288" s="1368"/>
      <c r="AE288" s="1368"/>
      <c r="AF288" s="1368"/>
      <c r="AG288" s="1368"/>
      <c r="AH288" s="1368"/>
      <c r="AI288" s="1368"/>
      <c r="AJ288" s="1368"/>
      <c r="AK288" s="1368"/>
      <c r="BN288" s="34"/>
    </row>
    <row r="289" spans="2:66" ht="12.95" customHeight="1">
      <c r="B289" s="3" t="s">
        <v>481</v>
      </c>
      <c r="C289" s="3"/>
      <c r="D289" s="3"/>
      <c r="E289" s="3"/>
      <c r="F289" s="3"/>
      <c r="H289" s="1368" t="s">
        <v>2667</v>
      </c>
      <c r="I289" s="1368"/>
      <c r="J289" s="1368"/>
      <c r="K289" s="1368"/>
      <c r="L289" s="1368"/>
      <c r="M289" s="1368"/>
      <c r="N289" s="1368"/>
      <c r="O289" s="1368"/>
      <c r="P289" s="1368"/>
      <c r="Q289" s="1368"/>
      <c r="R289" s="1368"/>
      <c r="T289" s="3" t="s">
        <v>75</v>
      </c>
      <c r="V289" s="3"/>
      <c r="W289" s="3"/>
      <c r="X289" s="3"/>
      <c r="Y289" s="3"/>
      <c r="AA289" s="1509" t="s">
        <v>2676</v>
      </c>
      <c r="AB289" s="1368"/>
      <c r="AC289" s="1368"/>
      <c r="AD289" s="1368"/>
      <c r="AE289" s="1368"/>
      <c r="AF289" s="1368"/>
      <c r="AG289" s="1368"/>
      <c r="AH289" s="1368"/>
      <c r="AI289" s="1368"/>
      <c r="AJ289" s="1368"/>
      <c r="AK289" s="1368"/>
      <c r="BN289" s="34"/>
    </row>
    <row r="290" spans="2:66" ht="12.95" customHeight="1">
      <c r="B290" s="3" t="s">
        <v>87</v>
      </c>
      <c r="C290" s="3"/>
      <c r="D290" s="3"/>
      <c r="E290" s="3"/>
      <c r="F290" s="3"/>
      <c r="H290" s="1368" t="s">
        <v>2650</v>
      </c>
      <c r="I290" s="1368"/>
      <c r="J290" s="1368"/>
      <c r="K290" s="1368"/>
      <c r="L290" s="1368"/>
      <c r="M290" s="1368"/>
      <c r="N290" s="1368"/>
      <c r="O290" s="1368"/>
      <c r="P290" s="1368"/>
      <c r="Q290" s="1368"/>
      <c r="R290" s="1368"/>
      <c r="T290" s="3" t="s">
        <v>87</v>
      </c>
      <c r="V290" s="3"/>
      <c r="W290" s="3"/>
      <c r="X290" s="3"/>
      <c r="Y290" s="3"/>
      <c r="AA290" s="1368" t="s">
        <v>2677</v>
      </c>
      <c r="AB290" s="1368"/>
      <c r="AC290" s="1368"/>
      <c r="AD290" s="1368"/>
      <c r="AE290" s="1368"/>
      <c r="AF290" s="1368"/>
      <c r="AG290" s="1368"/>
      <c r="AH290" s="1368"/>
      <c r="AI290" s="1368"/>
      <c r="AJ290" s="1368"/>
      <c r="AK290" s="1368"/>
      <c r="BN290" s="34"/>
    </row>
    <row r="291" spans="2:66" ht="12.95" customHeight="1">
      <c r="B291" s="3" t="s">
        <v>88</v>
      </c>
      <c r="C291" s="3"/>
      <c r="D291" s="3"/>
      <c r="E291" s="3"/>
      <c r="F291" s="3"/>
      <c r="G291" s="3"/>
      <c r="H291" s="1534">
        <v>9167830330</v>
      </c>
      <c r="I291" s="1534"/>
      <c r="J291" s="1534"/>
      <c r="K291" s="1534"/>
      <c r="L291" s="1534"/>
      <c r="M291" s="1534"/>
      <c r="N291" s="4" t="s">
        <v>207</v>
      </c>
      <c r="O291" s="4"/>
      <c r="P291" s="1502"/>
      <c r="Q291" s="1502"/>
      <c r="R291" s="1502"/>
      <c r="S291" s="3"/>
      <c r="T291" s="3" t="s">
        <v>88</v>
      </c>
      <c r="V291" s="3"/>
      <c r="W291" s="3"/>
      <c r="X291" s="3"/>
      <c r="Y291" s="3"/>
      <c r="AA291" s="1534">
        <v>4154883504</v>
      </c>
      <c r="AB291" s="1534"/>
      <c r="AC291" s="1534"/>
      <c r="AD291" s="1534"/>
      <c r="AE291" s="1534"/>
      <c r="AF291" s="1534"/>
      <c r="AG291" s="4" t="s">
        <v>207</v>
      </c>
      <c r="AH291" s="4"/>
      <c r="AI291" s="1502"/>
      <c r="AJ291" s="1502"/>
      <c r="AK291" s="1502"/>
      <c r="BN291" s="34"/>
    </row>
    <row r="292" spans="2:66" ht="12.95" customHeight="1">
      <c r="B292" s="3" t="s">
        <v>89</v>
      </c>
      <c r="C292" s="3"/>
      <c r="D292" s="3"/>
      <c r="E292" s="3"/>
      <c r="F292" s="3"/>
      <c r="G292" s="3"/>
      <c r="H292" s="1384"/>
      <c r="I292" s="1384"/>
      <c r="J292" s="1384"/>
      <c r="K292" s="1384"/>
      <c r="L292" s="1384"/>
      <c r="M292" s="1384"/>
      <c r="N292" s="4"/>
      <c r="O292" s="4"/>
      <c r="P292" s="35"/>
      <c r="Q292" s="35"/>
      <c r="R292" s="35"/>
      <c r="S292" s="3"/>
      <c r="T292" s="3" t="s">
        <v>89</v>
      </c>
      <c r="V292" s="3"/>
      <c r="W292" s="3"/>
      <c r="X292" s="3"/>
      <c r="Y292" s="3"/>
      <c r="AA292" s="1384"/>
      <c r="AB292" s="1384"/>
      <c r="AC292" s="1384"/>
      <c r="AD292" s="1384"/>
      <c r="AE292" s="1384"/>
      <c r="AF292" s="1384"/>
      <c r="AG292" s="4"/>
      <c r="AH292" s="4"/>
      <c r="AI292" s="35"/>
      <c r="AJ292" s="35"/>
      <c r="AK292" s="35"/>
      <c r="BN292" s="34"/>
    </row>
    <row r="293" spans="2:66" ht="12.95" customHeight="1">
      <c r="B293" s="3" t="s">
        <v>76</v>
      </c>
      <c r="C293" s="3"/>
      <c r="D293" s="3"/>
      <c r="E293" s="3"/>
      <c r="F293" s="3"/>
      <c r="G293" s="3"/>
      <c r="H293" s="1368" t="s">
        <v>2651</v>
      </c>
      <c r="I293" s="1368"/>
      <c r="J293" s="1368"/>
      <c r="K293" s="1368"/>
      <c r="L293" s="1368"/>
      <c r="M293" s="1368"/>
      <c r="N293" s="1367"/>
      <c r="O293" s="1367"/>
      <c r="P293" s="1367"/>
      <c r="Q293" s="1367"/>
      <c r="R293" s="1367"/>
      <c r="S293" s="3"/>
      <c r="T293" s="3" t="s">
        <v>76</v>
      </c>
      <c r="V293" s="3"/>
      <c r="W293" s="3"/>
      <c r="X293" s="3"/>
      <c r="Y293" s="3"/>
      <c r="AA293" s="1368" t="s">
        <v>2678</v>
      </c>
      <c r="AB293" s="1368"/>
      <c r="AC293" s="1368"/>
      <c r="AD293" s="1368"/>
      <c r="AE293" s="1368"/>
      <c r="AF293" s="1368"/>
      <c r="AG293" s="1367"/>
      <c r="AH293" s="1367"/>
      <c r="AI293" s="1367"/>
      <c r="AJ293" s="1367"/>
      <c r="AK293" s="136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67" t="s">
        <v>2662</v>
      </c>
      <c r="I295" s="1367"/>
      <c r="J295" s="1367"/>
      <c r="K295" s="1367"/>
      <c r="L295" s="1367"/>
      <c r="M295" s="1367"/>
      <c r="N295" s="1367"/>
      <c r="O295" s="1367"/>
      <c r="P295" s="1367"/>
      <c r="Q295" s="1367"/>
      <c r="R295" s="1367"/>
      <c r="T295" s="3" t="s">
        <v>365</v>
      </c>
      <c r="V295" s="3"/>
      <c r="W295" s="3"/>
      <c r="X295" s="3"/>
      <c r="Y295" s="3"/>
      <c r="AA295" s="1367" t="s">
        <v>2679</v>
      </c>
      <c r="AB295" s="1367"/>
      <c r="AC295" s="1367"/>
      <c r="AD295" s="1367"/>
      <c r="AE295" s="1367"/>
      <c r="AF295" s="1367"/>
      <c r="AG295" s="1367"/>
      <c r="AH295" s="1367"/>
      <c r="AI295" s="1367"/>
      <c r="AJ295" s="1367"/>
      <c r="AK295" s="1367"/>
      <c r="BN295" s="34"/>
    </row>
    <row r="296" spans="2:66" ht="12.95" customHeight="1">
      <c r="B296" s="3" t="s">
        <v>480</v>
      </c>
      <c r="C296" s="3"/>
      <c r="D296" s="3"/>
      <c r="E296" s="3"/>
      <c r="F296" s="3"/>
      <c r="H296" s="1368" t="s">
        <v>2663</v>
      </c>
      <c r="I296" s="1368"/>
      <c r="J296" s="1368"/>
      <c r="K296" s="1368"/>
      <c r="L296" s="1368"/>
      <c r="M296" s="1368"/>
      <c r="N296" s="1368"/>
      <c r="O296" s="1368"/>
      <c r="P296" s="1368"/>
      <c r="Q296" s="1368"/>
      <c r="R296" s="1368"/>
      <c r="T296" s="3" t="s">
        <v>480</v>
      </c>
      <c r="V296" s="3"/>
      <c r="W296" s="3"/>
      <c r="X296" s="3"/>
      <c r="Y296" s="3"/>
      <c r="AA296" s="1368" t="s">
        <v>2648</v>
      </c>
      <c r="AB296" s="1368"/>
      <c r="AC296" s="1368"/>
      <c r="AD296" s="1368"/>
      <c r="AE296" s="1368"/>
      <c r="AF296" s="1368"/>
      <c r="AG296" s="1368"/>
      <c r="AH296" s="1368"/>
      <c r="AI296" s="1368"/>
      <c r="AJ296" s="1368"/>
      <c r="AK296" s="1368"/>
      <c r="BN296" s="34"/>
    </row>
    <row r="297" spans="2:66" ht="12.95" customHeight="1">
      <c r="B297" s="3" t="s">
        <v>481</v>
      </c>
      <c r="C297" s="3"/>
      <c r="D297" s="3"/>
      <c r="E297" s="3"/>
      <c r="F297" s="3"/>
      <c r="H297" s="1368" t="s">
        <v>2668</v>
      </c>
      <c r="I297" s="1368"/>
      <c r="J297" s="1368"/>
      <c r="K297" s="1368"/>
      <c r="L297" s="1368"/>
      <c r="M297" s="1368"/>
      <c r="N297" s="1368"/>
      <c r="O297" s="1368"/>
      <c r="P297" s="1368"/>
      <c r="Q297" s="1368"/>
      <c r="R297" s="1368"/>
      <c r="T297" s="3" t="s">
        <v>75</v>
      </c>
      <c r="V297" s="3"/>
      <c r="W297" s="3"/>
      <c r="X297" s="3"/>
      <c r="Y297" s="3"/>
      <c r="AA297" s="1368" t="s">
        <v>2667</v>
      </c>
      <c r="AB297" s="1368"/>
      <c r="AC297" s="1368"/>
      <c r="AD297" s="1368"/>
      <c r="AE297" s="1368"/>
      <c r="AF297" s="1368"/>
      <c r="AG297" s="1368"/>
      <c r="AH297" s="1368"/>
      <c r="AI297" s="1368"/>
      <c r="AJ297" s="1368"/>
      <c r="AK297" s="1368"/>
      <c r="BN297" s="34"/>
    </row>
    <row r="298" spans="2:66" ht="12.95" customHeight="1">
      <c r="B298" s="3" t="s">
        <v>87</v>
      </c>
      <c r="C298" s="3"/>
      <c r="D298" s="3"/>
      <c r="E298" s="3"/>
      <c r="F298" s="3"/>
      <c r="H298" s="1368" t="s">
        <v>2664</v>
      </c>
      <c r="I298" s="1368"/>
      <c r="J298" s="1368"/>
      <c r="K298" s="1368"/>
      <c r="L298" s="1368"/>
      <c r="M298" s="1368"/>
      <c r="N298" s="1368"/>
      <c r="O298" s="1368"/>
      <c r="P298" s="1368"/>
      <c r="Q298" s="1368"/>
      <c r="R298" s="1368"/>
      <c r="T298" s="3" t="s">
        <v>87</v>
      </c>
      <c r="V298" s="3"/>
      <c r="W298" s="3"/>
      <c r="X298" s="3"/>
      <c r="Y298" s="3"/>
      <c r="AA298" s="1368" t="s">
        <v>2654</v>
      </c>
      <c r="AB298" s="1368"/>
      <c r="AC298" s="1368"/>
      <c r="AD298" s="1368"/>
      <c r="AE298" s="1368"/>
      <c r="AF298" s="1368"/>
      <c r="AG298" s="1368"/>
      <c r="AH298" s="1368"/>
      <c r="AI298" s="1368"/>
      <c r="AJ298" s="1368"/>
      <c r="AK298" s="1368"/>
      <c r="BN298" s="34"/>
    </row>
    <row r="299" spans="2:66" ht="12.95" customHeight="1">
      <c r="B299" s="3" t="s">
        <v>88</v>
      </c>
      <c r="C299" s="3"/>
      <c r="D299" s="3"/>
      <c r="E299" s="3"/>
      <c r="F299" s="3"/>
      <c r="G299" s="3"/>
      <c r="H299" s="1534">
        <v>9164440286</v>
      </c>
      <c r="I299" s="1534"/>
      <c r="J299" s="1534"/>
      <c r="K299" s="1534"/>
      <c r="L299" s="1534"/>
      <c r="M299" s="1534"/>
      <c r="N299" s="4" t="s">
        <v>207</v>
      </c>
      <c r="O299" s="4"/>
      <c r="P299" s="1502"/>
      <c r="Q299" s="1502"/>
      <c r="R299" s="1502"/>
      <c r="S299" s="3"/>
      <c r="T299" s="3" t="s">
        <v>88</v>
      </c>
      <c r="V299" s="3"/>
      <c r="W299" s="3"/>
      <c r="X299" s="3"/>
      <c r="Y299" s="3"/>
      <c r="AA299" s="1534">
        <v>9167830330</v>
      </c>
      <c r="AB299" s="1534"/>
      <c r="AC299" s="1534"/>
      <c r="AD299" s="1534"/>
      <c r="AE299" s="1534"/>
      <c r="AF299" s="1534"/>
      <c r="AG299" s="4" t="s">
        <v>207</v>
      </c>
      <c r="AH299" s="4"/>
      <c r="AI299" s="1502"/>
      <c r="AJ299" s="1502"/>
      <c r="AK299" s="1502"/>
      <c r="BN299" s="34"/>
    </row>
    <row r="300" spans="2:66" ht="12.95" customHeight="1">
      <c r="B300" s="3" t="s">
        <v>89</v>
      </c>
      <c r="C300" s="3"/>
      <c r="D300" s="3"/>
      <c r="E300" s="3"/>
      <c r="F300" s="3"/>
      <c r="G300" s="3"/>
      <c r="H300" s="1384"/>
      <c r="I300" s="1384"/>
      <c r="J300" s="1384"/>
      <c r="K300" s="1384"/>
      <c r="L300" s="1384"/>
      <c r="M300" s="1384"/>
      <c r="N300" s="4"/>
      <c r="O300" s="4"/>
      <c r="P300" s="35"/>
      <c r="Q300" s="35"/>
      <c r="R300" s="35"/>
      <c r="S300" s="3"/>
      <c r="T300" s="3" t="s">
        <v>89</v>
      </c>
      <c r="V300" s="3"/>
      <c r="W300" s="3"/>
      <c r="X300" s="3"/>
      <c r="Y300" s="3"/>
      <c r="AA300" s="1384"/>
      <c r="AB300" s="1384"/>
      <c r="AC300" s="1384"/>
      <c r="AD300" s="1384"/>
      <c r="AE300" s="1384"/>
      <c r="AF300" s="1384"/>
      <c r="AG300" s="4"/>
      <c r="AH300" s="4"/>
      <c r="AI300" s="35"/>
      <c r="AJ300" s="35"/>
      <c r="AK300" s="35"/>
      <c r="BN300" s="34"/>
    </row>
    <row r="301" spans="2:66" ht="12.95" customHeight="1">
      <c r="B301" s="3" t="s">
        <v>76</v>
      </c>
      <c r="C301" s="3"/>
      <c r="D301" s="3"/>
      <c r="E301" s="3"/>
      <c r="F301" s="3"/>
      <c r="G301" s="3"/>
      <c r="H301" s="1368" t="s">
        <v>2665</v>
      </c>
      <c r="I301" s="1368"/>
      <c r="J301" s="1368"/>
      <c r="K301" s="1368"/>
      <c r="L301" s="1368"/>
      <c r="M301" s="1368"/>
      <c r="N301" s="1367"/>
      <c r="O301" s="1367"/>
      <c r="P301" s="1367"/>
      <c r="Q301" s="1367"/>
      <c r="R301" s="1367"/>
      <c r="S301" s="3"/>
      <c r="T301" s="3" t="s">
        <v>76</v>
      </c>
      <c r="V301" s="3"/>
      <c r="W301" s="3"/>
      <c r="X301" s="3"/>
      <c r="Y301" s="3"/>
      <c r="AA301" s="1368" t="s">
        <v>2680</v>
      </c>
      <c r="AB301" s="1368"/>
      <c r="AC301" s="1368"/>
      <c r="AD301" s="1368"/>
      <c r="AE301" s="1368"/>
      <c r="AF301" s="1368"/>
      <c r="AG301" s="1367"/>
      <c r="AH301" s="1367"/>
      <c r="AI301" s="1367"/>
      <c r="AJ301" s="1367"/>
      <c r="AK301" s="1367"/>
      <c r="BN301" s="34"/>
    </row>
    <row r="302" spans="2:66" ht="12.95" customHeight="1">
      <c r="BN302" s="34"/>
    </row>
    <row r="303" spans="2:66" ht="12.95" customHeight="1">
      <c r="B303" s="3" t="s">
        <v>77</v>
      </c>
      <c r="C303" s="3"/>
      <c r="D303" s="3"/>
      <c r="E303" s="3"/>
      <c r="F303" s="3"/>
      <c r="H303" s="1367" t="s">
        <v>2662</v>
      </c>
      <c r="I303" s="1367"/>
      <c r="J303" s="1367"/>
      <c r="K303" s="1367"/>
      <c r="L303" s="1367"/>
      <c r="M303" s="1367"/>
      <c r="N303" s="1367"/>
      <c r="O303" s="1367"/>
      <c r="P303" s="1367"/>
      <c r="Q303" s="1367"/>
      <c r="R303" s="1367"/>
      <c r="T303" s="4" t="s">
        <v>891</v>
      </c>
      <c r="V303" s="3"/>
      <c r="W303" s="3"/>
      <c r="X303" s="3"/>
      <c r="Y303" s="3"/>
      <c r="AA303" s="1367"/>
      <c r="AB303" s="1367"/>
      <c r="AC303" s="1367"/>
      <c r="AD303" s="1367"/>
      <c r="AE303" s="1367"/>
      <c r="AF303" s="1367"/>
      <c r="AG303" s="1367"/>
      <c r="AH303" s="1367"/>
      <c r="AI303" s="1367"/>
      <c r="AJ303" s="1367"/>
      <c r="AK303" s="1367"/>
      <c r="BN303" s="34"/>
    </row>
    <row r="304" spans="2:66" ht="12.95" customHeight="1">
      <c r="B304" s="3" t="s">
        <v>480</v>
      </c>
      <c r="C304" s="3"/>
      <c r="D304" s="3"/>
      <c r="E304" s="3"/>
      <c r="F304" s="3"/>
      <c r="H304" s="1368" t="s">
        <v>2663</v>
      </c>
      <c r="I304" s="1368"/>
      <c r="J304" s="1368"/>
      <c r="K304" s="1368"/>
      <c r="L304" s="1368"/>
      <c r="M304" s="1368"/>
      <c r="N304" s="1368"/>
      <c r="O304" s="1368"/>
      <c r="P304" s="1368"/>
      <c r="Q304" s="1368"/>
      <c r="R304" s="1368"/>
      <c r="T304" s="3" t="s">
        <v>480</v>
      </c>
      <c r="V304" s="3"/>
      <c r="W304" s="3"/>
      <c r="X304" s="3"/>
      <c r="Y304" s="3"/>
      <c r="AA304" s="1368"/>
      <c r="AB304" s="1368"/>
      <c r="AC304" s="1368"/>
      <c r="AD304" s="1368"/>
      <c r="AE304" s="1368"/>
      <c r="AF304" s="1368"/>
      <c r="AG304" s="1368"/>
      <c r="AH304" s="1368"/>
      <c r="AI304" s="1368"/>
      <c r="AJ304" s="1368"/>
      <c r="AK304" s="1368"/>
      <c r="BN304" s="34"/>
    </row>
    <row r="305" spans="2:66" ht="12.95" customHeight="1">
      <c r="B305" s="3" t="s">
        <v>481</v>
      </c>
      <c r="C305" s="3"/>
      <c r="D305" s="3"/>
      <c r="E305" s="3"/>
      <c r="F305" s="3"/>
      <c r="H305" s="1368" t="s">
        <v>2668</v>
      </c>
      <c r="I305" s="1368"/>
      <c r="J305" s="1368"/>
      <c r="K305" s="1368"/>
      <c r="L305" s="1368"/>
      <c r="M305" s="1368"/>
      <c r="N305" s="1368"/>
      <c r="O305" s="1368"/>
      <c r="P305" s="1368"/>
      <c r="Q305" s="1368"/>
      <c r="R305" s="1368"/>
      <c r="T305" s="3" t="s">
        <v>75</v>
      </c>
      <c r="V305" s="3"/>
      <c r="W305" s="3"/>
      <c r="X305" s="3"/>
      <c r="Y305" s="3"/>
      <c r="AA305" s="1368"/>
      <c r="AB305" s="1368"/>
      <c r="AC305" s="1368"/>
      <c r="AD305" s="1368"/>
      <c r="AE305" s="1368"/>
      <c r="AF305" s="1368"/>
      <c r="AG305" s="1368"/>
      <c r="AH305" s="1368"/>
      <c r="AI305" s="1368"/>
      <c r="AJ305" s="1368"/>
      <c r="AK305" s="1368"/>
      <c r="BN305" s="34"/>
    </row>
    <row r="306" spans="2:66" ht="12.95" customHeight="1">
      <c r="B306" s="3" t="s">
        <v>87</v>
      </c>
      <c r="C306" s="3"/>
      <c r="D306" s="3"/>
      <c r="E306" s="3"/>
      <c r="F306" s="3"/>
      <c r="H306" s="1368" t="s">
        <v>2664</v>
      </c>
      <c r="I306" s="1368"/>
      <c r="J306" s="1368"/>
      <c r="K306" s="1368"/>
      <c r="L306" s="1368"/>
      <c r="M306" s="1368"/>
      <c r="N306" s="1368"/>
      <c r="O306" s="1368"/>
      <c r="P306" s="1368"/>
      <c r="Q306" s="1368"/>
      <c r="R306" s="1368"/>
      <c r="T306" s="3" t="s">
        <v>87</v>
      </c>
      <c r="V306" s="3"/>
      <c r="W306" s="3"/>
      <c r="X306" s="3"/>
      <c r="Y306" s="3"/>
      <c r="AA306" s="1368"/>
      <c r="AB306" s="1368"/>
      <c r="AC306" s="1368"/>
      <c r="AD306" s="1368"/>
      <c r="AE306" s="1368"/>
      <c r="AF306" s="1368"/>
      <c r="AG306" s="1368"/>
      <c r="AH306" s="1368"/>
      <c r="AI306" s="1368"/>
      <c r="AJ306" s="1368"/>
      <c r="AK306" s="1368"/>
      <c r="BN306" s="34"/>
    </row>
    <row r="307" spans="2:66" ht="12.95" customHeight="1">
      <c r="B307" s="3" t="s">
        <v>88</v>
      </c>
      <c r="C307" s="3"/>
      <c r="D307" s="3"/>
      <c r="E307" s="3"/>
      <c r="F307" s="3"/>
      <c r="G307" s="3"/>
      <c r="H307" s="1534">
        <v>9164440286</v>
      </c>
      <c r="I307" s="1534"/>
      <c r="J307" s="1534"/>
      <c r="K307" s="1534"/>
      <c r="L307" s="1534"/>
      <c r="M307" s="1534"/>
      <c r="N307" s="4" t="s">
        <v>207</v>
      </c>
      <c r="O307" s="4"/>
      <c r="P307" s="1502"/>
      <c r="Q307" s="1502"/>
      <c r="R307" s="1502"/>
      <c r="S307" s="3"/>
      <c r="T307" s="3" t="s">
        <v>88</v>
      </c>
      <c r="V307" s="3"/>
      <c r="W307" s="3"/>
      <c r="X307" s="3"/>
      <c r="Y307" s="3"/>
      <c r="AA307" s="1534"/>
      <c r="AB307" s="1534"/>
      <c r="AC307" s="1534"/>
      <c r="AD307" s="1534"/>
      <c r="AE307" s="1534"/>
      <c r="AF307" s="1534"/>
      <c r="AG307" s="4" t="s">
        <v>207</v>
      </c>
      <c r="AH307" s="4"/>
      <c r="AI307" s="1502"/>
      <c r="AJ307" s="1502"/>
      <c r="AK307" s="1502"/>
      <c r="BN307" s="34"/>
    </row>
    <row r="308" spans="2:66" ht="12.95" customHeight="1">
      <c r="B308" s="3" t="s">
        <v>89</v>
      </c>
      <c r="C308" s="3"/>
      <c r="D308" s="3"/>
      <c r="E308" s="3"/>
      <c r="F308" s="3"/>
      <c r="G308" s="3"/>
      <c r="H308" s="1384"/>
      <c r="I308" s="1384"/>
      <c r="J308" s="1384"/>
      <c r="K308" s="1384"/>
      <c r="L308" s="1384"/>
      <c r="M308" s="1384"/>
      <c r="N308" s="4"/>
      <c r="O308" s="4"/>
      <c r="P308" s="35"/>
      <c r="Q308" s="35"/>
      <c r="R308" s="35"/>
      <c r="S308" s="3"/>
      <c r="T308" s="3" t="s">
        <v>89</v>
      </c>
      <c r="V308" s="3"/>
      <c r="W308" s="3"/>
      <c r="X308" s="3"/>
      <c r="Y308" s="3"/>
      <c r="AA308" s="1384"/>
      <c r="AB308" s="1384"/>
      <c r="AC308" s="1384"/>
      <c r="AD308" s="1384"/>
      <c r="AE308" s="1384"/>
      <c r="AF308" s="1384"/>
      <c r="AG308" s="4"/>
      <c r="AH308" s="4"/>
      <c r="AI308" s="35"/>
      <c r="AJ308" s="35"/>
      <c r="AK308" s="35"/>
      <c r="BN308" s="34"/>
    </row>
    <row r="309" spans="2:66" ht="12.95" customHeight="1">
      <c r="B309" s="3" t="s">
        <v>76</v>
      </c>
      <c r="C309" s="3"/>
      <c r="D309" s="3"/>
      <c r="E309" s="3"/>
      <c r="F309" s="3"/>
      <c r="G309" s="3"/>
      <c r="H309" s="1368" t="s">
        <v>2665</v>
      </c>
      <c r="I309" s="1368"/>
      <c r="J309" s="1368"/>
      <c r="K309" s="1368"/>
      <c r="L309" s="1368"/>
      <c r="M309" s="1368"/>
      <c r="N309" s="1367"/>
      <c r="O309" s="1367"/>
      <c r="P309" s="1367"/>
      <c r="Q309" s="1367"/>
      <c r="R309" s="1367"/>
      <c r="S309" s="3"/>
      <c r="T309" s="3" t="s">
        <v>76</v>
      </c>
      <c r="V309" s="3"/>
      <c r="W309" s="3"/>
      <c r="X309" s="3"/>
      <c r="Y309" s="3"/>
      <c r="AA309" s="1368"/>
      <c r="AB309" s="1368"/>
      <c r="AC309" s="1368"/>
      <c r="AD309" s="1368"/>
      <c r="AE309" s="1368"/>
      <c r="AF309" s="1368"/>
      <c r="AG309" s="1367"/>
      <c r="AH309" s="1367"/>
      <c r="AI309" s="1367"/>
      <c r="AJ309" s="1367"/>
      <c r="AK309" s="136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67" t="s">
        <v>2669</v>
      </c>
      <c r="I311" s="1367"/>
      <c r="J311" s="1367"/>
      <c r="K311" s="1367"/>
      <c r="L311" s="1367"/>
      <c r="M311" s="1367"/>
      <c r="N311" s="1367"/>
      <c r="O311" s="1367"/>
      <c r="P311" s="1367"/>
      <c r="Q311" s="1367"/>
      <c r="R311" s="1367"/>
      <c r="S311" s="3"/>
      <c r="T311" s="3" t="s">
        <v>366</v>
      </c>
      <c r="V311" s="3"/>
      <c r="W311" s="3"/>
      <c r="X311" s="3"/>
      <c r="Y311" s="3"/>
      <c r="AA311" s="1367" t="s">
        <v>2726</v>
      </c>
      <c r="AB311" s="1367"/>
      <c r="AC311" s="1367"/>
      <c r="AD311" s="1367"/>
      <c r="AE311" s="1367"/>
      <c r="AF311" s="1367"/>
      <c r="AG311" s="1367"/>
      <c r="AH311" s="1367"/>
      <c r="AI311" s="1367"/>
      <c r="AJ311" s="1367"/>
      <c r="AK311" s="1367"/>
      <c r="BN311" s="34"/>
    </row>
    <row r="312" spans="2:66" ht="12.95" customHeight="1">
      <c r="B312" s="3" t="s">
        <v>480</v>
      </c>
      <c r="C312" s="3"/>
      <c r="D312" s="3"/>
      <c r="E312" s="3"/>
      <c r="F312" s="3"/>
      <c r="H312" s="1368" t="s">
        <v>2670</v>
      </c>
      <c r="I312" s="1368"/>
      <c r="J312" s="1368"/>
      <c r="K312" s="1368"/>
      <c r="L312" s="1368"/>
      <c r="M312" s="1368"/>
      <c r="N312" s="1368"/>
      <c r="O312" s="1368"/>
      <c r="P312" s="1368"/>
      <c r="Q312" s="1368"/>
      <c r="R312" s="1368"/>
      <c r="S312" s="3"/>
      <c r="T312" s="3" t="s">
        <v>480</v>
      </c>
      <c r="V312" s="3"/>
      <c r="W312" s="3"/>
      <c r="X312" s="3"/>
      <c r="Y312" s="3"/>
      <c r="AA312" s="1368" t="s">
        <v>2738</v>
      </c>
      <c r="AB312" s="1368"/>
      <c r="AC312" s="1368"/>
      <c r="AD312" s="1368"/>
      <c r="AE312" s="1368"/>
      <c r="AF312" s="1368"/>
      <c r="AG312" s="1368"/>
      <c r="AH312" s="1368"/>
      <c r="AI312" s="1368"/>
      <c r="AJ312" s="1368"/>
      <c r="AK312" s="1368"/>
      <c r="BN312" s="34"/>
    </row>
    <row r="313" spans="2:66" ht="12.95" customHeight="1">
      <c r="B313" s="3" t="s">
        <v>481</v>
      </c>
      <c r="C313" s="3"/>
      <c r="D313" s="3"/>
      <c r="E313" s="3"/>
      <c r="F313" s="3"/>
      <c r="H313" s="1368" t="s">
        <v>2671</v>
      </c>
      <c r="I313" s="1368"/>
      <c r="J313" s="1368"/>
      <c r="K313" s="1368"/>
      <c r="L313" s="1368"/>
      <c r="M313" s="1368"/>
      <c r="N313" s="1368"/>
      <c r="O313" s="1368"/>
      <c r="P313" s="1368"/>
      <c r="Q313" s="1368"/>
      <c r="R313" s="1368"/>
      <c r="S313" s="3"/>
      <c r="T313" s="3" t="s">
        <v>75</v>
      </c>
      <c r="V313" s="3"/>
      <c r="W313" s="3"/>
      <c r="X313" s="3"/>
      <c r="Y313" s="3"/>
      <c r="AA313" s="1368" t="s">
        <v>2739</v>
      </c>
      <c r="AB313" s="1368"/>
      <c r="AC313" s="1368"/>
      <c r="AD313" s="1368"/>
      <c r="AE313" s="1368"/>
      <c r="AF313" s="1368"/>
      <c r="AG313" s="1368"/>
      <c r="AH313" s="1368"/>
      <c r="AI313" s="1368"/>
      <c r="AJ313" s="1368"/>
      <c r="AK313" s="1368"/>
      <c r="BN313" s="34"/>
    </row>
    <row r="314" spans="2:66" ht="12.95" customHeight="1">
      <c r="B314" s="3" t="s">
        <v>87</v>
      </c>
      <c r="C314" s="3"/>
      <c r="D314" s="3"/>
      <c r="E314" s="3"/>
      <c r="F314" s="3"/>
      <c r="H314" s="1368" t="s">
        <v>2672</v>
      </c>
      <c r="I314" s="1368"/>
      <c r="J314" s="1368"/>
      <c r="K314" s="1368"/>
      <c r="L314" s="1368"/>
      <c r="M314" s="1368"/>
      <c r="N314" s="1368"/>
      <c r="O314" s="1368"/>
      <c r="P314" s="1368"/>
      <c r="Q314" s="1368"/>
      <c r="R314" s="1368"/>
      <c r="S314" s="3"/>
      <c r="T314" s="3" t="s">
        <v>87</v>
      </c>
      <c r="V314" s="3"/>
      <c r="W314" s="3"/>
      <c r="X314" s="3"/>
      <c r="Y314" s="3"/>
      <c r="AA314" s="1368" t="s">
        <v>2736</v>
      </c>
      <c r="AB314" s="1368"/>
      <c r="AC314" s="1368"/>
      <c r="AD314" s="1368"/>
      <c r="AE314" s="1368"/>
      <c r="AF314" s="1368"/>
      <c r="AG314" s="1368"/>
      <c r="AH314" s="1368"/>
      <c r="AI314" s="1368"/>
      <c r="AJ314" s="1368"/>
      <c r="AK314" s="1368"/>
      <c r="BN314" s="34"/>
    </row>
    <row r="315" spans="2:66" ht="12.95" customHeight="1">
      <c r="B315" s="3" t="s">
        <v>88</v>
      </c>
      <c r="C315" s="3"/>
      <c r="D315" s="3"/>
      <c r="E315" s="3"/>
      <c r="F315" s="3"/>
      <c r="G315" s="3"/>
      <c r="H315" s="1534">
        <v>2099339113</v>
      </c>
      <c r="I315" s="1534"/>
      <c r="J315" s="1534"/>
      <c r="K315" s="1534"/>
      <c r="L315" s="1534"/>
      <c r="M315" s="1534"/>
      <c r="N315" s="4" t="s">
        <v>207</v>
      </c>
      <c r="O315" s="4"/>
      <c r="P315" s="1502"/>
      <c r="Q315" s="1502"/>
      <c r="R315" s="1502"/>
      <c r="S315" s="3"/>
      <c r="T315" s="3" t="s">
        <v>88</v>
      </c>
      <c r="V315" s="3"/>
      <c r="W315" s="3"/>
      <c r="X315" s="3"/>
      <c r="Y315" s="3"/>
      <c r="AA315" s="1534">
        <v>9494392616</v>
      </c>
      <c r="AB315" s="1534"/>
      <c r="AC315" s="1534"/>
      <c r="AD315" s="1534"/>
      <c r="AE315" s="1534"/>
      <c r="AF315" s="1534"/>
      <c r="AG315" s="4" t="s">
        <v>207</v>
      </c>
      <c r="AH315" s="4"/>
      <c r="AI315" s="1502"/>
      <c r="AJ315" s="1502"/>
      <c r="AK315" s="1502"/>
      <c r="BN315" s="34"/>
    </row>
    <row r="316" spans="2:66" ht="12.95" customHeight="1">
      <c r="B316" s="3" t="s">
        <v>89</v>
      </c>
      <c r="C316" s="3"/>
      <c r="D316" s="3"/>
      <c r="E316" s="3"/>
      <c r="F316" s="3"/>
      <c r="G316" s="3"/>
      <c r="H316" s="1384"/>
      <c r="I316" s="1384"/>
      <c r="J316" s="1384"/>
      <c r="K316" s="1384"/>
      <c r="L316" s="1384"/>
      <c r="M316" s="1384"/>
      <c r="N316" s="4"/>
      <c r="O316" s="4"/>
      <c r="P316" s="35"/>
      <c r="Q316" s="35"/>
      <c r="R316" s="35"/>
      <c r="S316" s="3"/>
      <c r="T316" s="3" t="s">
        <v>89</v>
      </c>
      <c r="V316" s="3"/>
      <c r="W316" s="3"/>
      <c r="X316" s="3"/>
      <c r="Y316" s="3"/>
      <c r="AA316" s="1384"/>
      <c r="AB316" s="1384"/>
      <c r="AC316" s="1384"/>
      <c r="AD316" s="1384"/>
      <c r="AE316" s="1384"/>
      <c r="AF316" s="1384"/>
      <c r="AG316" s="4"/>
      <c r="AH316" s="4"/>
      <c r="AI316" s="35"/>
      <c r="AJ316" s="35"/>
      <c r="AK316" s="35"/>
      <c r="BN316" s="34"/>
    </row>
    <row r="317" spans="2:66" ht="12.95" customHeight="1">
      <c r="B317" s="3" t="s">
        <v>76</v>
      </c>
      <c r="C317" s="3"/>
      <c r="D317" s="3"/>
      <c r="E317" s="3"/>
      <c r="F317" s="3"/>
      <c r="G317" s="3"/>
      <c r="H317" s="1368" t="s">
        <v>2673</v>
      </c>
      <c r="I317" s="1368"/>
      <c r="J317" s="1368"/>
      <c r="K317" s="1368"/>
      <c r="L317" s="1368"/>
      <c r="M317" s="1368"/>
      <c r="N317" s="1367"/>
      <c r="O317" s="1367"/>
      <c r="P317" s="1367"/>
      <c r="Q317" s="1367"/>
      <c r="R317" s="1367"/>
      <c r="S317" s="3"/>
      <c r="T317" s="3" t="s">
        <v>76</v>
      </c>
      <c r="V317" s="3"/>
      <c r="W317" s="3"/>
      <c r="X317" s="3"/>
      <c r="Y317" s="3"/>
      <c r="AA317" s="1368" t="s">
        <v>2737</v>
      </c>
      <c r="AB317" s="1368"/>
      <c r="AC317" s="1368"/>
      <c r="AD317" s="1368"/>
      <c r="AE317" s="1368"/>
      <c r="AF317" s="1368"/>
      <c r="AG317" s="1367"/>
      <c r="AH317" s="1367"/>
      <c r="AI317" s="1367"/>
      <c r="AJ317" s="1367"/>
      <c r="AK317" s="1367"/>
      <c r="BN317" s="34"/>
    </row>
    <row r="318" spans="2:66" ht="12.95" customHeight="1">
      <c r="BN318" s="34"/>
    </row>
    <row r="319" spans="2:66" ht="12.95" customHeight="1">
      <c r="B319" s="4" t="s">
        <v>924</v>
      </c>
      <c r="C319" s="3"/>
      <c r="D319" s="3"/>
      <c r="E319" s="3"/>
      <c r="F319" s="3"/>
      <c r="H319" s="1367" t="s">
        <v>2662</v>
      </c>
      <c r="I319" s="1367"/>
      <c r="J319" s="1367"/>
      <c r="K319" s="1367"/>
      <c r="L319" s="1367"/>
      <c r="M319" s="1367"/>
      <c r="N319" s="1367"/>
      <c r="O319" s="1367"/>
      <c r="P319" s="1367"/>
      <c r="Q319" s="1367"/>
      <c r="R319" s="1367"/>
      <c r="T319" s="3" t="s">
        <v>367</v>
      </c>
      <c r="V319" s="3"/>
      <c r="W319" s="3"/>
      <c r="X319" s="3"/>
      <c r="Y319" s="3"/>
      <c r="AA319" s="1367" t="s">
        <v>2681</v>
      </c>
      <c r="AB319" s="1367"/>
      <c r="AC319" s="1367"/>
      <c r="AD319" s="1367"/>
      <c r="AE319" s="1367"/>
      <c r="AF319" s="1367"/>
      <c r="AG319" s="1367"/>
      <c r="AH319" s="1367"/>
      <c r="AI319" s="1367"/>
      <c r="AJ319" s="1367"/>
      <c r="AK319" s="1367"/>
      <c r="BN319" s="34"/>
    </row>
    <row r="320" spans="2:66" ht="12.95" customHeight="1">
      <c r="B320" s="3" t="s">
        <v>480</v>
      </c>
      <c r="C320" s="3"/>
      <c r="D320" s="3"/>
      <c r="E320" s="3"/>
      <c r="F320" s="3"/>
      <c r="H320" s="1368" t="s">
        <v>2663</v>
      </c>
      <c r="I320" s="1368"/>
      <c r="J320" s="1368"/>
      <c r="K320" s="1368"/>
      <c r="L320" s="1368"/>
      <c r="M320" s="1368"/>
      <c r="N320" s="1368"/>
      <c r="O320" s="1368"/>
      <c r="P320" s="1368"/>
      <c r="Q320" s="1368"/>
      <c r="R320" s="1368"/>
      <c r="T320" s="3" t="s">
        <v>480</v>
      </c>
      <c r="V320" s="3"/>
      <c r="W320" s="3"/>
      <c r="X320" s="3"/>
      <c r="Y320" s="3"/>
      <c r="AA320" s="1368" t="s">
        <v>2682</v>
      </c>
      <c r="AB320" s="1368"/>
      <c r="AC320" s="1368"/>
      <c r="AD320" s="1368"/>
      <c r="AE320" s="1368"/>
      <c r="AF320" s="1368"/>
      <c r="AG320" s="1368"/>
      <c r="AH320" s="1368"/>
      <c r="AI320" s="1368"/>
      <c r="AJ320" s="1368"/>
      <c r="AK320" s="1368"/>
      <c r="BN320" s="34"/>
    </row>
    <row r="321" spans="2:66" ht="12.95" customHeight="1">
      <c r="B321" s="3" t="s">
        <v>481</v>
      </c>
      <c r="C321" s="3"/>
      <c r="D321" s="3"/>
      <c r="E321" s="3"/>
      <c r="F321" s="3"/>
      <c r="H321" s="1368" t="s">
        <v>2668</v>
      </c>
      <c r="I321" s="1368"/>
      <c r="J321" s="1368"/>
      <c r="K321" s="1368"/>
      <c r="L321" s="1368"/>
      <c r="M321" s="1368"/>
      <c r="N321" s="1368"/>
      <c r="O321" s="1368"/>
      <c r="P321" s="1368"/>
      <c r="Q321" s="1368"/>
      <c r="R321" s="1368"/>
      <c r="T321" s="3" t="s">
        <v>75</v>
      </c>
      <c r="V321" s="3"/>
      <c r="W321" s="3"/>
      <c r="X321" s="3"/>
      <c r="Y321" s="3"/>
      <c r="AA321" s="1368" t="s">
        <v>2683</v>
      </c>
      <c r="AB321" s="1368"/>
      <c r="AC321" s="1368"/>
      <c r="AD321" s="1368"/>
      <c r="AE321" s="1368"/>
      <c r="AF321" s="1368"/>
      <c r="AG321" s="1368"/>
      <c r="AH321" s="1368"/>
      <c r="AI321" s="1368"/>
      <c r="AJ321" s="1368"/>
      <c r="AK321" s="1368"/>
      <c r="BN321" s="34"/>
    </row>
    <row r="322" spans="2:66" ht="12.95" customHeight="1">
      <c r="B322" s="3" t="s">
        <v>87</v>
      </c>
      <c r="C322" s="3"/>
      <c r="D322" s="3"/>
      <c r="E322" s="3"/>
      <c r="F322" s="3"/>
      <c r="H322" s="1368" t="s">
        <v>2664</v>
      </c>
      <c r="I322" s="1368"/>
      <c r="J322" s="1368"/>
      <c r="K322" s="1368"/>
      <c r="L322" s="1368"/>
      <c r="M322" s="1368"/>
      <c r="N322" s="1368"/>
      <c r="O322" s="1368"/>
      <c r="P322" s="1368"/>
      <c r="Q322" s="1368"/>
      <c r="R322" s="1368"/>
      <c r="T322" s="3" t="s">
        <v>87</v>
      </c>
      <c r="V322" s="3"/>
      <c r="W322" s="3"/>
      <c r="X322" s="3"/>
      <c r="Y322" s="3"/>
      <c r="AA322" s="1368" t="s">
        <v>2684</v>
      </c>
      <c r="AB322" s="1368"/>
      <c r="AC322" s="1368"/>
      <c r="AD322" s="1368"/>
      <c r="AE322" s="1368"/>
      <c r="AF322" s="1368"/>
      <c r="AG322" s="1368"/>
      <c r="AH322" s="1368"/>
      <c r="AI322" s="1368"/>
      <c r="AJ322" s="1368"/>
      <c r="AK322" s="1368"/>
      <c r="BN322" s="34"/>
    </row>
    <row r="323" spans="2:66" ht="12.95" customHeight="1">
      <c r="B323" s="3" t="s">
        <v>88</v>
      </c>
      <c r="C323" s="3"/>
      <c r="D323" s="3"/>
      <c r="E323" s="3"/>
      <c r="F323" s="3"/>
      <c r="G323" s="3"/>
      <c r="H323" s="1534">
        <v>9164440286</v>
      </c>
      <c r="I323" s="1534"/>
      <c r="J323" s="1534"/>
      <c r="K323" s="1534"/>
      <c r="L323" s="1534"/>
      <c r="M323" s="1534"/>
      <c r="N323" s="4" t="s">
        <v>207</v>
      </c>
      <c r="O323" s="4"/>
      <c r="P323" s="1502"/>
      <c r="Q323" s="1502"/>
      <c r="R323" s="1502"/>
      <c r="S323" s="3"/>
      <c r="T323" s="3" t="s">
        <v>88</v>
      </c>
      <c r="V323" s="3"/>
      <c r="W323" s="3"/>
      <c r="X323" s="3"/>
      <c r="Y323" s="3"/>
      <c r="AA323" s="1534">
        <v>9163726100</v>
      </c>
      <c r="AB323" s="1534"/>
      <c r="AC323" s="1534"/>
      <c r="AD323" s="1534"/>
      <c r="AE323" s="1534"/>
      <c r="AF323" s="1534"/>
      <c r="AG323" s="4" t="s">
        <v>207</v>
      </c>
      <c r="AH323" s="4"/>
      <c r="AI323" s="1502"/>
      <c r="AJ323" s="1502"/>
      <c r="AK323" s="1502"/>
    </row>
    <row r="324" spans="2:66" ht="12.95" customHeight="1">
      <c r="B324" s="3" t="s">
        <v>89</v>
      </c>
      <c r="C324" s="3"/>
      <c r="D324" s="3"/>
      <c r="E324" s="3"/>
      <c r="F324" s="3"/>
      <c r="G324" s="3"/>
      <c r="H324" s="1384"/>
      <c r="I324" s="1384"/>
      <c r="J324" s="1384"/>
      <c r="K324" s="1384"/>
      <c r="L324" s="1384"/>
      <c r="M324" s="1384"/>
      <c r="N324" s="4"/>
      <c r="O324" s="4"/>
      <c r="P324" s="35"/>
      <c r="Q324" s="35"/>
      <c r="R324" s="35"/>
      <c r="S324" s="3"/>
      <c r="T324" s="3" t="s">
        <v>89</v>
      </c>
      <c r="V324" s="3"/>
      <c r="W324" s="3"/>
      <c r="X324" s="3"/>
      <c r="Y324" s="3"/>
      <c r="AA324" s="1384"/>
      <c r="AB324" s="1384"/>
      <c r="AC324" s="1384"/>
      <c r="AD324" s="1384"/>
      <c r="AE324" s="1384"/>
      <c r="AF324" s="1384"/>
      <c r="AG324" s="4"/>
      <c r="AH324" s="4"/>
      <c r="AI324" s="35"/>
      <c r="AJ324" s="35"/>
      <c r="AK324" s="35"/>
    </row>
    <row r="325" spans="2:66" ht="12.95" customHeight="1">
      <c r="B325" s="3" t="s">
        <v>76</v>
      </c>
      <c r="C325" s="3"/>
      <c r="D325" s="3"/>
      <c r="E325" s="3"/>
      <c r="F325" s="3"/>
      <c r="G325" s="3"/>
      <c r="H325" s="1368" t="s">
        <v>2665</v>
      </c>
      <c r="I325" s="1368"/>
      <c r="J325" s="1368"/>
      <c r="K325" s="1368"/>
      <c r="L325" s="1368"/>
      <c r="M325" s="1368"/>
      <c r="N325" s="1367"/>
      <c r="O325" s="1367"/>
      <c r="P325" s="1367"/>
      <c r="Q325" s="1367"/>
      <c r="R325" s="1367"/>
      <c r="S325" s="3"/>
      <c r="T325" s="3" t="s">
        <v>76</v>
      </c>
      <c r="V325" s="3"/>
      <c r="W325" s="3"/>
      <c r="X325" s="3"/>
      <c r="Y325" s="3"/>
      <c r="AA325" s="1368" t="s">
        <v>2685</v>
      </c>
      <c r="AB325" s="1368"/>
      <c r="AC325" s="1368"/>
      <c r="AD325" s="1368"/>
      <c r="AE325" s="1368"/>
      <c r="AF325" s="1368"/>
      <c r="AG325" s="1367"/>
      <c r="AH325" s="1367"/>
      <c r="AI325" s="1367"/>
      <c r="AJ325" s="1367"/>
      <c r="AK325" s="136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67"/>
      <c r="I327" s="1367"/>
      <c r="J327" s="1367"/>
      <c r="K327" s="1367"/>
      <c r="L327" s="1367"/>
      <c r="M327" s="1367"/>
      <c r="N327" s="1367"/>
      <c r="O327" s="1367"/>
      <c r="P327" s="1367"/>
      <c r="Q327" s="1367"/>
      <c r="R327" s="1367"/>
      <c r="T327" s="3" t="s">
        <v>369</v>
      </c>
      <c r="V327" s="3"/>
      <c r="W327" s="3"/>
      <c r="X327" s="3"/>
      <c r="Y327" s="3"/>
      <c r="AA327" s="1367"/>
      <c r="AB327" s="1367"/>
      <c r="AC327" s="1367"/>
      <c r="AD327" s="1367"/>
      <c r="AE327" s="1367"/>
      <c r="AF327" s="1367"/>
      <c r="AG327" s="1367"/>
      <c r="AH327" s="1367"/>
      <c r="AI327" s="1367"/>
      <c r="AJ327" s="1367"/>
      <c r="AK327" s="1367"/>
    </row>
    <row r="328" spans="2:66" ht="12.95" customHeight="1">
      <c r="B328" s="3" t="s">
        <v>480</v>
      </c>
      <c r="C328" s="3"/>
      <c r="D328" s="3"/>
      <c r="E328" s="3"/>
      <c r="F328" s="3"/>
      <c r="H328" s="1368"/>
      <c r="I328" s="1368"/>
      <c r="J328" s="1368"/>
      <c r="K328" s="1368"/>
      <c r="L328" s="1368"/>
      <c r="M328" s="1368"/>
      <c r="N328" s="1368"/>
      <c r="O328" s="1368"/>
      <c r="P328" s="1368"/>
      <c r="Q328" s="1368"/>
      <c r="R328" s="1368"/>
      <c r="T328" s="3" t="s">
        <v>480</v>
      </c>
      <c r="V328" s="3"/>
      <c r="W328" s="3"/>
      <c r="X328" s="3"/>
      <c r="Y328" s="3"/>
      <c r="AA328" s="1368"/>
      <c r="AB328" s="1368"/>
      <c r="AC328" s="1368"/>
      <c r="AD328" s="1368"/>
      <c r="AE328" s="1368"/>
      <c r="AF328" s="1368"/>
      <c r="AG328" s="1368"/>
      <c r="AH328" s="1368"/>
      <c r="AI328" s="1368"/>
      <c r="AJ328" s="1368"/>
      <c r="AK328" s="1368"/>
    </row>
    <row r="329" spans="2:66" ht="12.95" customHeight="1">
      <c r="B329" s="3" t="s">
        <v>481</v>
      </c>
      <c r="C329" s="3"/>
      <c r="D329" s="3"/>
      <c r="E329" s="3"/>
      <c r="F329" s="3"/>
      <c r="H329" s="1368"/>
      <c r="I329" s="1368"/>
      <c r="J329" s="1368"/>
      <c r="K329" s="1368"/>
      <c r="L329" s="1368"/>
      <c r="M329" s="1368"/>
      <c r="N329" s="1368"/>
      <c r="O329" s="1368"/>
      <c r="P329" s="1368"/>
      <c r="Q329" s="1368"/>
      <c r="R329" s="1368"/>
      <c r="T329" s="3" t="s">
        <v>75</v>
      </c>
      <c r="V329" s="3"/>
      <c r="W329" s="3"/>
      <c r="X329" s="3"/>
      <c r="Y329" s="3"/>
      <c r="AA329" s="1368"/>
      <c r="AB329" s="1368"/>
      <c r="AC329" s="1368"/>
      <c r="AD329" s="1368"/>
      <c r="AE329" s="1368"/>
      <c r="AF329" s="1368"/>
      <c r="AG329" s="1368"/>
      <c r="AH329" s="1368"/>
      <c r="AI329" s="1368"/>
      <c r="AJ329" s="1368"/>
      <c r="AK329" s="1368"/>
    </row>
    <row r="330" spans="2:66" ht="12.95" customHeight="1">
      <c r="B330" s="3" t="s">
        <v>87</v>
      </c>
      <c r="C330" s="3"/>
      <c r="D330" s="3"/>
      <c r="E330" s="3"/>
      <c r="F330" s="3"/>
      <c r="H330" s="1368"/>
      <c r="I330" s="1368"/>
      <c r="J330" s="1368"/>
      <c r="K330" s="1368"/>
      <c r="L330" s="1368"/>
      <c r="M330" s="1368"/>
      <c r="N330" s="1368"/>
      <c r="O330" s="1368"/>
      <c r="P330" s="1368"/>
      <c r="Q330" s="1368"/>
      <c r="R330" s="1368"/>
      <c r="T330" s="3" t="s">
        <v>87</v>
      </c>
      <c r="V330" s="3"/>
      <c r="W330" s="3"/>
      <c r="X330" s="3"/>
      <c r="Y330" s="3"/>
      <c r="AA330" s="1368"/>
      <c r="AB330" s="1368"/>
      <c r="AC330" s="1368"/>
      <c r="AD330" s="1368"/>
      <c r="AE330" s="1368"/>
      <c r="AF330" s="1368"/>
      <c r="AG330" s="1368"/>
      <c r="AH330" s="1368"/>
      <c r="AI330" s="1368"/>
      <c r="AJ330" s="1368"/>
      <c r="AK330" s="1368"/>
    </row>
    <row r="331" spans="2:66" ht="12.95" customHeight="1">
      <c r="B331" s="3" t="s">
        <v>88</v>
      </c>
      <c r="C331" s="3"/>
      <c r="D331" s="3"/>
      <c r="E331" s="3"/>
      <c r="F331" s="3"/>
      <c r="G331" s="3"/>
      <c r="H331" s="1534"/>
      <c r="I331" s="1534"/>
      <c r="J331" s="1534"/>
      <c r="K331" s="1534"/>
      <c r="L331" s="1534"/>
      <c r="M331" s="1534"/>
      <c r="N331" s="4" t="s">
        <v>207</v>
      </c>
      <c r="O331" s="4"/>
      <c r="P331" s="1502"/>
      <c r="Q331" s="1502"/>
      <c r="R331" s="1502"/>
      <c r="S331" s="3"/>
      <c r="T331" s="3" t="s">
        <v>88</v>
      </c>
      <c r="V331" s="3"/>
      <c r="W331" s="3"/>
      <c r="X331" s="3"/>
      <c r="Y331" s="3"/>
      <c r="AA331" s="1534"/>
      <c r="AB331" s="1534"/>
      <c r="AC331" s="1534"/>
      <c r="AD331" s="1534"/>
      <c r="AE331" s="1534"/>
      <c r="AF331" s="1534"/>
      <c r="AG331" s="4" t="s">
        <v>207</v>
      </c>
      <c r="AH331" s="4"/>
      <c r="AI331" s="1502"/>
      <c r="AJ331" s="1502"/>
      <c r="AK331" s="1502"/>
    </row>
    <row r="332" spans="2:66" ht="12.95" customHeight="1">
      <c r="B332" s="3" t="s">
        <v>89</v>
      </c>
      <c r="C332" s="3"/>
      <c r="D332" s="3"/>
      <c r="E332" s="3"/>
      <c r="F332" s="3"/>
      <c r="G332" s="3"/>
      <c r="H332" s="1384"/>
      <c r="I332" s="1384"/>
      <c r="J332" s="1384"/>
      <c r="K332" s="1384"/>
      <c r="L332" s="1384"/>
      <c r="M332" s="1384"/>
      <c r="N332" s="4"/>
      <c r="O332" s="4"/>
      <c r="P332" s="35"/>
      <c r="Q332" s="35"/>
      <c r="R332" s="35"/>
      <c r="S332" s="3"/>
      <c r="T332" s="3" t="s">
        <v>89</v>
      </c>
      <c r="V332" s="3"/>
      <c r="W332" s="3"/>
      <c r="X332" s="3"/>
      <c r="Y332" s="3"/>
      <c r="AA332" s="1384"/>
      <c r="AB332" s="1384"/>
      <c r="AC332" s="1384"/>
      <c r="AD332" s="1384"/>
      <c r="AE332" s="1384"/>
      <c r="AF332" s="1384"/>
      <c r="AG332" s="4"/>
      <c r="AH332" s="4"/>
      <c r="AI332" s="35"/>
      <c r="AJ332" s="35"/>
      <c r="AK332" s="35"/>
    </row>
    <row r="333" spans="2:66" ht="12.95" customHeight="1">
      <c r="B333" s="3" t="s">
        <v>76</v>
      </c>
      <c r="C333" s="3"/>
      <c r="D333" s="3"/>
      <c r="E333" s="3"/>
      <c r="F333" s="3"/>
      <c r="G333" s="3"/>
      <c r="H333" s="1368"/>
      <c r="I333" s="1368"/>
      <c r="J333" s="1368"/>
      <c r="K333" s="1368"/>
      <c r="L333" s="1368"/>
      <c r="M333" s="1368"/>
      <c r="N333" s="1367"/>
      <c r="O333" s="1367"/>
      <c r="P333" s="1367"/>
      <c r="Q333" s="1367"/>
      <c r="R333" s="1367"/>
      <c r="S333" s="3"/>
      <c r="T333" s="3" t="s">
        <v>76</v>
      </c>
      <c r="V333" s="3"/>
      <c r="W333" s="3"/>
      <c r="X333" s="3"/>
      <c r="Y333" s="3"/>
      <c r="AA333" s="1368"/>
      <c r="AB333" s="1368"/>
      <c r="AC333" s="1368"/>
      <c r="AD333" s="1368"/>
      <c r="AE333" s="1368"/>
      <c r="AF333" s="1368"/>
      <c r="AG333" s="1367"/>
      <c r="AH333" s="1367"/>
      <c r="AI333" s="1367"/>
      <c r="AJ333" s="1367"/>
      <c r="AK333" s="136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93" t="s">
        <v>2687</v>
      </c>
      <c r="I335" s="1367"/>
      <c r="J335" s="1367"/>
      <c r="K335" s="1367"/>
      <c r="L335" s="1367"/>
      <c r="M335" s="1367"/>
      <c r="N335" s="1367"/>
      <c r="O335" s="1367"/>
      <c r="P335" s="1367"/>
      <c r="Q335" s="1367"/>
      <c r="R335" s="1367"/>
      <c r="T335" s="218" t="s">
        <v>900</v>
      </c>
      <c r="V335" s="3"/>
      <c r="W335" s="3"/>
      <c r="X335" s="3"/>
      <c r="Y335" s="3"/>
      <c r="AA335" s="1367" t="s">
        <v>2686</v>
      </c>
      <c r="AB335" s="1367"/>
      <c r="AC335" s="1367"/>
      <c r="AD335" s="1367"/>
      <c r="AE335" s="1367"/>
      <c r="AF335" s="1367"/>
      <c r="AG335" s="1367"/>
      <c r="AH335" s="1367"/>
      <c r="AI335" s="1367"/>
      <c r="AJ335" s="1367"/>
      <c r="AK335" s="1367"/>
    </row>
    <row r="336" spans="2:66" ht="12.95" customHeight="1">
      <c r="B336" s="3" t="s">
        <v>480</v>
      </c>
      <c r="C336" s="3"/>
      <c r="D336" s="3"/>
      <c r="E336" s="3"/>
      <c r="F336" s="3"/>
      <c r="H336" s="1509" t="s">
        <v>2688</v>
      </c>
      <c r="I336" s="1368"/>
      <c r="J336" s="1368"/>
      <c r="K336" s="1368"/>
      <c r="L336" s="1368"/>
      <c r="M336" s="1368"/>
      <c r="N336" s="1368"/>
      <c r="O336" s="1368"/>
      <c r="P336" s="1368"/>
      <c r="Q336" s="1368"/>
      <c r="R336" s="1368"/>
      <c r="T336" s="3" t="s">
        <v>480</v>
      </c>
      <c r="V336" s="3"/>
      <c r="W336" s="3"/>
      <c r="X336" s="3"/>
      <c r="Y336" s="3"/>
      <c r="AA336" s="1368" t="s">
        <v>2691</v>
      </c>
      <c r="AB336" s="1368"/>
      <c r="AC336" s="1368"/>
      <c r="AD336" s="1368"/>
      <c r="AE336" s="1368"/>
      <c r="AF336" s="1368"/>
      <c r="AG336" s="1368"/>
      <c r="AH336" s="1368"/>
      <c r="AI336" s="1368"/>
      <c r="AJ336" s="1368"/>
      <c r="AK336" s="1368"/>
    </row>
    <row r="337" spans="1:66" ht="12.95" customHeight="1">
      <c r="B337" s="3" t="s">
        <v>75</v>
      </c>
      <c r="C337" s="3"/>
      <c r="D337" s="3"/>
      <c r="E337" s="3"/>
      <c r="F337" s="3"/>
      <c r="H337" s="1509" t="s">
        <v>2689</v>
      </c>
      <c r="I337" s="1368"/>
      <c r="J337" s="1368"/>
      <c r="K337" s="1368"/>
      <c r="L337" s="1368"/>
      <c r="M337" s="1368"/>
      <c r="N337" s="1368"/>
      <c r="O337" s="1368"/>
      <c r="P337" s="1368"/>
      <c r="Q337" s="1368"/>
      <c r="R337" s="1368"/>
      <c r="T337" s="3" t="s">
        <v>75</v>
      </c>
      <c r="V337" s="3"/>
      <c r="W337" s="3"/>
      <c r="X337" s="3"/>
      <c r="Y337" s="3"/>
      <c r="AA337" s="1368" t="s">
        <v>2692</v>
      </c>
      <c r="AB337" s="1368"/>
      <c r="AC337" s="1368"/>
      <c r="AD337" s="1368"/>
      <c r="AE337" s="1368"/>
      <c r="AF337" s="1368"/>
      <c r="AG337" s="1368"/>
      <c r="AH337" s="1368"/>
      <c r="AI337" s="1368"/>
      <c r="AJ337" s="1368"/>
      <c r="AK337" s="1368"/>
    </row>
    <row r="338" spans="1:66" ht="12.95" customHeight="1">
      <c r="B338" s="3" t="s">
        <v>87</v>
      </c>
      <c r="C338" s="3"/>
      <c r="D338" s="3"/>
      <c r="E338" s="3"/>
      <c r="F338" s="3"/>
      <c r="G338" s="3"/>
      <c r="H338" s="1368" t="s">
        <v>2747</v>
      </c>
      <c r="I338" s="1368"/>
      <c r="J338" s="1368"/>
      <c r="K338" s="1368"/>
      <c r="L338" s="1368"/>
      <c r="M338" s="1368"/>
      <c r="N338" s="1368"/>
      <c r="O338" s="1368"/>
      <c r="P338" s="1368"/>
      <c r="Q338" s="1368"/>
      <c r="R338" s="1368"/>
      <c r="T338" s="3" t="s">
        <v>87</v>
      </c>
      <c r="V338" s="3"/>
      <c r="W338" s="3"/>
      <c r="X338" s="3"/>
      <c r="Y338" s="3"/>
      <c r="AA338" s="1368" t="s">
        <v>2693</v>
      </c>
      <c r="AB338" s="1368"/>
      <c r="AC338" s="1368"/>
      <c r="AD338" s="1368"/>
      <c r="AE338" s="1368"/>
      <c r="AF338" s="1368"/>
      <c r="AG338" s="1368"/>
      <c r="AH338" s="1368"/>
      <c r="AI338" s="1368"/>
      <c r="AJ338" s="1368"/>
      <c r="AK338" s="1368"/>
    </row>
    <row r="339" spans="1:66" ht="12.95" customHeight="1">
      <c r="B339" s="3" t="s">
        <v>88</v>
      </c>
      <c r="C339" s="3"/>
      <c r="D339" s="3"/>
      <c r="E339" s="3"/>
      <c r="F339" s="3"/>
      <c r="G339" s="3"/>
      <c r="H339" s="1536" t="s">
        <v>2690</v>
      </c>
      <c r="I339" s="1534"/>
      <c r="J339" s="1534"/>
      <c r="K339" s="1534"/>
      <c r="L339" s="1534"/>
      <c r="M339" s="1534"/>
      <c r="N339" s="4" t="s">
        <v>207</v>
      </c>
      <c r="O339" s="4"/>
      <c r="P339" s="1502"/>
      <c r="Q339" s="1502"/>
      <c r="R339" s="1502"/>
      <c r="S339" s="3"/>
      <c r="T339" s="3" t="s">
        <v>88</v>
      </c>
      <c r="V339" s="3"/>
      <c r="W339" s="3"/>
      <c r="X339" s="3"/>
      <c r="Y339" s="3"/>
      <c r="AA339" s="1534">
        <v>9169293636</v>
      </c>
      <c r="AB339" s="1534"/>
      <c r="AC339" s="1534"/>
      <c r="AD339" s="1534"/>
      <c r="AE339" s="1534"/>
      <c r="AF339" s="1534"/>
      <c r="AG339" s="4" t="s">
        <v>207</v>
      </c>
      <c r="AH339" s="4"/>
      <c r="AI339" s="1502"/>
      <c r="AJ339" s="1502"/>
      <c r="AK339" s="1502"/>
    </row>
    <row r="340" spans="1:66" ht="12.95" customHeight="1">
      <c r="B340" s="3" t="s">
        <v>89</v>
      </c>
      <c r="C340" s="3"/>
      <c r="D340" s="3"/>
      <c r="E340" s="3"/>
      <c r="F340" s="3"/>
      <c r="G340" s="3"/>
      <c r="H340" s="1384"/>
      <c r="I340" s="1384"/>
      <c r="J340" s="1384"/>
      <c r="K340" s="1384"/>
      <c r="L340" s="1384"/>
      <c r="M340" s="1384"/>
      <c r="N340" s="4"/>
      <c r="O340" s="4"/>
      <c r="P340" s="35"/>
      <c r="Q340" s="35"/>
      <c r="R340" s="35"/>
      <c r="S340" s="3"/>
      <c r="T340" s="3" t="s">
        <v>89</v>
      </c>
      <c r="V340" s="3"/>
      <c r="W340" s="3"/>
      <c r="X340" s="3"/>
      <c r="Y340" s="3"/>
      <c r="AA340" s="1384"/>
      <c r="AB340" s="1384"/>
      <c r="AC340" s="1384"/>
      <c r="AD340" s="1384"/>
      <c r="AE340" s="1384"/>
      <c r="AF340" s="1384"/>
      <c r="AG340" s="4"/>
      <c r="AH340" s="4"/>
      <c r="AI340" s="35"/>
      <c r="AJ340" s="35"/>
      <c r="AK340" s="35"/>
    </row>
    <row r="341" spans="1:66" ht="12.95" customHeight="1">
      <c r="B341" s="3" t="s">
        <v>76</v>
      </c>
      <c r="C341" s="3"/>
      <c r="D341" s="3"/>
      <c r="E341" s="3"/>
      <c r="F341" s="3"/>
      <c r="G341" s="3"/>
      <c r="H341" s="1368" t="s">
        <v>2748</v>
      </c>
      <c r="I341" s="1368"/>
      <c r="J341" s="1368"/>
      <c r="K341" s="1368"/>
      <c r="L341" s="1368"/>
      <c r="M341" s="1368"/>
      <c r="N341" s="1367"/>
      <c r="O341" s="1367"/>
      <c r="P341" s="1367"/>
      <c r="Q341" s="1367"/>
      <c r="R341" s="1367"/>
      <c r="S341" s="3"/>
      <c r="T341" s="3" t="s">
        <v>76</v>
      </c>
      <c r="V341" s="3"/>
      <c r="W341" s="3"/>
      <c r="X341" s="3"/>
      <c r="Y341" s="3"/>
      <c r="AA341" s="1368" t="s">
        <v>2694</v>
      </c>
      <c r="AB341" s="1368"/>
      <c r="AC341" s="1368"/>
      <c r="AD341" s="1368"/>
      <c r="AE341" s="1368"/>
      <c r="AF341" s="1368"/>
      <c r="AG341" s="1367"/>
      <c r="AH341" s="1367"/>
      <c r="AI341" s="1367"/>
      <c r="AJ341" s="1367"/>
      <c r="AK341" s="136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67"/>
      <c r="Q343" s="1367"/>
      <c r="R343" s="1367"/>
      <c r="S343" s="1367"/>
      <c r="T343" s="1367"/>
      <c r="U343" s="1367"/>
      <c r="V343" s="1367"/>
      <c r="W343" s="1367"/>
      <c r="X343" s="1367"/>
      <c r="Y343" s="1367"/>
      <c r="Z343" s="1367"/>
      <c r="AA343" s="1367"/>
      <c r="AB343" s="1367"/>
      <c r="AC343" s="1367"/>
      <c r="AD343" s="1367"/>
      <c r="AE343" s="1367"/>
      <c r="BN343" t="s">
        <v>678</v>
      </c>
    </row>
    <row r="344" spans="1:66" ht="12.95" customHeight="1">
      <c r="B344" s="4"/>
      <c r="C344" s="4"/>
      <c r="D344" s="4"/>
      <c r="E344" s="4"/>
      <c r="F344" s="4"/>
      <c r="I344" s="4" t="s">
        <v>480</v>
      </c>
      <c r="P344" s="1368"/>
      <c r="Q344" s="1368"/>
      <c r="R344" s="1368"/>
      <c r="S344" s="1368"/>
      <c r="T344" s="1368"/>
      <c r="U344" s="1368"/>
      <c r="V344" s="1368"/>
      <c r="W344" s="1368"/>
      <c r="X344" s="1368"/>
      <c r="Y344" s="1368"/>
      <c r="Z344" s="1368"/>
      <c r="AA344" s="1368"/>
      <c r="AB344" s="1368"/>
      <c r="AC344" s="1368"/>
      <c r="AD344" s="1368"/>
      <c r="AE344" s="1368"/>
      <c r="BN344" t="s">
        <v>554</v>
      </c>
    </row>
    <row r="345" spans="1:66" ht="12.95" customHeight="1">
      <c r="B345" s="4"/>
      <c r="C345" s="4"/>
      <c r="D345" s="4"/>
      <c r="E345" s="4"/>
      <c r="F345" s="4"/>
      <c r="I345" s="4" t="s">
        <v>75</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I346" s="4" t="s">
        <v>87</v>
      </c>
      <c r="P346" s="1368"/>
      <c r="Q346" s="1368"/>
      <c r="R346" s="1368"/>
      <c r="S346" s="1368"/>
      <c r="T346" s="1368"/>
      <c r="U346" s="1368"/>
      <c r="V346" s="1368"/>
      <c r="W346" s="1368"/>
      <c r="X346" s="1368"/>
      <c r="Y346" s="1368"/>
      <c r="Z346" s="1368"/>
      <c r="AA346" s="1368"/>
      <c r="AB346" s="1368"/>
      <c r="AC346" s="1368"/>
      <c r="AD346" s="1368"/>
      <c r="AE346" s="1368"/>
    </row>
    <row r="347" spans="1:66" ht="12.95" customHeight="1">
      <c r="B347" s="4"/>
      <c r="C347" s="4"/>
      <c r="D347" s="4"/>
      <c r="E347" s="4"/>
      <c r="F347" s="4"/>
      <c r="G347" s="4"/>
      <c r="H347" s="324"/>
      <c r="I347" s="4" t="s">
        <v>88</v>
      </c>
      <c r="P347" s="1384"/>
      <c r="Q347" s="1384"/>
      <c r="R347" s="1384"/>
      <c r="S347" s="1384"/>
      <c r="T347" s="1384"/>
      <c r="U347" s="1384"/>
      <c r="V347" s="1384"/>
      <c r="W347" s="1384"/>
      <c r="X347" s="1384"/>
      <c r="Y347" s="1384"/>
      <c r="Z347" s="1384"/>
      <c r="AA347" s="4" t="s">
        <v>207</v>
      </c>
      <c r="AB347" s="4"/>
      <c r="AC347" s="1510"/>
      <c r="AD347" s="1510"/>
      <c r="AE347" s="1510"/>
      <c r="AF347" s="324"/>
      <c r="AG347" s="4"/>
      <c r="AH347" s="4"/>
      <c r="AI347" s="4"/>
      <c r="AJ347" s="4"/>
      <c r="AK347" s="4"/>
    </row>
    <row r="348" spans="1:66" ht="12.95" customHeight="1">
      <c r="B348" s="4"/>
      <c r="C348" s="4"/>
      <c r="D348" s="4"/>
      <c r="E348" s="4"/>
      <c r="F348" s="4"/>
      <c r="G348" s="4"/>
      <c r="H348" s="324"/>
      <c r="I348" s="4" t="s">
        <v>89</v>
      </c>
      <c r="P348" s="1384"/>
      <c r="Q348" s="1384"/>
      <c r="R348" s="1384"/>
      <c r="S348" s="1384"/>
      <c r="T348" s="1384"/>
      <c r="U348" s="1384"/>
      <c r="V348" s="1384"/>
      <c r="W348" s="1384"/>
      <c r="X348" s="1384"/>
      <c r="Y348" s="1384"/>
      <c r="Z348" s="1384"/>
      <c r="AF348" s="324"/>
      <c r="AG348" s="4"/>
      <c r="AH348" s="4"/>
      <c r="AI348" s="35"/>
      <c r="AJ348" s="35"/>
      <c r="AK348" s="35"/>
    </row>
    <row r="349" spans="1:66" ht="12.95" customHeight="1">
      <c r="B349" s="4"/>
      <c r="C349" s="4"/>
      <c r="D349" s="4"/>
      <c r="E349" s="4"/>
      <c r="F349" s="4"/>
      <c r="G349" s="4"/>
      <c r="I349" s="4" t="s">
        <v>76</v>
      </c>
      <c r="P349" s="1367"/>
      <c r="Q349" s="1367"/>
      <c r="R349" s="1367"/>
      <c r="S349" s="1367"/>
      <c r="T349" s="1367"/>
      <c r="U349" s="1367"/>
      <c r="V349" s="1367"/>
      <c r="W349" s="1367"/>
      <c r="X349" s="1367"/>
      <c r="Y349" s="1367"/>
      <c r="Z349" s="1367"/>
      <c r="AA349" s="1367"/>
      <c r="AB349" s="1367"/>
      <c r="AC349" s="1367"/>
      <c r="AD349" s="1367"/>
      <c r="AE349" s="1367"/>
    </row>
    <row r="350" spans="1:66" ht="12.95" customHeight="1">
      <c r="T350" s="8"/>
      <c r="U350" s="8"/>
      <c r="V350" s="8"/>
      <c r="W350" s="8"/>
      <c r="X350" s="8"/>
      <c r="Y350" s="8"/>
      <c r="Z350" s="8"/>
      <c r="AU350" s="95"/>
      <c r="AV350" s="95"/>
      <c r="AW350" s="95"/>
      <c r="AX350" s="95"/>
      <c r="AY350" s="95"/>
    </row>
    <row r="351" spans="1:66" ht="12.95" customHeight="1">
      <c r="A351" s="1663" t="s">
        <v>551</v>
      </c>
      <c r="B351" s="1663"/>
      <c r="C351" s="1663"/>
      <c r="D351" s="1663"/>
      <c r="E351" s="1663"/>
      <c r="F351" s="1663"/>
      <c r="G351" s="1663"/>
      <c r="H351" s="1663"/>
      <c r="I351" s="1663"/>
      <c r="J351" s="1663"/>
      <c r="K351" s="1663"/>
      <c r="L351" s="1663"/>
      <c r="M351" s="1663"/>
      <c r="N351" s="1663"/>
      <c r="O351" s="1663"/>
      <c r="P351" s="1663"/>
      <c r="Q351" s="1663"/>
      <c r="R351" s="1663"/>
      <c r="S351" s="1663"/>
      <c r="T351" s="1663"/>
      <c r="U351" s="1663"/>
      <c r="V351" s="1663"/>
      <c r="W351" s="1663"/>
      <c r="X351" s="1663"/>
      <c r="Y351" s="1663"/>
      <c r="Z351" s="1663"/>
      <c r="AA351" s="1663"/>
      <c r="AB351" s="1663"/>
      <c r="AC351" s="1663"/>
      <c r="AD351" s="1663"/>
      <c r="AE351" s="1663"/>
      <c r="AF351" s="1663"/>
      <c r="AG351" s="1663"/>
      <c r="AH351" s="1663"/>
      <c r="AI351" s="1663"/>
      <c r="AJ351" s="1663"/>
      <c r="AK351" s="1663"/>
      <c r="AL351" s="1663"/>
      <c r="AM351" s="1663"/>
      <c r="AN351" s="1663"/>
      <c r="AO351" s="1663"/>
      <c r="AP351" s="1663"/>
      <c r="AQ351" s="1663"/>
      <c r="AR351" s="1663"/>
      <c r="AS351" s="1663"/>
      <c r="AT351" s="1663"/>
      <c r="AU351" s="95"/>
      <c r="AV351" s="95"/>
      <c r="AW351" s="95"/>
      <c r="AX351" s="95"/>
      <c r="AY351" s="95"/>
    </row>
    <row r="352" spans="1:66" ht="12.95" customHeight="1">
      <c r="A352" s="1663"/>
      <c r="B352" s="1663"/>
      <c r="C352" s="1663"/>
      <c r="D352" s="1663"/>
      <c r="E352" s="1663"/>
      <c r="F352" s="1663"/>
      <c r="G352" s="1663"/>
      <c r="H352" s="1663"/>
      <c r="I352" s="1663"/>
      <c r="J352" s="1663"/>
      <c r="K352" s="1663"/>
      <c r="L352" s="1663"/>
      <c r="M352" s="1663"/>
      <c r="N352" s="1663"/>
      <c r="O352" s="1663"/>
      <c r="P352" s="1663"/>
      <c r="Q352" s="1663"/>
      <c r="R352" s="1663"/>
      <c r="S352" s="1663"/>
      <c r="T352" s="1663"/>
      <c r="U352" s="1663"/>
      <c r="V352" s="1663"/>
      <c r="W352" s="1663"/>
      <c r="X352" s="1663"/>
      <c r="Y352" s="1663"/>
      <c r="Z352" s="1663"/>
      <c r="AA352" s="1663"/>
      <c r="AB352" s="1663"/>
      <c r="AC352" s="1663"/>
      <c r="AD352" s="1663"/>
      <c r="AE352" s="1663"/>
      <c r="AF352" s="1663"/>
      <c r="AG352" s="1663"/>
      <c r="AH352" s="1663"/>
      <c r="AI352" s="1663"/>
      <c r="AJ352" s="1663"/>
      <c r="AK352" s="1663"/>
      <c r="AL352" s="1663"/>
      <c r="AM352" s="1663"/>
      <c r="AN352" s="1663"/>
      <c r="AO352" s="1663"/>
      <c r="AP352" s="1663"/>
      <c r="AQ352" s="1663"/>
      <c r="AR352" s="1663"/>
      <c r="AS352" s="1663"/>
      <c r="AT352" s="166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51" t="s">
        <v>554</v>
      </c>
      <c r="N355" s="1451"/>
      <c r="P355" t="s">
        <v>1764</v>
      </c>
      <c r="AJ355" s="1451" t="s">
        <v>600</v>
      </c>
      <c r="AK355" s="1451"/>
    </row>
    <row r="356" spans="1:46" ht="12.95" customHeight="1">
      <c r="D356" s="3" t="s">
        <v>1753</v>
      </c>
      <c r="M356" s="1451" t="s">
        <v>600</v>
      </c>
      <c r="N356" s="1451"/>
      <c r="P356" s="3" t="s">
        <v>1910</v>
      </c>
      <c r="AJ356" s="1443"/>
      <c r="AK356" s="1443"/>
    </row>
    <row r="357" spans="1:46" ht="12.95" customHeight="1">
      <c r="D357" s="3" t="s">
        <v>714</v>
      </c>
      <c r="M357" s="1451" t="s">
        <v>600</v>
      </c>
      <c r="N357" s="1451"/>
      <c r="P357" t="s">
        <v>1763</v>
      </c>
      <c r="AJ357" s="1451" t="s">
        <v>600</v>
      </c>
      <c r="AK357" s="1451"/>
    </row>
    <row r="358" spans="1:46" ht="12.95" customHeight="1">
      <c r="D358" s="3" t="s">
        <v>715</v>
      </c>
      <c r="M358" s="1451" t="s">
        <v>600</v>
      </c>
      <c r="N358" s="1451"/>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51" t="s">
        <v>600</v>
      </c>
      <c r="O363" s="1451"/>
      <c r="P363" s="40"/>
      <c r="Q363" s="40"/>
      <c r="R363" s="40"/>
      <c r="S363" s="40"/>
      <c r="T363" s="40"/>
      <c r="U363" s="40"/>
      <c r="V363" s="40"/>
      <c r="W363" s="40"/>
      <c r="X363" s="40"/>
      <c r="Y363" s="40"/>
      <c r="Z363" s="40"/>
      <c r="AC363" s="40"/>
      <c r="AD363" s="40"/>
      <c r="AE363" s="40"/>
    </row>
    <row r="364" spans="1:46" ht="12.95" customHeight="1">
      <c r="E364" t="s">
        <v>371</v>
      </c>
      <c r="Y364" s="1451" t="s">
        <v>600</v>
      </c>
      <c r="Z364" s="1451"/>
    </row>
    <row r="365" spans="1:46" ht="12.95" customHeight="1">
      <c r="D365" s="4" t="s">
        <v>998</v>
      </c>
      <c r="Q365" s="1367"/>
      <c r="R365" s="1367"/>
      <c r="S365" s="1367"/>
      <c r="T365" s="1367"/>
      <c r="U365" s="1367"/>
      <c r="V365" s="1367"/>
      <c r="W365" s="1367"/>
      <c r="X365" s="1367"/>
      <c r="Y365" s="1367"/>
      <c r="Z365" s="1367"/>
      <c r="AA365" s="1367"/>
      <c r="AB365" s="1367"/>
      <c r="AC365" s="1367"/>
      <c r="AD365" s="1367"/>
      <c r="AE365" s="1367"/>
      <c r="AF365" s="1367"/>
      <c r="AG365" s="136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51" t="s">
        <v>600</v>
      </c>
      <c r="K367" s="1451"/>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716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457</v>
      </c>
      <c r="F370" s="4"/>
      <c r="G370" s="4"/>
      <c r="H370" s="4"/>
      <c r="I370" s="4"/>
      <c r="J370" s="4"/>
      <c r="K370" s="4"/>
      <c r="L370" s="4"/>
      <c r="N370" s="1448"/>
      <c r="O370" s="1448"/>
      <c r="P370" s="1448"/>
      <c r="Q370" s="1448"/>
      <c r="R370" s="4"/>
      <c r="U370" s="4" t="s">
        <v>458</v>
      </c>
      <c r="V370" s="4"/>
      <c r="W370" s="4"/>
      <c r="X370" s="4"/>
      <c r="Y370" s="4"/>
      <c r="Z370" s="4"/>
      <c r="AA370" s="4"/>
      <c r="AB370" s="4"/>
      <c r="AC370" s="1448"/>
      <c r="AD370" s="1448"/>
      <c r="AE370" s="1448"/>
      <c r="AF370" s="1448"/>
    </row>
    <row r="371" spans="1:34" ht="12.95" customHeight="1">
      <c r="E371" s="4" t="s">
        <v>459</v>
      </c>
      <c r="F371" s="4"/>
      <c r="G371" s="4"/>
      <c r="H371" s="4"/>
      <c r="I371" s="4"/>
      <c r="J371" s="4"/>
      <c r="K371" s="4"/>
      <c r="L371" s="4"/>
      <c r="N371" s="1448"/>
      <c r="O371" s="1448"/>
      <c r="P371" s="1448"/>
      <c r="Q371" s="1448"/>
      <c r="R371" s="4"/>
      <c r="U371" s="4" t="s">
        <v>0</v>
      </c>
      <c r="V371" s="4"/>
      <c r="W371" s="4"/>
      <c r="X371" s="4"/>
      <c r="Y371" s="4"/>
      <c r="Z371" s="4"/>
      <c r="AA371" s="4"/>
      <c r="AB371" s="4"/>
      <c r="AC371" s="1448"/>
      <c r="AD371" s="1448"/>
      <c r="AE371" s="1448"/>
      <c r="AF371" s="1448"/>
    </row>
    <row r="372" spans="1:34" ht="12.95" customHeight="1">
      <c r="E372" s="4" t="s">
        <v>1</v>
      </c>
      <c r="F372" s="4"/>
      <c r="G372" s="4"/>
      <c r="H372" s="4"/>
      <c r="I372" s="4"/>
      <c r="J372" s="4"/>
      <c r="K372" s="4"/>
      <c r="L372" s="4"/>
      <c r="N372" s="1448"/>
      <c r="O372" s="1448"/>
      <c r="P372" s="1448"/>
      <c r="Q372" s="1448"/>
      <c r="R372" s="4"/>
      <c r="V372" s="4"/>
      <c r="W372" s="4"/>
      <c r="X372" s="4"/>
      <c r="Y372" s="4"/>
      <c r="Z372" s="4"/>
      <c r="AA372" s="4"/>
      <c r="AB372" s="4"/>
    </row>
    <row r="373" spans="1:34" ht="12.95" customHeight="1">
      <c r="E373" s="4" t="s">
        <v>2</v>
      </c>
      <c r="F373" s="4"/>
      <c r="G373" s="4"/>
      <c r="H373" s="4"/>
      <c r="I373" s="4"/>
      <c r="J373" s="4"/>
      <c r="K373" s="4"/>
      <c r="L373" s="4"/>
      <c r="N373" s="1494"/>
      <c r="O373" s="1494"/>
      <c r="P373" s="1494"/>
      <c r="Q373" s="1494"/>
      <c r="R373" s="1494"/>
      <c r="S373" s="1494"/>
      <c r="T373" s="1494"/>
      <c r="U373" s="1494"/>
      <c r="V373" s="1494"/>
      <c r="W373" s="1494"/>
      <c r="X373" s="1494"/>
      <c r="Y373" s="1494"/>
      <c r="Z373" s="1494"/>
      <c r="AA373" s="1494"/>
      <c r="AB373" s="1494"/>
      <c r="AC373" s="1494"/>
      <c r="AD373" s="1494"/>
      <c r="AE373" s="1494"/>
      <c r="AF373" s="1494"/>
    </row>
    <row r="374" spans="1:34" ht="12.95" customHeight="1">
      <c r="E374" s="4"/>
      <c r="F374" s="4"/>
      <c r="G374" s="4"/>
      <c r="H374" s="4"/>
      <c r="I374" s="4"/>
      <c r="J374" s="4"/>
      <c r="K374" s="4"/>
      <c r="L374" s="4"/>
      <c r="N374" s="1495"/>
      <c r="O374" s="1495"/>
      <c r="P374" s="1495"/>
      <c r="Q374" s="1495"/>
      <c r="R374" s="1495"/>
      <c r="S374" s="1495"/>
      <c r="T374" s="1495"/>
      <c r="U374" s="1495"/>
      <c r="V374" s="1495"/>
      <c r="W374" s="1495"/>
      <c r="X374" s="1495"/>
      <c r="Y374" s="1495"/>
      <c r="Z374" s="1495"/>
      <c r="AA374" s="1495"/>
      <c r="AB374" s="1495"/>
      <c r="AC374" s="1495"/>
      <c r="AD374" s="1495"/>
      <c r="AE374" s="1495"/>
      <c r="AF374" s="149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96"/>
      <c r="T377" s="1496"/>
      <c r="U377" s="1" t="s">
        <v>307</v>
      </c>
      <c r="V377" s="1496"/>
      <c r="W377" s="1496"/>
      <c r="Y377" t="s">
        <v>2397</v>
      </c>
      <c r="AC377" s="27" t="s">
        <v>306</v>
      </c>
      <c r="AD377" s="1496"/>
      <c r="AE377" s="1496"/>
      <c r="AF377" s="1" t="s">
        <v>307</v>
      </c>
      <c r="AG377" s="1496"/>
      <c r="AH377" s="1496"/>
    </row>
    <row r="378" spans="1:34" ht="12.95" customHeight="1">
      <c r="E378" s="4" t="s">
        <v>1012</v>
      </c>
      <c r="F378" s="4"/>
      <c r="G378" s="4"/>
      <c r="H378" s="4"/>
      <c r="I378" s="4"/>
      <c r="J378" s="4"/>
      <c r="K378" s="4"/>
      <c r="L378" s="4"/>
      <c r="N378" s="1496"/>
      <c r="O378" s="1496"/>
      <c r="P378" s="1496"/>
    </row>
    <row r="379" spans="1:34" ht="12.95" customHeight="1">
      <c r="E379" s="218" t="s">
        <v>2403</v>
      </c>
      <c r="F379" s="4"/>
      <c r="G379" s="4"/>
      <c r="H379" s="4"/>
      <c r="I379" s="4"/>
      <c r="J379" s="4"/>
      <c r="K379" s="4"/>
      <c r="L379" s="4"/>
      <c r="AG379" s="1533" t="s">
        <v>600</v>
      </c>
      <c r="AH379" s="1533"/>
    </row>
    <row r="380" spans="1:34" ht="12.95" customHeight="1">
      <c r="E380" s="4"/>
      <c r="F380" s="4"/>
      <c r="G380" s="4" t="s">
        <v>2404</v>
      </c>
      <c r="H380" s="4"/>
      <c r="I380" s="4"/>
      <c r="J380" s="4"/>
      <c r="K380" s="4"/>
      <c r="L380" s="4"/>
      <c r="AG380" s="1533" t="s">
        <v>600</v>
      </c>
      <c r="AH380" s="1533"/>
    </row>
    <row r="381" spans="1:34" ht="12.95" customHeight="1">
      <c r="E381" s="4"/>
      <c r="F381" s="4"/>
      <c r="G381" s="348" t="s">
        <v>1013</v>
      </c>
      <c r="H381" s="4"/>
      <c r="I381" s="4"/>
      <c r="J381" s="4"/>
      <c r="K381" s="4"/>
      <c r="L381" s="4"/>
      <c r="V381" s="1451" t="s">
        <v>600</v>
      </c>
      <c r="W381" s="1451"/>
      <c r="Y381" s="22" t="s">
        <v>1000</v>
      </c>
    </row>
    <row r="382" spans="1:34" ht="12.95" customHeight="1">
      <c r="E382" s="4" t="s">
        <v>1001</v>
      </c>
      <c r="F382" s="4"/>
      <c r="G382" s="4"/>
      <c r="H382" s="4"/>
      <c r="I382" s="4"/>
      <c r="J382" s="4"/>
      <c r="K382" s="4"/>
      <c r="L382" s="4"/>
      <c r="V382" s="1451" t="s">
        <v>600</v>
      </c>
      <c r="W382" s="1451"/>
      <c r="Y382" s="4" t="s">
        <v>1002</v>
      </c>
    </row>
    <row r="383" spans="1:34" ht="12.95" customHeight="1"/>
    <row r="384" spans="1:34" ht="12.95" customHeight="1">
      <c r="A384" s="2" t="s">
        <v>78</v>
      </c>
      <c r="B384" s="2"/>
    </row>
    <row r="385" spans="4:36" ht="12.95" customHeight="1">
      <c r="D385" t="s">
        <v>429</v>
      </c>
      <c r="J385" s="1367" t="s">
        <v>2695</v>
      </c>
      <c r="K385" s="1367"/>
      <c r="L385" s="1367"/>
      <c r="M385" s="1367"/>
      <c r="N385" s="1367"/>
      <c r="O385" s="1367"/>
      <c r="P385" s="1367"/>
      <c r="Q385" s="1367"/>
      <c r="R385" s="1367"/>
      <c r="S385" s="1367"/>
      <c r="T385" s="1367"/>
      <c r="U385" s="1367"/>
      <c r="V385" s="8" t="s">
        <v>83</v>
      </c>
      <c r="W385" s="8"/>
      <c r="X385" s="8"/>
      <c r="Y385" s="8"/>
      <c r="Z385" s="8"/>
      <c r="AA385" s="8"/>
      <c r="AB385" s="8"/>
      <c r="AC385" s="1367" t="s">
        <v>2696</v>
      </c>
      <c r="AD385" s="1367"/>
      <c r="AE385" s="1367"/>
      <c r="AF385" s="1367"/>
      <c r="AG385" s="1367"/>
      <c r="AH385" s="1367"/>
      <c r="AI385" s="1367"/>
      <c r="AJ385" s="1367"/>
    </row>
    <row r="386" spans="4:36" ht="12.95" customHeight="1">
      <c r="D386" s="3" t="s">
        <v>1289</v>
      </c>
      <c r="J386" s="1368" t="s">
        <v>2697</v>
      </c>
      <c r="K386" s="1368"/>
      <c r="L386" s="1368"/>
      <c r="M386" s="1368"/>
      <c r="N386" s="1368"/>
      <c r="O386" s="1368"/>
      <c r="P386" s="1368"/>
      <c r="Q386" s="1368"/>
      <c r="R386" s="1368"/>
      <c r="S386" s="1368"/>
      <c r="T386" s="1368"/>
      <c r="U386" s="1368"/>
      <c r="V386" s="3" t="s">
        <v>1289</v>
      </c>
      <c r="W386" s="8"/>
      <c r="X386" s="8"/>
      <c r="Y386" s="8"/>
      <c r="Z386" s="8"/>
      <c r="AA386" s="8"/>
      <c r="AB386" s="8"/>
      <c r="AC386" s="1367"/>
      <c r="AD386" s="1367"/>
      <c r="AE386" s="1367"/>
      <c r="AF386" s="1367"/>
      <c r="AG386" s="1367"/>
      <c r="AH386" s="1367"/>
      <c r="AI386" s="1367"/>
      <c r="AJ386" s="1367"/>
    </row>
    <row r="387" spans="4:36" ht="12.95" customHeight="1">
      <c r="D387" s="3" t="s">
        <v>444</v>
      </c>
      <c r="J387" s="1368" t="s">
        <v>2698</v>
      </c>
      <c r="K387" s="1368"/>
      <c r="L387" s="1368"/>
      <c r="M387" s="1368"/>
      <c r="N387" s="1368"/>
      <c r="O387" s="1368"/>
      <c r="P387" s="1368"/>
      <c r="Q387" s="1368"/>
      <c r="R387" s="1368"/>
      <c r="S387" s="1368"/>
      <c r="T387" s="1368"/>
      <c r="U387" s="1368"/>
      <c r="V387" s="3" t="s">
        <v>444</v>
      </c>
      <c r="W387" s="8"/>
      <c r="X387" s="8"/>
      <c r="Y387" s="8"/>
      <c r="Z387" s="8"/>
      <c r="AA387" s="8"/>
      <c r="AB387" s="8"/>
      <c r="AC387" s="1367"/>
      <c r="AD387" s="1367"/>
      <c r="AE387" s="1367"/>
      <c r="AF387" s="1367"/>
      <c r="AG387" s="1367"/>
      <c r="AH387" s="1367"/>
      <c r="AI387" s="1367"/>
      <c r="AJ387" s="1367"/>
    </row>
    <row r="388" spans="4:36" ht="12.95" customHeight="1">
      <c r="D388" t="s">
        <v>1285</v>
      </c>
      <c r="J388" s="1501" t="s">
        <v>2699</v>
      </c>
      <c r="K388" s="1423"/>
      <c r="L388" s="1423"/>
      <c r="M388" s="1423"/>
      <c r="N388" s="1423"/>
      <c r="O388" s="1423"/>
      <c r="P388" s="1423"/>
      <c r="Q388" s="1423"/>
      <c r="R388" s="1423"/>
      <c r="S388" s="1423"/>
      <c r="T388" s="1423"/>
      <c r="U388" s="1423"/>
      <c r="V388" s="1493" t="s">
        <v>2700</v>
      </c>
      <c r="W388" s="1367"/>
      <c r="X388" s="1367"/>
      <c r="Y388" s="1367"/>
      <c r="Z388" s="1367"/>
      <c r="AA388" s="1367"/>
      <c r="AB388" s="1367"/>
      <c r="AC388" s="1367"/>
      <c r="AD388" s="1367"/>
      <c r="AE388" s="1367"/>
      <c r="AF388" s="1367"/>
      <c r="AG388" s="1367"/>
      <c r="AH388" s="1367"/>
      <c r="AI388" s="1367"/>
      <c r="AJ388" s="1367"/>
    </row>
    <row r="389" spans="4:36" ht="12.95" customHeight="1">
      <c r="D389" t="s">
        <v>4</v>
      </c>
      <c r="Q389" s="1690">
        <v>45002</v>
      </c>
      <c r="R389" s="1690"/>
      <c r="S389" s="1690"/>
      <c r="T389" s="1690"/>
      <c r="U389" s="1690"/>
      <c r="V389" t="s">
        <v>310</v>
      </c>
      <c r="AI389" s="1451" t="s">
        <v>678</v>
      </c>
      <c r="AJ389" s="1451"/>
    </row>
    <row r="390" spans="4:36" ht="12.95" customHeight="1">
      <c r="D390" t="s">
        <v>5</v>
      </c>
      <c r="Q390" s="1618">
        <v>45534</v>
      </c>
      <c r="R390" s="1687"/>
      <c r="S390" s="1687"/>
      <c r="T390" s="1687"/>
      <c r="U390" s="1687"/>
      <c r="W390" s="21" t="s">
        <v>74</v>
      </c>
      <c r="AG390" s="1438"/>
      <c r="AH390" s="1438"/>
      <c r="AI390" s="1438"/>
      <c r="AJ390" s="1438"/>
    </row>
    <row r="391" spans="4:36" ht="12.95" customHeight="1">
      <c r="D391" t="s">
        <v>428</v>
      </c>
      <c r="Q391" s="1686">
        <v>2000000</v>
      </c>
      <c r="R391" s="1686"/>
      <c r="S391" s="1686"/>
      <c r="T391" s="1686"/>
      <c r="U391" s="1686"/>
      <c r="V391" s="3" t="s">
        <v>1288</v>
      </c>
      <c r="AG391" s="1531">
        <f>Q390</f>
        <v>45534</v>
      </c>
      <c r="AH391" s="1531"/>
      <c r="AI391" s="1531"/>
      <c r="AJ391" s="1531"/>
    </row>
    <row r="392" spans="4:36" ht="12.95" customHeight="1">
      <c r="D392" t="s">
        <v>88</v>
      </c>
      <c r="I392" s="1534">
        <v>9167828879</v>
      </c>
      <c r="J392" s="1534"/>
      <c r="K392" s="1534"/>
      <c r="L392" s="1534"/>
      <c r="M392" s="1534"/>
      <c r="N392" s="1534"/>
      <c r="Q392" s="4" t="s">
        <v>207</v>
      </c>
      <c r="S392" s="1689"/>
      <c r="T392" s="1689"/>
      <c r="U392" s="1689"/>
      <c r="V392" t="s">
        <v>73</v>
      </c>
      <c r="AI392" s="1451" t="s">
        <v>678</v>
      </c>
      <c r="AJ392" s="1451"/>
    </row>
    <row r="393" spans="4:36" ht="12.95" customHeight="1">
      <c r="D393" t="s">
        <v>311</v>
      </c>
      <c r="Q393" s="1532"/>
      <c r="R393" s="1532"/>
      <c r="S393" s="1532"/>
      <c r="T393" s="1532"/>
      <c r="U393" s="1532"/>
      <c r="V393" t="s">
        <v>312</v>
      </c>
      <c r="AG393" s="1438"/>
      <c r="AH393" s="1438"/>
      <c r="AI393" s="1438"/>
      <c r="AJ393" s="1438"/>
    </row>
    <row r="394" spans="4:36" ht="12.95" customHeight="1">
      <c r="D394" t="s">
        <v>313</v>
      </c>
      <c r="Q394" s="1575">
        <v>0.01</v>
      </c>
      <c r="R394" s="1575"/>
      <c r="S394" s="1575"/>
      <c r="T394" s="1575"/>
      <c r="U394" s="1575"/>
      <c r="V394" t="s">
        <v>1269</v>
      </c>
      <c r="AG394" s="1438"/>
      <c r="AH394" s="1438"/>
      <c r="AI394" s="1438"/>
      <c r="AJ394" s="1438"/>
    </row>
    <row r="395" spans="4:36" ht="12.95" customHeight="1">
      <c r="D395" t="s">
        <v>1268</v>
      </c>
      <c r="AG395" s="1438"/>
      <c r="AH395" s="1438"/>
      <c r="AI395" s="1438"/>
      <c r="AJ395" s="1438"/>
    </row>
    <row r="396" spans="4:36" ht="12.95" customHeight="1">
      <c r="AG396" s="490"/>
      <c r="AH396" s="490"/>
      <c r="AI396" s="490"/>
      <c r="AJ396" s="490"/>
    </row>
    <row r="397" spans="4:36" ht="12.95" customHeight="1">
      <c r="D397" s="3" t="s">
        <v>2503</v>
      </c>
      <c r="AG397" s="490"/>
      <c r="AH397" s="490"/>
      <c r="AI397" s="1451" t="s">
        <v>554</v>
      </c>
      <c r="AJ397" s="1451"/>
    </row>
    <row r="398" spans="4:36" ht="12.95" customHeight="1">
      <c r="D398" s="3" t="s">
        <v>1782</v>
      </c>
      <c r="T398" s="1419" t="s">
        <v>2746</v>
      </c>
      <c r="U398" s="1419"/>
      <c r="V398" s="1419"/>
      <c r="W398" s="1419"/>
      <c r="X398" s="1419"/>
      <c r="Y398" s="1419"/>
      <c r="Z398" s="1419"/>
      <c r="AA398" s="1419"/>
      <c r="AB398" s="1419"/>
      <c r="AC398" s="1419"/>
      <c r="AD398" s="1419"/>
      <c r="AE398" s="1419"/>
      <c r="AF398" s="1419"/>
      <c r="AG398" s="1419"/>
      <c r="AH398" s="1419"/>
      <c r="AI398" s="1419"/>
      <c r="AJ398" s="1419"/>
    </row>
    <row r="399" spans="4:36" ht="12.95" customHeight="1">
      <c r="D399" s="3" t="s">
        <v>1781</v>
      </c>
      <c r="T399" s="1537"/>
      <c r="U399" s="1537"/>
      <c r="V399" s="1537"/>
      <c r="W399" s="1537"/>
      <c r="X399" s="1537"/>
      <c r="Y399" s="1537"/>
      <c r="Z399" s="1537"/>
      <c r="AA399" s="1537"/>
      <c r="AB399" s="1537"/>
      <c r="AC399" s="1537"/>
      <c r="AD399" s="1537"/>
      <c r="AE399" s="1537"/>
      <c r="AF399" s="1537"/>
      <c r="AG399" s="1537"/>
      <c r="AH399" s="1537"/>
      <c r="AI399" s="1537"/>
      <c r="AJ399" s="1537"/>
    </row>
    <row r="400" spans="4:36" ht="12.95" customHeight="1">
      <c r="AG400" s="490"/>
      <c r="AH400" s="490"/>
      <c r="AI400" s="490"/>
      <c r="AJ400" s="490"/>
    </row>
    <row r="401" spans="1:36" ht="12.95" customHeight="1">
      <c r="D401" s="3" t="s">
        <v>1775</v>
      </c>
      <c r="S401" s="1419" t="s">
        <v>678</v>
      </c>
      <c r="T401" s="1419"/>
      <c r="U401" s="1419"/>
      <c r="V401" t="s">
        <v>1776</v>
      </c>
      <c r="AG401" s="1497"/>
      <c r="AH401" s="1497"/>
      <c r="AI401" s="1497"/>
      <c r="AJ401" s="1497"/>
    </row>
    <row r="402" spans="1:36" ht="12.95" customHeight="1">
      <c r="D402" s="3" t="s">
        <v>1773</v>
      </c>
      <c r="S402" s="1419" t="s">
        <v>600</v>
      </c>
      <c r="T402" s="1419"/>
      <c r="U402" s="1419"/>
      <c r="V402" t="s">
        <v>1778</v>
      </c>
      <c r="AE402" s="1535"/>
      <c r="AF402" s="1535"/>
      <c r="AG402" s="1535"/>
      <c r="AH402" s="1535"/>
      <c r="AI402" s="1535"/>
      <c r="AJ402" s="1535"/>
    </row>
    <row r="403" spans="1:36" ht="12.95" customHeight="1">
      <c r="D403" s="3" t="s">
        <v>1774</v>
      </c>
      <c r="K403" s="1503"/>
      <c r="L403" s="1503"/>
      <c r="M403" s="1503"/>
      <c r="N403" s="1503"/>
      <c r="O403" s="1503"/>
      <c r="P403" s="1503"/>
      <c r="Q403" s="1503"/>
      <c r="R403" s="1503"/>
      <c r="S403" s="1503"/>
      <c r="T403" s="1503"/>
      <c r="U403" s="1503"/>
      <c r="V403" s="1503"/>
      <c r="W403" s="1503"/>
      <c r="X403" s="1503"/>
      <c r="Y403" s="1503"/>
      <c r="Z403" s="1503"/>
      <c r="AA403" s="1503"/>
      <c r="AB403" s="1503"/>
      <c r="AC403" s="1503"/>
      <c r="AD403" s="1503"/>
      <c r="AE403" s="1503"/>
      <c r="AF403" s="1503"/>
      <c r="AG403" s="1503"/>
      <c r="AH403" s="1503"/>
      <c r="AI403" s="1503"/>
      <c r="AJ403" s="1503"/>
    </row>
    <row r="404" spans="1:36" ht="12.95" customHeight="1">
      <c r="D404" s="3" t="s">
        <v>1777</v>
      </c>
      <c r="K404" s="1503"/>
      <c r="L404" s="1503"/>
      <c r="M404" s="1503"/>
      <c r="N404" s="1503"/>
      <c r="O404" s="1503"/>
      <c r="P404" s="1503"/>
      <c r="Q404" s="1503"/>
      <c r="R404" s="1503"/>
      <c r="S404" s="1503"/>
      <c r="T404" s="1503"/>
      <c r="U404" s="1503"/>
      <c r="V404" s="1503"/>
      <c r="W404" s="1503"/>
      <c r="X404" s="1503"/>
      <c r="Y404" s="1503"/>
      <c r="Z404" s="1503"/>
      <c r="AA404" s="1503"/>
      <c r="AB404" s="1503"/>
      <c r="AC404" s="1503"/>
      <c r="AD404" s="1503"/>
      <c r="AE404" s="1503"/>
      <c r="AF404" s="1503"/>
      <c r="AG404" s="1503"/>
      <c r="AH404" s="1503"/>
      <c r="AI404" s="1503"/>
      <c r="AJ404" s="1503"/>
    </row>
    <row r="405" spans="1:36" ht="12.95" customHeight="1">
      <c r="D405" s="3" t="s">
        <v>1780</v>
      </c>
      <c r="E405" s="511"/>
      <c r="F405" s="511"/>
      <c r="G405" s="511"/>
      <c r="H405" s="511"/>
      <c r="I405" s="511"/>
      <c r="J405" s="511"/>
      <c r="K405" s="511"/>
      <c r="L405" s="511"/>
      <c r="M405" s="511"/>
      <c r="N405" s="511"/>
      <c r="O405" s="511"/>
      <c r="P405" s="511"/>
      <c r="Q405" s="511"/>
      <c r="R405" s="511"/>
      <c r="S405" s="1523" t="s">
        <v>2701</v>
      </c>
      <c r="T405" s="1523"/>
      <c r="U405" s="1523"/>
      <c r="V405" s="1523"/>
      <c r="W405" s="1523"/>
      <c r="X405" s="1523"/>
      <c r="Y405" s="1523"/>
      <c r="Z405" s="1523"/>
      <c r="AA405" s="1523"/>
      <c r="AB405" s="1523"/>
      <c r="AC405" s="1523"/>
      <c r="AD405" s="1523"/>
      <c r="AE405" s="1523"/>
      <c r="AF405" s="1523"/>
      <c r="AG405" s="1523"/>
      <c r="AH405" s="1523"/>
      <c r="AI405" s="1523"/>
      <c r="AJ405" s="152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93" t="s">
        <v>2702</v>
      </c>
      <c r="J410" s="1493"/>
      <c r="K410" s="1493"/>
      <c r="L410" s="1493"/>
      <c r="M410" s="1493"/>
      <c r="N410" s="1493"/>
      <c r="O410" s="1493"/>
      <c r="P410" s="1493"/>
      <c r="Q410" s="1493"/>
      <c r="R410" s="1493"/>
      <c r="S410" s="1493"/>
      <c r="T410" s="1493"/>
      <c r="U410" s="1493"/>
      <c r="V410" s="1493"/>
      <c r="W410" s="1493"/>
      <c r="X410" s="1493"/>
      <c r="Y410" s="1493"/>
      <c r="Z410" s="1493"/>
      <c r="AA410" s="1493"/>
      <c r="AB410" s="1493"/>
      <c r="AC410" s="1493"/>
      <c r="AD410" s="1493"/>
      <c r="AE410" s="1493"/>
    </row>
    <row r="411" spans="1:36" ht="12.95" customHeight="1">
      <c r="E411" t="s">
        <v>106</v>
      </c>
      <c r="R411" s="1451" t="s">
        <v>554</v>
      </c>
      <c r="S411" s="1451"/>
      <c r="AC411" s="27" t="s">
        <v>579</v>
      </c>
      <c r="AD411" s="1448">
        <v>3</v>
      </c>
      <c r="AE411" s="1448"/>
    </row>
    <row r="412" spans="1:36" ht="12.95" customHeight="1">
      <c r="E412" t="s">
        <v>107</v>
      </c>
      <c r="R412" s="1451" t="s">
        <v>600</v>
      </c>
      <c r="S412" s="1451"/>
      <c r="AC412" s="27" t="s">
        <v>579</v>
      </c>
      <c r="AD412" s="1448"/>
      <c r="AE412" s="1448"/>
    </row>
    <row r="413" spans="1:36" ht="12.95" customHeight="1">
      <c r="E413" t="s">
        <v>108</v>
      </c>
      <c r="S413" s="1451" t="s">
        <v>600</v>
      </c>
      <c r="T413" s="1451"/>
    </row>
    <row r="414" spans="1:36" ht="12.95" customHeight="1">
      <c r="E414" t="s">
        <v>170</v>
      </c>
      <c r="H414" s="1679" t="s">
        <v>335</v>
      </c>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row>
    <row r="415" spans="1:36" ht="12.95" customHeight="1">
      <c r="H415" s="1680"/>
      <c r="I415" s="1680"/>
      <c r="J415" s="1680"/>
      <c r="K415" s="1680"/>
      <c r="L415" s="1680"/>
      <c r="M415" s="1680"/>
      <c r="N415" s="1680"/>
      <c r="O415" s="1680"/>
      <c r="P415" s="1680"/>
      <c r="Q415" s="1680"/>
      <c r="R415" s="1680"/>
      <c r="S415" s="1680"/>
      <c r="T415" s="1680"/>
      <c r="U415" s="1680"/>
      <c r="V415" s="1680"/>
      <c r="W415" s="1680"/>
      <c r="X415" s="1680"/>
      <c r="Y415" s="1680"/>
      <c r="Z415" s="1680"/>
      <c r="AA415" s="1680"/>
      <c r="AB415" s="1680"/>
      <c r="AC415" s="1680"/>
      <c r="AD415" s="1680"/>
      <c r="AE415" s="1680"/>
    </row>
    <row r="416" spans="1:36" ht="12.95" customHeight="1"/>
    <row r="417" spans="1:39" ht="12.95" customHeight="1">
      <c r="A417" s="2" t="s">
        <v>599</v>
      </c>
      <c r="B417" s="2"/>
      <c r="C417" s="2"/>
      <c r="D417" s="2" t="s">
        <v>114</v>
      </c>
      <c r="AF417" s="2" t="s">
        <v>977</v>
      </c>
    </row>
    <row r="418" spans="1:39" ht="12.95" customHeight="1">
      <c r="E418" s="1496"/>
      <c r="F418" s="1496"/>
      <c r="G418" s="1496"/>
      <c r="H418" s="13" t="s">
        <v>115</v>
      </c>
      <c r="I418" s="1496"/>
      <c r="J418" s="1496"/>
      <c r="K418" s="1496"/>
      <c r="L418" t="s">
        <v>116</v>
      </c>
      <c r="N418" s="27" t="s">
        <v>584</v>
      </c>
      <c r="P418" s="1688">
        <v>7.17</v>
      </c>
      <c r="Q418" s="1688"/>
      <c r="R418" s="1688"/>
      <c r="S418" t="s">
        <v>117</v>
      </c>
      <c r="W418" s="1428">
        <f>IF(E418&gt;0,(E418*I418),(P418*43560))</f>
        <v>312325.2</v>
      </c>
      <c r="X418" s="1428"/>
      <c r="Y418" s="1428"/>
      <c r="Z418" t="s">
        <v>118</v>
      </c>
      <c r="AF418" s="1539">
        <f>IFERROR(IF(P418&gt;0,(AG437/P418),(AG437/(W418/43560))),0)</f>
        <v>24.546722454672246</v>
      </c>
      <c r="AG418" s="1539"/>
      <c r="AH418" s="1539"/>
      <c r="AM418" s="3"/>
    </row>
    <row r="419" spans="1:39" ht="12.95" customHeight="1">
      <c r="E419" t="s">
        <v>51</v>
      </c>
    </row>
    <row r="420" spans="1:39" ht="12.95" customHeight="1">
      <c r="E420" s="1538"/>
      <c r="F420" s="1538"/>
      <c r="G420" s="1538"/>
      <c r="H420" s="1538"/>
      <c r="I420" s="1538"/>
      <c r="J420" s="1538"/>
      <c r="K420" s="1538"/>
      <c r="L420" s="1538"/>
      <c r="M420" s="1538"/>
      <c r="N420" s="1538"/>
      <c r="O420" s="1538"/>
      <c r="P420" s="1538"/>
      <c r="Q420" s="1538"/>
      <c r="R420" s="1538"/>
      <c r="S420" s="1538"/>
      <c r="T420" s="1538"/>
      <c r="U420" s="1538"/>
      <c r="V420" s="1538"/>
      <c r="W420" s="1538"/>
      <c r="X420" s="1538"/>
      <c r="Y420" s="1538"/>
      <c r="Z420" s="1538"/>
      <c r="AA420" s="1538"/>
      <c r="AB420" s="1538"/>
      <c r="AC420" s="1538"/>
      <c r="AD420" s="1538"/>
      <c r="AE420" s="1538"/>
      <c r="AF420" s="1538"/>
      <c r="AG420" s="1538"/>
      <c r="AH420" s="1538"/>
      <c r="AI420" s="1538"/>
      <c r="AJ420" s="1538"/>
    </row>
    <row r="421" spans="1:39" ht="12.95" customHeight="1">
      <c r="E421" s="118" t="s">
        <v>1927</v>
      </c>
      <c r="F421" s="1048"/>
      <c r="G421" s="1048"/>
      <c r="H421" s="1048"/>
      <c r="I421" s="1525">
        <v>5.4</v>
      </c>
      <c r="J421" s="1525"/>
      <c r="K421" s="1525"/>
      <c r="L421" s="1048"/>
      <c r="M421" s="118"/>
      <c r="N421" s="1048"/>
      <c r="O421" s="1048"/>
      <c r="P421" s="1745">
        <f>(CS634+CS642+CS658)/I421</f>
        <v>64.259259259259252</v>
      </c>
      <c r="Q421" s="1745"/>
      <c r="R421" s="1745"/>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51">
        <v>10</v>
      </c>
      <c r="Q424" s="1451"/>
      <c r="S424" t="s">
        <v>190</v>
      </c>
      <c r="AE424" s="1451">
        <v>10</v>
      </c>
      <c r="AF424" s="1451"/>
    </row>
    <row r="425" spans="1:39" ht="12.95" customHeight="1">
      <c r="E425" t="s">
        <v>191</v>
      </c>
      <c r="P425" s="1451">
        <v>1</v>
      </c>
      <c r="Q425" s="1451"/>
      <c r="S425" t="s">
        <v>131</v>
      </c>
      <c r="AE425" s="1451" t="s">
        <v>600</v>
      </c>
      <c r="AF425" s="1451"/>
    </row>
    <row r="426" spans="1:39" ht="12.95" customHeight="1">
      <c r="F426" s="28" t="s">
        <v>132</v>
      </c>
    </row>
    <row r="427" spans="1:39" ht="12.95" customHeight="1">
      <c r="F427" s="1498"/>
      <c r="G427" s="1498"/>
      <c r="H427" s="1498"/>
      <c r="I427" s="1498"/>
      <c r="J427" s="1498"/>
      <c r="K427" s="1498"/>
      <c r="L427" s="1498"/>
      <c r="M427" s="1498"/>
      <c r="N427" s="1498"/>
      <c r="O427" s="1498"/>
      <c r="P427" s="1498"/>
      <c r="Q427" s="1498"/>
      <c r="R427" s="1498"/>
      <c r="S427" s="1498"/>
      <c r="T427" s="1498"/>
      <c r="U427" s="1498"/>
      <c r="V427" s="1498"/>
      <c r="W427" s="1498"/>
      <c r="X427" s="1498"/>
      <c r="Y427" s="1498"/>
      <c r="Z427" s="1498"/>
      <c r="AA427" s="1498"/>
      <c r="AB427" s="1498"/>
      <c r="AC427" s="1498"/>
      <c r="AD427" s="1498"/>
      <c r="AE427" s="1498"/>
      <c r="AF427" s="1498"/>
      <c r="AG427" s="1498"/>
      <c r="AH427" s="1498"/>
    </row>
    <row r="428" spans="1:39" ht="12.95" customHeight="1">
      <c r="F428" s="1499"/>
      <c r="G428" s="1499"/>
      <c r="H428" s="1499"/>
      <c r="I428" s="1499"/>
      <c r="J428" s="1499"/>
      <c r="K428" s="1499"/>
      <c r="L428" s="1499"/>
      <c r="M428" s="1499"/>
      <c r="N428" s="1499"/>
      <c r="O428" s="1499"/>
      <c r="P428" s="1499"/>
      <c r="Q428" s="1499"/>
      <c r="R428" s="1499"/>
      <c r="S428" s="1499"/>
      <c r="T428" s="1499"/>
      <c r="U428" s="1499"/>
      <c r="V428" s="1499"/>
      <c r="W428" s="1499"/>
      <c r="X428" s="1499"/>
      <c r="Y428" s="1499"/>
      <c r="Z428" s="1499"/>
      <c r="AA428" s="1499"/>
      <c r="AB428" s="1499"/>
      <c r="AC428" s="1499"/>
      <c r="AD428" s="1499"/>
      <c r="AE428" s="1499"/>
      <c r="AF428" s="1499"/>
      <c r="AG428" s="1499"/>
      <c r="AH428" s="1499"/>
    </row>
    <row r="429" spans="1:39" ht="12.95" customHeight="1">
      <c r="E429" t="s">
        <v>617</v>
      </c>
      <c r="P429" s="1"/>
      <c r="Q429" s="1451" t="s">
        <v>554</v>
      </c>
      <c r="R429" s="1451"/>
    </row>
    <row r="430" spans="1:39" ht="12.95" customHeight="1">
      <c r="F430" t="s">
        <v>618</v>
      </c>
      <c r="P430" s="1"/>
      <c r="Q430" s="1"/>
      <c r="AF430" s="1451" t="s">
        <v>600</v>
      </c>
      <c r="AG430" s="1459"/>
    </row>
    <row r="431" spans="1:39" ht="12.95" customHeight="1"/>
    <row r="432" spans="1:39" ht="12.95" customHeight="1">
      <c r="A432" s="2"/>
      <c r="B432" s="2"/>
      <c r="C432" s="2"/>
      <c r="E432" s="4" t="s">
        <v>309</v>
      </c>
      <c r="Z432" s="1451" t="s">
        <v>678</v>
      </c>
      <c r="AA432" s="145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51" t="s">
        <v>600</v>
      </c>
      <c r="AA434" s="1451"/>
    </row>
    <row r="435" spans="1:110" ht="12.95" customHeight="1"/>
    <row r="436" spans="1:110" ht="12.95" customHeight="1">
      <c r="A436" s="2" t="s">
        <v>476</v>
      </c>
      <c r="B436" s="2"/>
      <c r="C436" s="2"/>
      <c r="D436" s="2" t="s">
        <v>774</v>
      </c>
      <c r="AF436" s="48"/>
    </row>
    <row r="437" spans="1:110" ht="12.95" customHeight="1">
      <c r="D437" s="1500" t="s">
        <v>43</v>
      </c>
      <c r="E437" s="1449"/>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50"/>
      <c r="AG437" s="1476">
        <v>176</v>
      </c>
      <c r="AH437" s="1476"/>
      <c r="AI437" s="1476"/>
      <c r="AJ437" s="1476"/>
    </row>
    <row r="438" spans="1:110" ht="12.95" customHeight="1">
      <c r="D438" s="1433" t="s">
        <v>1330</v>
      </c>
      <c r="E438" s="1434"/>
      <c r="F438" s="1434"/>
      <c r="G438" s="1434"/>
      <c r="H438" s="1434"/>
      <c r="I438" s="1434"/>
      <c r="J438" s="1434"/>
      <c r="K438" s="1434"/>
      <c r="L438" s="1434"/>
      <c r="M438" s="1434"/>
      <c r="N438" s="1434"/>
      <c r="O438" s="1434"/>
      <c r="P438" s="1434"/>
      <c r="Q438" s="1434"/>
      <c r="R438" s="1434"/>
      <c r="S438" s="1434"/>
      <c r="T438" s="1434"/>
      <c r="U438" s="1434"/>
      <c r="V438" s="1434"/>
      <c r="W438" s="1434"/>
      <c r="X438" s="1434"/>
      <c r="Y438" s="1434"/>
      <c r="Z438" s="1434"/>
      <c r="AA438" s="1434"/>
      <c r="AB438" s="1434"/>
      <c r="AC438" s="1434"/>
      <c r="AD438" s="1434"/>
      <c r="AE438" s="1434"/>
      <c r="AF438" s="1435"/>
      <c r="AG438" s="1436">
        <v>0</v>
      </c>
      <c r="AH438" s="1437"/>
      <c r="AI438" s="1437"/>
      <c r="AJ438" s="1437"/>
    </row>
    <row r="439" spans="1:110" ht="12.95" customHeight="1">
      <c r="D439" s="1433" t="s">
        <v>1056</v>
      </c>
      <c r="E439" s="1434"/>
      <c r="F439" s="1434"/>
      <c r="G439" s="1434"/>
      <c r="H439" s="1434"/>
      <c r="I439" s="1434"/>
      <c r="J439" s="1434"/>
      <c r="K439" s="1434"/>
      <c r="L439" s="1434"/>
      <c r="M439" s="1434"/>
      <c r="N439" s="1434"/>
      <c r="O439" s="1434"/>
      <c r="P439" s="1434"/>
      <c r="Q439" s="1434"/>
      <c r="R439" s="1434"/>
      <c r="S439" s="1434"/>
      <c r="T439" s="1434"/>
      <c r="U439" s="1434"/>
      <c r="V439" s="1434"/>
      <c r="W439" s="1434"/>
      <c r="X439" s="1434"/>
      <c r="Y439" s="1434"/>
      <c r="Z439" s="1434"/>
      <c r="AA439" s="1434"/>
      <c r="AB439" s="1434"/>
      <c r="AC439" s="1434"/>
      <c r="AD439" s="1434"/>
      <c r="AE439" s="1434"/>
      <c r="AF439" s="1435"/>
      <c r="AG439" s="1476">
        <v>174</v>
      </c>
      <c r="AH439" s="1476"/>
      <c r="AI439" s="1476"/>
      <c r="AJ439" s="1476"/>
    </row>
    <row r="440" spans="1:110" ht="12.95" customHeight="1">
      <c r="D440" s="1433" t="s">
        <v>1057</v>
      </c>
      <c r="E440" s="1434"/>
      <c r="F440" s="1434"/>
      <c r="G440" s="1434"/>
      <c r="H440" s="1434"/>
      <c r="I440" s="1434"/>
      <c r="J440" s="1434"/>
      <c r="K440" s="1434"/>
      <c r="L440" s="1434"/>
      <c r="M440" s="1434"/>
      <c r="N440" s="1434"/>
      <c r="O440" s="1434"/>
      <c r="P440" s="1434"/>
      <c r="Q440" s="1434"/>
      <c r="R440" s="1434"/>
      <c r="S440" s="1434"/>
      <c r="T440" s="1434"/>
      <c r="U440" s="1434"/>
      <c r="V440" s="1434"/>
      <c r="W440" s="1434"/>
      <c r="X440" s="1434"/>
      <c r="Y440" s="1434"/>
      <c r="Z440" s="1434"/>
      <c r="AA440" s="1434"/>
      <c r="AB440" s="1434"/>
      <c r="AC440" s="1434"/>
      <c r="AD440" s="1434"/>
      <c r="AE440" s="1434"/>
      <c r="AF440" s="1435"/>
      <c r="AG440" s="1476">
        <v>174</v>
      </c>
      <c r="AH440" s="1476"/>
      <c r="AI440" s="1476"/>
      <c r="AJ440" s="1476"/>
    </row>
    <row r="441" spans="1:110" ht="12.95" customHeight="1">
      <c r="D441" s="1433" t="s">
        <v>1059</v>
      </c>
      <c r="E441" s="1434"/>
      <c r="F441" s="1434"/>
      <c r="G441" s="1434"/>
      <c r="H441" s="1434"/>
      <c r="I441" s="1434"/>
      <c r="J441" s="1434"/>
      <c r="K441" s="1434"/>
      <c r="L441" s="1434"/>
      <c r="M441" s="1434"/>
      <c r="N441" s="1434"/>
      <c r="O441" s="1434"/>
      <c r="P441" s="1434"/>
      <c r="Q441" s="1434"/>
      <c r="R441" s="1434"/>
      <c r="S441" s="1434"/>
      <c r="T441" s="1434"/>
      <c r="U441" s="1434"/>
      <c r="V441" s="1434"/>
      <c r="W441" s="1434"/>
      <c r="X441" s="1434"/>
      <c r="Y441" s="1434"/>
      <c r="Z441" s="1434"/>
      <c r="AA441" s="1434"/>
      <c r="AB441" s="1434"/>
      <c r="AC441" s="1434"/>
      <c r="AD441" s="1434"/>
      <c r="AE441" s="1434"/>
      <c r="AF441" s="1435"/>
      <c r="AG441" s="1463">
        <f>IF(ISERROR(AG440/AG439),"",AG440/AG439)</f>
        <v>1</v>
      </c>
      <c r="AH441" s="1463"/>
      <c r="AI441" s="1463"/>
      <c r="AJ441" s="1463"/>
    </row>
    <row r="442" spans="1:110" ht="12.95" customHeight="1">
      <c r="D442" s="1433" t="s">
        <v>1058</v>
      </c>
      <c r="E442" s="1434"/>
      <c r="F442" s="1434"/>
      <c r="G442" s="1434"/>
      <c r="H442" s="1434"/>
      <c r="I442" s="1434"/>
      <c r="J442" s="1434"/>
      <c r="K442" s="1434"/>
      <c r="L442" s="1434"/>
      <c r="M442" s="1434"/>
      <c r="N442" s="1434"/>
      <c r="O442" s="1434"/>
      <c r="P442" s="1434"/>
      <c r="Q442" s="1434"/>
      <c r="R442" s="1434"/>
      <c r="S442" s="1434"/>
      <c r="T442" s="1434"/>
      <c r="U442" s="1434"/>
      <c r="V442" s="1434"/>
      <c r="W442" s="1434"/>
      <c r="X442" s="1434"/>
      <c r="Y442" s="1434"/>
      <c r="Z442" s="1434"/>
      <c r="AA442" s="1434"/>
      <c r="AB442" s="1434"/>
      <c r="AC442" s="1434"/>
      <c r="AD442" s="1434"/>
      <c r="AE442" s="1434"/>
      <c r="AF442" s="1435"/>
      <c r="AG442" s="1432">
        <v>133800</v>
      </c>
      <c r="AH442" s="1432"/>
      <c r="AI442" s="1432"/>
      <c r="AJ442" s="1432"/>
    </row>
    <row r="443" spans="1:110" ht="12.95" customHeight="1">
      <c r="D443" s="1433" t="s">
        <v>1060</v>
      </c>
      <c r="E443" s="1434"/>
      <c r="F443" s="1434"/>
      <c r="G443" s="1434"/>
      <c r="H443" s="1434"/>
      <c r="I443" s="1434"/>
      <c r="J443" s="1434"/>
      <c r="K443" s="1434"/>
      <c r="L443" s="1434"/>
      <c r="M443" s="1434"/>
      <c r="N443" s="1434"/>
      <c r="O443" s="1434"/>
      <c r="P443" s="1434"/>
      <c r="Q443" s="1434"/>
      <c r="R443" s="1434"/>
      <c r="S443" s="1434"/>
      <c r="T443" s="1434"/>
      <c r="U443" s="1434"/>
      <c r="V443" s="1434"/>
      <c r="W443" s="1434"/>
      <c r="X443" s="1434"/>
      <c r="Y443" s="1434"/>
      <c r="Z443" s="1434"/>
      <c r="AA443" s="1434"/>
      <c r="AB443" s="1434"/>
      <c r="AC443" s="1434"/>
      <c r="AD443" s="1434"/>
      <c r="AE443" s="1434"/>
      <c r="AF443" s="1435"/>
      <c r="AG443" s="1432">
        <v>133800</v>
      </c>
      <c r="AH443" s="1432"/>
      <c r="AI443" s="1432"/>
      <c r="AJ443" s="1432"/>
    </row>
    <row r="444" spans="1:110" ht="12.95" customHeight="1">
      <c r="D444" s="1433" t="s">
        <v>1061</v>
      </c>
      <c r="E444" s="1434"/>
      <c r="F444" s="1434"/>
      <c r="G444" s="1434"/>
      <c r="H444" s="1434"/>
      <c r="I444" s="1434"/>
      <c r="J444" s="1434"/>
      <c r="K444" s="1434"/>
      <c r="L444" s="1434"/>
      <c r="M444" s="1434"/>
      <c r="N444" s="1434"/>
      <c r="O444" s="1434"/>
      <c r="P444" s="1434"/>
      <c r="Q444" s="1434"/>
      <c r="R444" s="1434"/>
      <c r="S444" s="1434"/>
      <c r="T444" s="1434"/>
      <c r="U444" s="1434"/>
      <c r="V444" s="1434"/>
      <c r="W444" s="1434"/>
      <c r="X444" s="1434"/>
      <c r="Y444" s="1434"/>
      <c r="Z444" s="1434"/>
      <c r="AA444" s="1434"/>
      <c r="AB444" s="1434"/>
      <c r="AC444" s="1434"/>
      <c r="AD444" s="1434"/>
      <c r="AE444" s="1434"/>
      <c r="AF444" s="1435"/>
      <c r="AG444" s="1463">
        <f>IF(ISERROR(AG443/AG442),"",AG443/AG442)</f>
        <v>1</v>
      </c>
      <c r="AH444" s="1463"/>
      <c r="AI444" s="1463"/>
      <c r="AJ444" s="1463"/>
    </row>
    <row r="445" spans="1:110" ht="12.95" customHeight="1">
      <c r="D445" s="1433" t="s">
        <v>1062</v>
      </c>
      <c r="E445" s="1434"/>
      <c r="F445" s="1434"/>
      <c r="G445" s="1434"/>
      <c r="H445" s="1434"/>
      <c r="I445" s="1434"/>
      <c r="J445" s="1434"/>
      <c r="K445" s="1434"/>
      <c r="L445" s="1434"/>
      <c r="M445" s="1434"/>
      <c r="N445" s="1434"/>
      <c r="O445" s="1434"/>
      <c r="P445" s="1434"/>
      <c r="Q445" s="1434"/>
      <c r="R445" s="1434"/>
      <c r="S445" s="1434"/>
      <c r="T445" s="1434"/>
      <c r="U445" s="1434"/>
      <c r="V445" s="1434"/>
      <c r="W445" s="1434"/>
      <c r="X445" s="1434"/>
      <c r="Y445" s="1434"/>
      <c r="Z445" s="1434"/>
      <c r="AA445" s="1434"/>
      <c r="AB445" s="1434"/>
      <c r="AC445" s="1434"/>
      <c r="AD445" s="1434"/>
      <c r="AE445" s="1434"/>
      <c r="AF445" s="1435"/>
      <c r="AG445" s="1463">
        <f>MIN(IF(AG441&gt;AG444,AG444,AG441),1)</f>
        <v>1</v>
      </c>
      <c r="AH445" s="1463"/>
      <c r="AI445" s="1463"/>
      <c r="AJ445" s="1463"/>
    </row>
    <row r="446" spans="1:110" ht="12.95" customHeight="1">
      <c r="D446" s="1433" t="s">
        <v>2405</v>
      </c>
      <c r="E446" s="1449"/>
      <c r="F446" s="1449"/>
      <c r="G446" s="1449"/>
      <c r="H446" s="1449"/>
      <c r="I446" s="1449"/>
      <c r="J446" s="1449"/>
      <c r="K446" s="1449"/>
      <c r="L446" s="1449"/>
      <c r="M446" s="1449"/>
      <c r="N446" s="1449"/>
      <c r="O446" s="1449"/>
      <c r="P446" s="1449"/>
      <c r="Q446" s="1449"/>
      <c r="R446" s="1449"/>
      <c r="S446" s="1449"/>
      <c r="T446" s="1449"/>
      <c r="U446" s="1449"/>
      <c r="V446" s="1449"/>
      <c r="W446" s="1449"/>
      <c r="X446" s="1449"/>
      <c r="Y446" s="1449"/>
      <c r="Z446" s="1449"/>
      <c r="AA446" s="1449"/>
      <c r="AB446" s="1449"/>
      <c r="AC446" s="1449"/>
      <c r="AD446" s="1449"/>
      <c r="AE446" s="1449"/>
      <c r="AF446" s="1450"/>
      <c r="AG446" s="1432">
        <v>1800</v>
      </c>
      <c r="AH446" s="1432"/>
      <c r="AI446" s="1432"/>
      <c r="AJ446" s="143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00" t="s">
        <v>578</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32">
        <v>0</v>
      </c>
      <c r="AH447" s="1432"/>
      <c r="AI447" s="1432"/>
      <c r="AJ447" s="143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3" t="s">
        <v>1312</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32">
        <v>3488</v>
      </c>
      <c r="AH448" s="1432"/>
      <c r="AI448" s="1432"/>
      <c r="AJ448" s="143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3" t="s">
        <v>1063</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32">
        <v>0</v>
      </c>
      <c r="AH449" s="1432"/>
      <c r="AI449" s="1432"/>
      <c r="AJ449" s="143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1064</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508">
        <f>AG442+AG446+AG448+AG449</f>
        <v>139088</v>
      </c>
      <c r="AH450" s="1508"/>
      <c r="AI450" s="1508"/>
      <c r="AJ450" s="150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1313</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8">
        <f>IF(AG437=0,"",'Sources and Uses Budget'!B105/Application!AG437)</f>
        <v>385508.67613636365</v>
      </c>
      <c r="AD454" s="1458"/>
      <c r="AE454" s="1458"/>
      <c r="AF454" s="145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8">
        <f>IF(AG437=0,"",'Sources and Uses Budget'!C105/Application!AG437)</f>
        <v>385508.67613636365</v>
      </c>
      <c r="AD455" s="1458"/>
      <c r="AE455" s="1458"/>
      <c r="AF455" s="145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8">
        <f>IF(AG437=0,"",('Sources and Uses Budget'!$S$107+'Sources and Uses Budget'!$T$107)/Application!AG437)</f>
        <v>362763.09090909088</v>
      </c>
      <c r="AD456" s="1458"/>
      <c r="AE456" s="1458"/>
      <c r="AF456" s="145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77" t="str">
        <f>IFERROR(IF(AC454&gt;650000,"Please provide a justification of cost per unit in Tab 12 for all projects with per unit costs of greater than $650,000.",""),"")</f>
        <v/>
      </c>
      <c r="G457" s="1577"/>
      <c r="H457" s="1577"/>
      <c r="I457" s="1577"/>
      <c r="J457" s="1577"/>
      <c r="K457" s="1577"/>
      <c r="L457" s="1577"/>
      <c r="M457" s="1577"/>
      <c r="N457" s="1577"/>
      <c r="O457" s="1577"/>
      <c r="P457" s="1577"/>
      <c r="Q457" s="1577"/>
      <c r="R457" s="1577"/>
      <c r="S457" s="1577"/>
      <c r="T457" s="1577"/>
      <c r="U457" s="1577"/>
      <c r="V457" s="1577"/>
      <c r="W457" s="1577"/>
      <c r="X457" s="1577"/>
      <c r="Y457" s="1577"/>
      <c r="Z457" s="1577"/>
      <c r="AA457" s="1577"/>
      <c r="AB457" s="157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77"/>
      <c r="G458" s="1577"/>
      <c r="H458" s="1577"/>
      <c r="I458" s="1577"/>
      <c r="J458" s="1577"/>
      <c r="K458" s="1577"/>
      <c r="L458" s="1577"/>
      <c r="M458" s="1577"/>
      <c r="N458" s="1577"/>
      <c r="O458" s="1577"/>
      <c r="P458" s="1577"/>
      <c r="Q458" s="1577"/>
      <c r="R458" s="1577"/>
      <c r="S458" s="1577"/>
      <c r="T458" s="1577"/>
      <c r="U458" s="1577"/>
      <c r="V458" s="1577"/>
      <c r="W458" s="1577"/>
      <c r="X458" s="1577"/>
      <c r="Y458" s="1577"/>
      <c r="Z458" s="1577"/>
      <c r="AA458" s="1577"/>
      <c r="AB458" s="157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2" t="s">
        <v>2419</v>
      </c>
      <c r="E465" s="1445"/>
      <c r="F465" s="1445"/>
      <c r="G465" s="1445"/>
      <c r="H465" s="1445"/>
      <c r="I465" s="1445"/>
      <c r="J465" s="1445"/>
      <c r="K465" s="1445"/>
      <c r="L465" s="1445"/>
      <c r="M465" s="1445"/>
      <c r="N465" s="1445"/>
      <c r="O465" s="1445"/>
      <c r="P465" s="1445"/>
      <c r="Q465" s="1445"/>
      <c r="R465" s="1445"/>
      <c r="S465" s="1445"/>
      <c r="T465" s="1445"/>
      <c r="U465" s="1445"/>
      <c r="V465" s="1446"/>
      <c r="W465" s="1415">
        <v>0</v>
      </c>
      <c r="X465" s="1416"/>
      <c r="Y465" s="141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75" t="s">
        <v>703</v>
      </c>
      <c r="E466" s="1445"/>
      <c r="F466" s="1445"/>
      <c r="G466" s="1445"/>
      <c r="H466" s="1445"/>
      <c r="I466" s="1445"/>
      <c r="J466" s="1445"/>
      <c r="K466" s="1445"/>
      <c r="L466" s="1445"/>
      <c r="M466" s="1445"/>
      <c r="N466" s="1445"/>
      <c r="O466" s="1445"/>
      <c r="P466" s="1445"/>
      <c r="Q466" s="1445"/>
      <c r="R466" s="1445"/>
      <c r="S466" s="1445"/>
      <c r="T466" s="1445"/>
      <c r="U466" s="1445"/>
      <c r="V466" s="1446"/>
      <c r="W466" s="1415">
        <v>0</v>
      </c>
      <c r="X466" s="1416"/>
      <c r="Y466" s="141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75" t="s">
        <v>704</v>
      </c>
      <c r="E467" s="1445"/>
      <c r="F467" s="1445"/>
      <c r="G467" s="1445"/>
      <c r="H467" s="1445"/>
      <c r="I467" s="1445"/>
      <c r="J467" s="1445"/>
      <c r="K467" s="1445"/>
      <c r="L467" s="1445"/>
      <c r="M467" s="1445"/>
      <c r="N467" s="1445"/>
      <c r="O467" s="1445"/>
      <c r="P467" s="1445"/>
      <c r="Q467" s="1445"/>
      <c r="R467" s="1445"/>
      <c r="S467" s="1445"/>
      <c r="T467" s="1445"/>
      <c r="U467" s="1445"/>
      <c r="V467" s="1446"/>
      <c r="W467" s="1415">
        <v>0</v>
      </c>
      <c r="X467" s="1416"/>
      <c r="Y467" s="141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75" t="s">
        <v>705</v>
      </c>
      <c r="E468" s="1445"/>
      <c r="F468" s="1445"/>
      <c r="G468" s="1445"/>
      <c r="H468" s="1445"/>
      <c r="I468" s="1445"/>
      <c r="J468" s="1445"/>
      <c r="K468" s="1445"/>
      <c r="L468" s="1445"/>
      <c r="M468" s="1445"/>
      <c r="N468" s="1445"/>
      <c r="O468" s="1445"/>
      <c r="P468" s="1445"/>
      <c r="Q468" s="1445"/>
      <c r="R468" s="1445"/>
      <c r="S468" s="1445"/>
      <c r="T468" s="1445"/>
      <c r="U468" s="1445"/>
      <c r="V468" s="1446"/>
      <c r="W468" s="1415">
        <v>0</v>
      </c>
      <c r="X468" s="1416"/>
      <c r="Y468" s="141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75" t="s">
        <v>894</v>
      </c>
      <c r="E469" s="1445"/>
      <c r="F469" s="1445"/>
      <c r="G469" s="1445"/>
      <c r="H469" s="1445"/>
      <c r="I469" s="1445"/>
      <c r="J469" s="1445"/>
      <c r="K469" s="1445"/>
      <c r="L469" s="1445"/>
      <c r="M469" s="1445"/>
      <c r="N469" s="1445"/>
      <c r="O469" s="1445"/>
      <c r="P469" s="1445"/>
      <c r="Q469" s="1445"/>
      <c r="R469" s="1445"/>
      <c r="S469" s="1445"/>
      <c r="T469" s="1445"/>
      <c r="U469" s="1445"/>
      <c r="V469" s="1446"/>
      <c r="W469" s="1415">
        <v>0</v>
      </c>
      <c r="X469" s="1416"/>
      <c r="Y469" s="141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75" t="s">
        <v>706</v>
      </c>
      <c r="E470" s="1445"/>
      <c r="F470" s="1445"/>
      <c r="G470" s="1445"/>
      <c r="H470" s="1445"/>
      <c r="I470" s="1445"/>
      <c r="J470" s="1445"/>
      <c r="K470" s="1445"/>
      <c r="L470" s="1445"/>
      <c r="M470" s="1445"/>
      <c r="N470" s="1445"/>
      <c r="O470" s="1445"/>
      <c r="P470" s="1445"/>
      <c r="Q470" s="1445"/>
      <c r="R470" s="1445"/>
      <c r="S470" s="1445"/>
      <c r="T470" s="1445"/>
      <c r="U470" s="1445"/>
      <c r="V470" s="1446"/>
      <c r="W470" s="1415">
        <v>0</v>
      </c>
      <c r="X470" s="1416"/>
      <c r="Y470" s="141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75" t="s">
        <v>1037</v>
      </c>
      <c r="E471" s="1445"/>
      <c r="F471" s="1445"/>
      <c r="G471" s="1445"/>
      <c r="H471" s="1445"/>
      <c r="I471" s="1445"/>
      <c r="J471" s="1445"/>
      <c r="K471" s="1445"/>
      <c r="L471" s="1445"/>
      <c r="M471" s="1445"/>
      <c r="N471" s="1445"/>
      <c r="O471" s="1445"/>
      <c r="P471" s="1445"/>
      <c r="Q471" s="1445"/>
      <c r="R471" s="1445"/>
      <c r="S471" s="1445"/>
      <c r="T471" s="1445"/>
      <c r="U471" s="1445"/>
      <c r="V471" s="1446"/>
      <c r="W471" s="1415">
        <v>0</v>
      </c>
      <c r="X471" s="1416"/>
      <c r="Y471" s="141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2" t="s">
        <v>2556</v>
      </c>
      <c r="E472" s="1413"/>
      <c r="F472" s="1413"/>
      <c r="G472" s="1413"/>
      <c r="H472" s="1413"/>
      <c r="I472" s="1413"/>
      <c r="J472" s="1413"/>
      <c r="K472" s="1413"/>
      <c r="L472" s="1413"/>
      <c r="M472" s="1413"/>
      <c r="N472" s="1413"/>
      <c r="O472" s="1413"/>
      <c r="P472" s="1413"/>
      <c r="Q472" s="1413"/>
      <c r="R472" s="1413"/>
      <c r="S472" s="1413"/>
      <c r="T472" s="1413"/>
      <c r="U472" s="1413"/>
      <c r="V472" s="1414"/>
      <c r="W472" s="1415">
        <v>0</v>
      </c>
      <c r="X472" s="1416"/>
      <c r="Y472" s="141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2" t="s">
        <v>1768</v>
      </c>
      <c r="E473" s="1445"/>
      <c r="F473" s="1445"/>
      <c r="G473" s="1445"/>
      <c r="H473" s="1445"/>
      <c r="I473" s="1445"/>
      <c r="J473" s="1445"/>
      <c r="K473" s="1445"/>
      <c r="L473" s="1445"/>
      <c r="M473" s="1445"/>
      <c r="N473" s="1445"/>
      <c r="O473" s="1445"/>
      <c r="P473" s="1445"/>
      <c r="Q473" s="1445"/>
      <c r="R473" s="1445"/>
      <c r="S473" s="1445"/>
      <c r="T473" s="1445"/>
      <c r="U473" s="1445"/>
      <c r="V473" s="1446"/>
      <c r="W473" s="1415">
        <v>27</v>
      </c>
      <c r="X473" s="1416"/>
      <c r="Y473" s="141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05"/>
      <c r="H474" s="1506"/>
      <c r="I474" s="1506"/>
      <c r="J474" s="1506"/>
      <c r="K474" s="1506"/>
      <c r="L474" s="1506"/>
      <c r="M474" s="1506"/>
      <c r="N474" s="1506"/>
      <c r="O474" s="1506"/>
      <c r="P474" s="1506"/>
      <c r="Q474" s="1506"/>
      <c r="R474" s="1506"/>
      <c r="S474" s="1506"/>
      <c r="T474" s="1506"/>
      <c r="U474" s="1506"/>
      <c r="V474" s="1507"/>
      <c r="W474" s="1415">
        <v>0</v>
      </c>
      <c r="X474" s="1416"/>
      <c r="Y474" s="141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3" t="s">
        <v>820</v>
      </c>
      <c r="B480" s="1663"/>
      <c r="C480" s="1663"/>
      <c r="D480" s="1663"/>
      <c r="E480" s="1663"/>
      <c r="F480" s="1663"/>
      <c r="G480" s="1663"/>
      <c r="H480" s="1663"/>
      <c r="I480" s="1663"/>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663"/>
      <c r="AD480" s="1663"/>
      <c r="AE480" s="1663"/>
      <c r="AF480" s="1663"/>
      <c r="AG480" s="1663"/>
      <c r="AH480" s="1663"/>
      <c r="AI480" s="1663"/>
      <c r="AJ480" s="1663"/>
      <c r="AK480" s="1663"/>
      <c r="AL480" s="1663"/>
      <c r="AM480" s="1663"/>
      <c r="AN480" s="1663"/>
      <c r="AO480" s="1663"/>
      <c r="AP480" s="1663"/>
      <c r="AQ480" s="1663"/>
      <c r="AR480" s="1663"/>
      <c r="AS480" s="1663"/>
      <c r="AT480" s="166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3"/>
      <c r="B481" s="1663"/>
      <c r="C481" s="1663"/>
      <c r="D481" s="1663"/>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663"/>
      <c r="AD481" s="1663"/>
      <c r="AE481" s="1663"/>
      <c r="AF481" s="1663"/>
      <c r="AG481" s="1663"/>
      <c r="AH481" s="1663"/>
      <c r="AI481" s="1663"/>
      <c r="AJ481" s="1663"/>
      <c r="AK481" s="1663"/>
      <c r="AL481" s="1663"/>
      <c r="AM481" s="1663"/>
      <c r="AN481" s="1663"/>
      <c r="AO481" s="1663"/>
      <c r="AP481" s="1663"/>
      <c r="AQ481" s="1663"/>
      <c r="AR481" s="1663"/>
      <c r="AS481" s="1663"/>
      <c r="AT481" s="166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60" t="s">
        <v>394</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87" t="s">
        <v>2703</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465"/>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87" t="s">
        <v>2704</v>
      </c>
      <c r="R487" s="1368"/>
      <c r="S487" s="1368"/>
      <c r="T487" s="1368"/>
      <c r="U487" s="1368"/>
      <c r="V487" s="1368"/>
      <c r="W487" s="1368"/>
      <c r="X487" s="1368"/>
      <c r="Y487" s="1368"/>
      <c r="Z487" s="1368"/>
      <c r="AA487" s="1368"/>
      <c r="AB487" s="1368"/>
      <c r="AC487" s="1368"/>
      <c r="AD487" s="1368"/>
      <c r="AE487" s="1368"/>
      <c r="AF487" s="1368"/>
      <c r="AG487" s="1368"/>
      <c r="AH487" s="1368"/>
      <c r="AI487" s="1368"/>
      <c r="AJ487" s="1368"/>
      <c r="AK487" s="146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87" t="s">
        <v>2704</v>
      </c>
      <c r="R488" s="1368"/>
      <c r="S488" s="1368"/>
      <c r="T488" s="1368"/>
      <c r="U488" s="1368"/>
      <c r="V488" s="1368"/>
      <c r="W488" s="1368"/>
      <c r="X488" s="1368"/>
      <c r="Y488" s="1368"/>
      <c r="Z488" s="1368"/>
      <c r="AA488" s="1368"/>
      <c r="AB488" s="1368"/>
      <c r="AC488" s="1368"/>
      <c r="AD488" s="1368"/>
      <c r="AE488" s="1368"/>
      <c r="AF488" s="1368"/>
      <c r="AG488" s="1368"/>
      <c r="AH488" s="1368"/>
      <c r="AI488" s="1368"/>
      <c r="AJ488" s="1368"/>
      <c r="AK488" s="146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7" t="s">
        <v>398</v>
      </c>
      <c r="C489" s="1478"/>
      <c r="D489" s="1478"/>
      <c r="E489" s="1478"/>
      <c r="F489" s="1478"/>
      <c r="G489" s="1478"/>
      <c r="H489" s="1478"/>
      <c r="I489" s="1478"/>
      <c r="J489" s="1478"/>
      <c r="K489" s="1478"/>
      <c r="L489" s="1478"/>
      <c r="M489" s="1478"/>
      <c r="N489" s="1478"/>
      <c r="O489" s="1478"/>
      <c r="P489" s="1479"/>
      <c r="Q489" s="1483" t="s">
        <v>678</v>
      </c>
      <c r="R489" s="1484"/>
      <c r="S489" s="1681" t="s">
        <v>166</v>
      </c>
      <c r="T489" s="1682"/>
      <c r="U489" s="1682"/>
      <c r="V489" s="1682"/>
      <c r="W489" s="1682"/>
      <c r="X489" s="1682"/>
      <c r="Y489" s="1682"/>
      <c r="Z489" s="1682"/>
      <c r="AA489" s="1682"/>
      <c r="AB489" s="1682"/>
      <c r="AC489" s="1682"/>
      <c r="AD489" s="1682"/>
      <c r="AE489" s="1682"/>
      <c r="AF489" s="1682"/>
      <c r="AG489" s="1682"/>
      <c r="AH489" s="1682"/>
      <c r="AI489" s="1682"/>
      <c r="AJ489" s="1682"/>
      <c r="AK489" s="168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80"/>
      <c r="C490" s="1481"/>
      <c r="D490" s="1481"/>
      <c r="E490" s="1481"/>
      <c r="F490" s="1481"/>
      <c r="G490" s="1481"/>
      <c r="H490" s="1481"/>
      <c r="I490" s="1481"/>
      <c r="J490" s="1481"/>
      <c r="K490" s="1481"/>
      <c r="L490" s="1481"/>
      <c r="M490" s="1481"/>
      <c r="N490" s="1481"/>
      <c r="O490" s="1481"/>
      <c r="P490" s="1482"/>
      <c r="Q490" s="1485"/>
      <c r="R490" s="1486"/>
      <c r="S490" s="1684"/>
      <c r="T490" s="1499"/>
      <c r="U490" s="1499"/>
      <c r="V490" s="1499"/>
      <c r="W490" s="1499"/>
      <c r="X490" s="1499"/>
      <c r="Y490" s="1499"/>
      <c r="Z490" s="1499"/>
      <c r="AA490" s="1499"/>
      <c r="AB490" s="1499"/>
      <c r="AC490" s="1499"/>
      <c r="AD490" s="1499"/>
      <c r="AE490" s="1499"/>
      <c r="AF490" s="1499"/>
      <c r="AG490" s="1499"/>
      <c r="AH490" s="1499"/>
      <c r="AI490" s="1499"/>
      <c r="AJ490" s="1499"/>
      <c r="AK490" s="168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39" t="s">
        <v>554</v>
      </c>
      <c r="R491" s="1440"/>
      <c r="S491" s="1440"/>
      <c r="T491" s="1440"/>
      <c r="U491" s="1440"/>
      <c r="V491" s="1440"/>
      <c r="W491" s="1440"/>
      <c r="X491" s="1440"/>
      <c r="Y491" s="1440"/>
      <c r="Z491" s="1440"/>
      <c r="AA491" s="1440"/>
      <c r="AB491" s="1440"/>
      <c r="AC491" s="1440"/>
      <c r="AD491" s="1440"/>
      <c r="AE491" s="1440"/>
      <c r="AF491" s="1440"/>
      <c r="AG491" s="1440"/>
      <c r="AH491" s="1440"/>
      <c r="AI491" s="1440"/>
      <c r="AJ491" s="1440"/>
      <c r="AK491" s="144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4" t="s">
        <v>2705</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46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8">
        <v>4.2361111111111113E-2</v>
      </c>
      <c r="R493" s="1368"/>
      <c r="S493" s="1368"/>
      <c r="T493" s="1368"/>
      <c r="U493" s="1368"/>
      <c r="V493" s="1368"/>
      <c r="W493" s="1368"/>
      <c r="X493" s="1368"/>
      <c r="Y493" s="1368"/>
      <c r="Z493" s="1368"/>
      <c r="AA493" s="1368"/>
      <c r="AB493" s="1368"/>
      <c r="AC493" s="1368"/>
      <c r="AD493" s="1368"/>
      <c r="AE493" s="1368"/>
      <c r="AF493" s="1368"/>
      <c r="AG493" s="1368"/>
      <c r="AH493" s="1368"/>
      <c r="AI493" s="1368"/>
      <c r="AJ493" s="1368"/>
      <c r="AK493" s="146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87">
        <v>261</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42"/>
      <c r="N495" s="1443"/>
      <c r="O495" s="1443"/>
      <c r="P495" s="1444"/>
      <c r="Q495" s="121" t="s">
        <v>1785</v>
      </c>
      <c r="R495" s="5"/>
      <c r="S495" s="5"/>
      <c r="T495" s="5"/>
      <c r="U495" s="5"/>
      <c r="V495" s="5"/>
      <c r="W495" s="5"/>
      <c r="X495" s="5"/>
      <c r="Y495" s="5"/>
      <c r="Z495" s="5"/>
      <c r="AA495" s="5"/>
      <c r="AB495" s="5"/>
      <c r="AC495" s="5"/>
      <c r="AD495" s="5"/>
      <c r="AE495" s="5"/>
      <c r="AF495" s="5"/>
      <c r="AG495" s="5"/>
      <c r="AH495" s="1442">
        <v>261</v>
      </c>
      <c r="AI495" s="1443"/>
      <c r="AJ495" s="1443"/>
      <c r="AK495" s="144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0" t="s">
        <v>402</v>
      </c>
      <c r="AD499" s="1461"/>
      <c r="AE499" s="1461"/>
      <c r="AF499" s="1461"/>
      <c r="AG499" s="1461"/>
      <c r="AH499" s="1461"/>
      <c r="AI499" s="1461"/>
      <c r="AJ499" s="1461"/>
      <c r="AK499" s="146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0" t="s">
        <v>403</v>
      </c>
      <c r="AD500" s="1461"/>
      <c r="AE500" s="1461"/>
      <c r="AF500" s="1461"/>
      <c r="AG500" s="50" t="s">
        <v>404</v>
      </c>
      <c r="AH500" s="1461" t="s">
        <v>405</v>
      </c>
      <c r="AI500" s="1461"/>
      <c r="AJ500" s="1461"/>
      <c r="AK500" s="146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3" t="s">
        <v>406</v>
      </c>
      <c r="C501" s="1404"/>
      <c r="D501" s="1404"/>
      <c r="E501" s="1404"/>
      <c r="F501" s="1404"/>
      <c r="G501" s="1404"/>
      <c r="H501" s="1405"/>
      <c r="I501" s="42" t="s">
        <v>407</v>
      </c>
      <c r="J501" s="42"/>
      <c r="K501" s="42"/>
      <c r="L501" s="42"/>
      <c r="M501" s="42"/>
      <c r="N501" s="42"/>
      <c r="O501" s="42"/>
      <c r="P501" s="42"/>
      <c r="Q501" s="42"/>
      <c r="R501" s="42"/>
      <c r="S501" s="42"/>
      <c r="T501" s="42"/>
      <c r="U501" s="42"/>
      <c r="V501" s="42"/>
      <c r="W501" s="42"/>
      <c r="AC501" s="1447">
        <v>5</v>
      </c>
      <c r="AD501" s="1448"/>
      <c r="AE501" s="1448"/>
      <c r="AF501" s="1448"/>
      <c r="AG501" s="13" t="s">
        <v>404</v>
      </c>
      <c r="AH501" s="1423">
        <v>2010</v>
      </c>
      <c r="AI501" s="1423"/>
      <c r="AJ501" s="1423"/>
      <c r="AK501" s="142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6"/>
      <c r="C502" s="1407"/>
      <c r="D502" s="1407"/>
      <c r="E502" s="1407"/>
      <c r="F502" s="1407"/>
      <c r="G502" s="1407"/>
      <c r="H502" s="1408"/>
      <c r="I502" s="48" t="s">
        <v>408</v>
      </c>
      <c r="J502" s="48"/>
      <c r="K502" s="48"/>
      <c r="L502" s="48"/>
      <c r="M502" s="48"/>
      <c r="N502" s="48"/>
      <c r="O502" s="48"/>
      <c r="P502" s="48"/>
      <c r="Q502" s="48"/>
      <c r="R502" s="48"/>
      <c r="S502" s="48"/>
      <c r="T502" s="48"/>
      <c r="U502" s="48"/>
      <c r="V502" s="48"/>
      <c r="W502" s="48"/>
      <c r="X502" s="48"/>
      <c r="Y502" s="48"/>
      <c r="Z502" s="48"/>
      <c r="AA502" s="48"/>
      <c r="AB502" s="48"/>
      <c r="AC502" s="1447">
        <v>8</v>
      </c>
      <c r="AD502" s="1448"/>
      <c r="AE502" s="1448"/>
      <c r="AF502" s="1448"/>
      <c r="AG502" s="38" t="s">
        <v>404</v>
      </c>
      <c r="AH502" s="1423">
        <v>2024</v>
      </c>
      <c r="AI502" s="1423"/>
      <c r="AJ502" s="1423"/>
      <c r="AK502" s="142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3" t="s">
        <v>409</v>
      </c>
      <c r="C503" s="1404"/>
      <c r="D503" s="1404"/>
      <c r="E503" s="1404"/>
      <c r="F503" s="1404"/>
      <c r="G503" s="1404"/>
      <c r="H503" s="1405"/>
      <c r="I503" s="42" t="s">
        <v>410</v>
      </c>
      <c r="J503" s="42"/>
      <c r="K503" s="42"/>
      <c r="L503" s="42"/>
      <c r="M503" s="42"/>
      <c r="N503" s="42"/>
      <c r="O503" s="42"/>
      <c r="P503" s="42"/>
      <c r="Q503" s="42"/>
      <c r="R503" s="42"/>
      <c r="S503" s="42"/>
      <c r="T503" s="42"/>
      <c r="U503" s="42"/>
      <c r="V503" s="42"/>
      <c r="W503" s="42"/>
      <c r="AC503" s="1447" t="s">
        <v>600</v>
      </c>
      <c r="AD503" s="1448"/>
      <c r="AE503" s="1448"/>
      <c r="AF503" s="1448"/>
      <c r="AG503" s="13" t="s">
        <v>404</v>
      </c>
      <c r="AH503" s="1423"/>
      <c r="AI503" s="1423"/>
      <c r="AJ503" s="1423"/>
      <c r="AK503" s="142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6"/>
      <c r="C504" s="1407"/>
      <c r="D504" s="1407"/>
      <c r="E504" s="1407"/>
      <c r="F504" s="1407"/>
      <c r="G504" s="1407"/>
      <c r="H504" s="1408"/>
      <c r="I504" t="s">
        <v>411</v>
      </c>
      <c r="AC504" s="1447" t="s">
        <v>600</v>
      </c>
      <c r="AD504" s="1448"/>
      <c r="AE504" s="1448"/>
      <c r="AF504" s="1448"/>
      <c r="AG504" s="13" t="s">
        <v>404</v>
      </c>
      <c r="AH504" s="1423"/>
      <c r="AI504" s="1423"/>
      <c r="AJ504" s="1423"/>
      <c r="AK504" s="142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6"/>
      <c r="C505" s="1407"/>
      <c r="D505" s="1407"/>
      <c r="E505" s="1407"/>
      <c r="F505" s="1407"/>
      <c r="G505" s="1407"/>
      <c r="H505" s="1408"/>
      <c r="I505" t="s">
        <v>412</v>
      </c>
      <c r="AC505" s="1447" t="s">
        <v>600</v>
      </c>
      <c r="AD505" s="1448"/>
      <c r="AE505" s="1448"/>
      <c r="AF505" s="1448"/>
      <c r="AG505" s="13" t="s">
        <v>404</v>
      </c>
      <c r="AH505" s="1423"/>
      <c r="AI505" s="1423"/>
      <c r="AJ505" s="1423"/>
      <c r="AK505" s="142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6"/>
      <c r="C506" s="1407"/>
      <c r="D506" s="1407"/>
      <c r="E506" s="1407"/>
      <c r="F506" s="1407"/>
      <c r="G506" s="1407"/>
      <c r="H506" s="1408"/>
      <c r="I506" t="s">
        <v>413</v>
      </c>
      <c r="AC506" s="1447" t="s">
        <v>600</v>
      </c>
      <c r="AD506" s="1448"/>
      <c r="AE506" s="1448"/>
      <c r="AF506" s="1448"/>
      <c r="AG506" s="13" t="s">
        <v>404</v>
      </c>
      <c r="AH506" s="1423"/>
      <c r="AI506" s="1423"/>
      <c r="AJ506" s="1423"/>
      <c r="AK506" s="142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6"/>
      <c r="C507" s="1407"/>
      <c r="D507" s="1407"/>
      <c r="E507" s="1407"/>
      <c r="F507" s="1407"/>
      <c r="G507" s="1407"/>
      <c r="H507" s="1408"/>
      <c r="I507" s="3" t="s">
        <v>414</v>
      </c>
      <c r="AC507" s="1355">
        <v>11</v>
      </c>
      <c r="AD507" s="1356"/>
      <c r="AE507" s="1356"/>
      <c r="AF507" s="1356"/>
      <c r="AG507" s="13" t="s">
        <v>404</v>
      </c>
      <c r="AH507" s="1423">
        <v>2024</v>
      </c>
      <c r="AI507" s="1423"/>
      <c r="AJ507" s="1423"/>
      <c r="AK507" s="142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6"/>
      <c r="C508" s="1407"/>
      <c r="D508" s="1407"/>
      <c r="E508" s="1407"/>
      <c r="F508" s="1407"/>
      <c r="G508" s="1407"/>
      <c r="H508" s="1408"/>
      <c r="I508" s="931" t="s">
        <v>170</v>
      </c>
      <c r="J508" s="48"/>
      <c r="K508" s="48"/>
      <c r="L508" s="1418" t="s">
        <v>335</v>
      </c>
      <c r="M508" s="1419"/>
      <c r="N508" s="1419"/>
      <c r="O508" s="1419"/>
      <c r="P508" s="1419"/>
      <c r="Q508" s="1419"/>
      <c r="R508" s="1419"/>
      <c r="S508" s="1419"/>
      <c r="T508" s="1419"/>
      <c r="U508" s="1419"/>
      <c r="V508" s="1419"/>
      <c r="W508" s="1419"/>
      <c r="X508" s="1419"/>
      <c r="Y508" s="1419"/>
      <c r="Z508" s="1419"/>
      <c r="AA508" s="1419"/>
      <c r="AB508" s="1468"/>
      <c r="AC508" s="1447" t="s">
        <v>600</v>
      </c>
      <c r="AD508" s="1448"/>
      <c r="AE508" s="1448"/>
      <c r="AF508" s="1448"/>
      <c r="AG508" s="38" t="s">
        <v>404</v>
      </c>
      <c r="AH508" s="1423"/>
      <c r="AI508" s="1423"/>
      <c r="AJ508" s="1423"/>
      <c r="AK508" s="142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76" t="s">
        <v>678</v>
      </c>
      <c r="AD509" s="1476"/>
      <c r="AE509" s="1476"/>
      <c r="AF509" s="1476"/>
      <c r="AG509" s="13"/>
      <c r="AH509" s="1305"/>
      <c r="AI509" s="1305"/>
      <c r="AJ509" s="1305"/>
      <c r="AK509" s="145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5"/>
      <c r="AD510" s="1356"/>
      <c r="AE510" s="1356"/>
      <c r="AF510" s="1357"/>
      <c r="AG510" s="13"/>
      <c r="AH510" s="1305"/>
      <c r="AI510" s="1305"/>
      <c r="AJ510" s="1305"/>
      <c r="AK510" s="145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53">
        <v>1</v>
      </c>
      <c r="AD512" s="1454"/>
      <c r="AE512" s="1454"/>
      <c r="AF512" s="1455"/>
      <c r="AG512" s="38"/>
      <c r="AH512" s="1456"/>
      <c r="AI512" s="1456"/>
      <c r="AJ512" s="1456"/>
      <c r="AK512" s="145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9" t="s">
        <v>403</v>
      </c>
      <c r="AD513" s="1490"/>
      <c r="AE513" s="1490"/>
      <c r="AF513" s="1490"/>
      <c r="AG513" s="38" t="s">
        <v>404</v>
      </c>
      <c r="AH513" s="1490" t="s">
        <v>405</v>
      </c>
      <c r="AI513" s="1490"/>
      <c r="AJ513" s="1490"/>
      <c r="AK513" s="1491"/>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3" t="s">
        <v>415</v>
      </c>
      <c r="C514" s="1404"/>
      <c r="D514" s="1404"/>
      <c r="E514" s="1404"/>
      <c r="F514" s="1404"/>
      <c r="G514" s="1404"/>
      <c r="H514" s="1405"/>
      <c r="I514" s="42" t="s">
        <v>416</v>
      </c>
      <c r="J514" s="42"/>
      <c r="K514" s="42"/>
      <c r="L514" s="42"/>
      <c r="M514" s="42"/>
      <c r="N514" s="42"/>
      <c r="O514" s="42"/>
      <c r="P514" s="42"/>
      <c r="Q514" s="42"/>
      <c r="R514" s="42"/>
      <c r="S514" s="42"/>
      <c r="T514" s="42"/>
      <c r="U514" s="42"/>
      <c r="V514" s="42"/>
      <c r="W514" s="42"/>
      <c r="AC514" s="1447">
        <v>1</v>
      </c>
      <c r="AD514" s="1448"/>
      <c r="AE514" s="1448"/>
      <c r="AF514" s="1448"/>
      <c r="AG514" s="13" t="s">
        <v>404</v>
      </c>
      <c r="AH514" s="1423">
        <v>2024</v>
      </c>
      <c r="AI514" s="1423"/>
      <c r="AJ514" s="1423"/>
      <c r="AK514" s="1424"/>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6"/>
      <c r="C515" s="1407"/>
      <c r="D515" s="1407"/>
      <c r="E515" s="1407"/>
      <c r="F515" s="1407"/>
      <c r="G515" s="1407"/>
      <c r="H515" s="1408"/>
      <c r="I515" t="s">
        <v>417</v>
      </c>
      <c r="AC515" s="1447">
        <v>2</v>
      </c>
      <c r="AD515" s="1448"/>
      <c r="AE515" s="1448"/>
      <c r="AF515" s="1448"/>
      <c r="AG515" s="13" t="s">
        <v>404</v>
      </c>
      <c r="AH515" s="1423">
        <v>2024</v>
      </c>
      <c r="AI515" s="1423"/>
      <c r="AJ515" s="1423"/>
      <c r="AK515" s="1424"/>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6"/>
      <c r="C516" s="1407"/>
      <c r="D516" s="1407"/>
      <c r="E516" s="1407"/>
      <c r="F516" s="1407"/>
      <c r="G516" s="1407"/>
      <c r="H516" s="1408"/>
      <c r="I516" s="48" t="s">
        <v>418</v>
      </c>
      <c r="J516" s="48"/>
      <c r="K516" s="48"/>
      <c r="L516" s="48"/>
      <c r="M516" s="48"/>
      <c r="N516" s="48"/>
      <c r="O516" s="48"/>
      <c r="P516" s="48"/>
      <c r="Q516" s="48"/>
      <c r="R516" s="48"/>
      <c r="S516" s="48"/>
      <c r="T516" s="48"/>
      <c r="U516" s="48"/>
      <c r="V516" s="48"/>
      <c r="W516" s="48"/>
      <c r="X516" s="48"/>
      <c r="Y516" s="48"/>
      <c r="Z516" s="48"/>
      <c r="AA516" s="48"/>
      <c r="AB516" s="48"/>
      <c r="AC516" s="1447">
        <v>2</v>
      </c>
      <c r="AD516" s="1448"/>
      <c r="AE516" s="1448"/>
      <c r="AF516" s="1448"/>
      <c r="AG516" s="38" t="s">
        <v>404</v>
      </c>
      <c r="AH516" s="1423">
        <v>2025</v>
      </c>
      <c r="AI516" s="1423"/>
      <c r="AJ516" s="1423"/>
      <c r="AK516" s="1424"/>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3" t="s">
        <v>419</v>
      </c>
      <c r="C517" s="1404"/>
      <c r="D517" s="1404"/>
      <c r="E517" s="1404"/>
      <c r="F517" s="1404"/>
      <c r="G517" s="1404"/>
      <c r="H517" s="1405"/>
      <c r="I517" s="42" t="s">
        <v>416</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404</v>
      </c>
      <c r="AH517" s="1423">
        <v>2024</v>
      </c>
      <c r="AI517" s="1423"/>
      <c r="AJ517" s="1423"/>
      <c r="AK517" s="1424"/>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6"/>
      <c r="C518" s="1407"/>
      <c r="D518" s="1407"/>
      <c r="E518" s="1407"/>
      <c r="F518" s="1407"/>
      <c r="G518" s="1407"/>
      <c r="H518" s="1408"/>
      <c r="I518" t="s">
        <v>417</v>
      </c>
      <c r="AC518" s="1447">
        <v>4</v>
      </c>
      <c r="AD518" s="1448"/>
      <c r="AE518" s="1448"/>
      <c r="AF518" s="1448"/>
      <c r="AG518" s="13" t="s">
        <v>404</v>
      </c>
      <c r="AH518" s="1423">
        <v>2024</v>
      </c>
      <c r="AI518" s="1423"/>
      <c r="AJ518" s="1423"/>
      <c r="AK518" s="1424"/>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9"/>
      <c r="C519" s="1410"/>
      <c r="D519" s="1410"/>
      <c r="E519" s="1410"/>
      <c r="F519" s="1410"/>
      <c r="G519" s="1410"/>
      <c r="H519" s="1411"/>
      <c r="I519" s="48" t="s">
        <v>418</v>
      </c>
      <c r="J519" s="48"/>
      <c r="K519" s="48"/>
      <c r="L519" s="48"/>
      <c r="M519" s="48"/>
      <c r="N519" s="48"/>
      <c r="O519" s="48"/>
      <c r="P519" s="48"/>
      <c r="Q519" s="48"/>
      <c r="R519" s="48"/>
      <c r="S519" s="48"/>
      <c r="T519" s="48"/>
      <c r="U519" s="48"/>
      <c r="V519" s="48"/>
      <c r="W519" s="48"/>
      <c r="X519" s="48"/>
      <c r="Y519" s="48"/>
      <c r="Z519" s="48"/>
      <c r="AA519" s="48"/>
      <c r="AB519" s="48"/>
      <c r="AC519" s="1447">
        <v>2</v>
      </c>
      <c r="AD519" s="1448"/>
      <c r="AE519" s="1448"/>
      <c r="AF519" s="1448"/>
      <c r="AG519" s="38" t="s">
        <v>404</v>
      </c>
      <c r="AH519" s="1423">
        <v>2027</v>
      </c>
      <c r="AI519" s="1423"/>
      <c r="AJ519" s="1423"/>
      <c r="AK519" s="1424"/>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3" t="s">
        <v>420</v>
      </c>
      <c r="C520" s="1404"/>
      <c r="D520" s="1404"/>
      <c r="E520" s="1404"/>
      <c r="F520" s="1404"/>
      <c r="G520" s="1404"/>
      <c r="H520" s="1405"/>
      <c r="I520" s="41" t="s">
        <v>421</v>
      </c>
      <c r="J520" s="42"/>
      <c r="K520" s="42"/>
      <c r="L520" s="42"/>
      <c r="M520" s="42"/>
      <c r="N520" s="42"/>
      <c r="O520" s="1418" t="s">
        <v>335</v>
      </c>
      <c r="P520" s="1419"/>
      <c r="Q520" s="1419"/>
      <c r="R520" s="1419"/>
      <c r="S520" s="1419"/>
      <c r="T520" s="1419"/>
      <c r="U520" s="1419"/>
      <c r="V520" s="1419"/>
      <c r="W520" s="1419"/>
      <c r="X520" s="1419"/>
      <c r="Y520" s="1419"/>
      <c r="Z520" s="1419"/>
      <c r="AA520" s="1419"/>
      <c r="AB520" s="58"/>
      <c r="AC520" s="1355" t="s">
        <v>600</v>
      </c>
      <c r="AD520" s="1356"/>
      <c r="AE520" s="1356"/>
      <c r="AF520" s="1356"/>
      <c r="AG520" s="129" t="s">
        <v>404</v>
      </c>
      <c r="AH520" s="1423"/>
      <c r="AI520" s="1423"/>
      <c r="AJ520" s="1423"/>
      <c r="AK520" s="1424"/>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6"/>
      <c r="C521" s="1407"/>
      <c r="D521" s="1407"/>
      <c r="E521" s="1407"/>
      <c r="F521" s="1407"/>
      <c r="G521" s="1407"/>
      <c r="H521" s="1408"/>
      <c r="I521" s="114" t="s">
        <v>422</v>
      </c>
      <c r="AB521" s="65"/>
      <c r="AC521" s="1447" t="s">
        <v>600</v>
      </c>
      <c r="AD521" s="1448"/>
      <c r="AE521" s="1448"/>
      <c r="AF521" s="1448"/>
      <c r="AG521" s="13" t="s">
        <v>404</v>
      </c>
      <c r="AH521" s="1423"/>
      <c r="AI521" s="1423"/>
      <c r="AJ521" s="1423"/>
      <c r="AK521" s="1424"/>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6"/>
      <c r="C522" s="1407"/>
      <c r="D522" s="1407"/>
      <c r="E522" s="1407"/>
      <c r="F522" s="1407"/>
      <c r="G522" s="1407"/>
      <c r="H522" s="1408"/>
      <c r="I522" s="47" t="s">
        <v>423</v>
      </c>
      <c r="J522" s="48"/>
      <c r="K522" s="48"/>
      <c r="L522" s="48"/>
      <c r="M522" s="48"/>
      <c r="N522" s="48"/>
      <c r="O522" s="48"/>
      <c r="P522" s="48"/>
      <c r="Q522" s="48"/>
      <c r="R522" s="48"/>
      <c r="S522" s="48"/>
      <c r="T522" s="48"/>
      <c r="U522" s="48"/>
      <c r="V522" s="48"/>
      <c r="W522" s="48"/>
      <c r="X522" s="48"/>
      <c r="Y522" s="48"/>
      <c r="Z522" s="48"/>
      <c r="AA522" s="48"/>
      <c r="AB522" s="49"/>
      <c r="AC522" s="1447" t="s">
        <v>600</v>
      </c>
      <c r="AD522" s="1448"/>
      <c r="AE522" s="1448"/>
      <c r="AF522" s="1448"/>
      <c r="AG522" s="38" t="s">
        <v>404</v>
      </c>
      <c r="AH522" s="1423"/>
      <c r="AI522" s="1423"/>
      <c r="AJ522" s="1423"/>
      <c r="AK522" s="1424"/>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6"/>
      <c r="C523" s="1407"/>
      <c r="D523" s="1407"/>
      <c r="E523" s="1407"/>
      <c r="F523" s="1407"/>
      <c r="G523" s="1407"/>
      <c r="H523" s="1408"/>
      <c r="I523" s="42" t="s">
        <v>424</v>
      </c>
      <c r="J523" s="42"/>
      <c r="K523" s="42"/>
      <c r="L523" s="42"/>
      <c r="M523" s="42"/>
      <c r="N523" s="42"/>
      <c r="O523" s="1418" t="s">
        <v>335</v>
      </c>
      <c r="P523" s="1419"/>
      <c r="Q523" s="1419"/>
      <c r="R523" s="1419"/>
      <c r="S523" s="1419"/>
      <c r="T523" s="1419"/>
      <c r="U523" s="1419"/>
      <c r="V523" s="1419"/>
      <c r="W523" s="1419"/>
      <c r="X523" s="1419"/>
      <c r="Y523" s="1419"/>
      <c r="Z523" s="1419"/>
      <c r="AA523" s="1419"/>
      <c r="AC523" s="1447" t="s">
        <v>600</v>
      </c>
      <c r="AD523" s="1448"/>
      <c r="AE523" s="1448"/>
      <c r="AF523" s="1448"/>
      <c r="AG523" s="13" t="s">
        <v>404</v>
      </c>
      <c r="AH523" s="1423"/>
      <c r="AI523" s="1423"/>
      <c r="AJ523" s="1423"/>
      <c r="AK523" s="1424"/>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6"/>
      <c r="C524" s="1407"/>
      <c r="D524" s="1407"/>
      <c r="E524" s="1407"/>
      <c r="F524" s="1407"/>
      <c r="G524" s="1407"/>
      <c r="H524" s="1408"/>
      <c r="I524" t="s">
        <v>422</v>
      </c>
      <c r="AC524" s="1447" t="s">
        <v>600</v>
      </c>
      <c r="AD524" s="1448"/>
      <c r="AE524" s="1448"/>
      <c r="AF524" s="1448"/>
      <c r="AG524" s="13" t="s">
        <v>404</v>
      </c>
      <c r="AH524" s="1423"/>
      <c r="AI524" s="1423"/>
      <c r="AJ524" s="1423"/>
      <c r="AK524" s="1424"/>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6"/>
      <c r="C525" s="1407"/>
      <c r="D525" s="1407"/>
      <c r="E525" s="1407"/>
      <c r="F525" s="1407"/>
      <c r="G525" s="1407"/>
      <c r="H525" s="1408"/>
      <c r="I525" s="48" t="s">
        <v>423</v>
      </c>
      <c r="J525" s="48"/>
      <c r="K525" s="48"/>
      <c r="L525" s="48"/>
      <c r="M525" s="48"/>
      <c r="N525" s="48"/>
      <c r="O525" s="48"/>
      <c r="P525" s="48"/>
      <c r="Q525" s="48"/>
      <c r="R525" s="48"/>
      <c r="S525" s="48"/>
      <c r="T525" s="48"/>
      <c r="U525" s="48"/>
      <c r="V525" s="48"/>
      <c r="W525" s="48"/>
      <c r="X525" s="48"/>
      <c r="Y525" s="48"/>
      <c r="Z525" s="48"/>
      <c r="AA525" s="48"/>
      <c r="AB525" s="48"/>
      <c r="AC525" s="1447" t="s">
        <v>600</v>
      </c>
      <c r="AD525" s="1448"/>
      <c r="AE525" s="1448"/>
      <c r="AF525" s="1448"/>
      <c r="AG525" s="38" t="s">
        <v>404</v>
      </c>
      <c r="AH525" s="1423"/>
      <c r="AI525" s="1423"/>
      <c r="AJ525" s="1423"/>
      <c r="AK525" s="1424"/>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6"/>
      <c r="C526" s="1407"/>
      <c r="D526" s="1407"/>
      <c r="E526" s="1407"/>
      <c r="F526" s="1407"/>
      <c r="G526" s="1407"/>
      <c r="H526" s="1408"/>
      <c r="I526" s="42" t="s">
        <v>424</v>
      </c>
      <c r="J526" s="42"/>
      <c r="K526" s="42"/>
      <c r="L526" s="42"/>
      <c r="M526" s="42"/>
      <c r="N526" s="42"/>
      <c r="O526" s="1418" t="s">
        <v>335</v>
      </c>
      <c r="P526" s="1419"/>
      <c r="Q526" s="1419"/>
      <c r="R526" s="1419"/>
      <c r="S526" s="1419"/>
      <c r="T526" s="1419"/>
      <c r="U526" s="1419"/>
      <c r="V526" s="1419"/>
      <c r="W526" s="1419"/>
      <c r="X526" s="1419"/>
      <c r="Y526" s="1419"/>
      <c r="Z526" s="1419"/>
      <c r="AA526" s="1419"/>
      <c r="AC526" s="1447" t="s">
        <v>600</v>
      </c>
      <c r="AD526" s="1448"/>
      <c r="AE526" s="1448"/>
      <c r="AF526" s="1448"/>
      <c r="AG526" s="13" t="s">
        <v>404</v>
      </c>
      <c r="AH526" s="1423"/>
      <c r="AI526" s="1423"/>
      <c r="AJ526" s="1423"/>
      <c r="AK526" s="1424"/>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6"/>
      <c r="C527" s="1407"/>
      <c r="D527" s="1407"/>
      <c r="E527" s="1407"/>
      <c r="F527" s="1407"/>
      <c r="G527" s="1407"/>
      <c r="H527" s="1408"/>
      <c r="I527" t="s">
        <v>422</v>
      </c>
      <c r="AC527" s="1447" t="s">
        <v>600</v>
      </c>
      <c r="AD527" s="1448"/>
      <c r="AE527" s="1448"/>
      <c r="AF527" s="1448"/>
      <c r="AG527" s="13" t="s">
        <v>404</v>
      </c>
      <c r="AH527" s="1423"/>
      <c r="AI527" s="1423"/>
      <c r="AJ527" s="1423"/>
      <c r="AK527" s="1424"/>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6"/>
      <c r="C528" s="1407"/>
      <c r="D528" s="1407"/>
      <c r="E528" s="1407"/>
      <c r="F528" s="1407"/>
      <c r="G528" s="1407"/>
      <c r="H528" s="1408"/>
      <c r="I528" s="48" t="s">
        <v>423</v>
      </c>
      <c r="J528" s="48"/>
      <c r="K528" s="48"/>
      <c r="L528" s="48"/>
      <c r="M528" s="48"/>
      <c r="N528" s="48"/>
      <c r="O528" s="48"/>
      <c r="P528" s="48"/>
      <c r="Q528" s="48"/>
      <c r="R528" s="48"/>
      <c r="S528" s="48"/>
      <c r="T528" s="48"/>
      <c r="U528" s="48"/>
      <c r="V528" s="48"/>
      <c r="W528" s="48"/>
      <c r="X528" s="48"/>
      <c r="Y528" s="48"/>
      <c r="Z528" s="48"/>
      <c r="AA528" s="48"/>
      <c r="AB528" s="48"/>
      <c r="AC528" s="1447" t="s">
        <v>600</v>
      </c>
      <c r="AD528" s="1448"/>
      <c r="AE528" s="1448"/>
      <c r="AF528" s="1448"/>
      <c r="AG528" s="38" t="s">
        <v>404</v>
      </c>
      <c r="AH528" s="1423"/>
      <c r="AI528" s="1423"/>
      <c r="AJ528" s="1423"/>
      <c r="AK528" s="1424"/>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6"/>
      <c r="C529" s="1407"/>
      <c r="D529" s="1407"/>
      <c r="E529" s="1407"/>
      <c r="F529" s="1407"/>
      <c r="G529" s="1407"/>
      <c r="H529" s="1408"/>
      <c r="I529" s="42" t="s">
        <v>424</v>
      </c>
      <c r="J529" s="42"/>
      <c r="K529" s="42"/>
      <c r="L529" s="42"/>
      <c r="M529" s="42"/>
      <c r="N529" s="42"/>
      <c r="O529" s="1418" t="s">
        <v>335</v>
      </c>
      <c r="P529" s="1419"/>
      <c r="Q529" s="1419"/>
      <c r="R529" s="1419"/>
      <c r="S529" s="1419"/>
      <c r="T529" s="1419"/>
      <c r="U529" s="1419"/>
      <c r="V529" s="1419"/>
      <c r="W529" s="1419"/>
      <c r="X529" s="1419"/>
      <c r="Y529" s="1419"/>
      <c r="Z529" s="1419"/>
      <c r="AA529" s="1419"/>
      <c r="AC529" s="1447" t="s">
        <v>600</v>
      </c>
      <c r="AD529" s="1448"/>
      <c r="AE529" s="1448"/>
      <c r="AF529" s="1448"/>
      <c r="AG529" s="13" t="s">
        <v>404</v>
      </c>
      <c r="AH529" s="1423"/>
      <c r="AI529" s="1423"/>
      <c r="AJ529" s="1423"/>
      <c r="AK529" s="1424"/>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6"/>
      <c r="C530" s="1407"/>
      <c r="D530" s="1407"/>
      <c r="E530" s="1407"/>
      <c r="F530" s="1407"/>
      <c r="G530" s="1407"/>
      <c r="H530" s="1408"/>
      <c r="I530" t="s">
        <v>422</v>
      </c>
      <c r="AC530" s="1447" t="s">
        <v>600</v>
      </c>
      <c r="AD530" s="1448"/>
      <c r="AE530" s="1448"/>
      <c r="AF530" s="1448"/>
      <c r="AG530" s="13" t="s">
        <v>404</v>
      </c>
      <c r="AH530" s="1423"/>
      <c r="AI530" s="1423"/>
      <c r="AJ530" s="1423"/>
      <c r="AK530" s="1424"/>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6"/>
      <c r="C531" s="1407"/>
      <c r="D531" s="1407"/>
      <c r="E531" s="1407"/>
      <c r="F531" s="1407"/>
      <c r="G531" s="1407"/>
      <c r="H531" s="1408"/>
      <c r="I531" s="48" t="s">
        <v>423</v>
      </c>
      <c r="J531" s="48"/>
      <c r="K531" s="48"/>
      <c r="L531" s="48"/>
      <c r="M531" s="48"/>
      <c r="N531" s="48"/>
      <c r="O531" s="48"/>
      <c r="P531" s="48"/>
      <c r="Q531" s="48"/>
      <c r="R531" s="48"/>
      <c r="S531" s="48"/>
      <c r="T531" s="48"/>
      <c r="U531" s="48"/>
      <c r="V531" s="48"/>
      <c r="W531" s="48"/>
      <c r="X531" s="48"/>
      <c r="Y531" s="48"/>
      <c r="Z531" s="48"/>
      <c r="AA531" s="48"/>
      <c r="AB531" s="48"/>
      <c r="AC531" s="1447" t="s">
        <v>600</v>
      </c>
      <c r="AD531" s="1448"/>
      <c r="AE531" s="1448"/>
      <c r="AF531" s="1448"/>
      <c r="AG531" s="38" t="s">
        <v>404</v>
      </c>
      <c r="AH531" s="1423"/>
      <c r="AI531" s="1423"/>
      <c r="AJ531" s="1423"/>
      <c r="AK531" s="1424"/>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6"/>
      <c r="C532" s="1407"/>
      <c r="D532" s="1407"/>
      <c r="E532" s="1407"/>
      <c r="F532" s="1407"/>
      <c r="G532" s="1407"/>
      <c r="H532" s="1408"/>
      <c r="I532" s="42" t="s">
        <v>424</v>
      </c>
      <c r="J532" s="42"/>
      <c r="K532" s="42"/>
      <c r="L532" s="42"/>
      <c r="M532" s="42"/>
      <c r="N532" s="42"/>
      <c r="O532" s="1418" t="s">
        <v>335</v>
      </c>
      <c r="P532" s="1419"/>
      <c r="Q532" s="1419"/>
      <c r="R532" s="1419"/>
      <c r="S532" s="1419"/>
      <c r="T532" s="1419"/>
      <c r="U532" s="1419"/>
      <c r="V532" s="1419"/>
      <c r="W532" s="1419"/>
      <c r="X532" s="1419"/>
      <c r="Y532" s="1419"/>
      <c r="Z532" s="1419"/>
      <c r="AA532" s="1419"/>
      <c r="AC532" s="1447" t="s">
        <v>600</v>
      </c>
      <c r="AD532" s="1448"/>
      <c r="AE532" s="1448"/>
      <c r="AF532" s="1448"/>
      <c r="AG532" s="13" t="s">
        <v>404</v>
      </c>
      <c r="AH532" s="1423"/>
      <c r="AI532" s="1423"/>
      <c r="AJ532" s="1423"/>
      <c r="AK532" s="1424"/>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6"/>
      <c r="C533" s="1407"/>
      <c r="D533" s="1407"/>
      <c r="E533" s="1407"/>
      <c r="F533" s="1407"/>
      <c r="G533" s="1407"/>
      <c r="H533" s="1408"/>
      <c r="I533" t="s">
        <v>422</v>
      </c>
      <c r="AC533" s="1447" t="s">
        <v>600</v>
      </c>
      <c r="AD533" s="1448"/>
      <c r="AE533" s="1448"/>
      <c r="AF533" s="1448"/>
      <c r="AG533" s="38" t="s">
        <v>404</v>
      </c>
      <c r="AH533" s="1423"/>
      <c r="AI533" s="1423"/>
      <c r="AJ533" s="1423"/>
      <c r="AK533" s="1424"/>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6"/>
      <c r="C534" s="1407"/>
      <c r="D534" s="1407"/>
      <c r="E534" s="1407"/>
      <c r="F534" s="1407"/>
      <c r="G534" s="1407"/>
      <c r="H534" s="1408"/>
      <c r="I534" s="48" t="s">
        <v>423</v>
      </c>
      <c r="J534" s="48"/>
      <c r="K534" s="48"/>
      <c r="L534" s="48"/>
      <c r="M534" s="48"/>
      <c r="N534" s="48"/>
      <c r="O534" s="48"/>
      <c r="P534" s="48"/>
      <c r="Q534" s="48"/>
      <c r="R534" s="48"/>
      <c r="S534" s="48"/>
      <c r="T534" s="48"/>
      <c r="U534" s="48"/>
      <c r="V534" s="48"/>
      <c r="W534" s="48"/>
      <c r="X534" s="48"/>
      <c r="Y534" s="48"/>
      <c r="Z534" s="48"/>
      <c r="AA534" s="48"/>
      <c r="AB534" s="48"/>
      <c r="AC534" s="1447" t="s">
        <v>600</v>
      </c>
      <c r="AD534" s="1448"/>
      <c r="AE534" s="1448"/>
      <c r="AF534" s="1448"/>
      <c r="AG534" s="13" t="s">
        <v>404</v>
      </c>
      <c r="AH534" s="1423"/>
      <c r="AI534" s="1423"/>
      <c r="AJ534" s="1423"/>
      <c r="AK534" s="1424"/>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6"/>
      <c r="C535" s="1407"/>
      <c r="D535" s="1407"/>
      <c r="E535" s="1407"/>
      <c r="F535" s="1407"/>
      <c r="G535" s="1407"/>
      <c r="H535" s="1408"/>
      <c r="I535" s="42" t="s">
        <v>424</v>
      </c>
      <c r="J535" s="42"/>
      <c r="K535" s="42"/>
      <c r="L535" s="42"/>
      <c r="M535" s="42"/>
      <c r="N535" s="42"/>
      <c r="O535" s="1418" t="s">
        <v>335</v>
      </c>
      <c r="P535" s="1419"/>
      <c r="Q535" s="1419"/>
      <c r="R535" s="1419"/>
      <c r="S535" s="1419"/>
      <c r="T535" s="1419"/>
      <c r="U535" s="1419"/>
      <c r="V535" s="1419"/>
      <c r="W535" s="1419"/>
      <c r="X535" s="1419"/>
      <c r="Y535" s="1419"/>
      <c r="Z535" s="1419"/>
      <c r="AA535" s="1419"/>
      <c r="AC535" s="1447" t="s">
        <v>600</v>
      </c>
      <c r="AD535" s="1448"/>
      <c r="AE535" s="1448"/>
      <c r="AF535" s="1448"/>
      <c r="AG535" s="38" t="s">
        <v>404</v>
      </c>
      <c r="AH535" s="1423"/>
      <c r="AI535" s="1423"/>
      <c r="AJ535" s="1423"/>
      <c r="AK535" s="1424"/>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6"/>
      <c r="C536" s="1407"/>
      <c r="D536" s="1407"/>
      <c r="E536" s="1407"/>
      <c r="F536" s="1407"/>
      <c r="G536" s="1407"/>
      <c r="H536" s="1408"/>
      <c r="I536" t="s">
        <v>422</v>
      </c>
      <c r="AC536" s="1447" t="s">
        <v>600</v>
      </c>
      <c r="AD536" s="1448"/>
      <c r="AE536" s="1448"/>
      <c r="AF536" s="1448"/>
      <c r="AG536" s="13" t="s">
        <v>404</v>
      </c>
      <c r="AH536" s="1423"/>
      <c r="AI536" s="1423"/>
      <c r="AJ536" s="1423"/>
      <c r="AK536" s="1424"/>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6"/>
      <c r="C537" s="1407"/>
      <c r="D537" s="1407"/>
      <c r="E537" s="1407"/>
      <c r="F537" s="1407"/>
      <c r="G537" s="1407"/>
      <c r="H537" s="1408"/>
      <c r="I537" s="48" t="s">
        <v>423</v>
      </c>
      <c r="J537" s="48"/>
      <c r="K537" s="48"/>
      <c r="L537" s="48"/>
      <c r="M537" s="48"/>
      <c r="N537" s="48"/>
      <c r="O537" s="48"/>
      <c r="P537" s="48"/>
      <c r="Q537" s="48"/>
      <c r="R537" s="48"/>
      <c r="S537" s="48"/>
      <c r="T537" s="48"/>
      <c r="U537" s="48"/>
      <c r="V537" s="48"/>
      <c r="W537" s="48"/>
      <c r="X537" s="48"/>
      <c r="Y537" s="48"/>
      <c r="Z537" s="48"/>
      <c r="AA537" s="48"/>
      <c r="AB537" s="48"/>
      <c r="AC537" s="1447" t="s">
        <v>600</v>
      </c>
      <c r="AD537" s="1448"/>
      <c r="AE537" s="1448"/>
      <c r="AF537" s="1448"/>
      <c r="AG537" s="38" t="s">
        <v>404</v>
      </c>
      <c r="AH537" s="1423"/>
      <c r="AI537" s="1423"/>
      <c r="AJ537" s="1423"/>
      <c r="AK537" s="1424"/>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6"/>
      <c r="C538" s="1407"/>
      <c r="D538" s="1407"/>
      <c r="E538" s="1407"/>
      <c r="F538" s="1407"/>
      <c r="G538" s="1407"/>
      <c r="H538" s="1408"/>
      <c r="I538" s="42" t="s">
        <v>571</v>
      </c>
      <c r="J538" s="42"/>
      <c r="K538" s="42"/>
      <c r="L538" s="42"/>
      <c r="M538" s="42"/>
      <c r="N538" s="42"/>
      <c r="O538" s="42"/>
      <c r="P538" s="42"/>
      <c r="Q538" s="42"/>
      <c r="R538" s="42"/>
      <c r="S538" s="42"/>
      <c r="T538" s="42"/>
      <c r="U538" s="42"/>
      <c r="V538" s="42"/>
      <c r="W538" s="42"/>
      <c r="AC538" s="1447">
        <v>10</v>
      </c>
      <c r="AD538" s="1448"/>
      <c r="AE538" s="1448"/>
      <c r="AF538" s="1448"/>
      <c r="AG538" s="38" t="s">
        <v>404</v>
      </c>
      <c r="AH538" s="1423">
        <v>2025</v>
      </c>
      <c r="AI538" s="1423"/>
      <c r="AJ538" s="1423"/>
      <c r="AK538" s="142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6"/>
      <c r="C539" s="1407"/>
      <c r="D539" s="1407"/>
      <c r="E539" s="1407"/>
      <c r="F539" s="1407"/>
      <c r="G539" s="1407"/>
      <c r="H539" s="1408"/>
      <c r="I539" t="s">
        <v>572</v>
      </c>
      <c r="AC539" s="1447">
        <v>2</v>
      </c>
      <c r="AD539" s="1448"/>
      <c r="AE539" s="1448"/>
      <c r="AF539" s="1448"/>
      <c r="AG539" s="13" t="s">
        <v>404</v>
      </c>
      <c r="AH539" s="1423">
        <v>2025</v>
      </c>
      <c r="AI539" s="1423"/>
      <c r="AJ539" s="1423"/>
      <c r="AK539" s="142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6"/>
      <c r="C540" s="1407"/>
      <c r="D540" s="1407"/>
      <c r="E540" s="1407"/>
      <c r="F540" s="1407"/>
      <c r="G540" s="1407"/>
      <c r="H540" s="1408"/>
      <c r="I540" t="s">
        <v>573</v>
      </c>
      <c r="AC540" s="1447">
        <v>8</v>
      </c>
      <c r="AD540" s="1448"/>
      <c r="AE540" s="1448"/>
      <c r="AF540" s="1448"/>
      <c r="AG540" s="38" t="s">
        <v>404</v>
      </c>
      <c r="AH540" s="1423">
        <v>2026</v>
      </c>
      <c r="AI540" s="1423"/>
      <c r="AJ540" s="1423"/>
      <c r="AK540" s="142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6"/>
      <c r="C541" s="1407"/>
      <c r="D541" s="1407"/>
      <c r="E541" s="1407"/>
      <c r="F541" s="1407"/>
      <c r="G541" s="1407"/>
      <c r="H541" s="1408"/>
      <c r="I541" t="s">
        <v>574</v>
      </c>
      <c r="AC541" s="1447">
        <v>8</v>
      </c>
      <c r="AD541" s="1448"/>
      <c r="AE541" s="1448"/>
      <c r="AF541" s="1448"/>
      <c r="AG541" s="38" t="s">
        <v>404</v>
      </c>
      <c r="AH541" s="1423">
        <v>2026</v>
      </c>
      <c r="AI541" s="1423"/>
      <c r="AJ541" s="1423"/>
      <c r="AK541" s="142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9"/>
      <c r="C542" s="1410"/>
      <c r="D542" s="1410"/>
      <c r="E542" s="1410"/>
      <c r="F542" s="1410"/>
      <c r="G542" s="1410"/>
      <c r="H542" s="1411"/>
      <c r="I542" s="48" t="s">
        <v>460</v>
      </c>
      <c r="J542" s="48"/>
      <c r="K542" s="48"/>
      <c r="L542" s="48"/>
      <c r="M542" s="48"/>
      <c r="N542" s="48"/>
      <c r="O542" s="48"/>
      <c r="P542" s="48"/>
      <c r="Q542" s="48"/>
      <c r="R542" s="48"/>
      <c r="S542" s="48"/>
      <c r="T542" s="48"/>
      <c r="U542" s="48"/>
      <c r="V542" s="48"/>
      <c r="W542" s="48"/>
      <c r="X542" s="48"/>
      <c r="Y542" s="48"/>
      <c r="Z542" s="48"/>
      <c r="AA542" s="48"/>
      <c r="AB542" s="48"/>
      <c r="AC542" s="1447">
        <v>11</v>
      </c>
      <c r="AD542" s="1448"/>
      <c r="AE542" s="1448"/>
      <c r="AF542" s="1448"/>
      <c r="AG542" s="38" t="s">
        <v>404</v>
      </c>
      <c r="AH542" s="1423">
        <v>2026</v>
      </c>
      <c r="AI542" s="1423"/>
      <c r="AJ542" s="1423"/>
      <c r="AK542" s="142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3" t="s">
        <v>2423</v>
      </c>
      <c r="C551" s="1404"/>
      <c r="D551" s="1404"/>
      <c r="E551" s="1404"/>
      <c r="F551" s="1404"/>
      <c r="G551" s="1404"/>
      <c r="H551" s="1404"/>
      <c r="I551" s="1404"/>
      <c r="J551" s="1404"/>
      <c r="K551" s="1404"/>
      <c r="L551" s="1405"/>
      <c r="M551" s="1403" t="s">
        <v>2424</v>
      </c>
      <c r="N551" s="1404"/>
      <c r="O551" s="1404"/>
      <c r="P551" s="1405"/>
      <c r="Q551" s="1403" t="s">
        <v>2450</v>
      </c>
      <c r="R551" s="1404"/>
      <c r="S551" s="1405"/>
      <c r="T551" s="1403" t="s">
        <v>2451</v>
      </c>
      <c r="U551" s="1404"/>
      <c r="V551" s="1405"/>
      <c r="W551" s="1403" t="s">
        <v>462</v>
      </c>
      <c r="X551" s="1404"/>
      <c r="Y551" s="1405"/>
      <c r="Z551" s="1403" t="s">
        <v>2044</v>
      </c>
      <c r="AA551" s="1404"/>
      <c r="AB551" s="1404"/>
      <c r="AC551" s="1404"/>
      <c r="AD551" s="1405"/>
      <c r="AE551" s="1403" t="s">
        <v>1866</v>
      </c>
      <c r="AF551" s="1404"/>
      <c r="AG551" s="1404"/>
      <c r="AH551" s="1405"/>
      <c r="AI551" s="1403" t="s">
        <v>1867</v>
      </c>
      <c r="AJ551" s="1404"/>
      <c r="AK551" s="1404"/>
      <c r="AL551" s="1405"/>
      <c r="AM551" s="1403" t="s">
        <v>463</v>
      </c>
      <c r="AN551" s="1404"/>
      <c r="AO551" s="1404"/>
      <c r="AP551" s="1404"/>
      <c r="AQ551" s="1404"/>
      <c r="AR551" s="1404"/>
      <c r="AS551" s="1405"/>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6"/>
      <c r="C552" s="1407"/>
      <c r="D552" s="1407"/>
      <c r="E552" s="1407"/>
      <c r="F552" s="1407"/>
      <c r="G552" s="1407"/>
      <c r="H552" s="1407"/>
      <c r="I552" s="1407"/>
      <c r="J552" s="1407"/>
      <c r="K552" s="1407"/>
      <c r="L552" s="1408"/>
      <c r="M552" s="1406"/>
      <c r="N552" s="1407"/>
      <c r="O552" s="1407"/>
      <c r="P552" s="1408"/>
      <c r="Q552" s="1406"/>
      <c r="R552" s="1407"/>
      <c r="S552" s="1408"/>
      <c r="T552" s="1406"/>
      <c r="U552" s="1407"/>
      <c r="V552" s="1408"/>
      <c r="W552" s="1406"/>
      <c r="X552" s="1407"/>
      <c r="Y552" s="1408"/>
      <c r="Z552" s="1406"/>
      <c r="AA552" s="1407"/>
      <c r="AB552" s="1407"/>
      <c r="AC552" s="1407"/>
      <c r="AD552" s="1408"/>
      <c r="AE552" s="1406"/>
      <c r="AF552" s="1407"/>
      <c r="AG552" s="1407"/>
      <c r="AH552" s="1408"/>
      <c r="AI552" s="1406"/>
      <c r="AJ552" s="1407"/>
      <c r="AK552" s="1407"/>
      <c r="AL552" s="1408"/>
      <c r="AM552" s="1406"/>
      <c r="AN552" s="1407"/>
      <c r="AO552" s="1407"/>
      <c r="AP552" s="1407"/>
      <c r="AQ552" s="1407"/>
      <c r="AR552" s="1407"/>
      <c r="AS552" s="140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9"/>
      <c r="C553" s="1410"/>
      <c r="D553" s="1410"/>
      <c r="E553" s="1410"/>
      <c r="F553" s="1410"/>
      <c r="G553" s="1410"/>
      <c r="H553" s="1410"/>
      <c r="I553" s="1410"/>
      <c r="J553" s="1410"/>
      <c r="K553" s="1410"/>
      <c r="L553" s="1411"/>
      <c r="M553" s="1409"/>
      <c r="N553" s="1410"/>
      <c r="O553" s="1410"/>
      <c r="P553" s="1411"/>
      <c r="Q553" s="1409"/>
      <c r="R553" s="1410"/>
      <c r="S553" s="1411"/>
      <c r="T553" s="1409"/>
      <c r="U553" s="1410"/>
      <c r="V553" s="1411"/>
      <c r="W553" s="1409"/>
      <c r="X553" s="1410"/>
      <c r="Y553" s="1411"/>
      <c r="Z553" s="1409"/>
      <c r="AA553" s="1410"/>
      <c r="AB553" s="1410"/>
      <c r="AC553" s="1410"/>
      <c r="AD553" s="1411"/>
      <c r="AE553" s="1409"/>
      <c r="AF553" s="1410"/>
      <c r="AG553" s="1410"/>
      <c r="AH553" s="1411"/>
      <c r="AI553" s="1409"/>
      <c r="AJ553" s="1410"/>
      <c r="AK553" s="1410"/>
      <c r="AL553" s="1411"/>
      <c r="AM553" s="1409"/>
      <c r="AN553" s="1410"/>
      <c r="AO553" s="1410"/>
      <c r="AP553" s="1410"/>
      <c r="AQ553" s="1410"/>
      <c r="AR553" s="1410"/>
      <c r="AS553" s="141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67" t="s">
        <v>2725</v>
      </c>
      <c r="D554" s="1467"/>
      <c r="E554" s="1467"/>
      <c r="F554" s="1467"/>
      <c r="G554" s="1467"/>
      <c r="H554" s="1467"/>
      <c r="I554" s="1467"/>
      <c r="J554" s="1467"/>
      <c r="K554" s="1467"/>
      <c r="L554" s="1467"/>
      <c r="M554" s="1467" t="s">
        <v>2440</v>
      </c>
      <c r="N554" s="1467"/>
      <c r="O554" s="1467"/>
      <c r="P554" s="1467"/>
      <c r="Q554" s="1426">
        <v>24</v>
      </c>
      <c r="R554" s="1426"/>
      <c r="S554" s="1427"/>
      <c r="T554" s="1425"/>
      <c r="U554" s="1426"/>
      <c r="V554" s="1427"/>
      <c r="W554" s="1472">
        <v>7.1499999999999994E-2</v>
      </c>
      <c r="X554" s="1473"/>
      <c r="Y554" s="1474"/>
      <c r="Z554" s="1574" t="s">
        <v>2727</v>
      </c>
      <c r="AA554" s="1574"/>
      <c r="AB554" s="1574"/>
      <c r="AC554" s="1574"/>
      <c r="AD554" s="1574"/>
      <c r="AE554" s="1420">
        <v>1</v>
      </c>
      <c r="AF554" s="1421"/>
      <c r="AG554" s="1421"/>
      <c r="AH554" s="1422"/>
      <c r="AI554" s="1469"/>
      <c r="AJ554" s="1470"/>
      <c r="AK554" s="1470"/>
      <c r="AL554" s="1471"/>
      <c r="AM554" s="1429">
        <v>35978279</v>
      </c>
      <c r="AN554" s="1430"/>
      <c r="AO554" s="1430"/>
      <c r="AP554" s="1430"/>
      <c r="AQ554" s="1430"/>
      <c r="AR554" s="1430"/>
      <c r="AS554" s="143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66" t="s">
        <v>2725</v>
      </c>
      <c r="D555" s="1466"/>
      <c r="E555" s="1466"/>
      <c r="F555" s="1466"/>
      <c r="G555" s="1466"/>
      <c r="H555" s="1466"/>
      <c r="I555" s="1466"/>
      <c r="J555" s="1466"/>
      <c r="K555" s="1466"/>
      <c r="L555" s="1466"/>
      <c r="M555" s="1467" t="s">
        <v>2441</v>
      </c>
      <c r="N555" s="1467"/>
      <c r="O555" s="1467"/>
      <c r="P555" s="1467"/>
      <c r="Q555" s="1425">
        <v>24</v>
      </c>
      <c r="R555" s="1426"/>
      <c r="S555" s="1427"/>
      <c r="T555" s="1425"/>
      <c r="U555" s="1426"/>
      <c r="V555" s="1427"/>
      <c r="W555" s="1472">
        <v>7.1499999999999994E-2</v>
      </c>
      <c r="X555" s="1473"/>
      <c r="Y555" s="1474"/>
      <c r="Z555" s="1574" t="s">
        <v>2727</v>
      </c>
      <c r="AA555" s="1574"/>
      <c r="AB555" s="1574"/>
      <c r="AC555" s="1574"/>
      <c r="AD555" s="1574"/>
      <c r="AE555" s="1420">
        <v>1</v>
      </c>
      <c r="AF555" s="1421"/>
      <c r="AG555" s="1421"/>
      <c r="AH555" s="1422"/>
      <c r="AI555" s="1469"/>
      <c r="AJ555" s="1470"/>
      <c r="AK555" s="1470"/>
      <c r="AL555" s="1471"/>
      <c r="AM555" s="1429">
        <v>2800000</v>
      </c>
      <c r="AN555" s="1430"/>
      <c r="AO555" s="1430"/>
      <c r="AP555" s="1430"/>
      <c r="AQ555" s="1430"/>
      <c r="AR555" s="1430"/>
      <c r="AS555" s="143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66" t="s">
        <v>2725</v>
      </c>
      <c r="D556" s="1466"/>
      <c r="E556" s="1466"/>
      <c r="F556" s="1466"/>
      <c r="G556" s="1466"/>
      <c r="H556" s="1466"/>
      <c r="I556" s="1466"/>
      <c r="J556" s="1466"/>
      <c r="K556" s="1466"/>
      <c r="L556" s="1466"/>
      <c r="M556" s="1467" t="s">
        <v>2439</v>
      </c>
      <c r="N556" s="1467"/>
      <c r="O556" s="1467"/>
      <c r="P556" s="1467"/>
      <c r="Q556" s="1425">
        <v>24</v>
      </c>
      <c r="R556" s="1426"/>
      <c r="S556" s="1427"/>
      <c r="T556" s="1425"/>
      <c r="U556" s="1426"/>
      <c r="V556" s="1427"/>
      <c r="W556" s="1472">
        <v>7.6499999999999999E-2</v>
      </c>
      <c r="X556" s="1473"/>
      <c r="Y556" s="1474"/>
      <c r="Z556" s="1574" t="s">
        <v>2727</v>
      </c>
      <c r="AA556" s="1574"/>
      <c r="AB556" s="1574"/>
      <c r="AC556" s="1574"/>
      <c r="AD556" s="1574"/>
      <c r="AE556" s="1420">
        <v>1</v>
      </c>
      <c r="AF556" s="1421"/>
      <c r="AG556" s="1421"/>
      <c r="AH556" s="1422"/>
      <c r="AI556" s="1469"/>
      <c r="AJ556" s="1470"/>
      <c r="AK556" s="1470"/>
      <c r="AL556" s="1471"/>
      <c r="AM556" s="1429">
        <v>13310042</v>
      </c>
      <c r="AN556" s="1430"/>
      <c r="AO556" s="1430"/>
      <c r="AP556" s="1430"/>
      <c r="AQ556" s="1430"/>
      <c r="AR556" s="1430"/>
      <c r="AS556" s="143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66" t="s">
        <v>2726</v>
      </c>
      <c r="D557" s="1466"/>
      <c r="E557" s="1466"/>
      <c r="F557" s="1466"/>
      <c r="G557" s="1466"/>
      <c r="H557" s="1466"/>
      <c r="I557" s="1466"/>
      <c r="J557" s="1466"/>
      <c r="K557" s="1466"/>
      <c r="L557" s="1466"/>
      <c r="M557" s="1467" t="s">
        <v>2431</v>
      </c>
      <c r="N557" s="1467"/>
      <c r="O557" s="1467"/>
      <c r="P557" s="1467"/>
      <c r="Q557" s="1425"/>
      <c r="R557" s="1426"/>
      <c r="S557" s="1427"/>
      <c r="T557" s="1425"/>
      <c r="U557" s="1426"/>
      <c r="V557" s="1427"/>
      <c r="W557" s="1472"/>
      <c r="X557" s="1473"/>
      <c r="Y557" s="1474"/>
      <c r="Z557" s="1574" t="s">
        <v>1291</v>
      </c>
      <c r="AA557" s="1574"/>
      <c r="AB557" s="1574"/>
      <c r="AC557" s="1574"/>
      <c r="AD557" s="1574"/>
      <c r="AE557" s="1420"/>
      <c r="AF557" s="1421"/>
      <c r="AG557" s="1421"/>
      <c r="AH557" s="1422"/>
      <c r="AI557" s="1469"/>
      <c r="AJ557" s="1470"/>
      <c r="AK557" s="1470"/>
      <c r="AL557" s="1471"/>
      <c r="AM557" s="1429">
        <v>6806016</v>
      </c>
      <c r="AN557" s="1430"/>
      <c r="AO557" s="1430"/>
      <c r="AP557" s="1430"/>
      <c r="AQ557" s="1430"/>
      <c r="AR557" s="1430"/>
      <c r="AS557" s="143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66" t="s">
        <v>2653</v>
      </c>
      <c r="D558" s="1466"/>
      <c r="E558" s="1466"/>
      <c r="F558" s="1466"/>
      <c r="G558" s="1466"/>
      <c r="H558" s="1466"/>
      <c r="I558" s="1466"/>
      <c r="J558" s="1466"/>
      <c r="K558" s="1466"/>
      <c r="L558" s="1466"/>
      <c r="M558" s="1467" t="s">
        <v>2426</v>
      </c>
      <c r="N558" s="1467"/>
      <c r="O558" s="1467"/>
      <c r="P558" s="1467"/>
      <c r="Q558" s="1425"/>
      <c r="R558" s="1426"/>
      <c r="S558" s="1427"/>
      <c r="T558" s="1425"/>
      <c r="U558" s="1426"/>
      <c r="V558" s="1427"/>
      <c r="W558" s="1472"/>
      <c r="X558" s="1473"/>
      <c r="Y558" s="1474"/>
      <c r="Z558" s="1574" t="s">
        <v>1291</v>
      </c>
      <c r="AA558" s="1574"/>
      <c r="AB558" s="1574"/>
      <c r="AC558" s="1574"/>
      <c r="AD558" s="1574"/>
      <c r="AE558" s="1420"/>
      <c r="AF558" s="1421"/>
      <c r="AG558" s="1421"/>
      <c r="AH558" s="1422"/>
      <c r="AI558" s="1469"/>
      <c r="AJ558" s="1470"/>
      <c r="AK558" s="1470"/>
      <c r="AL558" s="1471"/>
      <c r="AM558" s="1429">
        <v>627411</v>
      </c>
      <c r="AN558" s="1430"/>
      <c r="AO558" s="1430"/>
      <c r="AP558" s="1430"/>
      <c r="AQ558" s="1430"/>
      <c r="AR558" s="1430"/>
      <c r="AS558" s="143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66" t="s">
        <v>2653</v>
      </c>
      <c r="D559" s="1466"/>
      <c r="E559" s="1466"/>
      <c r="F559" s="1466"/>
      <c r="G559" s="1466"/>
      <c r="H559" s="1466"/>
      <c r="I559" s="1466"/>
      <c r="J559" s="1466"/>
      <c r="K559" s="1466"/>
      <c r="L559" s="1466"/>
      <c r="M559" s="1467" t="s">
        <v>2427</v>
      </c>
      <c r="N559" s="1467"/>
      <c r="O559" s="1467"/>
      <c r="P559" s="1467"/>
      <c r="Q559" s="1425"/>
      <c r="R559" s="1426"/>
      <c r="S559" s="1427"/>
      <c r="T559" s="1425"/>
      <c r="U559" s="1426"/>
      <c r="V559" s="1427"/>
      <c r="W559" s="1472"/>
      <c r="X559" s="1473"/>
      <c r="Y559" s="1474"/>
      <c r="Z559" s="1574" t="s">
        <v>1291</v>
      </c>
      <c r="AA559" s="1574"/>
      <c r="AB559" s="1574"/>
      <c r="AC559" s="1574"/>
      <c r="AD559" s="1574"/>
      <c r="AE559" s="1420"/>
      <c r="AF559" s="1421"/>
      <c r="AG559" s="1421"/>
      <c r="AH559" s="1422"/>
      <c r="AI559" s="1469"/>
      <c r="AJ559" s="1470"/>
      <c r="AK559" s="1470"/>
      <c r="AL559" s="1471"/>
      <c r="AM559" s="1429">
        <v>8327779</v>
      </c>
      <c r="AN559" s="1430"/>
      <c r="AO559" s="1430"/>
      <c r="AP559" s="1430"/>
      <c r="AQ559" s="1430"/>
      <c r="AR559" s="1430"/>
      <c r="AS559" s="143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66" t="s">
        <v>2653</v>
      </c>
      <c r="D560" s="1466"/>
      <c r="E560" s="1466"/>
      <c r="F560" s="1466"/>
      <c r="G560" s="1466"/>
      <c r="H560" s="1466"/>
      <c r="I560" s="1466"/>
      <c r="J560" s="1466"/>
      <c r="K560" s="1466"/>
      <c r="L560" s="1466"/>
      <c r="M560" s="1467" t="s">
        <v>2428</v>
      </c>
      <c r="N560" s="1467"/>
      <c r="O560" s="1467"/>
      <c r="P560" s="1467"/>
      <c r="Q560" s="1425"/>
      <c r="R560" s="1426"/>
      <c r="S560" s="1427"/>
      <c r="T560" s="1425"/>
      <c r="U560" s="1426"/>
      <c r="V560" s="1427"/>
      <c r="W560" s="1472"/>
      <c r="X560" s="1473"/>
      <c r="Y560" s="1474"/>
      <c r="Z560" s="1574" t="s">
        <v>1291</v>
      </c>
      <c r="AA560" s="1574"/>
      <c r="AB560" s="1574"/>
      <c r="AC560" s="1574"/>
      <c r="AD560" s="1574"/>
      <c r="AE560" s="1420"/>
      <c r="AF560" s="1421"/>
      <c r="AG560" s="1421"/>
      <c r="AH560" s="1422"/>
      <c r="AI560" s="1469"/>
      <c r="AJ560" s="1470"/>
      <c r="AK560" s="1470"/>
      <c r="AL560" s="1471"/>
      <c r="AM560" s="1429"/>
      <c r="AN560" s="1430"/>
      <c r="AO560" s="1430"/>
      <c r="AP560" s="1430"/>
      <c r="AQ560" s="1430"/>
      <c r="AR560" s="1430"/>
      <c r="AS560" s="143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66"/>
      <c r="D561" s="1466"/>
      <c r="E561" s="1466"/>
      <c r="F561" s="1466"/>
      <c r="G561" s="1466"/>
      <c r="H561" s="1466"/>
      <c r="I561" s="1466"/>
      <c r="J561" s="1466"/>
      <c r="K561" s="1466"/>
      <c r="L561" s="1466"/>
      <c r="M561" s="1467" t="s">
        <v>1291</v>
      </c>
      <c r="N561" s="1467"/>
      <c r="O561" s="1467"/>
      <c r="P561" s="1467"/>
      <c r="Q561" s="1425"/>
      <c r="R561" s="1426"/>
      <c r="S561" s="1427"/>
      <c r="T561" s="1425"/>
      <c r="U561" s="1426"/>
      <c r="V561" s="1427"/>
      <c r="W561" s="1472"/>
      <c r="X561" s="1473"/>
      <c r="Y561" s="1474"/>
      <c r="Z561" s="1574" t="s">
        <v>1291</v>
      </c>
      <c r="AA561" s="1574"/>
      <c r="AB561" s="1574"/>
      <c r="AC561" s="1574"/>
      <c r="AD561" s="1574"/>
      <c r="AE561" s="1420"/>
      <c r="AF561" s="1421"/>
      <c r="AG561" s="1421"/>
      <c r="AH561" s="1422"/>
      <c r="AI561" s="1469"/>
      <c r="AJ561" s="1470"/>
      <c r="AK561" s="1470"/>
      <c r="AL561" s="1471"/>
      <c r="AM561" s="1429"/>
      <c r="AN561" s="1430"/>
      <c r="AO561" s="1430"/>
      <c r="AP561" s="1430"/>
      <c r="AQ561" s="1430"/>
      <c r="AR561" s="1430"/>
      <c r="AS561" s="143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66"/>
      <c r="D562" s="1466"/>
      <c r="E562" s="1466"/>
      <c r="F562" s="1466"/>
      <c r="G562" s="1466"/>
      <c r="H562" s="1466"/>
      <c r="I562" s="1466"/>
      <c r="J562" s="1466"/>
      <c r="K562" s="1466"/>
      <c r="L562" s="1466"/>
      <c r="M562" s="1467" t="s">
        <v>1291</v>
      </c>
      <c r="N562" s="1467"/>
      <c r="O562" s="1467"/>
      <c r="P562" s="1467"/>
      <c r="Q562" s="1425"/>
      <c r="R562" s="1426"/>
      <c r="S562" s="1427"/>
      <c r="T562" s="1425"/>
      <c r="U562" s="1426"/>
      <c r="V562" s="1427"/>
      <c r="W562" s="1472"/>
      <c r="X562" s="1473"/>
      <c r="Y562" s="1474"/>
      <c r="Z562" s="1574" t="s">
        <v>1291</v>
      </c>
      <c r="AA562" s="1574"/>
      <c r="AB562" s="1574"/>
      <c r="AC562" s="1574"/>
      <c r="AD562" s="1574"/>
      <c r="AE562" s="1420"/>
      <c r="AF562" s="1421"/>
      <c r="AG562" s="1421"/>
      <c r="AH562" s="1422"/>
      <c r="AI562" s="1469"/>
      <c r="AJ562" s="1470"/>
      <c r="AK562" s="1470"/>
      <c r="AL562" s="1471"/>
      <c r="AM562" s="1429"/>
      <c r="AN562" s="1430"/>
      <c r="AO562" s="1430"/>
      <c r="AP562" s="1430"/>
      <c r="AQ562" s="1430"/>
      <c r="AR562" s="1430"/>
      <c r="AS562" s="143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66"/>
      <c r="D563" s="1466"/>
      <c r="E563" s="1466"/>
      <c r="F563" s="1466"/>
      <c r="G563" s="1466"/>
      <c r="H563" s="1466"/>
      <c r="I563" s="1466"/>
      <c r="J563" s="1466"/>
      <c r="K563" s="1466"/>
      <c r="L563" s="1466"/>
      <c r="M563" s="1467" t="s">
        <v>1291</v>
      </c>
      <c r="N563" s="1467"/>
      <c r="O563" s="1467"/>
      <c r="P563" s="1467"/>
      <c r="Q563" s="1425"/>
      <c r="R563" s="1426"/>
      <c r="S563" s="1427"/>
      <c r="T563" s="1425"/>
      <c r="U563" s="1426"/>
      <c r="V563" s="1427"/>
      <c r="W563" s="1472"/>
      <c r="X563" s="1473"/>
      <c r="Y563" s="1474"/>
      <c r="Z563" s="1574" t="s">
        <v>1291</v>
      </c>
      <c r="AA563" s="1574"/>
      <c r="AB563" s="1574"/>
      <c r="AC563" s="1574"/>
      <c r="AD563" s="1574"/>
      <c r="AE563" s="1420"/>
      <c r="AF563" s="1421"/>
      <c r="AG563" s="1421"/>
      <c r="AH563" s="1422"/>
      <c r="AI563" s="1469"/>
      <c r="AJ563" s="1470"/>
      <c r="AK563" s="1470"/>
      <c r="AL563" s="1471"/>
      <c r="AM563" s="1429"/>
      <c r="AN563" s="1430"/>
      <c r="AO563" s="1430"/>
      <c r="AP563" s="1430"/>
      <c r="AQ563" s="1430"/>
      <c r="AR563" s="1430"/>
      <c r="AS563" s="143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66"/>
      <c r="D564" s="1466"/>
      <c r="E564" s="1466"/>
      <c r="F564" s="1466"/>
      <c r="G564" s="1466"/>
      <c r="H564" s="1466"/>
      <c r="I564" s="1466"/>
      <c r="J564" s="1466"/>
      <c r="K564" s="1466"/>
      <c r="L564" s="1466"/>
      <c r="M564" s="1467" t="s">
        <v>1291</v>
      </c>
      <c r="N564" s="1467"/>
      <c r="O564" s="1467"/>
      <c r="P564" s="1467"/>
      <c r="Q564" s="1425"/>
      <c r="R564" s="1426"/>
      <c r="S564" s="1427"/>
      <c r="T564" s="1425"/>
      <c r="U564" s="1426"/>
      <c r="V564" s="1427"/>
      <c r="W564" s="1472"/>
      <c r="X564" s="1473"/>
      <c r="Y564" s="1474"/>
      <c r="Z564" s="1574" t="s">
        <v>1291</v>
      </c>
      <c r="AA564" s="1574"/>
      <c r="AB564" s="1574"/>
      <c r="AC564" s="1574"/>
      <c r="AD564" s="1574"/>
      <c r="AE564" s="1420"/>
      <c r="AF564" s="1421"/>
      <c r="AG564" s="1421"/>
      <c r="AH564" s="1422"/>
      <c r="AI564" s="1469"/>
      <c r="AJ564" s="1470"/>
      <c r="AK564" s="1470"/>
      <c r="AL564" s="1471"/>
      <c r="AM564" s="1429"/>
      <c r="AN564" s="1430"/>
      <c r="AO564" s="1430"/>
      <c r="AP564" s="1430"/>
      <c r="AQ564" s="1430"/>
      <c r="AR564" s="1430"/>
      <c r="AS564" s="143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66"/>
      <c r="D565" s="1466"/>
      <c r="E565" s="1466"/>
      <c r="F565" s="1466"/>
      <c r="G565" s="1466"/>
      <c r="H565" s="1466"/>
      <c r="I565" s="1466"/>
      <c r="J565" s="1466"/>
      <c r="K565" s="1466"/>
      <c r="L565" s="1466"/>
      <c r="M565" s="1467" t="s">
        <v>1291</v>
      </c>
      <c r="N565" s="1467"/>
      <c r="O565" s="1467"/>
      <c r="P565" s="1467"/>
      <c r="Q565" s="1425"/>
      <c r="R565" s="1426"/>
      <c r="S565" s="1427"/>
      <c r="T565" s="1425"/>
      <c r="U565" s="1426"/>
      <c r="V565" s="1427"/>
      <c r="W565" s="1472"/>
      <c r="X565" s="1473"/>
      <c r="Y565" s="1474"/>
      <c r="Z565" s="1574" t="s">
        <v>1291</v>
      </c>
      <c r="AA565" s="1574"/>
      <c r="AB565" s="1574"/>
      <c r="AC565" s="1574"/>
      <c r="AD565" s="1574"/>
      <c r="AE565" s="1420"/>
      <c r="AF565" s="1421"/>
      <c r="AG565" s="1421"/>
      <c r="AH565" s="1422"/>
      <c r="AI565" s="1469"/>
      <c r="AJ565" s="1470"/>
      <c r="AK565" s="1470"/>
      <c r="AL565" s="1471"/>
      <c r="AM565" s="1429"/>
      <c r="AN565" s="1430"/>
      <c r="AO565" s="1430"/>
      <c r="AP565" s="1430"/>
      <c r="AQ565" s="1430"/>
      <c r="AR565" s="1430"/>
      <c r="AS565" s="143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596"/>
      <c r="V566" s="1593"/>
      <c r="W566" s="1593"/>
      <c r="X566" s="1593"/>
      <c r="Y566" s="1593"/>
      <c r="Z566" s="1593"/>
      <c r="AA566" s="1593"/>
      <c r="AB566" s="1593"/>
      <c r="AC566" s="1593"/>
      <c r="AD566" s="1593"/>
      <c r="AE566" s="1593"/>
      <c r="AF566" s="1593"/>
      <c r="AG566" s="1593"/>
      <c r="AH566" s="1593"/>
      <c r="AI566" s="1593"/>
      <c r="AJ566" s="1593"/>
      <c r="AK566" s="1593"/>
      <c r="AL566" s="1594"/>
      <c r="AM566" s="1599">
        <f>SUM(AM554:AS565)</f>
        <v>67849527</v>
      </c>
      <c r="AN566" s="1600"/>
      <c r="AO566" s="1600"/>
      <c r="AP566" s="1600"/>
      <c r="AQ566" s="1600"/>
      <c r="AR566" s="1600"/>
      <c r="AS566" s="1601"/>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385" t="str">
        <f>C554</f>
        <v>Citibank, N.A.</v>
      </c>
      <c r="H568" s="1385"/>
      <c r="I568" s="1385"/>
      <c r="J568" s="1385"/>
      <c r="K568" s="1385"/>
      <c r="L568" s="1385"/>
      <c r="M568" s="1385"/>
      <c r="N568" s="1385"/>
      <c r="O568" s="1385"/>
      <c r="P568" s="1385"/>
      <c r="Q568" s="1385"/>
      <c r="R568" s="1385"/>
      <c r="S568" s="8"/>
      <c r="T568" s="55" t="s">
        <v>113</v>
      </c>
      <c r="U568" t="s">
        <v>472</v>
      </c>
      <c r="Z568" s="1385" t="str">
        <f>C555</f>
        <v>Citibank, N.A.</v>
      </c>
      <c r="AA568" s="1385"/>
      <c r="AB568" s="1385"/>
      <c r="AC568" s="1385"/>
      <c r="AD568" s="1385"/>
      <c r="AE568" s="1385"/>
      <c r="AF568" s="1385"/>
      <c r="AG568" s="1385"/>
      <c r="AH568" s="1385"/>
      <c r="AI568" s="1385"/>
      <c r="AJ568" s="1385"/>
      <c r="AK568" s="138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67" t="s">
        <v>2741</v>
      </c>
      <c r="H569" s="1367"/>
      <c r="I569" s="1367"/>
      <c r="J569" s="1367"/>
      <c r="K569" s="1367"/>
      <c r="L569" s="1367"/>
      <c r="M569" s="1367"/>
      <c r="N569" s="1367"/>
      <c r="O569" s="1367"/>
      <c r="P569" s="1367"/>
      <c r="Q569" s="1367"/>
      <c r="R569" s="1367"/>
      <c r="S569" s="8"/>
      <c r="T569" s="22"/>
      <c r="U569" t="s">
        <v>85</v>
      </c>
      <c r="Z569" s="1367" t="s">
        <v>2741</v>
      </c>
      <c r="AA569" s="1367"/>
      <c r="AB569" s="1367"/>
      <c r="AC569" s="1367"/>
      <c r="AD569" s="1367"/>
      <c r="AE569" s="1367"/>
      <c r="AF569" s="1367"/>
      <c r="AG569" s="1367"/>
      <c r="AH569" s="1367"/>
      <c r="AI569" s="1367"/>
      <c r="AJ569" s="1367"/>
      <c r="AK569" s="13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67" t="s">
        <v>503</v>
      </c>
      <c r="H570" s="1367"/>
      <c r="I570" s="1367"/>
      <c r="J570" s="1367"/>
      <c r="K570" s="1367"/>
      <c r="L570" s="1367"/>
      <c r="M570" s="1367"/>
      <c r="N570" s="1367"/>
      <c r="O570" s="1367"/>
      <c r="P570" s="1367"/>
      <c r="Q570" s="1367"/>
      <c r="R570" s="1367"/>
      <c r="T570" s="22"/>
      <c r="U570" t="s">
        <v>589</v>
      </c>
      <c r="Z570" s="1368" t="s">
        <v>503</v>
      </c>
      <c r="AA570" s="1368"/>
      <c r="AB570" s="1368"/>
      <c r="AC570" s="1368"/>
      <c r="AD570" s="1368"/>
      <c r="AE570" s="1368"/>
      <c r="AF570" s="1368"/>
      <c r="AG570" s="1368"/>
      <c r="AH570" s="1368"/>
      <c r="AI570" s="1368"/>
      <c r="AJ570" s="1368"/>
      <c r="AK570" s="136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67" t="s">
        <v>2742</v>
      </c>
      <c r="H571" s="1367"/>
      <c r="I571" s="1367"/>
      <c r="J571" s="1367"/>
      <c r="K571" s="1367"/>
      <c r="L571" s="1367"/>
      <c r="M571" s="1367"/>
      <c r="N571" s="1367"/>
      <c r="O571" s="1367"/>
      <c r="P571" s="1367"/>
      <c r="Q571" s="1367"/>
      <c r="R571" s="1367"/>
      <c r="S571" s="8"/>
      <c r="T571" s="22"/>
      <c r="U571" t="s">
        <v>17</v>
      </c>
      <c r="Z571" s="1368" t="s">
        <v>2742</v>
      </c>
      <c r="AA571" s="1368"/>
      <c r="AB571" s="1368"/>
      <c r="AC571" s="1368"/>
      <c r="AD571" s="1368"/>
      <c r="AE571" s="1368"/>
      <c r="AF571" s="1368"/>
      <c r="AG571" s="1368"/>
      <c r="AH571" s="1368"/>
      <c r="AI571" s="1368"/>
      <c r="AJ571" s="1368"/>
      <c r="AK571" s="136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4">
        <v>8053585673</v>
      </c>
      <c r="H572" s="1384"/>
      <c r="I572" s="1384"/>
      <c r="J572" s="1384"/>
      <c r="K572" s="1384"/>
      <c r="L572" s="1384"/>
      <c r="O572" s="33" t="s">
        <v>207</v>
      </c>
      <c r="P572" s="1510"/>
      <c r="Q572" s="1510"/>
      <c r="R572" s="1510"/>
      <c r="S572" s="10"/>
      <c r="T572" s="22"/>
      <c r="U572" t="s">
        <v>317</v>
      </c>
      <c r="Z572" s="1384">
        <v>8053585673</v>
      </c>
      <c r="AA572" s="1384"/>
      <c r="AB572" s="1384"/>
      <c r="AC572" s="1384"/>
      <c r="AD572" s="1384"/>
      <c r="AE572" s="1384"/>
      <c r="AH572" s="33" t="s">
        <v>207</v>
      </c>
      <c r="AI572" s="1510"/>
      <c r="AJ572" s="1510"/>
      <c r="AK572" s="151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67" t="s">
        <v>2706</v>
      </c>
      <c r="I573" s="1367"/>
      <c r="J573" s="1367"/>
      <c r="K573" s="1367"/>
      <c r="L573" s="1367"/>
      <c r="M573" s="1367"/>
      <c r="N573" s="1367"/>
      <c r="O573" s="1367"/>
      <c r="P573" s="1367"/>
      <c r="Q573" s="1367"/>
      <c r="R573" s="1367"/>
      <c r="S573" s="8"/>
      <c r="T573" s="22"/>
      <c r="U573" t="s">
        <v>18</v>
      </c>
      <c r="AA573" s="1367" t="s">
        <v>2711</v>
      </c>
      <c r="AB573" s="1367"/>
      <c r="AC573" s="1367"/>
      <c r="AD573" s="1367"/>
      <c r="AE573" s="1367"/>
      <c r="AF573" s="1367"/>
      <c r="AG573" s="1367"/>
      <c r="AH573" s="1367"/>
      <c r="AI573" s="1367"/>
      <c r="AJ573" s="1367"/>
      <c r="AK573" s="136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24"/>
      <c r="N574" s="1524"/>
      <c r="O574" s="1524"/>
      <c r="P574" s="1524"/>
      <c r="Q574" s="1524"/>
      <c r="R574" s="1524"/>
      <c r="S574" s="8"/>
      <c r="T574" s="22"/>
      <c r="U574" s="348" t="s">
        <v>1292</v>
      </c>
      <c r="AA574" s="8"/>
      <c r="AB574" s="8"/>
      <c r="AC574" s="8"/>
      <c r="AD574" s="8"/>
      <c r="AE574" s="8"/>
      <c r="AF574" s="1524"/>
      <c r="AG574" s="1524"/>
      <c r="AH574" s="1524"/>
      <c r="AI574" s="1524"/>
      <c r="AJ574" s="1524"/>
      <c r="AK574" s="15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51" t="s">
        <v>554</v>
      </c>
      <c r="O575" s="1451"/>
      <c r="T575" s="22"/>
      <c r="U575" t="s">
        <v>20</v>
      </c>
      <c r="AG575" s="1451" t="s">
        <v>554</v>
      </c>
      <c r="AH575" s="145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385" t="str">
        <f>C556</f>
        <v>Citibank, N.A.</v>
      </c>
      <c r="H577" s="1385"/>
      <c r="I577" s="1385"/>
      <c r="J577" s="1385"/>
      <c r="K577" s="1385"/>
      <c r="L577" s="1385"/>
      <c r="M577" s="1385"/>
      <c r="N577" s="1385"/>
      <c r="O577" s="1385"/>
      <c r="P577" s="1385"/>
      <c r="Q577" s="1385"/>
      <c r="R577" s="1385"/>
      <c r="T577" s="55" t="s">
        <v>590</v>
      </c>
      <c r="U577" t="s">
        <v>472</v>
      </c>
      <c r="Z577" s="1385" t="str">
        <f>C557</f>
        <v>WNC &amp; Associates</v>
      </c>
      <c r="AA577" s="1385"/>
      <c r="AB577" s="1385"/>
      <c r="AC577" s="1385"/>
      <c r="AD577" s="1385"/>
      <c r="AE577" s="1385"/>
      <c r="AF577" s="1385"/>
      <c r="AG577" s="1385"/>
      <c r="AH577" s="1385"/>
      <c r="AI577" s="1385"/>
      <c r="AJ577" s="1385"/>
      <c r="AK577" s="138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67" t="s">
        <v>2741</v>
      </c>
      <c r="H578" s="1367"/>
      <c r="I578" s="1367"/>
      <c r="J578" s="1367"/>
      <c r="K578" s="1367"/>
      <c r="L578" s="1367"/>
      <c r="M578" s="1367"/>
      <c r="N578" s="1367"/>
      <c r="O578" s="1367"/>
      <c r="P578" s="1367"/>
      <c r="Q578" s="1367"/>
      <c r="R578" s="1367"/>
      <c r="T578" s="22"/>
      <c r="U578" t="s">
        <v>85</v>
      </c>
      <c r="Z578" s="1367" t="s">
        <v>2738</v>
      </c>
      <c r="AA578" s="1367"/>
      <c r="AB578" s="1367"/>
      <c r="AC578" s="1367"/>
      <c r="AD578" s="1367"/>
      <c r="AE578" s="1367"/>
      <c r="AF578" s="1367"/>
      <c r="AG578" s="1367"/>
      <c r="AH578" s="1367"/>
      <c r="AI578" s="1367"/>
      <c r="AJ578" s="1367"/>
      <c r="AK578" s="13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68" t="s">
        <v>503</v>
      </c>
      <c r="H579" s="1368"/>
      <c r="I579" s="1368"/>
      <c r="J579" s="1368"/>
      <c r="K579" s="1368"/>
      <c r="L579" s="1368"/>
      <c r="M579" s="1368"/>
      <c r="N579" s="1368"/>
      <c r="O579" s="1368"/>
      <c r="P579" s="1368"/>
      <c r="Q579" s="1368"/>
      <c r="R579" s="1368"/>
      <c r="T579" s="22"/>
      <c r="U579" t="s">
        <v>589</v>
      </c>
      <c r="Z579" s="1368" t="s">
        <v>2740</v>
      </c>
      <c r="AA579" s="1368"/>
      <c r="AB579" s="1368"/>
      <c r="AC579" s="1368"/>
      <c r="AD579" s="1368"/>
      <c r="AE579" s="1368"/>
      <c r="AF579" s="1368"/>
      <c r="AG579" s="1368"/>
      <c r="AH579" s="1368"/>
      <c r="AI579" s="1368"/>
      <c r="AJ579" s="1368"/>
      <c r="AK579" s="136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68" t="s">
        <v>2742</v>
      </c>
      <c r="H580" s="1368"/>
      <c r="I580" s="1368"/>
      <c r="J580" s="1368"/>
      <c r="K580" s="1368"/>
      <c r="L580" s="1368"/>
      <c r="M580" s="1368"/>
      <c r="N580" s="1368"/>
      <c r="O580" s="1368"/>
      <c r="P580" s="1368"/>
      <c r="Q580" s="1368"/>
      <c r="R580" s="1368"/>
      <c r="T580" s="22"/>
      <c r="U580" t="s">
        <v>17</v>
      </c>
      <c r="Z580" s="1368" t="s">
        <v>2736</v>
      </c>
      <c r="AA580" s="1368"/>
      <c r="AB580" s="1368"/>
      <c r="AC580" s="1368"/>
      <c r="AD580" s="1368"/>
      <c r="AE580" s="1368"/>
      <c r="AF580" s="1368"/>
      <c r="AG580" s="1368"/>
      <c r="AH580" s="1368"/>
      <c r="AI580" s="1368"/>
      <c r="AJ580" s="1368"/>
      <c r="AK580" s="136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4">
        <v>8053585673</v>
      </c>
      <c r="H581" s="1384"/>
      <c r="I581" s="1384"/>
      <c r="J581" s="1384"/>
      <c r="K581" s="1384"/>
      <c r="L581" s="1384"/>
      <c r="O581" s="33" t="s">
        <v>207</v>
      </c>
      <c r="P581" s="1510"/>
      <c r="Q581" s="1510"/>
      <c r="R581" s="1510"/>
      <c r="T581" s="22"/>
      <c r="U581" t="s">
        <v>317</v>
      </c>
      <c r="Z581" s="1384">
        <v>9494392616</v>
      </c>
      <c r="AA581" s="1384"/>
      <c r="AB581" s="1384"/>
      <c r="AC581" s="1384"/>
      <c r="AD581" s="1384"/>
      <c r="AE581" s="1384"/>
      <c r="AH581" s="33" t="s">
        <v>207</v>
      </c>
      <c r="AI581" s="1510"/>
      <c r="AJ581" s="1510"/>
      <c r="AK581" s="15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67" t="s">
        <v>2709</v>
      </c>
      <c r="I582" s="1367"/>
      <c r="J582" s="1367"/>
      <c r="K582" s="1367"/>
      <c r="L582" s="1367"/>
      <c r="M582" s="1367"/>
      <c r="N582" s="1367"/>
      <c r="O582" s="1367"/>
      <c r="P582" s="1367"/>
      <c r="Q582" s="1367"/>
      <c r="R582" s="1367"/>
      <c r="T582" s="22"/>
      <c r="U582" t="s">
        <v>18</v>
      </c>
      <c r="AA582" s="1367" t="s">
        <v>2710</v>
      </c>
      <c r="AB582" s="1367"/>
      <c r="AC582" s="1367"/>
      <c r="AD582" s="1367"/>
      <c r="AE582" s="1367"/>
      <c r="AF582" s="1367"/>
      <c r="AG582" s="1367"/>
      <c r="AH582" s="1367"/>
      <c r="AI582" s="1367"/>
      <c r="AJ582" s="1367"/>
      <c r="AK582" s="13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51" t="s">
        <v>554</v>
      </c>
      <c r="O583" s="1451"/>
      <c r="T583" s="22"/>
      <c r="U583" t="s">
        <v>20</v>
      </c>
      <c r="AG583" s="1451" t="s">
        <v>554</v>
      </c>
      <c r="AH583" s="145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385" t="str">
        <f>C558</f>
        <v>Adarte LLC</v>
      </c>
      <c r="H585" s="1385"/>
      <c r="I585" s="1385"/>
      <c r="J585" s="1385"/>
      <c r="K585" s="1385"/>
      <c r="L585" s="1385"/>
      <c r="M585" s="1385"/>
      <c r="N585" s="1385"/>
      <c r="O585" s="1385"/>
      <c r="P585" s="1385"/>
      <c r="Q585" s="1385"/>
      <c r="R585" s="1385"/>
      <c r="T585" s="55" t="s">
        <v>593</v>
      </c>
      <c r="U585" t="s">
        <v>472</v>
      </c>
      <c r="Z585" s="1385" t="str">
        <f>C559</f>
        <v>Adarte LLC</v>
      </c>
      <c r="AA585" s="1385"/>
      <c r="AB585" s="1385"/>
      <c r="AC585" s="1385"/>
      <c r="AD585" s="1385"/>
      <c r="AE585" s="1385"/>
      <c r="AF585" s="1385"/>
      <c r="AG585" s="1385"/>
      <c r="AH585" s="1385"/>
      <c r="AI585" s="1385"/>
      <c r="AJ585" s="1385"/>
      <c r="AK585" s="138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67" t="s">
        <v>2707</v>
      </c>
      <c r="H586" s="1367"/>
      <c r="I586" s="1367"/>
      <c r="J586" s="1367"/>
      <c r="K586" s="1367"/>
      <c r="L586" s="1367"/>
      <c r="M586" s="1367"/>
      <c r="N586" s="1367"/>
      <c r="O586" s="1367"/>
      <c r="P586" s="1367"/>
      <c r="Q586" s="1367"/>
      <c r="R586" s="1367"/>
      <c r="T586" s="22"/>
      <c r="U586" t="s">
        <v>85</v>
      </c>
      <c r="Z586" s="1367" t="s">
        <v>2707</v>
      </c>
      <c r="AA586" s="1367"/>
      <c r="AB586" s="1367"/>
      <c r="AC586" s="1367"/>
      <c r="AD586" s="1367"/>
      <c r="AE586" s="1367"/>
      <c r="AF586" s="1367"/>
      <c r="AG586" s="1367"/>
      <c r="AH586" s="1367"/>
      <c r="AI586" s="1367"/>
      <c r="AJ586" s="1367"/>
      <c r="AK586" s="13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67" t="s">
        <v>2644</v>
      </c>
      <c r="H587" s="1367"/>
      <c r="I587" s="1367"/>
      <c r="J587" s="1367"/>
      <c r="K587" s="1367"/>
      <c r="L587" s="1367"/>
      <c r="M587" s="1367"/>
      <c r="N587" s="1367"/>
      <c r="O587" s="1367"/>
      <c r="P587" s="1367"/>
      <c r="Q587" s="1367"/>
      <c r="R587" s="1367"/>
      <c r="T587" s="22"/>
      <c r="U587" t="s">
        <v>589</v>
      </c>
      <c r="Z587" s="1368" t="s">
        <v>2644</v>
      </c>
      <c r="AA587" s="1368"/>
      <c r="AB587" s="1368"/>
      <c r="AC587" s="1368"/>
      <c r="AD587" s="1368"/>
      <c r="AE587" s="1368"/>
      <c r="AF587" s="1368"/>
      <c r="AG587" s="1368"/>
      <c r="AH587" s="1368"/>
      <c r="AI587" s="1368"/>
      <c r="AJ587" s="1368"/>
      <c r="AK587" s="136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67" t="s">
        <v>2728</v>
      </c>
      <c r="H588" s="1367"/>
      <c r="I588" s="1367"/>
      <c r="J588" s="1367"/>
      <c r="K588" s="1367"/>
      <c r="L588" s="1367"/>
      <c r="M588" s="1367"/>
      <c r="N588" s="1367"/>
      <c r="O588" s="1367"/>
      <c r="P588" s="1367"/>
      <c r="Q588" s="1367"/>
      <c r="R588" s="1367"/>
      <c r="T588" s="22"/>
      <c r="U588" t="s">
        <v>17</v>
      </c>
      <c r="Z588" s="1368" t="s">
        <v>2728</v>
      </c>
      <c r="AA588" s="1368"/>
      <c r="AB588" s="1368"/>
      <c r="AC588" s="1368"/>
      <c r="AD588" s="1368"/>
      <c r="AE588" s="1368"/>
      <c r="AF588" s="1368"/>
      <c r="AG588" s="1368"/>
      <c r="AH588" s="1368"/>
      <c r="AI588" s="1368"/>
      <c r="AJ588" s="1368"/>
      <c r="AK588" s="1368"/>
    </row>
    <row r="589" spans="1:110" ht="12.95" customHeight="1">
      <c r="A589" s="22"/>
      <c r="B589" t="s">
        <v>317</v>
      </c>
      <c r="G589" s="1384">
        <v>9167830330</v>
      </c>
      <c r="H589" s="1384"/>
      <c r="I589" s="1384"/>
      <c r="J589" s="1384"/>
      <c r="K589" s="1384"/>
      <c r="L589" s="1384"/>
      <c r="O589" s="33" t="s">
        <v>207</v>
      </c>
      <c r="P589" s="1510"/>
      <c r="Q589" s="1510"/>
      <c r="R589" s="1510"/>
      <c r="T589" s="22"/>
      <c r="U589" t="s">
        <v>317</v>
      </c>
      <c r="Z589" s="1384">
        <v>9167830330</v>
      </c>
      <c r="AA589" s="1384"/>
      <c r="AB589" s="1384"/>
      <c r="AC589" s="1384"/>
      <c r="AD589" s="1384"/>
      <c r="AE589" s="1384"/>
      <c r="AH589" s="33" t="s">
        <v>207</v>
      </c>
      <c r="AI589" s="1510"/>
      <c r="AJ589" s="1510"/>
      <c r="AK589" s="15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67" t="s">
        <v>2708</v>
      </c>
      <c r="I590" s="1367"/>
      <c r="J590" s="1367"/>
      <c r="K590" s="1367"/>
      <c r="L590" s="1367"/>
      <c r="M590" s="1367"/>
      <c r="N590" s="1367"/>
      <c r="O590" s="1367"/>
      <c r="P590" s="1367"/>
      <c r="Q590" s="1367"/>
      <c r="R590" s="1367"/>
      <c r="T590" s="22"/>
      <c r="U590" t="s">
        <v>18</v>
      </c>
      <c r="AA590" s="1367" t="s">
        <v>1852</v>
      </c>
      <c r="AB590" s="1367"/>
      <c r="AC590" s="1367"/>
      <c r="AD590" s="1367"/>
      <c r="AE590" s="1367"/>
      <c r="AF590" s="1367"/>
      <c r="AG590" s="1367"/>
      <c r="AH590" s="1367"/>
      <c r="AI590" s="1367"/>
      <c r="AJ590" s="1367"/>
      <c r="AK590" s="13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51" t="s">
        <v>554</v>
      </c>
      <c r="O591" s="1451"/>
      <c r="T591" s="22"/>
      <c r="U591" t="s">
        <v>20</v>
      </c>
      <c r="AG591" s="1451" t="s">
        <v>554</v>
      </c>
      <c r="AH591" s="145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385" t="str">
        <f>C560</f>
        <v>Adarte LLC</v>
      </c>
      <c r="H593" s="1385"/>
      <c r="I593" s="1385"/>
      <c r="J593" s="1385"/>
      <c r="K593" s="1385"/>
      <c r="L593" s="1385"/>
      <c r="M593" s="1385"/>
      <c r="N593" s="1385"/>
      <c r="O593" s="1385"/>
      <c r="P593" s="1385"/>
      <c r="Q593" s="1385"/>
      <c r="R593" s="1385"/>
      <c r="T593" s="55" t="s">
        <v>465</v>
      </c>
      <c r="U593" t="s">
        <v>472</v>
      </c>
      <c r="Z593" s="1385">
        <f>C561</f>
        <v>0</v>
      </c>
      <c r="AA593" s="1385"/>
      <c r="AB593" s="1385"/>
      <c r="AC593" s="1385"/>
      <c r="AD593" s="1385"/>
      <c r="AE593" s="1385"/>
      <c r="AF593" s="1385"/>
      <c r="AG593" s="1385"/>
      <c r="AH593" s="1385"/>
      <c r="AI593" s="1385"/>
      <c r="AJ593" s="1385"/>
      <c r="AK593" s="138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67" t="s">
        <v>2707</v>
      </c>
      <c r="H594" s="1367"/>
      <c r="I594" s="1367"/>
      <c r="J594" s="1367"/>
      <c r="K594" s="1367"/>
      <c r="L594" s="1367"/>
      <c r="M594" s="1367"/>
      <c r="N594" s="1367"/>
      <c r="O594" s="1367"/>
      <c r="P594" s="1367"/>
      <c r="Q594" s="1367"/>
      <c r="R594" s="1367"/>
      <c r="S594"/>
      <c r="T594" s="22"/>
      <c r="U594" t="s">
        <v>85</v>
      </c>
      <c r="V594"/>
      <c r="W594"/>
      <c r="X594"/>
      <c r="Y594"/>
      <c r="Z594" s="1367"/>
      <c r="AA594" s="1367"/>
      <c r="AB594" s="1367"/>
      <c r="AC594" s="1367"/>
      <c r="AD594" s="1367"/>
      <c r="AE594" s="1367"/>
      <c r="AF594" s="1367"/>
      <c r="AG594" s="1367"/>
      <c r="AH594" s="1367"/>
      <c r="AI594" s="1367"/>
      <c r="AJ594" s="1367"/>
      <c r="AK594" s="13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67" t="s">
        <v>2644</v>
      </c>
      <c r="H595" s="1367"/>
      <c r="I595" s="1367"/>
      <c r="J595" s="1367"/>
      <c r="K595" s="1367"/>
      <c r="L595" s="1367"/>
      <c r="M595" s="1367"/>
      <c r="N595" s="1367"/>
      <c r="O595" s="1367"/>
      <c r="P595" s="1367"/>
      <c r="Q595" s="1367"/>
      <c r="R595" s="1367"/>
      <c r="S595"/>
      <c r="T595" s="22"/>
      <c r="U595" t="s">
        <v>589</v>
      </c>
      <c r="V595"/>
      <c r="W595"/>
      <c r="X595"/>
      <c r="Y595"/>
      <c r="Z595" s="1368"/>
      <c r="AA595" s="1368"/>
      <c r="AB595" s="1368"/>
      <c r="AC595" s="1368"/>
      <c r="AD595" s="1368"/>
      <c r="AE595" s="1368"/>
      <c r="AF595" s="1368"/>
      <c r="AG595" s="1368"/>
      <c r="AH595" s="1368"/>
      <c r="AI595" s="1368"/>
      <c r="AJ595" s="1368"/>
      <c r="AK595" s="136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67" t="s">
        <v>2728</v>
      </c>
      <c r="H596" s="1367"/>
      <c r="I596" s="1367"/>
      <c r="J596" s="1367"/>
      <c r="K596" s="1367"/>
      <c r="L596" s="1367"/>
      <c r="M596" s="1367"/>
      <c r="N596" s="1367"/>
      <c r="O596" s="1367"/>
      <c r="P596" s="1367"/>
      <c r="Q596" s="1367"/>
      <c r="R596" s="1367"/>
      <c r="S596"/>
      <c r="T596" s="22"/>
      <c r="U596" t="s">
        <v>17</v>
      </c>
      <c r="V596"/>
      <c r="W596"/>
      <c r="X596"/>
      <c r="Y596"/>
      <c r="Z596" s="1368"/>
      <c r="AA596" s="1368"/>
      <c r="AB596" s="1368"/>
      <c r="AC596" s="1368"/>
      <c r="AD596" s="1368"/>
      <c r="AE596" s="1368"/>
      <c r="AF596" s="1368"/>
      <c r="AG596" s="1368"/>
      <c r="AH596" s="1368"/>
      <c r="AI596" s="1368"/>
      <c r="AJ596" s="1368"/>
      <c r="AK596" s="1368"/>
      <c r="AL596"/>
      <c r="AM596"/>
      <c r="AN596"/>
      <c r="AO596"/>
      <c r="AP596"/>
      <c r="AQ596"/>
      <c r="AR596"/>
      <c r="AS596"/>
      <c r="AT596"/>
      <c r="AU596"/>
      <c r="AV596"/>
      <c r="AW596"/>
      <c r="AX596"/>
      <c r="AY596"/>
      <c r="BA596" s="4" t="s">
        <v>325</v>
      </c>
      <c r="BB596" s="3"/>
      <c r="BC596" s="3"/>
      <c r="BD596" s="3"/>
      <c r="BE596" s="121" t="s">
        <v>483</v>
      </c>
      <c r="BF596" s="122"/>
      <c r="BG596" s="1511"/>
      <c r="BH596" s="1512"/>
      <c r="BI596" s="121" t="s">
        <v>484</v>
      </c>
      <c r="BJ596" s="122"/>
      <c r="BK596" s="1511"/>
      <c r="BL596" s="1512"/>
      <c r="BM596" s="3"/>
      <c r="BN596" s="1520" t="s">
        <v>642</v>
      </c>
      <c r="BO596" s="1521"/>
      <c r="BP596" s="1521"/>
      <c r="BQ596" s="1521"/>
      <c r="BR596" s="1522"/>
      <c r="BS596" s="1519" t="s">
        <v>326</v>
      </c>
      <c r="BT596" s="1519"/>
      <c r="BU596" s="1519"/>
      <c r="BV596" s="1519"/>
      <c r="BW596" s="1519"/>
      <c r="BX596" s="1519" t="s">
        <v>163</v>
      </c>
      <c r="BY596" s="1519"/>
      <c r="BZ596" s="1519"/>
      <c r="CA596" s="1519"/>
      <c r="CB596" s="1519"/>
      <c r="CC596" s="1519" t="s">
        <v>164</v>
      </c>
      <c r="CD596" s="1519"/>
      <c r="CE596" s="1519"/>
      <c r="CF596" s="1519"/>
      <c r="CG596" s="1519"/>
      <c r="CH596" s="1519" t="s">
        <v>469</v>
      </c>
      <c r="CI596" s="1519"/>
      <c r="CJ596" s="1519"/>
      <c r="CK596" s="1519"/>
      <c r="CL596" s="1519"/>
      <c r="CM596" s="1519" t="s">
        <v>30</v>
      </c>
      <c r="CN596" s="1519"/>
      <c r="CO596" s="1519"/>
      <c r="CP596" s="1519"/>
      <c r="CQ596" s="1519"/>
      <c r="CR596" s="89"/>
      <c r="CS596" s="1519" t="s">
        <v>642</v>
      </c>
      <c r="CT596" s="1519"/>
      <c r="CU596" s="1519"/>
      <c r="CV596" s="1519"/>
      <c r="CW596" s="1519"/>
      <c r="CX596" s="1519" t="s">
        <v>326</v>
      </c>
      <c r="CY596" s="1519"/>
      <c r="CZ596" s="1519"/>
      <c r="DA596" s="1519"/>
      <c r="DB596" s="1519"/>
      <c r="DC596" s="1519" t="s">
        <v>163</v>
      </c>
      <c r="DD596" s="1519"/>
      <c r="DE596" s="1519"/>
      <c r="DF596" s="1519"/>
      <c r="DG596" s="1519"/>
      <c r="DH596" s="1519" t="s">
        <v>164</v>
      </c>
      <c r="DI596" s="1519"/>
      <c r="DJ596" s="1519"/>
      <c r="DK596" s="1519"/>
      <c r="DL596" s="1519"/>
      <c r="DM596" s="1519" t="s">
        <v>469</v>
      </c>
      <c r="DN596" s="1519"/>
      <c r="DO596" s="1519"/>
      <c r="DP596" s="1519"/>
      <c r="DQ596" s="1519"/>
      <c r="DR596" s="1519" t="s">
        <v>30</v>
      </c>
      <c r="DS596" s="1519"/>
      <c r="DT596" s="1519"/>
      <c r="DU596" s="1519"/>
      <c r="DV596" s="1519"/>
      <c r="DX596" s="1519" t="s">
        <v>642</v>
      </c>
      <c r="DY596" s="1519"/>
      <c r="DZ596" s="1519"/>
      <c r="EA596" s="1519"/>
      <c r="EB596" s="1519"/>
      <c r="EC596" s="1519" t="s">
        <v>326</v>
      </c>
      <c r="ED596" s="1519"/>
      <c r="EE596" s="1519"/>
      <c r="EF596" s="1519"/>
      <c r="EG596" s="1519"/>
      <c r="EH596" s="1519" t="s">
        <v>163</v>
      </c>
      <c r="EI596" s="1519"/>
      <c r="EJ596" s="1519"/>
      <c r="EK596" s="1519"/>
      <c r="EL596" s="1519"/>
      <c r="EM596" s="1519" t="s">
        <v>164</v>
      </c>
      <c r="EN596" s="1519"/>
      <c r="EO596" s="1519"/>
      <c r="EP596" s="1519"/>
      <c r="EQ596" s="1519"/>
      <c r="ER596" s="1519" t="s">
        <v>469</v>
      </c>
      <c r="ES596" s="1519"/>
      <c r="ET596" s="1519"/>
      <c r="EU596" s="1519"/>
      <c r="EV596" s="1519"/>
      <c r="EW596" s="1519" t="s">
        <v>30</v>
      </c>
      <c r="EX596" s="1519"/>
      <c r="EY596" s="1519"/>
      <c r="EZ596" s="1519"/>
      <c r="FA596" s="1519"/>
    </row>
    <row r="597" spans="1:157" s="4" customFormat="1" ht="12.95" customHeight="1">
      <c r="A597" s="22"/>
      <c r="B597" t="s">
        <v>317</v>
      </c>
      <c r="C597"/>
      <c r="D597"/>
      <c r="E597"/>
      <c r="F597"/>
      <c r="G597" s="1384">
        <v>9167830330</v>
      </c>
      <c r="H597" s="1384"/>
      <c r="I597" s="1384"/>
      <c r="J597" s="1384"/>
      <c r="K597" s="1384"/>
      <c r="L597" s="1384"/>
      <c r="M597"/>
      <c r="N597"/>
      <c r="O597" s="33" t="s">
        <v>207</v>
      </c>
      <c r="P597" s="1510"/>
      <c r="Q597" s="1510"/>
      <c r="R597" s="1510"/>
      <c r="S597"/>
      <c r="T597" s="22"/>
      <c r="U597" t="s">
        <v>317</v>
      </c>
      <c r="V597"/>
      <c r="W597"/>
      <c r="X597"/>
      <c r="Y597"/>
      <c r="Z597" s="1384"/>
      <c r="AA597" s="1384"/>
      <c r="AB597" s="1384"/>
      <c r="AC597" s="1384"/>
      <c r="AD597" s="1384"/>
      <c r="AE597" s="1384"/>
      <c r="AF597"/>
      <c r="AG597"/>
      <c r="AH597" s="33" t="s">
        <v>207</v>
      </c>
      <c r="AI597" s="1510"/>
      <c r="AJ597" s="1510"/>
      <c r="AK597" s="1510"/>
      <c r="AL597"/>
      <c r="AM597"/>
      <c r="AN597"/>
      <c r="AO597"/>
      <c r="AP597"/>
      <c r="AQ597"/>
      <c r="AR597"/>
      <c r="AS597"/>
      <c r="AT597"/>
      <c r="AU597"/>
      <c r="AV597"/>
      <c r="AW597"/>
      <c r="AX597"/>
      <c r="AY597"/>
      <c r="BA597" s="4" t="s">
        <v>326</v>
      </c>
      <c r="BB597" s="3"/>
      <c r="BC597" s="3"/>
      <c r="BD597" s="3"/>
      <c r="BE597" s="1387">
        <f t="shared" ref="BE597:BE631" si="1">IF(AND(AC718&lt;=0.5,AC718&gt;=0.36),1,0)</f>
        <v>0</v>
      </c>
      <c r="BF597" s="1389"/>
      <c r="BG597" s="1511">
        <f t="shared" ref="BG597:BG631" si="2">IF(BE597=1,G718,0)</f>
        <v>0</v>
      </c>
      <c r="BH597" s="1512"/>
      <c r="BI597" s="1387">
        <f t="shared" ref="BI597:BI631" si="3">IF(AND(AC718&lt;=0.35,AC718&gt;0),1,0)</f>
        <v>1</v>
      </c>
      <c r="BJ597" s="1389"/>
      <c r="BK597" s="1511">
        <f t="shared" ref="BK597:BK631" si="4">IF(BI597=1,G718,0)</f>
        <v>5</v>
      </c>
      <c r="BL597" s="1512"/>
      <c r="BM597" s="3"/>
      <c r="BN597" s="1393">
        <f t="shared" ref="BN597:BN631" si="5">IF(B718="SRO/Studio",G718,0)</f>
        <v>0</v>
      </c>
      <c r="BO597" s="1394"/>
      <c r="BP597" s="1394"/>
      <c r="BQ597" s="1394"/>
      <c r="BR597" s="1395"/>
      <c r="BS597" s="1392">
        <f t="shared" ref="BS597:BS631" si="6">IF(B718="1 Bedroom",G718,0)</f>
        <v>5</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0</v>
      </c>
      <c r="CT597" s="1391"/>
      <c r="CU597" s="1391"/>
      <c r="CV597" s="1391"/>
      <c r="CW597" s="1391"/>
      <c r="CX597" s="1391">
        <f t="shared" ref="CX597:CX631" si="12">IF(AND(B718="1 Bedroom",AC718&lt;=0.3),G718,0)</f>
        <v>5</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7" t="str">
        <f t="shared" ref="DX597:DX631" si="17">IF(BN597&gt;0,O718,"")</f>
        <v/>
      </c>
      <c r="DY597" s="1388"/>
      <c r="DZ597" s="1388"/>
      <c r="EA597" s="1388"/>
      <c r="EB597" s="1389"/>
      <c r="EC597" s="1387">
        <f t="shared" ref="EC597:EC631" si="18">IF(BS597&gt;0,O718,"")</f>
        <v>555</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2.95" customHeight="1">
      <c r="A598" s="22"/>
      <c r="B598" t="s">
        <v>18</v>
      </c>
      <c r="C598"/>
      <c r="D598"/>
      <c r="E598"/>
      <c r="F598"/>
      <c r="G598"/>
      <c r="H598" s="1367" t="s">
        <v>2734</v>
      </c>
      <c r="I598" s="1367"/>
      <c r="J598" s="1367"/>
      <c r="K598" s="1367"/>
      <c r="L598" s="1367"/>
      <c r="M598" s="1367"/>
      <c r="N598" s="1367"/>
      <c r="O598" s="1367"/>
      <c r="P598" s="1367"/>
      <c r="Q598" s="1367"/>
      <c r="R598" s="1367"/>
      <c r="S598"/>
      <c r="T598" s="22"/>
      <c r="U598" t="s">
        <v>18</v>
      </c>
      <c r="V598"/>
      <c r="W598"/>
      <c r="X598"/>
      <c r="Y598"/>
      <c r="Z598"/>
      <c r="AA598" s="1367"/>
      <c r="AB598" s="1367"/>
      <c r="AC598" s="1367"/>
      <c r="AD598" s="1367"/>
      <c r="AE598" s="1367"/>
      <c r="AF598" s="1367"/>
      <c r="AG598" s="1367"/>
      <c r="AH598" s="1367"/>
      <c r="AI598" s="1367"/>
      <c r="AJ598" s="1367"/>
      <c r="AK598" s="1367"/>
      <c r="AL598"/>
      <c r="AM598"/>
      <c r="AN598"/>
      <c r="AO598"/>
      <c r="AP598"/>
      <c r="AQ598"/>
      <c r="AR598"/>
      <c r="AS598"/>
      <c r="AT598"/>
      <c r="AU598"/>
      <c r="AV598"/>
      <c r="AW598"/>
      <c r="AX598"/>
      <c r="AY598"/>
      <c r="BA598" s="4" t="s">
        <v>163</v>
      </c>
      <c r="BB598" s="3"/>
      <c r="BC598" s="3"/>
      <c r="BD598" s="3"/>
      <c r="BE598" s="1387">
        <f t="shared" si="1"/>
        <v>1</v>
      </c>
      <c r="BF598" s="1389"/>
      <c r="BG598" s="1511">
        <f t="shared" si="2"/>
        <v>27</v>
      </c>
      <c r="BH598" s="1512"/>
      <c r="BI598" s="1387">
        <f t="shared" si="3"/>
        <v>0</v>
      </c>
      <c r="BJ598" s="1389"/>
      <c r="BK598" s="1511">
        <f t="shared" si="4"/>
        <v>0</v>
      </c>
      <c r="BL598" s="1512"/>
      <c r="BM598" s="3"/>
      <c r="BN598" s="1393">
        <f t="shared" si="5"/>
        <v>0</v>
      </c>
      <c r="BO598" s="1394"/>
      <c r="BP598" s="1394"/>
      <c r="BQ598" s="1394"/>
      <c r="BR598" s="1395"/>
      <c r="BS598" s="1392">
        <f t="shared" si="6"/>
        <v>27</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7" t="str">
        <f t="shared" si="17"/>
        <v/>
      </c>
      <c r="DY598" s="1388"/>
      <c r="DZ598" s="1388"/>
      <c r="EA598" s="1388"/>
      <c r="EB598" s="1389"/>
      <c r="EC598" s="1387">
        <f t="shared" si="18"/>
        <v>957</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2.95" customHeight="1">
      <c r="A599" s="22"/>
      <c r="B599" t="s">
        <v>20</v>
      </c>
      <c r="N599" s="1451" t="s">
        <v>554</v>
      </c>
      <c r="O599" s="1451"/>
      <c r="T599" s="22"/>
      <c r="U599" t="s">
        <v>20</v>
      </c>
      <c r="AG599" s="1451" t="s">
        <v>678</v>
      </c>
      <c r="AH599" s="1451"/>
      <c r="BA599" s="4" t="s">
        <v>164</v>
      </c>
      <c r="BB599" s="3"/>
      <c r="BC599" s="3"/>
      <c r="BD599" s="3"/>
      <c r="BE599" s="1387">
        <f t="shared" si="1"/>
        <v>0</v>
      </c>
      <c r="BF599" s="1389"/>
      <c r="BG599" s="1511">
        <f t="shared" si="2"/>
        <v>0</v>
      </c>
      <c r="BH599" s="1512"/>
      <c r="BI599" s="1387">
        <f t="shared" si="3"/>
        <v>0</v>
      </c>
      <c r="BJ599" s="1389"/>
      <c r="BK599" s="1511">
        <f t="shared" si="4"/>
        <v>0</v>
      </c>
      <c r="BL599" s="1512"/>
      <c r="BM599" s="3"/>
      <c r="BN599" s="1393">
        <f t="shared" si="5"/>
        <v>0</v>
      </c>
      <c r="BO599" s="1394"/>
      <c r="BP599" s="1394"/>
      <c r="BQ599" s="1394"/>
      <c r="BR599" s="1395"/>
      <c r="BS599" s="1392">
        <f t="shared" si="6"/>
        <v>13</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7" t="str">
        <f t="shared" si="17"/>
        <v/>
      </c>
      <c r="DY599" s="1388"/>
      <c r="DZ599" s="1388"/>
      <c r="EA599" s="1388"/>
      <c r="EB599" s="1389"/>
      <c r="EC599" s="1387">
        <f t="shared" si="18"/>
        <v>1158</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2.95" customHeight="1">
      <c r="A600" s="22"/>
      <c r="T600" s="22"/>
      <c r="BA600" s="4" t="s">
        <v>165</v>
      </c>
      <c r="BB600" s="3"/>
      <c r="BC600" s="3"/>
      <c r="BD600" s="3"/>
      <c r="BE600" s="1387">
        <f t="shared" si="1"/>
        <v>0</v>
      </c>
      <c r="BF600" s="1389"/>
      <c r="BG600" s="1511">
        <f t="shared" si="2"/>
        <v>0</v>
      </c>
      <c r="BH600" s="1512"/>
      <c r="BI600" s="1387">
        <f t="shared" si="3"/>
        <v>0</v>
      </c>
      <c r="BJ600" s="1389"/>
      <c r="BK600" s="1511">
        <f t="shared" si="4"/>
        <v>0</v>
      </c>
      <c r="BL600" s="1512"/>
      <c r="BM600" s="3"/>
      <c r="BN600" s="1393">
        <f t="shared" si="5"/>
        <v>0</v>
      </c>
      <c r="BO600" s="1394"/>
      <c r="BP600" s="1394"/>
      <c r="BQ600" s="1394"/>
      <c r="BR600" s="1395"/>
      <c r="BS600" s="1392">
        <f t="shared" si="6"/>
        <v>5</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7" t="str">
        <f t="shared" si="17"/>
        <v/>
      </c>
      <c r="DY600" s="1388"/>
      <c r="DZ600" s="1388"/>
      <c r="EA600" s="1388"/>
      <c r="EB600" s="1389"/>
      <c r="EC600" s="1387">
        <f t="shared" si="18"/>
        <v>1561</v>
      </c>
      <c r="ED600" s="1388"/>
      <c r="EE600" s="1388"/>
      <c r="EF600" s="1388"/>
      <c r="EG600" s="1389"/>
      <c r="EH600" s="1387" t="str">
        <f t="shared" si="19"/>
        <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2.95" customHeight="1">
      <c r="A601" s="55" t="s">
        <v>470</v>
      </c>
      <c r="B601" t="s">
        <v>472</v>
      </c>
      <c r="G601" s="1385">
        <f>C562</f>
        <v>0</v>
      </c>
      <c r="H601" s="1385"/>
      <c r="I601" s="1385"/>
      <c r="J601" s="1385"/>
      <c r="K601" s="1385"/>
      <c r="L601" s="1385"/>
      <c r="M601" s="1385"/>
      <c r="N601" s="1385"/>
      <c r="O601" s="1385"/>
      <c r="P601" s="1385"/>
      <c r="Q601" s="1385"/>
      <c r="R601" s="1385"/>
      <c r="T601" s="55" t="s">
        <v>655</v>
      </c>
      <c r="U601" t="s">
        <v>472</v>
      </c>
      <c r="Z601" s="1385">
        <f>C563</f>
        <v>0</v>
      </c>
      <c r="AA601" s="1385"/>
      <c r="AB601" s="1385"/>
      <c r="AC601" s="1385"/>
      <c r="AD601" s="1385"/>
      <c r="AE601" s="1385"/>
      <c r="AF601" s="1385"/>
      <c r="AG601" s="1385"/>
      <c r="AH601" s="1385"/>
      <c r="AI601" s="1385"/>
      <c r="AJ601" s="1385"/>
      <c r="AK601" s="1385"/>
      <c r="BA601" s="4" t="s">
        <v>30</v>
      </c>
      <c r="BB601" s="3"/>
      <c r="BC601" s="3"/>
      <c r="BD601" s="3"/>
      <c r="BE601" s="1387">
        <f t="shared" si="1"/>
        <v>0</v>
      </c>
      <c r="BF601" s="1389"/>
      <c r="BG601" s="1511">
        <f t="shared" si="2"/>
        <v>0</v>
      </c>
      <c r="BH601" s="1512"/>
      <c r="BI601" s="1387">
        <f t="shared" si="3"/>
        <v>1</v>
      </c>
      <c r="BJ601" s="1389"/>
      <c r="BK601" s="1511">
        <f t="shared" si="4"/>
        <v>8</v>
      </c>
      <c r="BL601" s="1512"/>
      <c r="BM601" s="3"/>
      <c r="BN601" s="1393">
        <f t="shared" si="5"/>
        <v>0</v>
      </c>
      <c r="BO601" s="1394"/>
      <c r="BP601" s="1394"/>
      <c r="BQ601" s="1394"/>
      <c r="BR601" s="1395"/>
      <c r="BS601" s="1392">
        <f t="shared" si="6"/>
        <v>0</v>
      </c>
      <c r="BT601" s="1392"/>
      <c r="BU601" s="1392"/>
      <c r="BV601" s="1392"/>
      <c r="BW601" s="1392"/>
      <c r="BX601" s="1392">
        <f t="shared" si="7"/>
        <v>8</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8</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7" t="str">
        <f t="shared" si="17"/>
        <v/>
      </c>
      <c r="DY601" s="1388"/>
      <c r="DZ601" s="1388"/>
      <c r="EA601" s="1388"/>
      <c r="EB601" s="1389"/>
      <c r="EC601" s="1387" t="str">
        <f t="shared" si="18"/>
        <v/>
      </c>
      <c r="ED601" s="1388"/>
      <c r="EE601" s="1388"/>
      <c r="EF601" s="1388"/>
      <c r="EG601" s="1389"/>
      <c r="EH601" s="1387">
        <f t="shared" si="19"/>
        <v>674</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2.95" customHeight="1">
      <c r="A602" s="22"/>
      <c r="B602" t="s">
        <v>85</v>
      </c>
      <c r="G602" s="1367"/>
      <c r="H602" s="1367"/>
      <c r="I602" s="1367"/>
      <c r="J602" s="1367"/>
      <c r="K602" s="1367"/>
      <c r="L602" s="1367"/>
      <c r="M602" s="1367"/>
      <c r="N602" s="1367"/>
      <c r="O602" s="1367"/>
      <c r="P602" s="1367"/>
      <c r="Q602" s="1367"/>
      <c r="R602" s="1367"/>
      <c r="T602" s="22"/>
      <c r="U602" t="s">
        <v>85</v>
      </c>
      <c r="Z602" s="1367"/>
      <c r="AA602" s="1367"/>
      <c r="AB602" s="1367"/>
      <c r="AC602" s="1367"/>
      <c r="AD602" s="1367"/>
      <c r="AE602" s="1367"/>
      <c r="AF602" s="1367"/>
      <c r="AG602" s="1367"/>
      <c r="AH602" s="1367"/>
      <c r="AI602" s="1367"/>
      <c r="AJ602" s="1367"/>
      <c r="AK602" s="1367"/>
      <c r="AZ602" s="3"/>
      <c r="BA602" s="3"/>
      <c r="BB602" s="3"/>
      <c r="BC602" s="3"/>
      <c r="BD602" s="3"/>
      <c r="BE602" s="1387">
        <f t="shared" si="1"/>
        <v>1</v>
      </c>
      <c r="BF602" s="1389"/>
      <c r="BG602" s="1511">
        <f t="shared" si="2"/>
        <v>38</v>
      </c>
      <c r="BH602" s="1512"/>
      <c r="BI602" s="1387">
        <f t="shared" si="3"/>
        <v>0</v>
      </c>
      <c r="BJ602" s="1389"/>
      <c r="BK602" s="1511">
        <f t="shared" si="4"/>
        <v>0</v>
      </c>
      <c r="BL602" s="1512"/>
      <c r="BM602" s="3"/>
      <c r="BN602" s="1393">
        <f t="shared" si="5"/>
        <v>0</v>
      </c>
      <c r="BO602" s="1394"/>
      <c r="BP602" s="1394"/>
      <c r="BQ602" s="1394"/>
      <c r="BR602" s="1395"/>
      <c r="BS602" s="1392">
        <f t="shared" si="6"/>
        <v>0</v>
      </c>
      <c r="BT602" s="1392"/>
      <c r="BU602" s="1392"/>
      <c r="BV602" s="1392"/>
      <c r="BW602" s="1392"/>
      <c r="BX602" s="1392">
        <f t="shared" si="7"/>
        <v>38</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7" t="str">
        <f t="shared" si="17"/>
        <v/>
      </c>
      <c r="DY602" s="1388"/>
      <c r="DZ602" s="1388"/>
      <c r="EA602" s="1388"/>
      <c r="EB602" s="1389"/>
      <c r="EC602" s="1387" t="str">
        <f t="shared" si="18"/>
        <v/>
      </c>
      <c r="ED602" s="1388"/>
      <c r="EE602" s="1388"/>
      <c r="EF602" s="1388"/>
      <c r="EG602" s="1389"/>
      <c r="EH602" s="1387">
        <f t="shared" si="19"/>
        <v>1157</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2.95" customHeight="1">
      <c r="A603" s="22"/>
      <c r="B603" t="s">
        <v>589</v>
      </c>
      <c r="G603" s="1367"/>
      <c r="H603" s="1367"/>
      <c r="I603" s="1367"/>
      <c r="J603" s="1367"/>
      <c r="K603" s="1367"/>
      <c r="L603" s="1367"/>
      <c r="M603" s="1367"/>
      <c r="N603" s="1367"/>
      <c r="O603" s="1367"/>
      <c r="P603" s="1367"/>
      <c r="Q603" s="1367"/>
      <c r="R603" s="1367"/>
      <c r="T603" s="22"/>
      <c r="U603" t="s">
        <v>589</v>
      </c>
      <c r="Z603" s="1368"/>
      <c r="AA603" s="1368"/>
      <c r="AB603" s="1368"/>
      <c r="AC603" s="1368"/>
      <c r="AD603" s="1368"/>
      <c r="AE603" s="1368"/>
      <c r="AF603" s="1368"/>
      <c r="AG603" s="1368"/>
      <c r="AH603" s="1368"/>
      <c r="AI603" s="1368"/>
      <c r="AJ603" s="1368"/>
      <c r="AK603" s="1368"/>
      <c r="AZ603" s="3"/>
      <c r="BA603" s="3"/>
      <c r="BB603" s="3"/>
      <c r="BC603" s="3"/>
      <c r="BD603" s="3"/>
      <c r="BE603" s="1387">
        <f t="shared" si="1"/>
        <v>0</v>
      </c>
      <c r="BF603" s="1389"/>
      <c r="BG603" s="1511">
        <f t="shared" si="2"/>
        <v>0</v>
      </c>
      <c r="BH603" s="1512"/>
      <c r="BI603" s="1387">
        <f t="shared" si="3"/>
        <v>0</v>
      </c>
      <c r="BJ603" s="1389"/>
      <c r="BK603" s="1511">
        <f t="shared" si="4"/>
        <v>0</v>
      </c>
      <c r="BL603" s="1512"/>
      <c r="BM603" s="3"/>
      <c r="BN603" s="1393">
        <f t="shared" si="5"/>
        <v>0</v>
      </c>
      <c r="BO603" s="1394"/>
      <c r="BP603" s="1394"/>
      <c r="BQ603" s="1394"/>
      <c r="BR603" s="1395"/>
      <c r="BS603" s="1392">
        <f t="shared" si="6"/>
        <v>0</v>
      </c>
      <c r="BT603" s="1392"/>
      <c r="BU603" s="1392"/>
      <c r="BV603" s="1392"/>
      <c r="BW603" s="1392"/>
      <c r="BX603" s="1392">
        <f t="shared" si="7"/>
        <v>33</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7" t="str">
        <f t="shared" si="17"/>
        <v/>
      </c>
      <c r="DY603" s="1388"/>
      <c r="DZ603" s="1388"/>
      <c r="EA603" s="1388"/>
      <c r="EB603" s="1389"/>
      <c r="EC603" s="1387" t="str">
        <f t="shared" si="18"/>
        <v/>
      </c>
      <c r="ED603" s="1388"/>
      <c r="EE603" s="1388"/>
      <c r="EF603" s="1388"/>
      <c r="EG603" s="1389"/>
      <c r="EH603" s="1387">
        <f t="shared" si="19"/>
        <v>1881</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2.95" customHeight="1">
      <c r="A604" s="22"/>
      <c r="B604" t="s">
        <v>17</v>
      </c>
      <c r="G604" s="1367"/>
      <c r="H604" s="1367"/>
      <c r="I604" s="1367"/>
      <c r="J604" s="1367"/>
      <c r="K604" s="1367"/>
      <c r="L604" s="1367"/>
      <c r="M604" s="1367"/>
      <c r="N604" s="1367"/>
      <c r="O604" s="1367"/>
      <c r="P604" s="1367"/>
      <c r="Q604" s="1367"/>
      <c r="R604" s="1367"/>
      <c r="T604" s="22"/>
      <c r="U604" t="s">
        <v>17</v>
      </c>
      <c r="Z604" s="1368"/>
      <c r="AA604" s="1368"/>
      <c r="AB604" s="1368"/>
      <c r="AC604" s="1368"/>
      <c r="AD604" s="1368"/>
      <c r="AE604" s="1368"/>
      <c r="AF604" s="1368"/>
      <c r="AG604" s="1368"/>
      <c r="AH604" s="1368"/>
      <c r="AI604" s="1368"/>
      <c r="AJ604" s="1368"/>
      <c r="AK604" s="1368"/>
      <c r="AZ604" s="3"/>
      <c r="BA604" s="3"/>
      <c r="BB604" s="3"/>
      <c r="BC604" s="3"/>
      <c r="BD604" s="3"/>
      <c r="BE604" s="1387">
        <f t="shared" si="1"/>
        <v>0</v>
      </c>
      <c r="BF604" s="1389"/>
      <c r="BG604" s="1511">
        <f t="shared" si="2"/>
        <v>0</v>
      </c>
      <c r="BH604" s="1512"/>
      <c r="BI604" s="1387">
        <f t="shared" si="3"/>
        <v>1</v>
      </c>
      <c r="BJ604" s="1389"/>
      <c r="BK604" s="1511">
        <f t="shared" si="4"/>
        <v>5</v>
      </c>
      <c r="BL604" s="1512"/>
      <c r="BM604" s="3"/>
      <c r="BN604" s="1393">
        <f t="shared" si="5"/>
        <v>0</v>
      </c>
      <c r="BO604" s="1394"/>
      <c r="BP604" s="1394"/>
      <c r="BQ604" s="1394"/>
      <c r="BR604" s="1395"/>
      <c r="BS604" s="1392">
        <f t="shared" si="6"/>
        <v>0</v>
      </c>
      <c r="BT604" s="1392"/>
      <c r="BU604" s="1392"/>
      <c r="BV604" s="1392"/>
      <c r="BW604" s="1392"/>
      <c r="BX604" s="1392">
        <f t="shared" si="7"/>
        <v>0</v>
      </c>
      <c r="BY604" s="1392"/>
      <c r="BZ604" s="1392"/>
      <c r="CA604" s="1392"/>
      <c r="CB604" s="1392"/>
      <c r="CC604" s="1392">
        <f t="shared" si="8"/>
        <v>5</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5</v>
      </c>
      <c r="DI604" s="1391"/>
      <c r="DJ604" s="1391"/>
      <c r="DK604" s="1391"/>
      <c r="DL604" s="1391"/>
      <c r="DM604" s="1391">
        <f t="shared" si="15"/>
        <v>0</v>
      </c>
      <c r="DN604" s="1391"/>
      <c r="DO604" s="1391"/>
      <c r="DP604" s="1391"/>
      <c r="DQ604" s="1391"/>
      <c r="DR604" s="1391">
        <f t="shared" si="16"/>
        <v>0</v>
      </c>
      <c r="DS604" s="1391"/>
      <c r="DT604" s="1391"/>
      <c r="DU604" s="1391"/>
      <c r="DV604" s="1391"/>
      <c r="DX604" s="1387" t="str">
        <f t="shared" si="17"/>
        <v/>
      </c>
      <c r="DY604" s="1388"/>
      <c r="DZ604" s="1388"/>
      <c r="EA604" s="1388"/>
      <c r="EB604" s="1389"/>
      <c r="EC604" s="1387" t="str">
        <f t="shared" si="18"/>
        <v/>
      </c>
      <c r="ED604" s="1388"/>
      <c r="EE604" s="1388"/>
      <c r="EF604" s="1388"/>
      <c r="EG604" s="1389"/>
      <c r="EH604" s="1387" t="str">
        <f t="shared" si="19"/>
        <v/>
      </c>
      <c r="EI604" s="1388"/>
      <c r="EJ604" s="1388"/>
      <c r="EK604" s="1388"/>
      <c r="EL604" s="1389"/>
      <c r="EM604" s="1387">
        <f t="shared" si="20"/>
        <v>780</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2.95" customHeight="1">
      <c r="A605" s="22"/>
      <c r="B605" t="s">
        <v>317</v>
      </c>
      <c r="C605"/>
      <c r="D605"/>
      <c r="E605"/>
      <c r="F605"/>
      <c r="G605" s="1384"/>
      <c r="H605" s="1384"/>
      <c r="I605" s="1384"/>
      <c r="J605" s="1384"/>
      <c r="K605" s="1384"/>
      <c r="L605" s="1384"/>
      <c r="M605"/>
      <c r="N605"/>
      <c r="O605" s="33" t="s">
        <v>207</v>
      </c>
      <c r="P605" s="1510"/>
      <c r="Q605" s="1510"/>
      <c r="R605" s="1510"/>
      <c r="S605"/>
      <c r="T605" s="22"/>
      <c r="U605" t="s">
        <v>317</v>
      </c>
      <c r="V605"/>
      <c r="W605"/>
      <c r="X605"/>
      <c r="Y605"/>
      <c r="Z605" s="1384"/>
      <c r="AA605" s="1384"/>
      <c r="AB605" s="1384"/>
      <c r="AC605" s="1384"/>
      <c r="AD605" s="1384"/>
      <c r="AE605" s="1384"/>
      <c r="AF605"/>
      <c r="AG605"/>
      <c r="AH605" s="33" t="s">
        <v>207</v>
      </c>
      <c r="AI605" s="1510"/>
      <c r="AJ605" s="1510"/>
      <c r="AK605" s="1510"/>
      <c r="AL605"/>
      <c r="AM605"/>
      <c r="AN605"/>
      <c r="AO605"/>
      <c r="AP605"/>
      <c r="AQ605"/>
      <c r="AR605"/>
      <c r="AS605"/>
      <c r="AT605"/>
      <c r="AU605"/>
      <c r="AV605"/>
      <c r="AW605"/>
      <c r="AX605"/>
      <c r="AY605"/>
      <c r="AZ605" s="3"/>
      <c r="BA605" s="3"/>
      <c r="BB605" s="3"/>
      <c r="BC605" s="3"/>
      <c r="BD605" s="3"/>
      <c r="BE605" s="1387">
        <f t="shared" si="1"/>
        <v>1</v>
      </c>
      <c r="BF605" s="1389"/>
      <c r="BG605" s="1511">
        <f t="shared" si="2"/>
        <v>5</v>
      </c>
      <c r="BH605" s="1512"/>
      <c r="BI605" s="1387">
        <f t="shared" si="3"/>
        <v>0</v>
      </c>
      <c r="BJ605" s="1389"/>
      <c r="BK605" s="1511">
        <f t="shared" si="4"/>
        <v>0</v>
      </c>
      <c r="BL605" s="1512"/>
      <c r="BM605" s="3"/>
      <c r="BN605" s="1393">
        <f t="shared" si="5"/>
        <v>0</v>
      </c>
      <c r="BO605" s="1394"/>
      <c r="BP605" s="1394"/>
      <c r="BQ605" s="1394"/>
      <c r="BR605" s="1395"/>
      <c r="BS605" s="1392">
        <f t="shared" si="6"/>
        <v>0</v>
      </c>
      <c r="BT605" s="1392"/>
      <c r="BU605" s="1392"/>
      <c r="BV605" s="1392"/>
      <c r="BW605" s="1392"/>
      <c r="BX605" s="1392">
        <f t="shared" si="7"/>
        <v>0</v>
      </c>
      <c r="BY605" s="1392"/>
      <c r="BZ605" s="1392"/>
      <c r="CA605" s="1392"/>
      <c r="CB605" s="1392"/>
      <c r="CC605" s="1392">
        <f t="shared" si="8"/>
        <v>5</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7" t="str">
        <f t="shared" si="17"/>
        <v/>
      </c>
      <c r="DY605" s="1388"/>
      <c r="DZ605" s="1388"/>
      <c r="EA605" s="1388"/>
      <c r="EB605" s="1389"/>
      <c r="EC605" s="1387" t="str">
        <f t="shared" si="18"/>
        <v/>
      </c>
      <c r="ED605" s="1388"/>
      <c r="EE605" s="1388"/>
      <c r="EF605" s="1388"/>
      <c r="EG605" s="1389"/>
      <c r="EH605" s="1387" t="str">
        <f t="shared" si="19"/>
        <v/>
      </c>
      <c r="EI605" s="1388"/>
      <c r="EJ605" s="1388"/>
      <c r="EK605" s="1388"/>
      <c r="EL605" s="1389"/>
      <c r="EM605" s="1387">
        <f t="shared" si="20"/>
        <v>1337</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2.95" customHeight="1">
      <c r="A606" s="22"/>
      <c r="B606" t="s">
        <v>18</v>
      </c>
      <c r="C606"/>
      <c r="D606"/>
      <c r="E606"/>
      <c r="F606"/>
      <c r="G606"/>
      <c r="H606" s="1367"/>
      <c r="I606" s="1367"/>
      <c r="J606" s="1367"/>
      <c r="K606" s="1367"/>
      <c r="L606" s="1367"/>
      <c r="M606" s="1367"/>
      <c r="N606" s="1367"/>
      <c r="O606" s="1367"/>
      <c r="P606" s="1367"/>
      <c r="Q606" s="1367"/>
      <c r="R606" s="1367"/>
      <c r="S606"/>
      <c r="T606" s="22"/>
      <c r="U606" t="s">
        <v>18</v>
      </c>
      <c r="V606"/>
      <c r="W606"/>
      <c r="X606"/>
      <c r="Y606"/>
      <c r="Z606"/>
      <c r="AA606" s="1367"/>
      <c r="AB606" s="1367"/>
      <c r="AC606" s="1367"/>
      <c r="AD606" s="1367"/>
      <c r="AE606" s="1367"/>
      <c r="AF606" s="1367"/>
      <c r="AG606" s="1367"/>
      <c r="AH606" s="1367"/>
      <c r="AI606" s="1367"/>
      <c r="AJ606" s="1367"/>
      <c r="AK606" s="1367"/>
      <c r="AL606"/>
      <c r="AM606"/>
      <c r="AN606"/>
      <c r="AO606"/>
      <c r="AP606"/>
      <c r="AQ606"/>
      <c r="AR606"/>
      <c r="AS606"/>
      <c r="AT606"/>
      <c r="AU606"/>
      <c r="AV606"/>
      <c r="AW606"/>
      <c r="AX606"/>
      <c r="AY606"/>
      <c r="AZ606" s="3"/>
      <c r="BA606" s="3"/>
      <c r="BB606" s="3"/>
      <c r="BC606" s="3"/>
      <c r="BD606" s="3"/>
      <c r="BE606" s="1387">
        <f t="shared" si="1"/>
        <v>0</v>
      </c>
      <c r="BF606" s="1389"/>
      <c r="BG606" s="1511">
        <f t="shared" si="2"/>
        <v>0</v>
      </c>
      <c r="BH606" s="1512"/>
      <c r="BI606" s="1387">
        <f t="shared" si="3"/>
        <v>0</v>
      </c>
      <c r="BJ606" s="1389"/>
      <c r="BK606" s="1511">
        <f t="shared" si="4"/>
        <v>0</v>
      </c>
      <c r="BL606" s="1512"/>
      <c r="BM606" s="3"/>
      <c r="BN606" s="1393">
        <f t="shared" si="5"/>
        <v>0</v>
      </c>
      <c r="BO606" s="1394"/>
      <c r="BP606" s="1394"/>
      <c r="BQ606" s="1394"/>
      <c r="BR606" s="1395"/>
      <c r="BS606" s="1392">
        <f t="shared" si="6"/>
        <v>0</v>
      </c>
      <c r="BT606" s="1392"/>
      <c r="BU606" s="1392"/>
      <c r="BV606" s="1392"/>
      <c r="BW606" s="1392"/>
      <c r="BX606" s="1392">
        <f t="shared" si="7"/>
        <v>0</v>
      </c>
      <c r="BY606" s="1392"/>
      <c r="BZ606" s="1392"/>
      <c r="CA606" s="1392"/>
      <c r="CB606" s="1392"/>
      <c r="CC606" s="1392">
        <f t="shared" si="8"/>
        <v>11</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7" t="str">
        <f t="shared" si="17"/>
        <v/>
      </c>
      <c r="DY606" s="1388"/>
      <c r="DZ606" s="1388"/>
      <c r="EA606" s="1388"/>
      <c r="EB606" s="1389"/>
      <c r="EC606" s="1387" t="str">
        <f t="shared" si="18"/>
        <v/>
      </c>
      <c r="ED606" s="1388"/>
      <c r="EE606" s="1388"/>
      <c r="EF606" s="1388"/>
      <c r="EG606" s="1389"/>
      <c r="EH606" s="1387" t="str">
        <f t="shared" si="19"/>
        <v/>
      </c>
      <c r="EI606" s="1388"/>
      <c r="EJ606" s="1388"/>
      <c r="EK606" s="1388"/>
      <c r="EL606" s="1389"/>
      <c r="EM606" s="1387">
        <f t="shared" si="20"/>
        <v>1616</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2.95" customHeight="1">
      <c r="A607" s="22"/>
      <c r="B607" t="s">
        <v>20</v>
      </c>
      <c r="C607"/>
      <c r="D607"/>
      <c r="E607"/>
      <c r="F607"/>
      <c r="G607"/>
      <c r="H607"/>
      <c r="I607"/>
      <c r="J607"/>
      <c r="K607"/>
      <c r="L607"/>
      <c r="M607"/>
      <c r="N607" s="1451" t="s">
        <v>678</v>
      </c>
      <c r="O607" s="1451"/>
      <c r="P607"/>
      <c r="Q607"/>
      <c r="R607"/>
      <c r="S607"/>
      <c r="T607" s="22"/>
      <c r="U607" t="s">
        <v>20</v>
      </c>
      <c r="V607"/>
      <c r="W607"/>
      <c r="X607"/>
      <c r="Y607"/>
      <c r="Z607"/>
      <c r="AA607"/>
      <c r="AB607"/>
      <c r="AC607"/>
      <c r="AD607"/>
      <c r="AE607"/>
      <c r="AF607"/>
      <c r="AG607" s="1451" t="s">
        <v>678</v>
      </c>
      <c r="AH607" s="1451"/>
      <c r="AI607"/>
      <c r="AJ607"/>
      <c r="AK607"/>
      <c r="AL607"/>
      <c r="AM607"/>
      <c r="AN607"/>
      <c r="AO607"/>
      <c r="AP607"/>
      <c r="AQ607"/>
      <c r="AR607"/>
      <c r="AS607"/>
      <c r="AT607"/>
      <c r="AU607"/>
      <c r="AV607"/>
      <c r="AW607"/>
      <c r="AX607"/>
      <c r="AY607"/>
      <c r="AZ607" s="3"/>
      <c r="BA607" s="3"/>
      <c r="BB607" s="3"/>
      <c r="BC607" s="3"/>
      <c r="BD607" s="3"/>
      <c r="BE607" s="1387">
        <f t="shared" si="1"/>
        <v>0</v>
      </c>
      <c r="BF607" s="1389"/>
      <c r="BG607" s="1511">
        <f t="shared" si="2"/>
        <v>0</v>
      </c>
      <c r="BH607" s="1512"/>
      <c r="BI607" s="1387">
        <f t="shared" si="3"/>
        <v>0</v>
      </c>
      <c r="BJ607" s="1389"/>
      <c r="BK607" s="1511">
        <f t="shared" si="4"/>
        <v>0</v>
      </c>
      <c r="BL607" s="1512"/>
      <c r="BM607" s="3"/>
      <c r="BN607" s="1393">
        <f t="shared" si="5"/>
        <v>0</v>
      </c>
      <c r="BO607" s="1394"/>
      <c r="BP607" s="1394"/>
      <c r="BQ607" s="1394"/>
      <c r="BR607" s="1395"/>
      <c r="BS607" s="1392">
        <f t="shared" si="6"/>
        <v>0</v>
      </c>
      <c r="BT607" s="1392"/>
      <c r="BU607" s="1392"/>
      <c r="BV607" s="1392"/>
      <c r="BW607" s="1392"/>
      <c r="BX607" s="1392">
        <f t="shared" si="7"/>
        <v>0</v>
      </c>
      <c r="BY607" s="1392"/>
      <c r="BZ607" s="1392"/>
      <c r="CA607" s="1392"/>
      <c r="CB607" s="1392"/>
      <c r="CC607" s="1392">
        <f t="shared" si="8"/>
        <v>24</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7" t="str">
        <f t="shared" si="17"/>
        <v/>
      </c>
      <c r="DY607" s="1388"/>
      <c r="DZ607" s="1388"/>
      <c r="EA607" s="1388"/>
      <c r="EB607" s="1389"/>
      <c r="EC607" s="1387" t="str">
        <f t="shared" si="18"/>
        <v/>
      </c>
      <c r="ED607" s="1388"/>
      <c r="EE607" s="1388"/>
      <c r="EF607" s="1388"/>
      <c r="EG607" s="1389"/>
      <c r="EH607" s="1387" t="str">
        <f t="shared" si="19"/>
        <v/>
      </c>
      <c r="EI607" s="1388"/>
      <c r="EJ607" s="1388"/>
      <c r="EK607" s="1388"/>
      <c r="EL607" s="1389"/>
      <c r="EM607" s="1387">
        <f t="shared" si="20"/>
        <v>2125</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2.95" customHeight="1">
      <c r="A608" s="22"/>
      <c r="T608" s="22"/>
      <c r="AZ608" s="3"/>
      <c r="BA608" s="3"/>
      <c r="BB608" s="3"/>
      <c r="BC608" s="3"/>
      <c r="BD608" s="3"/>
      <c r="BE608" s="1387">
        <f t="shared" si="1"/>
        <v>0</v>
      </c>
      <c r="BF608" s="1389"/>
      <c r="BG608" s="1511">
        <f t="shared" si="2"/>
        <v>0</v>
      </c>
      <c r="BH608" s="1512"/>
      <c r="BI608" s="1387">
        <f t="shared" si="3"/>
        <v>0</v>
      </c>
      <c r="BJ608" s="1389"/>
      <c r="BK608" s="1511">
        <f t="shared" si="4"/>
        <v>0</v>
      </c>
      <c r="BL608" s="1512"/>
      <c r="BM608" s="3"/>
      <c r="BN608" s="1393">
        <f t="shared" si="5"/>
        <v>0</v>
      </c>
      <c r="BO608" s="1394"/>
      <c r="BP608" s="1394"/>
      <c r="BQ608" s="1394"/>
      <c r="BR608" s="1395"/>
      <c r="BS608" s="1392">
        <f t="shared" si="6"/>
        <v>0</v>
      </c>
      <c r="BT608" s="1392"/>
      <c r="BU608" s="1392"/>
      <c r="BV608" s="1392"/>
      <c r="BW608" s="1392"/>
      <c r="BX608" s="1392">
        <f t="shared" si="7"/>
        <v>0</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7" t="str">
        <f t="shared" si="17"/>
        <v/>
      </c>
      <c r="DY608" s="1388"/>
      <c r="DZ608" s="1388"/>
      <c r="EA608" s="1388"/>
      <c r="EB608" s="1389"/>
      <c r="EC608" s="1387" t="str">
        <f t="shared" si="18"/>
        <v/>
      </c>
      <c r="ED608" s="1388"/>
      <c r="EE608" s="1388"/>
      <c r="EF608" s="1388"/>
      <c r="EG608" s="1389"/>
      <c r="EH608" s="1387" t="str">
        <f t="shared" si="19"/>
        <v/>
      </c>
      <c r="EI608" s="1388"/>
      <c r="EJ608" s="1388"/>
      <c r="EK608" s="1388"/>
      <c r="EL608" s="1389"/>
      <c r="EM608" s="1387" t="str">
        <f t="shared" si="20"/>
        <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2.95" customHeight="1">
      <c r="A609" s="55" t="s">
        <v>363</v>
      </c>
      <c r="B609" t="s">
        <v>472</v>
      </c>
      <c r="G609" s="1385">
        <f>C564</f>
        <v>0</v>
      </c>
      <c r="H609" s="1385"/>
      <c r="I609" s="1385"/>
      <c r="J609" s="1385"/>
      <c r="K609" s="1385"/>
      <c r="L609" s="1385"/>
      <c r="M609" s="1385"/>
      <c r="N609" s="1385"/>
      <c r="O609" s="1385"/>
      <c r="P609" s="1385"/>
      <c r="Q609" s="1385"/>
      <c r="R609" s="1385"/>
      <c r="T609" s="55" t="s">
        <v>364</v>
      </c>
      <c r="U609" t="s">
        <v>472</v>
      </c>
      <c r="Z609" s="1385">
        <f>C565</f>
        <v>0</v>
      </c>
      <c r="AA609" s="1385"/>
      <c r="AB609" s="1385"/>
      <c r="AC609" s="1385"/>
      <c r="AD609" s="1385"/>
      <c r="AE609" s="1385"/>
      <c r="AF609" s="1385"/>
      <c r="AG609" s="1385"/>
      <c r="AH609" s="1385"/>
      <c r="AI609" s="1385"/>
      <c r="AJ609" s="1385"/>
      <c r="AK609" s="1385"/>
      <c r="AZ609" s="3"/>
      <c r="BA609" s="3"/>
      <c r="BB609" s="3"/>
      <c r="BC609" s="3"/>
      <c r="BD609" s="3"/>
      <c r="BE609" s="1387">
        <f t="shared" si="1"/>
        <v>0</v>
      </c>
      <c r="BF609" s="1389"/>
      <c r="BG609" s="1511">
        <f t="shared" si="2"/>
        <v>0</v>
      </c>
      <c r="BH609" s="1512"/>
      <c r="BI609" s="1387">
        <f t="shared" si="3"/>
        <v>0</v>
      </c>
      <c r="BJ609" s="1389"/>
      <c r="BK609" s="1511">
        <f t="shared" si="4"/>
        <v>0</v>
      </c>
      <c r="BL609" s="1512"/>
      <c r="BM609" s="3"/>
      <c r="BN609" s="1393">
        <f t="shared" si="5"/>
        <v>0</v>
      </c>
      <c r="BO609" s="1394"/>
      <c r="BP609" s="1394"/>
      <c r="BQ609" s="1394"/>
      <c r="BR609" s="1395"/>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2.95" customHeight="1">
      <c r="B610" t="s">
        <v>85</v>
      </c>
      <c r="G610" s="1367"/>
      <c r="H610" s="1367"/>
      <c r="I610" s="1367"/>
      <c r="J610" s="1367"/>
      <c r="K610" s="1367"/>
      <c r="L610" s="1367"/>
      <c r="M610" s="1367"/>
      <c r="N610" s="1367"/>
      <c r="O610" s="1367"/>
      <c r="P610" s="1367"/>
      <c r="Q610" s="1367"/>
      <c r="R610" s="1367"/>
      <c r="U610" t="s">
        <v>85</v>
      </c>
      <c r="Z610" s="1367"/>
      <c r="AA610" s="1367"/>
      <c r="AB610" s="1367"/>
      <c r="AC610" s="1367"/>
      <c r="AD610" s="1367"/>
      <c r="AE610" s="1367"/>
      <c r="AF610" s="1367"/>
      <c r="AG610" s="1367"/>
      <c r="AH610" s="1367"/>
      <c r="AI610" s="1367"/>
      <c r="AJ610" s="1367"/>
      <c r="AK610" s="1367"/>
      <c r="AZ610" s="3"/>
      <c r="BA610" s="3"/>
      <c r="BB610" s="3"/>
      <c r="BC610" s="3"/>
      <c r="BD610" s="3"/>
      <c r="BE610" s="1387">
        <f t="shared" si="1"/>
        <v>0</v>
      </c>
      <c r="BF610" s="1389"/>
      <c r="BG610" s="1511">
        <f t="shared" si="2"/>
        <v>0</v>
      </c>
      <c r="BH610" s="1512"/>
      <c r="BI610" s="1387">
        <f t="shared" si="3"/>
        <v>0</v>
      </c>
      <c r="BJ610" s="1389"/>
      <c r="BK610" s="1511">
        <f t="shared" si="4"/>
        <v>0</v>
      </c>
      <c r="BL610" s="1512"/>
      <c r="BM610" s="3"/>
      <c r="BN610" s="1393">
        <f t="shared" si="5"/>
        <v>0</v>
      </c>
      <c r="BO610" s="1394"/>
      <c r="BP610" s="1394"/>
      <c r="BQ610" s="1394"/>
      <c r="BR610" s="1395"/>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2.95" customHeight="1">
      <c r="B611" t="s">
        <v>589</v>
      </c>
      <c r="G611" s="1367"/>
      <c r="H611" s="1367"/>
      <c r="I611" s="1367"/>
      <c r="J611" s="1367"/>
      <c r="K611" s="1367"/>
      <c r="L611" s="1367"/>
      <c r="M611" s="1367"/>
      <c r="N611" s="1367"/>
      <c r="O611" s="1367"/>
      <c r="P611" s="1367"/>
      <c r="Q611" s="1367"/>
      <c r="R611" s="1367"/>
      <c r="U611" t="s">
        <v>589</v>
      </c>
      <c r="Z611" s="1368"/>
      <c r="AA611" s="1368"/>
      <c r="AB611" s="1368"/>
      <c r="AC611" s="1368"/>
      <c r="AD611" s="1368"/>
      <c r="AE611" s="1368"/>
      <c r="AF611" s="1368"/>
      <c r="AG611" s="1368"/>
      <c r="AH611" s="1368"/>
      <c r="AI611" s="1368"/>
      <c r="AJ611" s="1368"/>
      <c r="AK611" s="1368"/>
      <c r="AZ611" s="3"/>
      <c r="BA611" s="3"/>
      <c r="BB611" s="3"/>
      <c r="BC611" s="3"/>
      <c r="BD611" s="3"/>
      <c r="BE611" s="1387">
        <f t="shared" si="1"/>
        <v>0</v>
      </c>
      <c r="BF611" s="1389"/>
      <c r="BG611" s="1511">
        <f t="shared" si="2"/>
        <v>0</v>
      </c>
      <c r="BH611" s="1512"/>
      <c r="BI611" s="1387">
        <f t="shared" si="3"/>
        <v>0</v>
      </c>
      <c r="BJ611" s="1389"/>
      <c r="BK611" s="1511">
        <f t="shared" si="4"/>
        <v>0</v>
      </c>
      <c r="BL611" s="1512"/>
      <c r="BM611" s="3"/>
      <c r="BN611" s="1393">
        <f t="shared" si="5"/>
        <v>0</v>
      </c>
      <c r="BO611" s="1394"/>
      <c r="BP611" s="1394"/>
      <c r="BQ611" s="1394"/>
      <c r="BR611" s="1395"/>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2.95" customHeight="1">
      <c r="B612" t="s">
        <v>17</v>
      </c>
      <c r="G612" s="1367"/>
      <c r="H612" s="1367"/>
      <c r="I612" s="1367"/>
      <c r="J612" s="1367"/>
      <c r="K612" s="1367"/>
      <c r="L612" s="1367"/>
      <c r="M612" s="1367"/>
      <c r="N612" s="1367"/>
      <c r="O612" s="1367"/>
      <c r="P612" s="1367"/>
      <c r="Q612" s="1367"/>
      <c r="R612" s="1367"/>
      <c r="U612" t="s">
        <v>17</v>
      </c>
      <c r="Z612" s="1368"/>
      <c r="AA612" s="1368"/>
      <c r="AB612" s="1368"/>
      <c r="AC612" s="1368"/>
      <c r="AD612" s="1368"/>
      <c r="AE612" s="1368"/>
      <c r="AF612" s="1368"/>
      <c r="AG612" s="1368"/>
      <c r="AH612" s="1368"/>
      <c r="AI612" s="1368"/>
      <c r="AJ612" s="1368"/>
      <c r="AK612" s="1368"/>
      <c r="AZ612" s="3"/>
      <c r="BA612" s="3"/>
      <c r="BB612" s="3"/>
      <c r="BC612" s="3"/>
      <c r="BD612" s="3"/>
      <c r="BE612" s="1387">
        <f t="shared" si="1"/>
        <v>0</v>
      </c>
      <c r="BF612" s="1389"/>
      <c r="BG612" s="1511">
        <f t="shared" si="2"/>
        <v>0</v>
      </c>
      <c r="BH612" s="1512"/>
      <c r="BI612" s="1387">
        <f t="shared" si="3"/>
        <v>0</v>
      </c>
      <c r="BJ612" s="1389"/>
      <c r="BK612" s="1511">
        <f t="shared" si="4"/>
        <v>0</v>
      </c>
      <c r="BL612" s="1512"/>
      <c r="BM612" s="3"/>
      <c r="BN612" s="1393">
        <f t="shared" si="5"/>
        <v>0</v>
      </c>
      <c r="BO612" s="1394"/>
      <c r="BP612" s="1394"/>
      <c r="BQ612" s="1394"/>
      <c r="BR612" s="1395"/>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2.95" customHeight="1">
      <c r="B613" t="s">
        <v>317</v>
      </c>
      <c r="G613" s="1384"/>
      <c r="H613" s="1384"/>
      <c r="I613" s="1384"/>
      <c r="J613" s="1384"/>
      <c r="K613" s="1384"/>
      <c r="L613" s="1384"/>
      <c r="O613" s="33" t="s">
        <v>207</v>
      </c>
      <c r="P613" s="1510"/>
      <c r="Q613" s="1510"/>
      <c r="R613" s="1510"/>
      <c r="U613" t="s">
        <v>317</v>
      </c>
      <c r="Z613" s="1384"/>
      <c r="AA613" s="1384"/>
      <c r="AB613" s="1384"/>
      <c r="AC613" s="1384"/>
      <c r="AD613" s="1384"/>
      <c r="AE613" s="1384"/>
      <c r="AH613" s="33" t="s">
        <v>207</v>
      </c>
      <c r="AI613" s="1510"/>
      <c r="AJ613" s="1510"/>
      <c r="AK613" s="1510"/>
      <c r="AZ613" s="3"/>
      <c r="BA613" s="3"/>
      <c r="BB613" s="3"/>
      <c r="BC613" s="3"/>
      <c r="BD613" s="3"/>
      <c r="BE613" s="1387">
        <f t="shared" si="1"/>
        <v>0</v>
      </c>
      <c r="BF613" s="1389"/>
      <c r="BG613" s="1511">
        <f t="shared" si="2"/>
        <v>0</v>
      </c>
      <c r="BH613" s="1512"/>
      <c r="BI613" s="1387">
        <f t="shared" si="3"/>
        <v>0</v>
      </c>
      <c r="BJ613" s="1389"/>
      <c r="BK613" s="1511">
        <f t="shared" si="4"/>
        <v>0</v>
      </c>
      <c r="BL613" s="1512"/>
      <c r="BM613" s="3"/>
      <c r="BN613" s="1393">
        <f t="shared" si="5"/>
        <v>0</v>
      </c>
      <c r="BO613" s="1394"/>
      <c r="BP613" s="1394"/>
      <c r="BQ613" s="1394"/>
      <c r="BR613" s="1395"/>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2.95" customHeight="1">
      <c r="B614" t="s">
        <v>18</v>
      </c>
      <c r="H614" s="1367"/>
      <c r="I614" s="1367"/>
      <c r="J614" s="1367"/>
      <c r="K614" s="1367"/>
      <c r="L614" s="1367"/>
      <c r="M614" s="1367"/>
      <c r="N614" s="1367"/>
      <c r="O614" s="1367"/>
      <c r="P614" s="1367"/>
      <c r="Q614" s="1367"/>
      <c r="R614" s="1367"/>
      <c r="U614" t="s">
        <v>18</v>
      </c>
      <c r="AA614" s="1367"/>
      <c r="AB614" s="1367"/>
      <c r="AC614" s="1367"/>
      <c r="AD614" s="1367"/>
      <c r="AE614" s="1367"/>
      <c r="AF614" s="1367"/>
      <c r="AG614" s="1367"/>
      <c r="AH614" s="1367"/>
      <c r="AI614" s="1367"/>
      <c r="AJ614" s="1367"/>
      <c r="AK614" s="1367"/>
      <c r="AU614" s="934"/>
      <c r="AV614" s="934"/>
      <c r="AW614" s="934"/>
      <c r="AX614" s="934"/>
      <c r="AY614" s="934"/>
      <c r="AZ614" s="3"/>
      <c r="BA614" s="3"/>
      <c r="BB614" s="3"/>
      <c r="BC614" s="3"/>
      <c r="BD614" s="3"/>
      <c r="BE614" s="1387">
        <f t="shared" si="1"/>
        <v>0</v>
      </c>
      <c r="BF614" s="1389"/>
      <c r="BG614" s="1511">
        <f t="shared" si="2"/>
        <v>0</v>
      </c>
      <c r="BH614" s="1512"/>
      <c r="BI614" s="1387">
        <f t="shared" si="3"/>
        <v>0</v>
      </c>
      <c r="BJ614" s="1389"/>
      <c r="BK614" s="1511">
        <f t="shared" si="4"/>
        <v>0</v>
      </c>
      <c r="BL614" s="1512"/>
      <c r="BM614" s="3"/>
      <c r="BN614" s="1393">
        <f t="shared" si="5"/>
        <v>0</v>
      </c>
      <c r="BO614" s="1394"/>
      <c r="BP614" s="1394"/>
      <c r="BQ614" s="1394"/>
      <c r="BR614" s="1395"/>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2.95" customHeight="1">
      <c r="B615" t="s">
        <v>20</v>
      </c>
      <c r="N615" s="1451" t="s">
        <v>678</v>
      </c>
      <c r="O615" s="1451"/>
      <c r="U615" t="s">
        <v>20</v>
      </c>
      <c r="AG615" s="1451" t="s">
        <v>678</v>
      </c>
      <c r="AH615" s="1451"/>
      <c r="AU615" s="934"/>
      <c r="AV615" s="934"/>
      <c r="AW615" s="934"/>
      <c r="AX615" s="934"/>
      <c r="AY615" s="934"/>
      <c r="AZ615" s="3"/>
      <c r="BA615" s="3"/>
      <c r="BB615" s="3"/>
      <c r="BC615" s="3"/>
      <c r="BD615" s="3"/>
      <c r="BE615" s="1387">
        <f t="shared" si="1"/>
        <v>0</v>
      </c>
      <c r="BF615" s="1389"/>
      <c r="BG615" s="1511">
        <f t="shared" si="2"/>
        <v>0</v>
      </c>
      <c r="BH615" s="1512"/>
      <c r="BI615" s="1387">
        <f t="shared" si="3"/>
        <v>0</v>
      </c>
      <c r="BJ615" s="1389"/>
      <c r="BK615" s="1511">
        <f t="shared" si="4"/>
        <v>0</v>
      </c>
      <c r="BL615" s="1512"/>
      <c r="BM615" s="3"/>
      <c r="BN615" s="1393">
        <f t="shared" si="5"/>
        <v>0</v>
      </c>
      <c r="BO615" s="1394"/>
      <c r="BP615" s="1394"/>
      <c r="BQ615" s="1394"/>
      <c r="BR615" s="1395"/>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2.95" customHeight="1">
      <c r="AZ616" s="3"/>
      <c r="BA616" s="3"/>
      <c r="BB616" s="3"/>
      <c r="BC616" s="3"/>
      <c r="BD616" s="3"/>
      <c r="BE616" s="1387">
        <f t="shared" si="1"/>
        <v>0</v>
      </c>
      <c r="BF616" s="1389"/>
      <c r="BG616" s="1511">
        <f t="shared" si="2"/>
        <v>0</v>
      </c>
      <c r="BH616" s="1512"/>
      <c r="BI616" s="1387">
        <f t="shared" si="3"/>
        <v>0</v>
      </c>
      <c r="BJ616" s="1389"/>
      <c r="BK616" s="1511">
        <f t="shared" si="4"/>
        <v>0</v>
      </c>
      <c r="BL616" s="1512"/>
      <c r="BM616" s="3"/>
      <c r="BN616" s="1393">
        <f t="shared" si="5"/>
        <v>0</v>
      </c>
      <c r="BO616" s="1394"/>
      <c r="BP616" s="1394"/>
      <c r="BQ616" s="1394"/>
      <c r="BR616" s="1395"/>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7">
        <f t="shared" si="1"/>
        <v>0</v>
      </c>
      <c r="BF617" s="1389"/>
      <c r="BG617" s="1511">
        <f t="shared" si="2"/>
        <v>0</v>
      </c>
      <c r="BH617" s="1512"/>
      <c r="BI617" s="1387">
        <f t="shared" si="3"/>
        <v>0</v>
      </c>
      <c r="BJ617" s="1389"/>
      <c r="BK617" s="1511">
        <f t="shared" si="4"/>
        <v>0</v>
      </c>
      <c r="BL617" s="1512"/>
      <c r="BM617" s="3"/>
      <c r="BN617" s="1393">
        <f t="shared" si="5"/>
        <v>0</v>
      </c>
      <c r="BO617" s="1394"/>
      <c r="BP617" s="1394"/>
      <c r="BQ617" s="1394"/>
      <c r="BR617" s="1395"/>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7">
        <f t="shared" si="1"/>
        <v>0</v>
      </c>
      <c r="BF618" s="1389"/>
      <c r="BG618" s="1511">
        <f t="shared" si="2"/>
        <v>0</v>
      </c>
      <c r="BH618" s="1512"/>
      <c r="BI618" s="1387">
        <f t="shared" si="3"/>
        <v>0</v>
      </c>
      <c r="BJ618" s="1389"/>
      <c r="BK618" s="1511">
        <f t="shared" si="4"/>
        <v>0</v>
      </c>
      <c r="BL618" s="1512"/>
      <c r="BM618" s="3"/>
      <c r="BN618" s="1393">
        <f t="shared" si="5"/>
        <v>0</v>
      </c>
      <c r="BO618" s="1394"/>
      <c r="BP618" s="1394"/>
      <c r="BQ618" s="1394"/>
      <c r="BR618" s="1395"/>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2.95" customHeight="1">
      <c r="AZ619" s="3"/>
      <c r="BA619" s="3"/>
      <c r="BB619" s="3"/>
      <c r="BC619" s="3"/>
      <c r="BD619" s="3"/>
      <c r="BE619" s="1387">
        <f t="shared" si="1"/>
        <v>0</v>
      </c>
      <c r="BF619" s="1389"/>
      <c r="BG619" s="1511">
        <f t="shared" si="2"/>
        <v>0</v>
      </c>
      <c r="BH619" s="1512"/>
      <c r="BI619" s="1387">
        <f t="shared" si="3"/>
        <v>0</v>
      </c>
      <c r="BJ619" s="1389"/>
      <c r="BK619" s="1511">
        <f t="shared" si="4"/>
        <v>0</v>
      </c>
      <c r="BL619" s="1512"/>
      <c r="BM619" s="3"/>
      <c r="BN619" s="1393">
        <f t="shared" si="5"/>
        <v>0</v>
      </c>
      <c r="BO619" s="1394"/>
      <c r="BP619" s="1394"/>
      <c r="BQ619" s="1394"/>
      <c r="BR619" s="1395"/>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2.95" customHeight="1">
      <c r="A620" s="2" t="s">
        <v>320</v>
      </c>
      <c r="B620" s="2"/>
      <c r="C620" s="2" t="s">
        <v>21</v>
      </c>
      <c r="AZ620" s="3"/>
      <c r="BA620" s="3"/>
      <c r="BB620" s="3"/>
      <c r="BC620" s="3"/>
      <c r="BD620" s="3"/>
      <c r="BE620" s="1387">
        <f t="shared" si="1"/>
        <v>0</v>
      </c>
      <c r="BF620" s="1389"/>
      <c r="BG620" s="1511">
        <f t="shared" si="2"/>
        <v>0</v>
      </c>
      <c r="BH620" s="1512"/>
      <c r="BI620" s="1387">
        <f t="shared" si="3"/>
        <v>0</v>
      </c>
      <c r="BJ620" s="1389"/>
      <c r="BK620" s="1511">
        <f t="shared" si="4"/>
        <v>0</v>
      </c>
      <c r="BL620" s="1512"/>
      <c r="BM620" s="3"/>
      <c r="BN620" s="1393">
        <f t="shared" si="5"/>
        <v>0</v>
      </c>
      <c r="BO620" s="1394"/>
      <c r="BP620" s="1394"/>
      <c r="BQ620" s="1394"/>
      <c r="BR620" s="1395"/>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2.95" customHeight="1">
      <c r="A621" s="2"/>
      <c r="B621" s="2"/>
      <c r="C621" s="2"/>
      <c r="AZ621" s="3"/>
      <c r="BA621" s="3"/>
      <c r="BB621" s="3"/>
      <c r="BC621" s="3"/>
      <c r="BD621" s="3"/>
      <c r="BE621" s="1387">
        <f t="shared" si="1"/>
        <v>0</v>
      </c>
      <c r="BF621" s="1389"/>
      <c r="BG621" s="1511">
        <f t="shared" si="2"/>
        <v>0</v>
      </c>
      <c r="BH621" s="1512"/>
      <c r="BI621" s="1387">
        <f t="shared" si="3"/>
        <v>0</v>
      </c>
      <c r="BJ621" s="1389"/>
      <c r="BK621" s="1511">
        <f t="shared" si="4"/>
        <v>0</v>
      </c>
      <c r="BL621" s="1512"/>
      <c r="BM621" s="3"/>
      <c r="BN621" s="1393">
        <f t="shared" si="5"/>
        <v>0</v>
      </c>
      <c r="BO621" s="1394"/>
      <c r="BP621" s="1394"/>
      <c r="BQ621" s="1394"/>
      <c r="BR621" s="1395"/>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2.95" customHeight="1">
      <c r="C622" s="2" t="s">
        <v>2421</v>
      </c>
      <c r="AZ622" s="3"/>
      <c r="BA622" s="3"/>
      <c r="BB622" s="3"/>
      <c r="BC622" s="3"/>
      <c r="BD622" s="3"/>
      <c r="BE622" s="1387">
        <f t="shared" si="1"/>
        <v>0</v>
      </c>
      <c r="BF622" s="1389"/>
      <c r="BG622" s="1511">
        <f t="shared" si="2"/>
        <v>0</v>
      </c>
      <c r="BH622" s="1512"/>
      <c r="BI622" s="1387">
        <f t="shared" si="3"/>
        <v>0</v>
      </c>
      <c r="BJ622" s="1389"/>
      <c r="BK622" s="1511">
        <f t="shared" si="4"/>
        <v>0</v>
      </c>
      <c r="BL622" s="1512"/>
      <c r="BM622" s="3"/>
      <c r="BN622" s="1393">
        <f t="shared" si="5"/>
        <v>0</v>
      </c>
      <c r="BO622" s="1394"/>
      <c r="BP622" s="1394"/>
      <c r="BQ622" s="1394"/>
      <c r="BR622" s="1395"/>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2.95" customHeight="1">
      <c r="B623" s="546"/>
      <c r="C623" s="2"/>
      <c r="AU623" s="3"/>
      <c r="AZ623" s="3"/>
      <c r="BA623" s="3"/>
      <c r="BB623" s="3"/>
      <c r="BC623" s="3"/>
      <c r="BD623" s="3"/>
      <c r="BE623" s="1387">
        <f t="shared" si="1"/>
        <v>0</v>
      </c>
      <c r="BF623" s="1389"/>
      <c r="BG623" s="1511">
        <f t="shared" si="2"/>
        <v>0</v>
      </c>
      <c r="BH623" s="1512"/>
      <c r="BI623" s="1387">
        <f t="shared" si="3"/>
        <v>0</v>
      </c>
      <c r="BJ623" s="1389"/>
      <c r="BK623" s="1511">
        <f t="shared" si="4"/>
        <v>0</v>
      </c>
      <c r="BL623" s="1512"/>
      <c r="BM623" s="3"/>
      <c r="BN623" s="1393">
        <f t="shared" si="5"/>
        <v>0</v>
      </c>
      <c r="BO623" s="1394"/>
      <c r="BP623" s="1394"/>
      <c r="BQ623" s="1394"/>
      <c r="BR623" s="1395"/>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2.95" customHeight="1">
      <c r="B624" s="1583" t="s">
        <v>2423</v>
      </c>
      <c r="C624" s="1583"/>
      <c r="D624" s="1583"/>
      <c r="E624" s="1583"/>
      <c r="F624" s="1583"/>
      <c r="G624" s="1583"/>
      <c r="H624" s="1583"/>
      <c r="I624" s="1583"/>
      <c r="J624" s="1583"/>
      <c r="K624" s="1583"/>
      <c r="L624" s="1583"/>
      <c r="M624" s="1578" t="s">
        <v>2424</v>
      </c>
      <c r="N624" s="1578"/>
      <c r="O624" s="1578"/>
      <c r="P624" s="1578"/>
      <c r="Q624" s="1578" t="s">
        <v>2045</v>
      </c>
      <c r="R624" s="1578"/>
      <c r="S624" s="1578"/>
      <c r="T624" s="1578" t="s">
        <v>2043</v>
      </c>
      <c r="U624" s="1578"/>
      <c r="V624" s="1578"/>
      <c r="W624" s="1853" t="s">
        <v>462</v>
      </c>
      <c r="X624" s="1853"/>
      <c r="Y624" s="1853"/>
      <c r="Z624" s="1404" t="s">
        <v>2453</v>
      </c>
      <c r="AA624" s="1404"/>
      <c r="AB624" s="1405"/>
      <c r="AC624" s="1667" t="s">
        <v>1866</v>
      </c>
      <c r="AD624" s="1668"/>
      <c r="AE624" s="1669"/>
      <c r="AF624" s="1403" t="s">
        <v>2232</v>
      </c>
      <c r="AG624" s="1404"/>
      <c r="AH624" s="1404"/>
      <c r="AI624" s="1404"/>
      <c r="AJ624" s="1405"/>
      <c r="AK624" s="1736" t="s">
        <v>2233</v>
      </c>
      <c r="AL624" s="1737"/>
      <c r="AM624" s="1737"/>
      <c r="AN624" s="1738"/>
      <c r="AO624" s="1578" t="s">
        <v>463</v>
      </c>
      <c r="AP624" s="1578"/>
      <c r="AQ624" s="1578"/>
      <c r="AR624" s="1578"/>
      <c r="AS624" s="1578"/>
      <c r="AU624" s="3"/>
      <c r="AZ624" s="3"/>
      <c r="BA624" s="3"/>
      <c r="BB624" s="3"/>
      <c r="BC624" s="3"/>
      <c r="BD624" s="3"/>
      <c r="BE624" s="1387">
        <f t="shared" si="1"/>
        <v>0</v>
      </c>
      <c r="BF624" s="1389"/>
      <c r="BG624" s="1511">
        <f t="shared" si="2"/>
        <v>0</v>
      </c>
      <c r="BH624" s="1512"/>
      <c r="BI624" s="1387">
        <f t="shared" si="3"/>
        <v>0</v>
      </c>
      <c r="BJ624" s="1389"/>
      <c r="BK624" s="1511">
        <f t="shared" si="4"/>
        <v>0</v>
      </c>
      <c r="BL624" s="1512"/>
      <c r="BM624" s="3"/>
      <c r="BN624" s="1393">
        <f t="shared" si="5"/>
        <v>0</v>
      </c>
      <c r="BO624" s="1394"/>
      <c r="BP624" s="1394"/>
      <c r="BQ624" s="1394"/>
      <c r="BR624" s="1395"/>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2.95" customHeight="1">
      <c r="B625" s="1583"/>
      <c r="C625" s="1583"/>
      <c r="D625" s="1583"/>
      <c r="E625" s="1583"/>
      <c r="F625" s="1583"/>
      <c r="G625" s="1583"/>
      <c r="H625" s="1583"/>
      <c r="I625" s="1583"/>
      <c r="J625" s="1583"/>
      <c r="K625" s="1583"/>
      <c r="L625" s="1583"/>
      <c r="M625" s="1578"/>
      <c r="N625" s="1578"/>
      <c r="O625" s="1578"/>
      <c r="P625" s="1578"/>
      <c r="Q625" s="1578"/>
      <c r="R625" s="1578"/>
      <c r="S625" s="1578"/>
      <c r="T625" s="1578"/>
      <c r="U625" s="1578"/>
      <c r="V625" s="1578"/>
      <c r="W625" s="1853"/>
      <c r="X625" s="1853"/>
      <c r="Y625" s="1853"/>
      <c r="Z625" s="1407"/>
      <c r="AA625" s="1407"/>
      <c r="AB625" s="1408"/>
      <c r="AC625" s="1670"/>
      <c r="AD625" s="1671"/>
      <c r="AE625" s="1672"/>
      <c r="AF625" s="1406"/>
      <c r="AG625" s="1407"/>
      <c r="AH625" s="1407"/>
      <c r="AI625" s="1407"/>
      <c r="AJ625" s="1408"/>
      <c r="AK625" s="1739"/>
      <c r="AL625" s="1740"/>
      <c r="AM625" s="1740"/>
      <c r="AN625" s="1741"/>
      <c r="AO625" s="1578"/>
      <c r="AP625" s="1578"/>
      <c r="AQ625" s="1578"/>
      <c r="AR625" s="1578"/>
      <c r="AS625" s="1578"/>
      <c r="AU625" s="3"/>
      <c r="AZ625" s="3"/>
      <c r="BA625" s="3"/>
      <c r="BB625" s="3"/>
      <c r="BC625" s="3"/>
      <c r="BD625" s="3"/>
      <c r="BE625" s="1387">
        <f t="shared" si="1"/>
        <v>0</v>
      </c>
      <c r="BF625" s="1389"/>
      <c r="BG625" s="1511">
        <f t="shared" si="2"/>
        <v>0</v>
      </c>
      <c r="BH625" s="1512"/>
      <c r="BI625" s="1387">
        <f t="shared" si="3"/>
        <v>0</v>
      </c>
      <c r="BJ625" s="1389"/>
      <c r="BK625" s="1511">
        <f t="shared" si="4"/>
        <v>0</v>
      </c>
      <c r="BL625" s="1512"/>
      <c r="BM625" s="3"/>
      <c r="BN625" s="1393">
        <f t="shared" si="5"/>
        <v>0</v>
      </c>
      <c r="BO625" s="1394"/>
      <c r="BP625" s="1394"/>
      <c r="BQ625" s="1394"/>
      <c r="BR625" s="1395"/>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2.95" customHeight="1">
      <c r="B626" s="1583"/>
      <c r="C626" s="1583"/>
      <c r="D626" s="1583"/>
      <c r="E626" s="1583"/>
      <c r="F626" s="1583"/>
      <c r="G626" s="1583"/>
      <c r="H626" s="1583"/>
      <c r="I626" s="1583"/>
      <c r="J626" s="1583"/>
      <c r="K626" s="1583"/>
      <c r="L626" s="1583"/>
      <c r="M626" s="1578"/>
      <c r="N626" s="1578"/>
      <c r="O626" s="1578"/>
      <c r="P626" s="1578"/>
      <c r="Q626" s="1578"/>
      <c r="R626" s="1578"/>
      <c r="S626" s="1578"/>
      <c r="T626" s="1578"/>
      <c r="U626" s="1578"/>
      <c r="V626" s="1578"/>
      <c r="W626" s="1853"/>
      <c r="X626" s="1853"/>
      <c r="Y626" s="1853"/>
      <c r="Z626" s="1410"/>
      <c r="AA626" s="1410"/>
      <c r="AB626" s="1411"/>
      <c r="AC626" s="1673"/>
      <c r="AD626" s="1674"/>
      <c r="AE626" s="1675"/>
      <c r="AF626" s="1409"/>
      <c r="AG626" s="1410"/>
      <c r="AH626" s="1410"/>
      <c r="AI626" s="1410"/>
      <c r="AJ626" s="1411"/>
      <c r="AK626" s="1742"/>
      <c r="AL626" s="1743"/>
      <c r="AM626" s="1743"/>
      <c r="AN626" s="1744"/>
      <c r="AO626" s="1578"/>
      <c r="AP626" s="1578"/>
      <c r="AQ626" s="1578"/>
      <c r="AR626" s="1578"/>
      <c r="AS626" s="1578"/>
      <c r="AT626" s="3"/>
      <c r="AU626" s="3"/>
      <c r="AZ626" s="3"/>
      <c r="BA626" s="3"/>
      <c r="BB626" s="3"/>
      <c r="BC626" s="3"/>
      <c r="BD626" s="3"/>
      <c r="BE626" s="1387">
        <f t="shared" si="1"/>
        <v>0</v>
      </c>
      <c r="BF626" s="1389"/>
      <c r="BG626" s="1511">
        <f t="shared" si="2"/>
        <v>0</v>
      </c>
      <c r="BH626" s="1512"/>
      <c r="BI626" s="1387">
        <f t="shared" si="3"/>
        <v>0</v>
      </c>
      <c r="BJ626" s="1389"/>
      <c r="BK626" s="1511">
        <f t="shared" si="4"/>
        <v>0</v>
      </c>
      <c r="BL626" s="1512"/>
      <c r="BM626" s="3"/>
      <c r="BN626" s="1393">
        <f t="shared" si="5"/>
        <v>0</v>
      </c>
      <c r="BO626" s="1394"/>
      <c r="BP626" s="1394"/>
      <c r="BQ626" s="1394"/>
      <c r="BR626" s="1395"/>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2.95" customHeight="1">
      <c r="B627" s="51" t="s">
        <v>112</v>
      </c>
      <c r="C627" s="1588" t="s">
        <v>2725</v>
      </c>
      <c r="D627" s="1588"/>
      <c r="E627" s="1588"/>
      <c r="F627" s="1588"/>
      <c r="G627" s="1588"/>
      <c r="H627" s="1588"/>
      <c r="I627" s="1588"/>
      <c r="J627" s="1588"/>
      <c r="K627" s="1588"/>
      <c r="L627" s="1588"/>
      <c r="M627" s="1579" t="s">
        <v>2440</v>
      </c>
      <c r="N627" s="1579"/>
      <c r="O627" s="1579"/>
      <c r="P627" s="1579"/>
      <c r="Q627" s="1568">
        <v>17</v>
      </c>
      <c r="R627" s="1568"/>
      <c r="S627" s="1666"/>
      <c r="T627" s="1665">
        <v>40</v>
      </c>
      <c r="U627" s="1568"/>
      <c r="V627" s="1666"/>
      <c r="W627" s="1516">
        <v>6.0999999999999999E-2</v>
      </c>
      <c r="X627" s="1517"/>
      <c r="Y627" s="1518"/>
      <c r="Z627" s="1580" t="s">
        <v>2452</v>
      </c>
      <c r="AA627" s="1581"/>
      <c r="AB627" s="1582"/>
      <c r="AC627" s="1442">
        <v>1</v>
      </c>
      <c r="AD627" s="1443"/>
      <c r="AE627" s="1444"/>
      <c r="AF627" s="1513">
        <v>1607166</v>
      </c>
      <c r="AG627" s="1514"/>
      <c r="AH627" s="1514"/>
      <c r="AI627" s="1514"/>
      <c r="AJ627" s="1515"/>
      <c r="AK627" s="1676"/>
      <c r="AL627" s="1677"/>
      <c r="AM627" s="1677"/>
      <c r="AN627" s="1678"/>
      <c r="AO627" s="1612">
        <v>24036322</v>
      </c>
      <c r="AP627" s="1612"/>
      <c r="AQ627" s="1612"/>
      <c r="AR627" s="1612"/>
      <c r="AS627" s="1612"/>
      <c r="AT627" s="3"/>
      <c r="AU627" s="3"/>
      <c r="AZ627" s="3"/>
      <c r="BA627" s="3"/>
      <c r="BB627" s="3"/>
      <c r="BC627" s="3"/>
      <c r="BD627" s="3"/>
      <c r="BE627" s="1387">
        <f t="shared" si="1"/>
        <v>0</v>
      </c>
      <c r="BF627" s="1389"/>
      <c r="BG627" s="1511">
        <f t="shared" si="2"/>
        <v>0</v>
      </c>
      <c r="BH627" s="1512"/>
      <c r="BI627" s="1387">
        <f t="shared" si="3"/>
        <v>0</v>
      </c>
      <c r="BJ627" s="1389"/>
      <c r="BK627" s="1511">
        <f t="shared" si="4"/>
        <v>0</v>
      </c>
      <c r="BL627" s="1512"/>
      <c r="BM627" s="3"/>
      <c r="BN627" s="1393">
        <f t="shared" si="5"/>
        <v>0</v>
      </c>
      <c r="BO627" s="1394"/>
      <c r="BP627" s="1394"/>
      <c r="BQ627" s="1394"/>
      <c r="BR627" s="1395"/>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2.95" customHeight="1">
      <c r="B628" s="52" t="s">
        <v>113</v>
      </c>
      <c r="C628" s="1588" t="s">
        <v>2641</v>
      </c>
      <c r="D628" s="1588"/>
      <c r="E628" s="1588"/>
      <c r="F628" s="1588"/>
      <c r="G628" s="1588"/>
      <c r="H628" s="1588"/>
      <c r="I628" s="1588"/>
      <c r="J628" s="1588"/>
      <c r="K628" s="1588"/>
      <c r="L628" s="1588"/>
      <c r="M628" s="1579" t="s">
        <v>2436</v>
      </c>
      <c r="N628" s="1579"/>
      <c r="O628" s="1579"/>
      <c r="P628" s="1579"/>
      <c r="Q628" s="1665">
        <v>660</v>
      </c>
      <c r="R628" s="1568"/>
      <c r="S628" s="1666"/>
      <c r="T628" s="1665"/>
      <c r="U628" s="1568"/>
      <c r="V628" s="1666"/>
      <c r="W628" s="1516">
        <v>0.03</v>
      </c>
      <c r="X628" s="1517"/>
      <c r="Y628" s="1518"/>
      <c r="Z628" s="1580" t="s">
        <v>466</v>
      </c>
      <c r="AA628" s="1581"/>
      <c r="AB628" s="1582"/>
      <c r="AC628" s="1442">
        <v>2</v>
      </c>
      <c r="AD628" s="1443"/>
      <c r="AE628" s="1444"/>
      <c r="AF628" s="1513"/>
      <c r="AG628" s="1514"/>
      <c r="AH628" s="1514"/>
      <c r="AI628" s="1514"/>
      <c r="AJ628" s="1515"/>
      <c r="AK628" s="1676"/>
      <c r="AL628" s="1677"/>
      <c r="AM628" s="1677"/>
      <c r="AN628" s="1678"/>
      <c r="AO628" s="1589">
        <v>585000</v>
      </c>
      <c r="AP628" s="1590"/>
      <c r="AQ628" s="1590"/>
      <c r="AR628" s="1590"/>
      <c r="AS628" s="1591"/>
      <c r="AT628" s="1192" t="str">
        <f>IF(AND(NOT(C627=""),C628="",NOT(C629="")),"!","")</f>
        <v/>
      </c>
      <c r="AU628" s="3"/>
      <c r="AZ628" s="3"/>
      <c r="BA628" s="3"/>
      <c r="BB628" s="3"/>
      <c r="BC628" s="3"/>
      <c r="BD628" s="3"/>
      <c r="BE628" s="1387">
        <f t="shared" si="1"/>
        <v>0</v>
      </c>
      <c r="BF628" s="1389"/>
      <c r="BG628" s="1511">
        <f t="shared" si="2"/>
        <v>0</v>
      </c>
      <c r="BH628" s="1512"/>
      <c r="BI628" s="1387">
        <f t="shared" si="3"/>
        <v>0</v>
      </c>
      <c r="BJ628" s="1389"/>
      <c r="BK628" s="1511">
        <f t="shared" si="4"/>
        <v>0</v>
      </c>
      <c r="BL628" s="1512"/>
      <c r="BM628" s="3"/>
      <c r="BN628" s="1393">
        <f t="shared" si="5"/>
        <v>0</v>
      </c>
      <c r="BO628" s="1394"/>
      <c r="BP628" s="1394"/>
      <c r="BQ628" s="1394"/>
      <c r="BR628" s="1395"/>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2.95" customHeight="1">
      <c r="B629" s="52" t="s">
        <v>119</v>
      </c>
      <c r="C629" s="1588" t="s">
        <v>2653</v>
      </c>
      <c r="D629" s="1588"/>
      <c r="E629" s="1588"/>
      <c r="F629" s="1588"/>
      <c r="G629" s="1588"/>
      <c r="H629" s="1588"/>
      <c r="I629" s="1588"/>
      <c r="J629" s="1588"/>
      <c r="K629" s="1588"/>
      <c r="L629" s="1588"/>
      <c r="M629" s="1579" t="s">
        <v>2427</v>
      </c>
      <c r="N629" s="1579"/>
      <c r="O629" s="1579"/>
      <c r="P629" s="1579"/>
      <c r="Q629" s="1665"/>
      <c r="R629" s="1568"/>
      <c r="S629" s="1666"/>
      <c r="T629" s="1665"/>
      <c r="U629" s="1568"/>
      <c r="V629" s="1666"/>
      <c r="W629" s="1516"/>
      <c r="X629" s="1517"/>
      <c r="Y629" s="1518"/>
      <c r="Z629" s="1580" t="s">
        <v>1291</v>
      </c>
      <c r="AA629" s="1581"/>
      <c r="AB629" s="1582"/>
      <c r="AC629" s="1442"/>
      <c r="AD629" s="1443"/>
      <c r="AE629" s="1444"/>
      <c r="AF629" s="1513"/>
      <c r="AG629" s="1514"/>
      <c r="AH629" s="1514"/>
      <c r="AI629" s="1514"/>
      <c r="AJ629" s="1515"/>
      <c r="AK629" s="1676"/>
      <c r="AL629" s="1677"/>
      <c r="AM629" s="1677"/>
      <c r="AN629" s="1678"/>
      <c r="AO629" s="1589">
        <v>7537079</v>
      </c>
      <c r="AP629" s="1590"/>
      <c r="AQ629" s="1590"/>
      <c r="AR629" s="1590"/>
      <c r="AS629" s="1591"/>
      <c r="AT629" s="1192" t="str">
        <f t="shared" ref="AT629:AT638" si="23">IF(AND(NOT(C628=""),C629="",NOT(C630="")),"!","")</f>
        <v/>
      </c>
      <c r="AU629" s="3"/>
      <c r="AZ629" s="3"/>
      <c r="BA629" s="3"/>
      <c r="BB629" s="3"/>
      <c r="BC629" s="3"/>
      <c r="BD629" s="3"/>
      <c r="BE629" s="1387">
        <f t="shared" si="1"/>
        <v>0</v>
      </c>
      <c r="BF629" s="1389"/>
      <c r="BG629" s="1511">
        <f t="shared" si="2"/>
        <v>0</v>
      </c>
      <c r="BH629" s="1512"/>
      <c r="BI629" s="1387">
        <f t="shared" si="3"/>
        <v>0</v>
      </c>
      <c r="BJ629" s="1389"/>
      <c r="BK629" s="1511">
        <f t="shared" si="4"/>
        <v>0</v>
      </c>
      <c r="BL629" s="1512"/>
      <c r="BM629" s="3"/>
      <c r="BN629" s="1393">
        <f t="shared" si="5"/>
        <v>0</v>
      </c>
      <c r="BO629" s="1394"/>
      <c r="BP629" s="1394"/>
      <c r="BQ629" s="1394"/>
      <c r="BR629" s="1395"/>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2.95" customHeight="1">
      <c r="B630" s="52" t="s">
        <v>590</v>
      </c>
      <c r="C630" s="1588" t="s">
        <v>2653</v>
      </c>
      <c r="D630" s="1584"/>
      <c r="E630" s="1584"/>
      <c r="F630" s="1584"/>
      <c r="G630" s="1584"/>
      <c r="H630" s="1584"/>
      <c r="I630" s="1584"/>
      <c r="J630" s="1584"/>
      <c r="K630" s="1584"/>
      <c r="L630" s="1584"/>
      <c r="M630" s="1579" t="s">
        <v>2428</v>
      </c>
      <c r="N630" s="1579"/>
      <c r="O630" s="1579"/>
      <c r="P630" s="1579"/>
      <c r="Q630" s="1665"/>
      <c r="R630" s="1568"/>
      <c r="S630" s="1666"/>
      <c r="T630" s="1665"/>
      <c r="U630" s="1568"/>
      <c r="V630" s="1666"/>
      <c r="W630" s="1516"/>
      <c r="X630" s="1517"/>
      <c r="Y630" s="1518"/>
      <c r="Z630" s="1580" t="s">
        <v>1291</v>
      </c>
      <c r="AA630" s="1581"/>
      <c r="AB630" s="1582"/>
      <c r="AC630" s="1442"/>
      <c r="AD630" s="1443"/>
      <c r="AE630" s="1444"/>
      <c r="AF630" s="1513"/>
      <c r="AG630" s="1514"/>
      <c r="AH630" s="1514"/>
      <c r="AI630" s="1514"/>
      <c r="AJ630" s="1515"/>
      <c r="AK630" s="1676"/>
      <c r="AL630" s="1677"/>
      <c r="AM630" s="1677"/>
      <c r="AN630" s="1678"/>
      <c r="AO630" s="1589">
        <v>750000</v>
      </c>
      <c r="AP630" s="1590"/>
      <c r="AQ630" s="1590"/>
      <c r="AR630" s="1590"/>
      <c r="AS630" s="1591"/>
      <c r="AT630" s="1192" t="str">
        <f t="shared" si="23"/>
        <v/>
      </c>
      <c r="AU630" s="3"/>
      <c r="AZ630" s="3"/>
      <c r="BA630" s="3"/>
      <c r="BB630" s="3"/>
      <c r="BC630" s="3"/>
      <c r="BD630" s="3"/>
      <c r="BE630" s="1387">
        <f t="shared" si="1"/>
        <v>0</v>
      </c>
      <c r="BF630" s="1389"/>
      <c r="BG630" s="1511">
        <f t="shared" si="2"/>
        <v>0</v>
      </c>
      <c r="BH630" s="1512"/>
      <c r="BI630" s="1387">
        <f t="shared" si="3"/>
        <v>0</v>
      </c>
      <c r="BJ630" s="1389"/>
      <c r="BK630" s="1511">
        <f t="shared" si="4"/>
        <v>0</v>
      </c>
      <c r="BL630" s="1512"/>
      <c r="BM630" s="3"/>
      <c r="BN630" s="1393">
        <f t="shared" si="5"/>
        <v>0</v>
      </c>
      <c r="BO630" s="1394"/>
      <c r="BP630" s="1394"/>
      <c r="BQ630" s="1394"/>
      <c r="BR630" s="1395"/>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2.95" customHeight="1">
      <c r="B631" s="52" t="s">
        <v>773</v>
      </c>
      <c r="C631" s="1588" t="s">
        <v>2653</v>
      </c>
      <c r="D631" s="1584"/>
      <c r="E631" s="1584"/>
      <c r="F631" s="1584"/>
      <c r="G631" s="1584"/>
      <c r="H631" s="1584"/>
      <c r="I631" s="1584"/>
      <c r="J631" s="1584"/>
      <c r="K631" s="1584"/>
      <c r="L631" s="1584"/>
      <c r="M631" s="1579" t="s">
        <v>2438</v>
      </c>
      <c r="N631" s="1579"/>
      <c r="O631" s="1579"/>
      <c r="P631" s="1579"/>
      <c r="Q631" s="1665"/>
      <c r="R631" s="1568"/>
      <c r="S631" s="1666"/>
      <c r="T631" s="1665"/>
      <c r="U631" s="1568"/>
      <c r="V631" s="1666"/>
      <c r="W631" s="1516"/>
      <c r="X631" s="1517"/>
      <c r="Y631" s="1518"/>
      <c r="Z631" s="1580" t="s">
        <v>1291</v>
      </c>
      <c r="AA631" s="1581"/>
      <c r="AB631" s="1582"/>
      <c r="AC631" s="1442"/>
      <c r="AD631" s="1443"/>
      <c r="AE631" s="1444"/>
      <c r="AF631" s="1513"/>
      <c r="AG631" s="1514"/>
      <c r="AH631" s="1514"/>
      <c r="AI631" s="1514"/>
      <c r="AJ631" s="1515"/>
      <c r="AK631" s="1676"/>
      <c r="AL631" s="1677"/>
      <c r="AM631" s="1677"/>
      <c r="AN631" s="1678"/>
      <c r="AO631" s="1589">
        <v>1000000</v>
      </c>
      <c r="AP631" s="1590"/>
      <c r="AQ631" s="1590"/>
      <c r="AR631" s="1590"/>
      <c r="AS631" s="1591"/>
      <c r="AT631" s="1192" t="str">
        <f t="shared" si="23"/>
        <v/>
      </c>
      <c r="AU631" s="3"/>
      <c r="AZ631" s="3"/>
      <c r="BA631" s="3"/>
      <c r="BB631" s="3"/>
      <c r="BC631" s="3"/>
      <c r="BD631" s="3"/>
      <c r="BE631" s="1387">
        <f t="shared" si="1"/>
        <v>0</v>
      </c>
      <c r="BF631" s="1389"/>
      <c r="BG631" s="1511">
        <f t="shared" si="2"/>
        <v>0</v>
      </c>
      <c r="BH631" s="1512"/>
      <c r="BI631" s="1387">
        <f t="shared" si="3"/>
        <v>0</v>
      </c>
      <c r="BJ631" s="1389"/>
      <c r="BK631" s="1511">
        <f t="shared" si="4"/>
        <v>0</v>
      </c>
      <c r="BL631" s="1512"/>
      <c r="BM631" s="3"/>
      <c r="BN631" s="1393">
        <f t="shared" si="5"/>
        <v>0</v>
      </c>
      <c r="BO631" s="1394"/>
      <c r="BP631" s="1394"/>
      <c r="BQ631" s="1394"/>
      <c r="BR631" s="1395"/>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2.95" customHeight="1">
      <c r="B632" s="52" t="s">
        <v>593</v>
      </c>
      <c r="C632" s="1584"/>
      <c r="D632" s="1584"/>
      <c r="E632" s="1584"/>
      <c r="F632" s="1584"/>
      <c r="G632" s="1584"/>
      <c r="H632" s="1584"/>
      <c r="I632" s="1584"/>
      <c r="J632" s="1584"/>
      <c r="K632" s="1584"/>
      <c r="L632" s="1584"/>
      <c r="M632" s="1579" t="s">
        <v>1291</v>
      </c>
      <c r="N632" s="1579"/>
      <c r="O632" s="1579"/>
      <c r="P632" s="1579"/>
      <c r="Q632" s="1665"/>
      <c r="R632" s="1568"/>
      <c r="S632" s="1666"/>
      <c r="T632" s="1665"/>
      <c r="U632" s="1568"/>
      <c r="V632" s="1666"/>
      <c r="W632" s="1516"/>
      <c r="X632" s="1517"/>
      <c r="Y632" s="1518"/>
      <c r="Z632" s="1580" t="s">
        <v>1291</v>
      </c>
      <c r="AA632" s="1581"/>
      <c r="AB632" s="1582"/>
      <c r="AC632" s="1442"/>
      <c r="AD632" s="1443"/>
      <c r="AE632" s="1444"/>
      <c r="AF632" s="1513"/>
      <c r="AG632" s="1514"/>
      <c r="AH632" s="1514"/>
      <c r="AI632" s="1514"/>
      <c r="AJ632" s="1515"/>
      <c r="AK632" s="1676"/>
      <c r="AL632" s="1677"/>
      <c r="AM632" s="1677"/>
      <c r="AN632" s="1678"/>
      <c r="AO632" s="1589"/>
      <c r="AP632" s="1590"/>
      <c r="AQ632" s="1590"/>
      <c r="AR632" s="1590"/>
      <c r="AS632" s="1591"/>
      <c r="AT632" s="1192" t="str">
        <f t="shared" si="23"/>
        <v/>
      </c>
      <c r="AU632" s="3"/>
      <c r="AZ632" s="3"/>
      <c r="BA632" s="3"/>
      <c r="BB632" s="3"/>
      <c r="BC632" s="3"/>
      <c r="BD632" s="3"/>
      <c r="BE632" s="3"/>
      <c r="BF632" s="3"/>
      <c r="BG632" s="1387">
        <f>SUM(BG597:BH631)</f>
        <v>70</v>
      </c>
      <c r="BH632" s="1389"/>
      <c r="BI632" s="3"/>
      <c r="BJ632" s="3"/>
      <c r="BK632" s="1387">
        <f>SUM(BK597:BL631)</f>
        <v>18</v>
      </c>
      <c r="BL632" s="1389"/>
      <c r="BM632" s="3"/>
      <c r="BN632" s="1387">
        <f>SUM(BN597:BR631)</f>
        <v>0</v>
      </c>
      <c r="BO632" s="1388"/>
      <c r="BP632" s="1388"/>
      <c r="BQ632" s="1388"/>
      <c r="BR632" s="1389"/>
      <c r="BS632" s="1390">
        <f>SUM(BS597:BW631)</f>
        <v>50</v>
      </c>
      <c r="BT632" s="1390"/>
      <c r="BU632" s="1390"/>
      <c r="BV632" s="1390"/>
      <c r="BW632" s="1390"/>
      <c r="BX632" s="1390">
        <f>SUM(BX597:CB631)</f>
        <v>79</v>
      </c>
      <c r="BY632" s="1390"/>
      <c r="BZ632" s="1390"/>
      <c r="CA632" s="1390"/>
      <c r="CB632" s="1390"/>
      <c r="CC632" s="1390">
        <f>SUM(CC597:CG631)</f>
        <v>45</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5</v>
      </c>
      <c r="CY632" s="1390"/>
      <c r="CZ632" s="1390"/>
      <c r="DA632" s="1390"/>
      <c r="DB632" s="1390"/>
      <c r="DC632" s="1390">
        <f>SUM(DC597:DG631)</f>
        <v>8</v>
      </c>
      <c r="DD632" s="1390"/>
      <c r="DE632" s="1390"/>
      <c r="DF632" s="1390"/>
      <c r="DG632" s="1390"/>
      <c r="DH632" s="1390">
        <f>SUM(DH597:DL631)</f>
        <v>5</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4231</v>
      </c>
      <c r="ED632" s="1390"/>
      <c r="EE632" s="1390"/>
      <c r="EF632" s="1390"/>
      <c r="EG632" s="1390"/>
      <c r="EH632" s="1390">
        <f>SUM(EH597:EL631)</f>
        <v>3712</v>
      </c>
      <c r="EI632" s="1390"/>
      <c r="EJ632" s="1390"/>
      <c r="EK632" s="1390"/>
      <c r="EL632" s="1390"/>
      <c r="EM632" s="1390">
        <f>SUM(EM597:EQ631)</f>
        <v>5858</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464</v>
      </c>
      <c r="C633" s="1584"/>
      <c r="D633" s="1584"/>
      <c r="E633" s="1584"/>
      <c r="F633" s="1584"/>
      <c r="G633" s="1584"/>
      <c r="H633" s="1584"/>
      <c r="I633" s="1584"/>
      <c r="J633" s="1584"/>
      <c r="K633" s="1584"/>
      <c r="L633" s="1584"/>
      <c r="M633" s="1579" t="s">
        <v>1291</v>
      </c>
      <c r="N633" s="1579"/>
      <c r="O633" s="1579"/>
      <c r="P633" s="1579"/>
      <c r="Q633" s="1665"/>
      <c r="R633" s="1568"/>
      <c r="S633" s="1666"/>
      <c r="T633" s="1665"/>
      <c r="U633" s="1568"/>
      <c r="V633" s="1666"/>
      <c r="W633" s="1516"/>
      <c r="X633" s="1517"/>
      <c r="Y633" s="1518"/>
      <c r="Z633" s="1580" t="s">
        <v>1291</v>
      </c>
      <c r="AA633" s="1581"/>
      <c r="AB633" s="1582"/>
      <c r="AC633" s="1442"/>
      <c r="AD633" s="1443"/>
      <c r="AE633" s="1444"/>
      <c r="AF633" s="1513"/>
      <c r="AG633" s="1514"/>
      <c r="AH633" s="1514"/>
      <c r="AI633" s="1514"/>
      <c r="AJ633" s="1515"/>
      <c r="AK633" s="1676"/>
      <c r="AL633" s="1677"/>
      <c r="AM633" s="1677"/>
      <c r="AN633" s="1678"/>
      <c r="AO633" s="1589"/>
      <c r="AP633" s="1590"/>
      <c r="AQ633" s="1590"/>
      <c r="AR633" s="1590"/>
      <c r="AS633" s="159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7">
        <f>BN632+BS632+BX632+CC632+CH632+CM632</f>
        <v>174</v>
      </c>
      <c r="CN633" s="1388"/>
      <c r="CO633" s="1388"/>
      <c r="CP633" s="1388"/>
      <c r="CQ633" s="1389"/>
      <c r="CR633" s="385"/>
      <c r="CS633" s="3"/>
      <c r="CT633" s="3"/>
      <c r="CU633" s="3"/>
      <c r="CV633" s="3"/>
      <c r="CW633" s="3"/>
      <c r="CX633" s="3"/>
      <c r="CY633" s="3"/>
      <c r="CZ633" s="3"/>
      <c r="DA633" s="3"/>
      <c r="DB633" s="3"/>
      <c r="DC633" s="3"/>
      <c r="DD633" s="3"/>
      <c r="DE633" s="3"/>
      <c r="DF633" s="3"/>
    </row>
    <row r="634" spans="2:157" ht="12.95" customHeight="1">
      <c r="B634" s="52" t="s">
        <v>465</v>
      </c>
      <c r="C634" s="1584"/>
      <c r="D634" s="1584"/>
      <c r="E634" s="1584"/>
      <c r="F634" s="1584"/>
      <c r="G634" s="1584"/>
      <c r="H634" s="1584"/>
      <c r="I634" s="1584"/>
      <c r="J634" s="1584"/>
      <c r="K634" s="1584"/>
      <c r="L634" s="1584"/>
      <c r="M634" s="1579" t="s">
        <v>1291</v>
      </c>
      <c r="N634" s="1579"/>
      <c r="O634" s="1579"/>
      <c r="P634" s="1579"/>
      <c r="Q634" s="1665"/>
      <c r="R634" s="1568"/>
      <c r="S634" s="1666"/>
      <c r="T634" s="1665"/>
      <c r="U634" s="1568"/>
      <c r="V634" s="1666"/>
      <c r="W634" s="1516"/>
      <c r="X634" s="1517"/>
      <c r="Y634" s="1518"/>
      <c r="Z634" s="1580" t="s">
        <v>1291</v>
      </c>
      <c r="AA634" s="1581"/>
      <c r="AB634" s="1582"/>
      <c r="AC634" s="1442"/>
      <c r="AD634" s="1443"/>
      <c r="AE634" s="1444"/>
      <c r="AF634" s="1513"/>
      <c r="AG634" s="1514"/>
      <c r="AH634" s="1514"/>
      <c r="AI634" s="1514"/>
      <c r="AJ634" s="1515"/>
      <c r="AK634" s="1676"/>
      <c r="AL634" s="1677"/>
      <c r="AM634" s="1677"/>
      <c r="AN634" s="1678"/>
      <c r="AO634" s="1589"/>
      <c r="AP634" s="1590"/>
      <c r="AQ634" s="1590"/>
      <c r="AR634" s="1590"/>
      <c r="AS634" s="159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50</v>
      </c>
      <c r="BX634" s="3"/>
      <c r="BY634" s="3"/>
      <c r="BZ634" s="3"/>
      <c r="CA634" s="3"/>
      <c r="CB634" s="895">
        <f>BX632*2</f>
        <v>158</v>
      </c>
      <c r="CC634" s="3"/>
      <c r="CD634" s="3"/>
      <c r="CE634" s="3"/>
      <c r="CF634" s="3"/>
      <c r="CG634" s="895">
        <f>CC632*3</f>
        <v>135</v>
      </c>
      <c r="CH634" s="3"/>
      <c r="CI634" s="3"/>
      <c r="CJ634" s="3"/>
      <c r="CK634" s="3"/>
      <c r="CL634" s="895">
        <f>CH632*4</f>
        <v>0</v>
      </c>
      <c r="CM634" s="3"/>
      <c r="CN634" s="3"/>
      <c r="CO634" s="3"/>
      <c r="CP634" s="3"/>
      <c r="CQ634" s="895">
        <f>CM632*5</f>
        <v>0</v>
      </c>
      <c r="CS634" s="895">
        <f>BR634+BW634+CB634+CG634+CL634+CQ634</f>
        <v>343</v>
      </c>
      <c r="CT634" s="57" t="s">
        <v>2055</v>
      </c>
      <c r="CU634" s="3"/>
      <c r="CV634" s="3"/>
      <c r="CW634" s="3"/>
      <c r="CX634" s="3"/>
      <c r="CY634" s="3"/>
      <c r="CZ634" s="3"/>
      <c r="DA634" s="3"/>
      <c r="DB634" s="3"/>
      <c r="DC634" s="3"/>
      <c r="DD634" s="3"/>
      <c r="DE634" s="3"/>
      <c r="DF634" s="3"/>
    </row>
    <row r="635" spans="2:157" ht="12.95" customHeight="1">
      <c r="B635" s="52" t="s">
        <v>470</v>
      </c>
      <c r="C635" s="1584"/>
      <c r="D635" s="1584"/>
      <c r="E635" s="1584"/>
      <c r="F635" s="1584"/>
      <c r="G635" s="1584"/>
      <c r="H635" s="1584"/>
      <c r="I635" s="1584"/>
      <c r="J635" s="1584"/>
      <c r="K635" s="1584"/>
      <c r="L635" s="1584"/>
      <c r="M635" s="1579" t="s">
        <v>1291</v>
      </c>
      <c r="N635" s="1579"/>
      <c r="O635" s="1579"/>
      <c r="P635" s="1579"/>
      <c r="Q635" s="1665"/>
      <c r="R635" s="1568"/>
      <c r="S635" s="1666"/>
      <c r="T635" s="1665"/>
      <c r="U635" s="1568"/>
      <c r="V635" s="1666"/>
      <c r="W635" s="1516"/>
      <c r="X635" s="1517"/>
      <c r="Y635" s="1518"/>
      <c r="Z635" s="1580" t="s">
        <v>1291</v>
      </c>
      <c r="AA635" s="1581"/>
      <c r="AB635" s="1582"/>
      <c r="AC635" s="1442"/>
      <c r="AD635" s="1443"/>
      <c r="AE635" s="1444"/>
      <c r="AF635" s="1513"/>
      <c r="AG635" s="1514"/>
      <c r="AH635" s="1514"/>
      <c r="AI635" s="1514"/>
      <c r="AJ635" s="1515"/>
      <c r="AK635" s="1676"/>
      <c r="AL635" s="1677"/>
      <c r="AM635" s="1677"/>
      <c r="AN635" s="1678"/>
      <c r="AO635" s="1589"/>
      <c r="AP635" s="1590"/>
      <c r="AQ635" s="1590"/>
      <c r="AR635" s="1590"/>
      <c r="AS635" s="159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t="e">
        <f>DX597*(BN597/$BN$632)</f>
        <v>#VALUE!</v>
      </c>
      <c r="DY635" s="1386"/>
      <c r="DZ635" s="1386"/>
      <c r="EA635" s="1386"/>
      <c r="EB635" s="1386"/>
      <c r="EC635" s="1386">
        <f t="shared" ref="EC635:EC657" si="24">EC597*(BS597/$BS$632)</f>
        <v>55.5</v>
      </c>
      <c r="ED635" s="1386"/>
      <c r="EE635" s="1386"/>
      <c r="EF635" s="1386"/>
      <c r="EG635" s="1386"/>
      <c r="EH635" s="1386" t="e">
        <f t="shared" ref="EH635:EH657" si="25">EH597*(BX597/$BX$632)</f>
        <v>#VALUE!</v>
      </c>
      <c r="EI635" s="1386"/>
      <c r="EJ635" s="1386"/>
      <c r="EK635" s="1386"/>
      <c r="EL635" s="1386"/>
      <c r="EM635" s="1386" t="e">
        <f t="shared" ref="EM635:EM657" si="26">EM597*(CC597/$CC$632)</f>
        <v>#VALUE!</v>
      </c>
      <c r="EN635" s="1386"/>
      <c r="EO635" s="1386"/>
      <c r="EP635" s="1386"/>
      <c r="EQ635" s="1386"/>
      <c r="ER635" s="1386" t="e">
        <f t="shared" ref="ER635:ER657" si="27">ER597*(CH597/$CH$632)</f>
        <v>#VALUE!</v>
      </c>
      <c r="ES635" s="1386"/>
      <c r="ET635" s="1386"/>
      <c r="EU635" s="1386"/>
      <c r="EV635" s="1386"/>
      <c r="EW635" s="1386" t="e">
        <f t="shared" ref="EW635:EW657" si="28">EW597*(CM597/$CM$632)</f>
        <v>#VALUE!</v>
      </c>
      <c r="EX635" s="1386"/>
      <c r="EY635" s="1386"/>
      <c r="EZ635" s="1386"/>
      <c r="FA635" s="1386"/>
    </row>
    <row r="636" spans="2:157" ht="12.95" customHeight="1">
      <c r="B636" s="52" t="s">
        <v>655</v>
      </c>
      <c r="C636" s="1584"/>
      <c r="D636" s="1584"/>
      <c r="E636" s="1584"/>
      <c r="F636" s="1584"/>
      <c r="G636" s="1584"/>
      <c r="H636" s="1584"/>
      <c r="I636" s="1584"/>
      <c r="J636" s="1584"/>
      <c r="K636" s="1584"/>
      <c r="L636" s="1584"/>
      <c r="M636" s="1579" t="s">
        <v>1291</v>
      </c>
      <c r="N636" s="1579"/>
      <c r="O636" s="1579"/>
      <c r="P636" s="1579"/>
      <c r="Q636" s="1665"/>
      <c r="R636" s="1568"/>
      <c r="S636" s="1666"/>
      <c r="T636" s="1665"/>
      <c r="U636" s="1568"/>
      <c r="V636" s="1666"/>
      <c r="W636" s="1516"/>
      <c r="X636" s="1517"/>
      <c r="Y636" s="1518"/>
      <c r="Z636" s="1580" t="s">
        <v>1291</v>
      </c>
      <c r="AA636" s="1581"/>
      <c r="AB636" s="1582"/>
      <c r="AC636" s="1442"/>
      <c r="AD636" s="1443"/>
      <c r="AE636" s="1444"/>
      <c r="AF636" s="1513"/>
      <c r="AG636" s="1514"/>
      <c r="AH636" s="1514"/>
      <c r="AI636" s="1514"/>
      <c r="AJ636" s="1515"/>
      <c r="AK636" s="1676"/>
      <c r="AL636" s="1677"/>
      <c r="AM636" s="1677"/>
      <c r="AN636" s="1678"/>
      <c r="AO636" s="1589"/>
      <c r="AP636" s="1590"/>
      <c r="AQ636" s="1590"/>
      <c r="AR636" s="1590"/>
      <c r="AS636" s="159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t="e">
        <f t="shared" ref="DX636:DX657" si="29">DX598*(BN598/$BN$632)</f>
        <v>#VALUE!</v>
      </c>
      <c r="DY636" s="1386"/>
      <c r="DZ636" s="1386"/>
      <c r="EA636" s="1386"/>
      <c r="EB636" s="1386"/>
      <c r="EC636" s="1386">
        <f t="shared" si="24"/>
        <v>516.78000000000009</v>
      </c>
      <c r="ED636" s="1386"/>
      <c r="EE636" s="1386"/>
      <c r="EF636" s="1386"/>
      <c r="EG636" s="1386"/>
      <c r="EH636" s="1386" t="e">
        <f t="shared" si="25"/>
        <v>#VALUE!</v>
      </c>
      <c r="EI636" s="1386"/>
      <c r="EJ636" s="1386"/>
      <c r="EK636" s="1386"/>
      <c r="EL636" s="1386"/>
      <c r="EM636" s="1386" t="e">
        <f t="shared" si="26"/>
        <v>#VALUE!</v>
      </c>
      <c r="EN636" s="1386"/>
      <c r="EO636" s="1386"/>
      <c r="EP636" s="1386"/>
      <c r="EQ636" s="1386"/>
      <c r="ER636" s="1386" t="e">
        <f t="shared" si="27"/>
        <v>#VALUE!</v>
      </c>
      <c r="ES636" s="1386"/>
      <c r="ET636" s="1386"/>
      <c r="EU636" s="1386"/>
      <c r="EV636" s="1386"/>
      <c r="EW636" s="1386" t="e">
        <f t="shared" si="28"/>
        <v>#VALUE!</v>
      </c>
      <c r="EX636" s="1386"/>
      <c r="EY636" s="1386"/>
      <c r="EZ636" s="1386"/>
      <c r="FA636" s="1386"/>
    </row>
    <row r="637" spans="2:157" ht="12.95" customHeight="1">
      <c r="B637" s="52" t="s">
        <v>363</v>
      </c>
      <c r="C637" s="1584"/>
      <c r="D637" s="1584"/>
      <c r="E637" s="1584"/>
      <c r="F637" s="1584"/>
      <c r="G637" s="1584"/>
      <c r="H637" s="1584"/>
      <c r="I637" s="1584"/>
      <c r="J637" s="1584"/>
      <c r="K637" s="1584"/>
      <c r="L637" s="1584"/>
      <c r="M637" s="1579" t="s">
        <v>1291</v>
      </c>
      <c r="N637" s="1579"/>
      <c r="O637" s="1579"/>
      <c r="P637" s="1579"/>
      <c r="Q637" s="1665"/>
      <c r="R637" s="1568"/>
      <c r="S637" s="1666"/>
      <c r="T637" s="1665"/>
      <c r="U637" s="1568"/>
      <c r="V637" s="1666"/>
      <c r="W637" s="1516"/>
      <c r="X637" s="1517"/>
      <c r="Y637" s="1518"/>
      <c r="Z637" s="1580" t="s">
        <v>1291</v>
      </c>
      <c r="AA637" s="1581"/>
      <c r="AB637" s="1582"/>
      <c r="AC637" s="1442"/>
      <c r="AD637" s="1443"/>
      <c r="AE637" s="1444"/>
      <c r="AF637" s="1513"/>
      <c r="AG637" s="1514"/>
      <c r="AH637" s="1514"/>
      <c r="AI637" s="1514"/>
      <c r="AJ637" s="1515"/>
      <c r="AK637" s="1676"/>
      <c r="AL637" s="1677"/>
      <c r="AM637" s="1677"/>
      <c r="AN637" s="1678"/>
      <c r="AO637" s="1589"/>
      <c r="AP637" s="1590"/>
      <c r="AQ637" s="1590"/>
      <c r="AR637" s="1590"/>
      <c r="AS637" s="1591"/>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93">
        <f>IF(J773="SRO/Studio",O773,0)</f>
        <v>0</v>
      </c>
      <c r="BO637" s="1394"/>
      <c r="BP637" s="1394"/>
      <c r="BQ637" s="1394"/>
      <c r="BR637" s="1395"/>
      <c r="BS637" s="1392">
        <f>IF(J773="1 Bedroom",O773,0)</f>
        <v>0</v>
      </c>
      <c r="BT637" s="1392"/>
      <c r="BU637" s="1392"/>
      <c r="BV637" s="1392"/>
      <c r="BW637" s="1392"/>
      <c r="BX637" s="1392">
        <f>IF(J773="2 Bedrooms",O773,0)</f>
        <v>2</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86" t="e">
        <f t="shared" si="29"/>
        <v>#VALUE!</v>
      </c>
      <c r="DY637" s="1386"/>
      <c r="DZ637" s="1386"/>
      <c r="EA637" s="1386"/>
      <c r="EB637" s="1386"/>
      <c r="EC637" s="1386">
        <f t="shared" si="24"/>
        <v>301.08</v>
      </c>
      <c r="ED637" s="1386"/>
      <c r="EE637" s="1386"/>
      <c r="EF637" s="1386"/>
      <c r="EG637" s="1386"/>
      <c r="EH637" s="1386" t="e">
        <f t="shared" si="25"/>
        <v>#VALUE!</v>
      </c>
      <c r="EI637" s="1386"/>
      <c r="EJ637" s="1386"/>
      <c r="EK637" s="1386"/>
      <c r="EL637" s="1386"/>
      <c r="EM637" s="1386" t="e">
        <f t="shared" si="26"/>
        <v>#VALUE!</v>
      </c>
      <c r="EN637" s="1386"/>
      <c r="EO637" s="1386"/>
      <c r="EP637" s="1386"/>
      <c r="EQ637" s="1386"/>
      <c r="ER637" s="1386" t="e">
        <f t="shared" si="27"/>
        <v>#VALUE!</v>
      </c>
      <c r="ES637" s="1386"/>
      <c r="ET637" s="1386"/>
      <c r="EU637" s="1386"/>
      <c r="EV637" s="1386"/>
      <c r="EW637" s="1386" t="e">
        <f t="shared" si="28"/>
        <v>#VALUE!</v>
      </c>
      <c r="EX637" s="1386"/>
      <c r="EY637" s="1386"/>
      <c r="EZ637" s="1386"/>
      <c r="FA637" s="1386"/>
    </row>
    <row r="638" spans="2:157" ht="12.95" customHeight="1">
      <c r="B638" s="52" t="s">
        <v>364</v>
      </c>
      <c r="C638" s="1584"/>
      <c r="D638" s="1584"/>
      <c r="E638" s="1584"/>
      <c r="F638" s="1584"/>
      <c r="G638" s="1584"/>
      <c r="H638" s="1584"/>
      <c r="I638" s="1584"/>
      <c r="J638" s="1584"/>
      <c r="K638" s="1584"/>
      <c r="L638" s="1584"/>
      <c r="M638" s="1579" t="s">
        <v>1291</v>
      </c>
      <c r="N638" s="1579"/>
      <c r="O638" s="1579"/>
      <c r="P638" s="1579"/>
      <c r="Q638" s="1665"/>
      <c r="R638" s="1568"/>
      <c r="S638" s="1666"/>
      <c r="T638" s="1665"/>
      <c r="U638" s="1568"/>
      <c r="V638" s="1666"/>
      <c r="W638" s="1516"/>
      <c r="X638" s="1517"/>
      <c r="Y638" s="1518"/>
      <c r="Z638" s="1580" t="s">
        <v>1291</v>
      </c>
      <c r="AA638" s="1581"/>
      <c r="AB638" s="1582"/>
      <c r="AC638" s="1442"/>
      <c r="AD638" s="1443"/>
      <c r="AE638" s="1444"/>
      <c r="AF638" s="1513"/>
      <c r="AG638" s="1514"/>
      <c r="AH638" s="1514"/>
      <c r="AI638" s="1514"/>
      <c r="AJ638" s="1515"/>
      <c r="AK638" s="1676"/>
      <c r="AL638" s="1677"/>
      <c r="AM638" s="1677"/>
      <c r="AN638" s="1678"/>
      <c r="AO638" s="1589"/>
      <c r="AP638" s="1590"/>
      <c r="AQ638" s="1590"/>
      <c r="AR638" s="1590"/>
      <c r="AS638" s="159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86" t="e">
        <f t="shared" si="29"/>
        <v>#VALUE!</v>
      </c>
      <c r="DY638" s="1386"/>
      <c r="DZ638" s="1386"/>
      <c r="EA638" s="1386"/>
      <c r="EB638" s="1386"/>
      <c r="EC638" s="1386">
        <f t="shared" si="24"/>
        <v>156.10000000000002</v>
      </c>
      <c r="ED638" s="1386"/>
      <c r="EE638" s="1386"/>
      <c r="EF638" s="1386"/>
      <c r="EG638" s="1386"/>
      <c r="EH638" s="1386" t="e">
        <f t="shared" si="25"/>
        <v>#VALUE!</v>
      </c>
      <c r="EI638" s="1386"/>
      <c r="EJ638" s="1386"/>
      <c r="EK638" s="1386"/>
      <c r="EL638" s="1386"/>
      <c r="EM638" s="1386" t="e">
        <f t="shared" si="26"/>
        <v>#VALUE!</v>
      </c>
      <c r="EN638" s="1386"/>
      <c r="EO638" s="1386"/>
      <c r="EP638" s="1386"/>
      <c r="EQ638" s="1386"/>
      <c r="ER638" s="1386" t="e">
        <f t="shared" si="27"/>
        <v>#VALUE!</v>
      </c>
      <c r="ES638" s="1386"/>
      <c r="ET638" s="1386"/>
      <c r="EU638" s="1386"/>
      <c r="EV638" s="1386"/>
      <c r="EW638" s="1386" t="e">
        <f t="shared" si="28"/>
        <v>#VALUE!</v>
      </c>
      <c r="EX638" s="1386"/>
      <c r="EY638" s="1386"/>
      <c r="EZ638" s="1386"/>
      <c r="FA638" s="1386"/>
    </row>
    <row r="639" spans="2:157" ht="12.95"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599">
        <f>SUM(AO627:AR638)</f>
        <v>33908401</v>
      </c>
      <c r="AP639" s="1600"/>
      <c r="AQ639" s="1600"/>
      <c r="AR639" s="1600"/>
      <c r="AS639" s="1601"/>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86" t="e">
        <f t="shared" si="29"/>
        <v>#VALUE!</v>
      </c>
      <c r="DY639" s="1386"/>
      <c r="DZ639" s="1386"/>
      <c r="EA639" s="1386"/>
      <c r="EB639" s="1386"/>
      <c r="EC639" s="1386" t="e">
        <f t="shared" si="24"/>
        <v>#VALUE!</v>
      </c>
      <c r="ED639" s="1386"/>
      <c r="EE639" s="1386"/>
      <c r="EF639" s="1386"/>
      <c r="EG639" s="1386"/>
      <c r="EH639" s="1386">
        <f t="shared" si="25"/>
        <v>68.25316455696202</v>
      </c>
      <c r="EI639" s="1386"/>
      <c r="EJ639" s="1386"/>
      <c r="EK639" s="1386"/>
      <c r="EL639" s="1386"/>
      <c r="EM639" s="1386" t="e">
        <f t="shared" si="26"/>
        <v>#VALUE!</v>
      </c>
      <c r="EN639" s="1386"/>
      <c r="EO639" s="1386"/>
      <c r="EP639" s="1386"/>
      <c r="EQ639" s="1386"/>
      <c r="ER639" s="1386" t="e">
        <f t="shared" si="27"/>
        <v>#VALUE!</v>
      </c>
      <c r="ES639" s="1386"/>
      <c r="ET639" s="1386"/>
      <c r="EU639" s="1386"/>
      <c r="EV639" s="1386"/>
      <c r="EW639" s="1386" t="e">
        <f t="shared" si="28"/>
        <v>#VALUE!</v>
      </c>
      <c r="EX639" s="1386"/>
      <c r="EY639" s="1386"/>
      <c r="EZ639" s="1386"/>
      <c r="FA639" s="1386"/>
    </row>
    <row r="640" spans="2:157" ht="12.95"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89">
        <v>33941126</v>
      </c>
      <c r="AP640" s="1590"/>
      <c r="AQ640" s="1590"/>
      <c r="AR640" s="1590"/>
      <c r="AS640" s="1591"/>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86" t="e">
        <f t="shared" si="29"/>
        <v>#VALUE!</v>
      </c>
      <c r="DY640" s="1386"/>
      <c r="DZ640" s="1386"/>
      <c r="EA640" s="1386"/>
      <c r="EB640" s="1386"/>
      <c r="EC640" s="1386" t="e">
        <f t="shared" si="24"/>
        <v>#VALUE!</v>
      </c>
      <c r="ED640" s="1386"/>
      <c r="EE640" s="1386"/>
      <c r="EF640" s="1386"/>
      <c r="EG640" s="1386"/>
      <c r="EH640" s="1386">
        <f t="shared" si="25"/>
        <v>556.53164556962031</v>
      </c>
      <c r="EI640" s="1386"/>
      <c r="EJ640" s="1386"/>
      <c r="EK640" s="1386"/>
      <c r="EL640" s="1386"/>
      <c r="EM640" s="1386" t="e">
        <f t="shared" si="26"/>
        <v>#VALUE!</v>
      </c>
      <c r="EN640" s="1386"/>
      <c r="EO640" s="1386"/>
      <c r="EP640" s="1386"/>
      <c r="EQ640" s="1386"/>
      <c r="ER640" s="1386" t="e">
        <f t="shared" si="27"/>
        <v>#VALUE!</v>
      </c>
      <c r="ES640" s="1386"/>
      <c r="ET640" s="1386"/>
      <c r="EU640" s="1386"/>
      <c r="EV640" s="1386"/>
      <c r="EW640" s="1386" t="e">
        <f t="shared" si="28"/>
        <v>#VALUE!</v>
      </c>
      <c r="EX640" s="1386"/>
      <c r="EY640" s="1386"/>
      <c r="EZ640" s="1386"/>
      <c r="FA640" s="1386"/>
    </row>
    <row r="641" spans="1:157" ht="12.95" customHeight="1">
      <c r="B641" s="1595" t="s">
        <v>269</v>
      </c>
      <c r="C641" s="1596"/>
      <c r="D641" s="1596"/>
      <c r="E641" s="1596"/>
      <c r="F641" s="1596"/>
      <c r="G641" s="1596"/>
      <c r="H641" s="1596"/>
      <c r="I641" s="1596"/>
      <c r="J641" s="1596"/>
      <c r="K641" s="1596"/>
      <c r="L641" s="1596"/>
      <c r="M641" s="1596"/>
      <c r="N641" s="1596"/>
      <c r="O641" s="1596"/>
      <c r="P641" s="1596"/>
      <c r="Q641" s="1596"/>
      <c r="R641" s="1596"/>
      <c r="S641" s="1596"/>
      <c r="T641" s="1596"/>
      <c r="U641" s="1596"/>
      <c r="V641" s="1596"/>
      <c r="W641" s="1596"/>
      <c r="X641" s="1596"/>
      <c r="Y641" s="1596"/>
      <c r="Z641" s="1596"/>
      <c r="AA641" s="1596"/>
      <c r="AB641" s="1596"/>
      <c r="AC641" s="1596"/>
      <c r="AD641" s="1596"/>
      <c r="AE641" s="1596"/>
      <c r="AF641" s="1596"/>
      <c r="AG641" s="1596"/>
      <c r="AH641" s="1596"/>
      <c r="AI641" s="1596"/>
      <c r="AJ641" s="1596"/>
      <c r="AK641" s="1596"/>
      <c r="AL641" s="1596"/>
      <c r="AM641" s="1596"/>
      <c r="AN641" s="1597"/>
      <c r="AO641" s="1599">
        <f>AO639+AO640</f>
        <v>67849527</v>
      </c>
      <c r="AP641" s="1600"/>
      <c r="AQ641" s="1600"/>
      <c r="AR641" s="1600"/>
      <c r="AS641" s="1601"/>
      <c r="AV641" s="3"/>
      <c r="AW641" s="3"/>
      <c r="AX641" s="3"/>
      <c r="AY641" s="3"/>
      <c r="AZ641" s="34"/>
      <c r="BA641" s="34"/>
      <c r="BB641" s="34"/>
      <c r="BC641" s="34"/>
      <c r="BD641" s="34"/>
      <c r="BE641" s="34"/>
      <c r="BF641" s="34"/>
      <c r="BG641" s="34"/>
      <c r="BH641" s="34"/>
      <c r="BI641" s="34"/>
      <c r="BJ641" s="34"/>
      <c r="BK641" s="34"/>
      <c r="BL641" s="34"/>
      <c r="BM641" s="34"/>
      <c r="BN641" s="1511">
        <f>SUM(BN637:BR640)</f>
        <v>0</v>
      </c>
      <c r="BO641" s="1716"/>
      <c r="BP641" s="1716"/>
      <c r="BQ641" s="1716"/>
      <c r="BR641" s="1512"/>
      <c r="BS641" s="1698">
        <f>SUM(BS637:BW640)</f>
        <v>0</v>
      </c>
      <c r="BT641" s="1699"/>
      <c r="BU641" s="1699"/>
      <c r="BV641" s="1699"/>
      <c r="BW641" s="1700"/>
      <c r="BX641" s="1698">
        <f>SUM(BX637:CB640)</f>
        <v>2</v>
      </c>
      <c r="BY641" s="1699"/>
      <c r="BZ641" s="1699"/>
      <c r="CA641" s="1699"/>
      <c r="CB641" s="1700"/>
      <c r="CC641" s="1698">
        <f>SUM(CC637:CG640)</f>
        <v>0</v>
      </c>
      <c r="CD641" s="1699"/>
      <c r="CE641" s="1699"/>
      <c r="CF641" s="1699"/>
      <c r="CG641" s="1700"/>
      <c r="CH641" s="1698">
        <f>SUM(CH637:CL640)</f>
        <v>0</v>
      </c>
      <c r="CI641" s="1699"/>
      <c r="CJ641" s="1699"/>
      <c r="CK641" s="1699"/>
      <c r="CL641" s="1700"/>
      <c r="CM641" s="1698">
        <f>SUM(CM637:CQ640)</f>
        <v>0</v>
      </c>
      <c r="CN641" s="1699"/>
      <c r="CO641" s="1699"/>
      <c r="CP641" s="1699"/>
      <c r="CQ641" s="1700"/>
      <c r="CS641" s="895">
        <f>BN641+BS641+BX641+CC641+CH641+CM641</f>
        <v>2</v>
      </c>
      <c r="CT641" s="57" t="s">
        <v>2052</v>
      </c>
      <c r="CU641" s="3"/>
      <c r="CV641" s="3"/>
      <c r="CW641" s="3"/>
      <c r="CX641" s="3"/>
      <c r="CY641" s="3"/>
      <c r="CZ641" s="3"/>
      <c r="DA641" s="3"/>
      <c r="DB641" s="3"/>
      <c r="DC641" s="3"/>
      <c r="DD641" s="3"/>
      <c r="DE641" s="3"/>
      <c r="DF641" s="3"/>
      <c r="DX641" s="1386" t="e">
        <f t="shared" si="29"/>
        <v>#VALUE!</v>
      </c>
      <c r="DY641" s="1386"/>
      <c r="DZ641" s="1386"/>
      <c r="EA641" s="1386"/>
      <c r="EB641" s="1386"/>
      <c r="EC641" s="1386" t="e">
        <f t="shared" si="24"/>
        <v>#VALUE!</v>
      </c>
      <c r="ED641" s="1386"/>
      <c r="EE641" s="1386"/>
      <c r="EF641" s="1386"/>
      <c r="EG641" s="1386"/>
      <c r="EH641" s="1386">
        <f t="shared" si="25"/>
        <v>785.7341772151899</v>
      </c>
      <c r="EI641" s="1386"/>
      <c r="EJ641" s="1386"/>
      <c r="EK641" s="1386"/>
      <c r="EL641" s="1386"/>
      <c r="EM641" s="1386" t="e">
        <f t="shared" si="26"/>
        <v>#VALUE!</v>
      </c>
      <c r="EN641" s="1386"/>
      <c r="EO641" s="1386"/>
      <c r="EP641" s="1386"/>
      <c r="EQ641" s="1386"/>
      <c r="ER641" s="1386" t="e">
        <f t="shared" si="27"/>
        <v>#VALUE!</v>
      </c>
      <c r="ES641" s="1386"/>
      <c r="ET641" s="1386"/>
      <c r="EU641" s="1386"/>
      <c r="EV641" s="1386"/>
      <c r="EW641" s="1386" t="e">
        <f t="shared" si="28"/>
        <v>#VALUE!</v>
      </c>
      <c r="EX641" s="1386"/>
      <c r="EY641" s="1386"/>
      <c r="EZ641" s="1386"/>
      <c r="FA641" s="13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2054</v>
      </c>
      <c r="CU642" s="3"/>
      <c r="CV642" s="3"/>
      <c r="CW642" s="3"/>
      <c r="CX642" s="3"/>
      <c r="CY642" s="3"/>
      <c r="CZ642" s="3"/>
      <c r="DA642" s="3"/>
      <c r="DB642" s="3"/>
      <c r="DC642" s="3"/>
      <c r="DD642" s="3"/>
      <c r="DE642" s="3"/>
      <c r="DF642" s="3"/>
      <c r="DX642" s="1386" t="e">
        <f t="shared" si="29"/>
        <v>#VALUE!</v>
      </c>
      <c r="DY642" s="1386"/>
      <c r="DZ642" s="1386"/>
      <c r="EA642" s="1386"/>
      <c r="EB642" s="1386"/>
      <c r="EC642" s="1386" t="e">
        <f t="shared" si="24"/>
        <v>#VALUE!</v>
      </c>
      <c r="ED642" s="1386"/>
      <c r="EE642" s="1386"/>
      <c r="EF642" s="1386"/>
      <c r="EG642" s="1386"/>
      <c r="EH642" s="1386" t="e">
        <f t="shared" si="25"/>
        <v>#VALUE!</v>
      </c>
      <c r="EI642" s="1386"/>
      <c r="EJ642" s="1386"/>
      <c r="EK642" s="1386"/>
      <c r="EL642" s="1386"/>
      <c r="EM642" s="1386">
        <f t="shared" si="26"/>
        <v>86.666666666666657</v>
      </c>
      <c r="EN642" s="1386"/>
      <c r="EO642" s="1386"/>
      <c r="EP642" s="1386"/>
      <c r="EQ642" s="1386"/>
      <c r="ER642" s="1386" t="e">
        <f t="shared" si="27"/>
        <v>#VALUE!</v>
      </c>
      <c r="ES642" s="1386"/>
      <c r="ET642" s="1386"/>
      <c r="EU642" s="1386"/>
      <c r="EV642" s="1386"/>
      <c r="EW642" s="1386" t="e">
        <f t="shared" si="28"/>
        <v>#VALUE!</v>
      </c>
      <c r="EX642" s="1386"/>
      <c r="EY642" s="1386"/>
      <c r="EZ642" s="1386"/>
      <c r="FA642" s="1386"/>
    </row>
    <row r="643" spans="1:157" ht="12.95" customHeight="1">
      <c r="A643" s="55" t="s">
        <v>112</v>
      </c>
      <c r="B643" t="s">
        <v>472</v>
      </c>
      <c r="G643" s="1385" t="str">
        <f>C627</f>
        <v>Citibank, N.A.</v>
      </c>
      <c r="H643" s="1385"/>
      <c r="I643" s="1385"/>
      <c r="J643" s="1385"/>
      <c r="K643" s="1385"/>
      <c r="L643" s="1385"/>
      <c r="M643" s="1385"/>
      <c r="N643" s="1385"/>
      <c r="O643" s="1385"/>
      <c r="P643" s="1385"/>
      <c r="Q643" s="1385"/>
      <c r="R643" s="1385"/>
      <c r="S643" s="8"/>
      <c r="T643" s="55" t="s">
        <v>113</v>
      </c>
      <c r="U643" t="s">
        <v>472</v>
      </c>
      <c r="Z643" s="1385" t="str">
        <f>C628</f>
        <v>City of Roseville</v>
      </c>
      <c r="AA643" s="1385"/>
      <c r="AB643" s="1385"/>
      <c r="AC643" s="1385"/>
      <c r="AD643" s="1385"/>
      <c r="AE643" s="1385"/>
      <c r="AF643" s="1385"/>
      <c r="AG643" s="1385"/>
      <c r="AH643" s="1385"/>
      <c r="AI643" s="1385"/>
      <c r="AJ643" s="1385"/>
      <c r="AK643" s="13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29"/>
        <v>#VALUE!</v>
      </c>
      <c r="DY643" s="1386"/>
      <c r="DZ643" s="1386"/>
      <c r="EA643" s="1386"/>
      <c r="EB643" s="1386"/>
      <c r="EC643" s="1386" t="e">
        <f t="shared" si="24"/>
        <v>#VALUE!</v>
      </c>
      <c r="ED643" s="1386"/>
      <c r="EE643" s="1386"/>
      <c r="EF643" s="1386"/>
      <c r="EG643" s="1386"/>
      <c r="EH643" s="1386" t="e">
        <f t="shared" si="25"/>
        <v>#VALUE!</v>
      </c>
      <c r="EI643" s="1386"/>
      <c r="EJ643" s="1386"/>
      <c r="EK643" s="1386"/>
      <c r="EL643" s="1386"/>
      <c r="EM643" s="1386">
        <f t="shared" si="26"/>
        <v>148.55555555555554</v>
      </c>
      <c r="EN643" s="1386"/>
      <c r="EO643" s="1386"/>
      <c r="EP643" s="1386"/>
      <c r="EQ643" s="1386"/>
      <c r="ER643" s="1386" t="e">
        <f t="shared" si="27"/>
        <v>#VALUE!</v>
      </c>
      <c r="ES643" s="1386"/>
      <c r="ET643" s="1386"/>
      <c r="EU643" s="1386"/>
      <c r="EV643" s="1386"/>
      <c r="EW643" s="1386" t="e">
        <f t="shared" si="28"/>
        <v>#VALUE!</v>
      </c>
      <c r="EX643" s="1386"/>
      <c r="EY643" s="1386"/>
      <c r="EZ643" s="1386"/>
      <c r="FA643" s="1386"/>
    </row>
    <row r="644" spans="1:157" ht="12.95" customHeight="1">
      <c r="A644" s="22"/>
      <c r="B644" t="s">
        <v>85</v>
      </c>
      <c r="G644" s="1367" t="s">
        <v>2741</v>
      </c>
      <c r="H644" s="1367"/>
      <c r="I644" s="1367"/>
      <c r="J644" s="1367"/>
      <c r="K644" s="1367"/>
      <c r="L644" s="1367"/>
      <c r="M644" s="1367"/>
      <c r="N644" s="1367"/>
      <c r="O644" s="1367"/>
      <c r="P644" s="1367"/>
      <c r="Q644" s="1367"/>
      <c r="R644" s="1367"/>
      <c r="S644" s="8"/>
      <c r="T644" s="22"/>
      <c r="U644" t="s">
        <v>85</v>
      </c>
      <c r="Z644" s="1367" t="s">
        <v>2744</v>
      </c>
      <c r="AA644" s="1367"/>
      <c r="AB644" s="1367"/>
      <c r="AC644" s="1367"/>
      <c r="AD644" s="1367"/>
      <c r="AE644" s="1367"/>
      <c r="AF644" s="1367"/>
      <c r="AG644" s="1367"/>
      <c r="AH644" s="1367"/>
      <c r="AI644" s="1367"/>
      <c r="AJ644" s="1367"/>
      <c r="AK644" s="136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86" t="e">
        <f t="shared" si="29"/>
        <v>#VALUE!</v>
      </c>
      <c r="DY644" s="1386"/>
      <c r="DZ644" s="1386"/>
      <c r="EA644" s="1386"/>
      <c r="EB644" s="1386"/>
      <c r="EC644" s="1386" t="e">
        <f t="shared" si="24"/>
        <v>#VALUE!</v>
      </c>
      <c r="ED644" s="1386"/>
      <c r="EE644" s="1386"/>
      <c r="EF644" s="1386"/>
      <c r="EG644" s="1386"/>
      <c r="EH644" s="1386" t="e">
        <f t="shared" si="25"/>
        <v>#VALUE!</v>
      </c>
      <c r="EI644" s="1386"/>
      <c r="EJ644" s="1386"/>
      <c r="EK644" s="1386"/>
      <c r="EL644" s="1386"/>
      <c r="EM644" s="1386">
        <f t="shared" si="26"/>
        <v>395.02222222222218</v>
      </c>
      <c r="EN644" s="1386"/>
      <c r="EO644" s="1386"/>
      <c r="EP644" s="1386"/>
      <c r="EQ644" s="1386"/>
      <c r="ER644" s="1386" t="e">
        <f t="shared" si="27"/>
        <v>#VALUE!</v>
      </c>
      <c r="ES644" s="1386"/>
      <c r="ET644" s="1386"/>
      <c r="EU644" s="1386"/>
      <c r="EV644" s="1386"/>
      <c r="EW644" s="1386" t="e">
        <f t="shared" si="28"/>
        <v>#VALUE!</v>
      </c>
      <c r="EX644" s="1386"/>
      <c r="EY644" s="1386"/>
      <c r="EZ644" s="1386"/>
      <c r="FA644" s="1386"/>
    </row>
    <row r="645" spans="1:157" ht="12.95" customHeight="1">
      <c r="A645" s="22"/>
      <c r="B645" t="s">
        <v>589</v>
      </c>
      <c r="G645" s="1367" t="s">
        <v>503</v>
      </c>
      <c r="H645" s="1367"/>
      <c r="I645" s="1367"/>
      <c r="J645" s="1367"/>
      <c r="K645" s="1367"/>
      <c r="L645" s="1367"/>
      <c r="M645" s="1367"/>
      <c r="N645" s="1367"/>
      <c r="O645" s="1367"/>
      <c r="P645" s="1367"/>
      <c r="Q645" s="1367"/>
      <c r="R645" s="1367"/>
      <c r="T645" s="22"/>
      <c r="U645" t="s">
        <v>589</v>
      </c>
      <c r="Z645" s="1368" t="s">
        <v>2644</v>
      </c>
      <c r="AA645" s="1368"/>
      <c r="AB645" s="1368"/>
      <c r="AC645" s="1368"/>
      <c r="AD645" s="1368"/>
      <c r="AE645" s="1368"/>
      <c r="AF645" s="1368"/>
      <c r="AG645" s="1368"/>
      <c r="AH645" s="1368"/>
      <c r="AI645" s="1368"/>
      <c r="AJ645" s="1368"/>
      <c r="AK645" s="1368"/>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86" t="e">
        <f t="shared" si="29"/>
        <v>#VALUE!</v>
      </c>
      <c r="DY645" s="1386"/>
      <c r="DZ645" s="1386"/>
      <c r="EA645" s="1386"/>
      <c r="EB645" s="1386"/>
      <c r="EC645" s="1386" t="e">
        <f t="shared" si="24"/>
        <v>#VALUE!</v>
      </c>
      <c r="ED645" s="1386"/>
      <c r="EE645" s="1386"/>
      <c r="EF645" s="1386"/>
      <c r="EG645" s="1386"/>
      <c r="EH645" s="1386" t="e">
        <f t="shared" si="25"/>
        <v>#VALUE!</v>
      </c>
      <c r="EI645" s="1386"/>
      <c r="EJ645" s="1386"/>
      <c r="EK645" s="1386"/>
      <c r="EL645" s="1386"/>
      <c r="EM645" s="1386">
        <f t="shared" si="26"/>
        <v>1133.3333333333333</v>
      </c>
      <c r="EN645" s="1386"/>
      <c r="EO645" s="1386"/>
      <c r="EP645" s="1386"/>
      <c r="EQ645" s="1386"/>
      <c r="ER645" s="1386" t="e">
        <f t="shared" si="27"/>
        <v>#VALUE!</v>
      </c>
      <c r="ES645" s="1386"/>
      <c r="ET645" s="1386"/>
      <c r="EU645" s="1386"/>
      <c r="EV645" s="1386"/>
      <c r="EW645" s="1386" t="e">
        <f t="shared" si="28"/>
        <v>#VALUE!</v>
      </c>
      <c r="EX645" s="1386"/>
      <c r="EY645" s="1386"/>
      <c r="EZ645" s="1386"/>
      <c r="FA645" s="1386"/>
    </row>
    <row r="646" spans="1:157" ht="12.95" customHeight="1">
      <c r="A646" s="22"/>
      <c r="B646" t="s">
        <v>17</v>
      </c>
      <c r="G646" s="1367" t="s">
        <v>2742</v>
      </c>
      <c r="H646" s="1367"/>
      <c r="I646" s="1367"/>
      <c r="J646" s="1367"/>
      <c r="K646" s="1367"/>
      <c r="L646" s="1367"/>
      <c r="M646" s="1367"/>
      <c r="N646" s="1367"/>
      <c r="O646" s="1367"/>
      <c r="P646" s="1367"/>
      <c r="Q646" s="1367"/>
      <c r="R646" s="1367"/>
      <c r="S646" s="8"/>
      <c r="T646" s="22"/>
      <c r="U646" t="s">
        <v>17</v>
      </c>
      <c r="Z646" s="1368" t="s">
        <v>2745</v>
      </c>
      <c r="AA646" s="1368"/>
      <c r="AB646" s="1368"/>
      <c r="AC646" s="1368"/>
      <c r="AD646" s="1368"/>
      <c r="AE646" s="1368"/>
      <c r="AF646" s="1368"/>
      <c r="AG646" s="1368"/>
      <c r="AH646" s="1368"/>
      <c r="AI646" s="1368"/>
      <c r="AJ646" s="1368"/>
      <c r="AK646" s="1368"/>
      <c r="AZ646" s="3"/>
      <c r="BA646" s="3"/>
      <c r="BB646" s="3"/>
      <c r="BC646" s="3"/>
      <c r="BD646" s="3"/>
      <c r="BE646" s="3"/>
      <c r="BF646" s="3"/>
      <c r="BG646" s="3"/>
      <c r="BH646" s="3"/>
      <c r="BI646" s="3"/>
      <c r="BJ646" s="3"/>
      <c r="BK646" s="3"/>
      <c r="BL646" s="3"/>
      <c r="BM646" s="3"/>
      <c r="BN646" s="1393">
        <f t="shared" si="30"/>
        <v>0</v>
      </c>
      <c r="BO646" s="1394"/>
      <c r="BP646" s="1394"/>
      <c r="BQ646" s="1394"/>
      <c r="BR646" s="1395"/>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86" t="e">
        <f t="shared" si="29"/>
        <v>#VALUE!</v>
      </c>
      <c r="DY646" s="1386"/>
      <c r="DZ646" s="1386"/>
      <c r="EA646" s="1386"/>
      <c r="EB646" s="1386"/>
      <c r="EC646" s="1386" t="e">
        <f t="shared" si="24"/>
        <v>#VALUE!</v>
      </c>
      <c r="ED646" s="1386"/>
      <c r="EE646" s="1386"/>
      <c r="EF646" s="1386"/>
      <c r="EG646" s="1386"/>
      <c r="EH646" s="1386" t="e">
        <f t="shared" si="25"/>
        <v>#VALUE!</v>
      </c>
      <c r="EI646" s="1386"/>
      <c r="EJ646" s="1386"/>
      <c r="EK646" s="1386"/>
      <c r="EL646" s="1386"/>
      <c r="EM646" s="1386" t="e">
        <f t="shared" si="26"/>
        <v>#VALUE!</v>
      </c>
      <c r="EN646" s="1386"/>
      <c r="EO646" s="1386"/>
      <c r="EP646" s="1386"/>
      <c r="EQ646" s="1386"/>
      <c r="ER646" s="1386" t="e">
        <f t="shared" si="27"/>
        <v>#VALUE!</v>
      </c>
      <c r="ES646" s="1386"/>
      <c r="ET646" s="1386"/>
      <c r="EU646" s="1386"/>
      <c r="EV646" s="1386"/>
      <c r="EW646" s="1386" t="e">
        <f t="shared" si="28"/>
        <v>#VALUE!</v>
      </c>
      <c r="EX646" s="1386"/>
      <c r="EY646" s="1386"/>
      <c r="EZ646" s="1386"/>
      <c r="FA646" s="1386"/>
    </row>
    <row r="647" spans="1:157" ht="12.95" customHeight="1">
      <c r="A647" s="22"/>
      <c r="B647" t="s">
        <v>317</v>
      </c>
      <c r="G647" s="1384">
        <v>8053585673</v>
      </c>
      <c r="H647" s="1384"/>
      <c r="I647" s="1384"/>
      <c r="J647" s="1384"/>
      <c r="K647" s="1384"/>
      <c r="L647" s="1384"/>
      <c r="O647" s="33" t="s">
        <v>207</v>
      </c>
      <c r="P647" s="1510"/>
      <c r="Q647" s="1510"/>
      <c r="R647" s="1510"/>
      <c r="S647" s="10"/>
      <c r="T647" s="22"/>
      <c r="U647" t="s">
        <v>317</v>
      </c>
      <c r="Z647" s="1384">
        <v>9167745451</v>
      </c>
      <c r="AA647" s="1384"/>
      <c r="AB647" s="1384"/>
      <c r="AC647" s="1384"/>
      <c r="AD647" s="1384"/>
      <c r="AE647" s="1384"/>
      <c r="AH647" s="33" t="s">
        <v>207</v>
      </c>
      <c r="AI647" s="1510"/>
      <c r="AJ647" s="1510"/>
      <c r="AK647" s="1510"/>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86" t="e">
        <f t="shared" si="29"/>
        <v>#VALUE!</v>
      </c>
      <c r="DY647" s="1386"/>
      <c r="DZ647" s="1386"/>
      <c r="EA647" s="1386"/>
      <c r="EB647" s="1386"/>
      <c r="EC647" s="1386" t="e">
        <f t="shared" si="24"/>
        <v>#VALUE!</v>
      </c>
      <c r="ED647" s="1386"/>
      <c r="EE647" s="1386"/>
      <c r="EF647" s="1386"/>
      <c r="EG647" s="1386"/>
      <c r="EH647" s="1386" t="e">
        <f t="shared" si="25"/>
        <v>#VALUE!</v>
      </c>
      <c r="EI647" s="1386"/>
      <c r="EJ647" s="1386"/>
      <c r="EK647" s="1386"/>
      <c r="EL647" s="1386"/>
      <c r="EM647" s="1386" t="e">
        <f t="shared" si="26"/>
        <v>#VALUE!</v>
      </c>
      <c r="EN647" s="1386"/>
      <c r="EO647" s="1386"/>
      <c r="EP647" s="1386"/>
      <c r="EQ647" s="1386"/>
      <c r="ER647" s="1386" t="e">
        <f t="shared" si="27"/>
        <v>#VALUE!</v>
      </c>
      <c r="ES647" s="1386"/>
      <c r="ET647" s="1386"/>
      <c r="EU647" s="1386"/>
      <c r="EV647" s="1386"/>
      <c r="EW647" s="1386" t="e">
        <f t="shared" si="28"/>
        <v>#VALUE!</v>
      </c>
      <c r="EX647" s="1386"/>
      <c r="EY647" s="1386"/>
      <c r="EZ647" s="1386"/>
      <c r="FA647" s="1386"/>
    </row>
    <row r="648" spans="1:157" ht="12.95" customHeight="1">
      <c r="A648" s="22"/>
      <c r="B648" t="s">
        <v>18</v>
      </c>
      <c r="H648" s="1493" t="s">
        <v>2712</v>
      </c>
      <c r="I648" s="1367"/>
      <c r="J648" s="1367"/>
      <c r="K648" s="1367"/>
      <c r="L648" s="1367"/>
      <c r="M648" s="1367"/>
      <c r="N648" s="1367"/>
      <c r="O648" s="1367"/>
      <c r="P648" s="1367"/>
      <c r="Q648" s="1367"/>
      <c r="R648" s="1367"/>
      <c r="S648" s="8"/>
      <c r="T648" s="22"/>
      <c r="U648" t="s">
        <v>18</v>
      </c>
      <c r="AA648" s="1367" t="s">
        <v>2729</v>
      </c>
      <c r="AB648" s="1367"/>
      <c r="AC648" s="1367"/>
      <c r="AD648" s="1367"/>
      <c r="AE648" s="1367"/>
      <c r="AF648" s="1367"/>
      <c r="AG648" s="1367"/>
      <c r="AH648" s="1367"/>
      <c r="AI648" s="1367"/>
      <c r="AJ648" s="1367"/>
      <c r="AK648" s="1367"/>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86" t="e">
        <f t="shared" si="29"/>
        <v>#VALUE!</v>
      </c>
      <c r="DY648" s="1386"/>
      <c r="DZ648" s="1386"/>
      <c r="EA648" s="1386"/>
      <c r="EB648" s="1386"/>
      <c r="EC648" s="1386" t="e">
        <f t="shared" si="24"/>
        <v>#VALUE!</v>
      </c>
      <c r="ED648" s="1386"/>
      <c r="EE648" s="1386"/>
      <c r="EF648" s="1386"/>
      <c r="EG648" s="1386"/>
      <c r="EH648" s="1386" t="e">
        <f t="shared" si="25"/>
        <v>#VALUE!</v>
      </c>
      <c r="EI648" s="1386"/>
      <c r="EJ648" s="1386"/>
      <c r="EK648" s="1386"/>
      <c r="EL648" s="1386"/>
      <c r="EM648" s="1386" t="e">
        <f t="shared" si="26"/>
        <v>#VALUE!</v>
      </c>
      <c r="EN648" s="1386"/>
      <c r="EO648" s="1386"/>
      <c r="EP648" s="1386"/>
      <c r="EQ648" s="1386"/>
      <c r="ER648" s="1386" t="e">
        <f t="shared" si="27"/>
        <v>#VALUE!</v>
      </c>
      <c r="ES648" s="1386"/>
      <c r="ET648" s="1386"/>
      <c r="EU648" s="1386"/>
      <c r="EV648" s="1386"/>
      <c r="EW648" s="1386" t="e">
        <f t="shared" si="28"/>
        <v>#VALUE!</v>
      </c>
      <c r="EX648" s="1386"/>
      <c r="EY648" s="1386"/>
      <c r="EZ648" s="1386"/>
      <c r="FA648" s="1386"/>
    </row>
    <row r="649" spans="1:157" ht="12.95" customHeight="1">
      <c r="A649" s="22"/>
      <c r="B649" t="s">
        <v>20</v>
      </c>
      <c r="N649" s="1451" t="s">
        <v>554</v>
      </c>
      <c r="O649" s="1451"/>
      <c r="T649" s="22"/>
      <c r="U649" t="s">
        <v>20</v>
      </c>
      <c r="AG649" s="1451" t="s">
        <v>678</v>
      </c>
      <c r="AH649" s="1451"/>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86" t="e">
        <f t="shared" si="29"/>
        <v>#VALUE!</v>
      </c>
      <c r="DY649" s="1386"/>
      <c r="DZ649" s="1386"/>
      <c r="EA649" s="1386"/>
      <c r="EB649" s="1386"/>
      <c r="EC649" s="1386" t="e">
        <f t="shared" si="24"/>
        <v>#VALUE!</v>
      </c>
      <c r="ED649" s="1386"/>
      <c r="EE649" s="1386"/>
      <c r="EF649" s="1386"/>
      <c r="EG649" s="1386"/>
      <c r="EH649" s="1386" t="e">
        <f t="shared" si="25"/>
        <v>#VALUE!</v>
      </c>
      <c r="EI649" s="1386"/>
      <c r="EJ649" s="1386"/>
      <c r="EK649" s="1386"/>
      <c r="EL649" s="1386"/>
      <c r="EM649" s="1386" t="e">
        <f t="shared" si="26"/>
        <v>#VALUE!</v>
      </c>
      <c r="EN649" s="1386"/>
      <c r="EO649" s="1386"/>
      <c r="EP649" s="1386"/>
      <c r="EQ649" s="1386"/>
      <c r="ER649" s="1386" t="e">
        <f t="shared" si="27"/>
        <v>#VALUE!</v>
      </c>
      <c r="ES649" s="1386"/>
      <c r="ET649" s="1386"/>
      <c r="EU649" s="1386"/>
      <c r="EV649" s="1386"/>
      <c r="EW649" s="1386" t="e">
        <f t="shared" si="28"/>
        <v>#VALUE!</v>
      </c>
      <c r="EX649" s="1386"/>
      <c r="EY649" s="1386"/>
      <c r="EZ649" s="1386"/>
      <c r="FA649" s="1386"/>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86" t="e">
        <f t="shared" si="29"/>
        <v>#VALUE!</v>
      </c>
      <c r="DY650" s="1386"/>
      <c r="DZ650" s="1386"/>
      <c r="EA650" s="1386"/>
      <c r="EB650" s="1386"/>
      <c r="EC650" s="1386" t="e">
        <f t="shared" si="24"/>
        <v>#VALUE!</v>
      </c>
      <c r="ED650" s="1386"/>
      <c r="EE650" s="1386"/>
      <c r="EF650" s="1386"/>
      <c r="EG650" s="1386"/>
      <c r="EH650" s="1386" t="e">
        <f t="shared" si="25"/>
        <v>#VALUE!</v>
      </c>
      <c r="EI650" s="1386"/>
      <c r="EJ650" s="1386"/>
      <c r="EK650" s="1386"/>
      <c r="EL650" s="1386"/>
      <c r="EM650" s="1386" t="e">
        <f t="shared" si="26"/>
        <v>#VALUE!</v>
      </c>
      <c r="EN650" s="1386"/>
      <c r="EO650" s="1386"/>
      <c r="EP650" s="1386"/>
      <c r="EQ650" s="1386"/>
      <c r="ER650" s="1386" t="e">
        <f t="shared" si="27"/>
        <v>#VALUE!</v>
      </c>
      <c r="ES650" s="1386"/>
      <c r="ET650" s="1386"/>
      <c r="EU650" s="1386"/>
      <c r="EV650" s="1386"/>
      <c r="EW650" s="1386" t="e">
        <f t="shared" si="28"/>
        <v>#VALUE!</v>
      </c>
      <c r="EX650" s="1386"/>
      <c r="EY650" s="1386"/>
      <c r="EZ650" s="1386"/>
      <c r="FA650" s="1386"/>
    </row>
    <row r="651" spans="1:157" ht="12.95" customHeight="1">
      <c r="A651" s="55" t="s">
        <v>119</v>
      </c>
      <c r="B651" t="s">
        <v>472</v>
      </c>
      <c r="G651" s="1385" t="str">
        <f>C629</f>
        <v>Adarte LLC</v>
      </c>
      <c r="H651" s="1385"/>
      <c r="I651" s="1385"/>
      <c r="J651" s="1385"/>
      <c r="K651" s="1385"/>
      <c r="L651" s="1385"/>
      <c r="M651" s="1385"/>
      <c r="N651" s="1385"/>
      <c r="O651" s="1385"/>
      <c r="P651" s="1385"/>
      <c r="Q651" s="1385"/>
      <c r="R651" s="1385"/>
      <c r="T651" s="55" t="s">
        <v>590</v>
      </c>
      <c r="U651" t="s">
        <v>472</v>
      </c>
      <c r="Z651" s="1385" t="str">
        <f>C630</f>
        <v>Adarte LLC</v>
      </c>
      <c r="AA651" s="1385"/>
      <c r="AB651" s="1385"/>
      <c r="AC651" s="1385"/>
      <c r="AD651" s="1385"/>
      <c r="AE651" s="1385"/>
      <c r="AF651" s="1385"/>
      <c r="AG651" s="1385"/>
      <c r="AH651" s="1385"/>
      <c r="AI651" s="1385"/>
      <c r="AJ651" s="1385"/>
      <c r="AK651" s="1385"/>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86" t="e">
        <f t="shared" si="29"/>
        <v>#VALUE!</v>
      </c>
      <c r="DY651" s="1386"/>
      <c r="DZ651" s="1386"/>
      <c r="EA651" s="1386"/>
      <c r="EB651" s="1386"/>
      <c r="EC651" s="1386" t="e">
        <f t="shared" si="24"/>
        <v>#VALUE!</v>
      </c>
      <c r="ED651" s="1386"/>
      <c r="EE651" s="1386"/>
      <c r="EF651" s="1386"/>
      <c r="EG651" s="1386"/>
      <c r="EH651" s="1386" t="e">
        <f t="shared" si="25"/>
        <v>#VALUE!</v>
      </c>
      <c r="EI651" s="1386"/>
      <c r="EJ651" s="1386"/>
      <c r="EK651" s="1386"/>
      <c r="EL651" s="1386"/>
      <c r="EM651" s="1386" t="e">
        <f t="shared" si="26"/>
        <v>#VALUE!</v>
      </c>
      <c r="EN651" s="1386"/>
      <c r="EO651" s="1386"/>
      <c r="EP651" s="1386"/>
      <c r="EQ651" s="1386"/>
      <c r="ER651" s="1386" t="e">
        <f t="shared" si="27"/>
        <v>#VALUE!</v>
      </c>
      <c r="ES651" s="1386"/>
      <c r="ET651" s="1386"/>
      <c r="EU651" s="1386"/>
      <c r="EV651" s="1386"/>
      <c r="EW651" s="1386" t="e">
        <f t="shared" si="28"/>
        <v>#VALUE!</v>
      </c>
      <c r="EX651" s="1386"/>
      <c r="EY651" s="1386"/>
      <c r="EZ651" s="1386"/>
      <c r="FA651" s="1386"/>
    </row>
    <row r="652" spans="1:157" ht="12.95" customHeight="1">
      <c r="A652" s="22"/>
      <c r="B652" t="s">
        <v>85</v>
      </c>
      <c r="G652" s="1367" t="s">
        <v>2707</v>
      </c>
      <c r="H652" s="1367"/>
      <c r="I652" s="1367"/>
      <c r="J652" s="1367"/>
      <c r="K652" s="1367"/>
      <c r="L652" s="1367"/>
      <c r="M652" s="1367"/>
      <c r="N652" s="1367"/>
      <c r="O652" s="1367"/>
      <c r="P652" s="1367"/>
      <c r="Q652" s="1367"/>
      <c r="R652" s="1367"/>
      <c r="T652" s="22"/>
      <c r="U652" t="s">
        <v>85</v>
      </c>
      <c r="Z652" s="1367" t="s">
        <v>2707</v>
      </c>
      <c r="AA652" s="1367"/>
      <c r="AB652" s="1367"/>
      <c r="AC652" s="1367"/>
      <c r="AD652" s="1367"/>
      <c r="AE652" s="1367"/>
      <c r="AF652" s="1367"/>
      <c r="AG652" s="1367"/>
      <c r="AH652" s="1367"/>
      <c r="AI652" s="1367"/>
      <c r="AJ652" s="1367"/>
      <c r="AK652" s="1367"/>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86" t="e">
        <f t="shared" si="29"/>
        <v>#VALUE!</v>
      </c>
      <c r="DY652" s="1386"/>
      <c r="DZ652" s="1386"/>
      <c r="EA652" s="1386"/>
      <c r="EB652" s="1386"/>
      <c r="EC652" s="1386" t="e">
        <f t="shared" si="24"/>
        <v>#VALUE!</v>
      </c>
      <c r="ED652" s="1386"/>
      <c r="EE652" s="1386"/>
      <c r="EF652" s="1386"/>
      <c r="EG652" s="1386"/>
      <c r="EH652" s="1386" t="e">
        <f t="shared" si="25"/>
        <v>#VALUE!</v>
      </c>
      <c r="EI652" s="1386"/>
      <c r="EJ652" s="1386"/>
      <c r="EK652" s="1386"/>
      <c r="EL652" s="1386"/>
      <c r="EM652" s="1386" t="e">
        <f t="shared" si="26"/>
        <v>#VALUE!</v>
      </c>
      <c r="EN652" s="1386"/>
      <c r="EO652" s="1386"/>
      <c r="EP652" s="1386"/>
      <c r="EQ652" s="1386"/>
      <c r="ER652" s="1386" t="e">
        <f t="shared" si="27"/>
        <v>#VALUE!</v>
      </c>
      <c r="ES652" s="1386"/>
      <c r="ET652" s="1386"/>
      <c r="EU652" s="1386"/>
      <c r="EV652" s="1386"/>
      <c r="EW652" s="1386" t="e">
        <f t="shared" si="28"/>
        <v>#VALUE!</v>
      </c>
      <c r="EX652" s="1386"/>
      <c r="EY652" s="1386"/>
      <c r="EZ652" s="1386"/>
      <c r="FA652" s="1386"/>
    </row>
    <row r="653" spans="1:157" ht="12.95" customHeight="1">
      <c r="A653" s="22"/>
      <c r="B653" t="s">
        <v>589</v>
      </c>
      <c r="G653" s="1509" t="s">
        <v>2644</v>
      </c>
      <c r="H653" s="1368"/>
      <c r="I653" s="1368"/>
      <c r="J653" s="1368"/>
      <c r="K653" s="1368"/>
      <c r="L653" s="1368"/>
      <c r="M653" s="1368"/>
      <c r="N653" s="1368"/>
      <c r="O653" s="1368"/>
      <c r="P653" s="1368"/>
      <c r="Q653" s="1368"/>
      <c r="R653" s="1368"/>
      <c r="T653" s="22"/>
      <c r="U653" t="s">
        <v>589</v>
      </c>
      <c r="Z653" s="1368" t="s">
        <v>2644</v>
      </c>
      <c r="AA653" s="1368"/>
      <c r="AB653" s="1368"/>
      <c r="AC653" s="1368"/>
      <c r="AD653" s="1368"/>
      <c r="AE653" s="1368"/>
      <c r="AF653" s="1368"/>
      <c r="AG653" s="1368"/>
      <c r="AH653" s="1368"/>
      <c r="AI653" s="1368"/>
      <c r="AJ653" s="1368"/>
      <c r="AK653" s="1368"/>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86" t="e">
        <f t="shared" si="29"/>
        <v>#VALUE!</v>
      </c>
      <c r="DY653" s="1386"/>
      <c r="DZ653" s="1386"/>
      <c r="EA653" s="1386"/>
      <c r="EB653" s="1386"/>
      <c r="EC653" s="1386" t="e">
        <f t="shared" si="24"/>
        <v>#VALUE!</v>
      </c>
      <c r="ED653" s="1386"/>
      <c r="EE653" s="1386"/>
      <c r="EF653" s="1386"/>
      <c r="EG653" s="1386"/>
      <c r="EH653" s="1386" t="e">
        <f t="shared" si="25"/>
        <v>#VALUE!</v>
      </c>
      <c r="EI653" s="1386"/>
      <c r="EJ653" s="1386"/>
      <c r="EK653" s="1386"/>
      <c r="EL653" s="1386"/>
      <c r="EM653" s="1386" t="e">
        <f t="shared" si="26"/>
        <v>#VALUE!</v>
      </c>
      <c r="EN653" s="1386"/>
      <c r="EO653" s="1386"/>
      <c r="EP653" s="1386"/>
      <c r="EQ653" s="1386"/>
      <c r="ER653" s="1386" t="e">
        <f t="shared" si="27"/>
        <v>#VALUE!</v>
      </c>
      <c r="ES653" s="1386"/>
      <c r="ET653" s="1386"/>
      <c r="EU653" s="1386"/>
      <c r="EV653" s="1386"/>
      <c r="EW653" s="1386" t="e">
        <f t="shared" si="28"/>
        <v>#VALUE!</v>
      </c>
      <c r="EX653" s="1386"/>
      <c r="EY653" s="1386"/>
      <c r="EZ653" s="1386"/>
      <c r="FA653" s="1386"/>
    </row>
    <row r="654" spans="1:157" ht="12.95" customHeight="1">
      <c r="A654" s="22"/>
      <c r="B654" t="s">
        <v>17</v>
      </c>
      <c r="G654" s="1368" t="s">
        <v>2728</v>
      </c>
      <c r="H654" s="1368"/>
      <c r="I654" s="1368"/>
      <c r="J654" s="1368"/>
      <c r="K654" s="1368"/>
      <c r="L654" s="1368"/>
      <c r="M654" s="1368"/>
      <c r="N654" s="1368"/>
      <c r="O654" s="1368"/>
      <c r="P654" s="1368"/>
      <c r="Q654" s="1368"/>
      <c r="R654" s="1368"/>
      <c r="T654" s="22"/>
      <c r="U654" t="s">
        <v>17</v>
      </c>
      <c r="Z654" s="1368" t="s">
        <v>2728</v>
      </c>
      <c r="AA654" s="1368"/>
      <c r="AB654" s="1368"/>
      <c r="AC654" s="1368"/>
      <c r="AD654" s="1368"/>
      <c r="AE654" s="1368"/>
      <c r="AF654" s="1368"/>
      <c r="AG654" s="1368"/>
      <c r="AH654" s="1368"/>
      <c r="AI654" s="1368"/>
      <c r="AJ654" s="1368"/>
      <c r="AK654" s="1368"/>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86" t="e">
        <f t="shared" si="29"/>
        <v>#VALUE!</v>
      </c>
      <c r="DY654" s="1386"/>
      <c r="DZ654" s="1386"/>
      <c r="EA654" s="1386"/>
      <c r="EB654" s="1386"/>
      <c r="EC654" s="1386" t="e">
        <f t="shared" si="24"/>
        <v>#VALUE!</v>
      </c>
      <c r="ED654" s="1386"/>
      <c r="EE654" s="1386"/>
      <c r="EF654" s="1386"/>
      <c r="EG654" s="1386"/>
      <c r="EH654" s="1386" t="e">
        <f t="shared" si="25"/>
        <v>#VALUE!</v>
      </c>
      <c r="EI654" s="1386"/>
      <c r="EJ654" s="1386"/>
      <c r="EK654" s="1386"/>
      <c r="EL654" s="1386"/>
      <c r="EM654" s="1386" t="e">
        <f t="shared" si="26"/>
        <v>#VALUE!</v>
      </c>
      <c r="EN654" s="1386"/>
      <c r="EO654" s="1386"/>
      <c r="EP654" s="1386"/>
      <c r="EQ654" s="1386"/>
      <c r="ER654" s="1386" t="e">
        <f t="shared" si="27"/>
        <v>#VALUE!</v>
      </c>
      <c r="ES654" s="1386"/>
      <c r="ET654" s="1386"/>
      <c r="EU654" s="1386"/>
      <c r="EV654" s="1386"/>
      <c r="EW654" s="1386" t="e">
        <f t="shared" si="28"/>
        <v>#VALUE!</v>
      </c>
      <c r="EX654" s="1386"/>
      <c r="EY654" s="1386"/>
      <c r="EZ654" s="1386"/>
      <c r="FA654" s="1386"/>
    </row>
    <row r="655" spans="1:157" ht="12.95" customHeight="1">
      <c r="A655" s="22"/>
      <c r="B655" t="s">
        <v>317</v>
      </c>
      <c r="G655" s="1384">
        <v>9167830330</v>
      </c>
      <c r="H655" s="1384"/>
      <c r="I655" s="1384"/>
      <c r="J655" s="1384"/>
      <c r="K655" s="1384"/>
      <c r="L655" s="1384"/>
      <c r="O655" s="33" t="s">
        <v>207</v>
      </c>
      <c r="P655" s="1510"/>
      <c r="Q655" s="1510"/>
      <c r="R655" s="1510"/>
      <c r="T655" s="22"/>
      <c r="U655" t="s">
        <v>317</v>
      </c>
      <c r="Z655" s="1384">
        <v>9167830330</v>
      </c>
      <c r="AA655" s="1384"/>
      <c r="AB655" s="1384"/>
      <c r="AC655" s="1384"/>
      <c r="AD655" s="1384"/>
      <c r="AE655" s="1384"/>
      <c r="AH655" s="33" t="s">
        <v>207</v>
      </c>
      <c r="AI655" s="1510"/>
      <c r="AJ655" s="1510"/>
      <c r="AK655" s="1510"/>
      <c r="AZ655" s="34"/>
      <c r="BA655" s="34"/>
      <c r="BB655" s="34"/>
      <c r="BC655" s="34"/>
      <c r="BD655" s="34"/>
      <c r="BE655" s="34"/>
      <c r="BF655" s="34"/>
      <c r="BG655" s="34"/>
      <c r="BH655" s="34"/>
      <c r="BI655" s="34"/>
      <c r="BJ655" s="34"/>
      <c r="BK655" s="34"/>
      <c r="BL655" s="34"/>
      <c r="BM655" s="34"/>
      <c r="BN655" s="1511">
        <f>SUM(BN645:BR654)</f>
        <v>0</v>
      </c>
      <c r="BO655" s="1716"/>
      <c r="BP655" s="1716"/>
      <c r="BQ655" s="1716"/>
      <c r="BR655" s="1512"/>
      <c r="BS655" s="1698">
        <f>SUM(BS645:BW654)</f>
        <v>0</v>
      </c>
      <c r="BT655" s="1699"/>
      <c r="BU655" s="1699"/>
      <c r="BV655" s="1699"/>
      <c r="BW655" s="1700"/>
      <c r="BX655" s="1698">
        <f>SUM(BX645:CB654)</f>
        <v>0</v>
      </c>
      <c r="BY655" s="1699"/>
      <c r="BZ655" s="1699"/>
      <c r="CA655" s="1699"/>
      <c r="CB655" s="1700"/>
      <c r="CC655" s="1698">
        <f>SUM(CC645:CG654)</f>
        <v>0</v>
      </c>
      <c r="CD655" s="1699"/>
      <c r="CE655" s="1699"/>
      <c r="CF655" s="1699"/>
      <c r="CG655" s="1700"/>
      <c r="CH655" s="1698">
        <f>SUM(CH645:CL654)</f>
        <v>0</v>
      </c>
      <c r="CI655" s="1699"/>
      <c r="CJ655" s="1699"/>
      <c r="CK655" s="1699"/>
      <c r="CL655" s="1700"/>
      <c r="CM655" s="1698">
        <f>SUM(CM645:CQ654)</f>
        <v>0</v>
      </c>
      <c r="CN655" s="1699"/>
      <c r="CO655" s="1699"/>
      <c r="CP655" s="1699"/>
      <c r="CQ655" s="1700"/>
      <c r="CR655" s="1047"/>
      <c r="CS655" s="1610">
        <f>SUM(CS645:CW654)</f>
        <v>0</v>
      </c>
      <c r="CT655" s="1610"/>
      <c r="CU655" s="1610"/>
      <c r="CV655" s="1610"/>
      <c r="CW655" s="1610"/>
      <c r="CX655" s="1610">
        <f>SUM(CX645:DB654)</f>
        <v>0</v>
      </c>
      <c r="CY655" s="1610"/>
      <c r="CZ655" s="1610"/>
      <c r="DA655" s="1610"/>
      <c r="DB655" s="1610"/>
      <c r="DC655" s="1610">
        <f>SUM(DC645:DG654)</f>
        <v>0</v>
      </c>
      <c r="DD655" s="1610"/>
      <c r="DE655" s="1610"/>
      <c r="DF655" s="1610"/>
      <c r="DG655" s="1610"/>
      <c r="DH655" s="1610">
        <f>SUM(DH645:DL654)</f>
        <v>0</v>
      </c>
      <c r="DI655" s="1610"/>
      <c r="DJ655" s="1610"/>
      <c r="DK655" s="1610"/>
      <c r="DL655" s="1610"/>
      <c r="DM655" s="1610">
        <f>SUM(DM645:DQ654)</f>
        <v>0</v>
      </c>
      <c r="DN655" s="1610"/>
      <c r="DO655" s="1610"/>
      <c r="DP655" s="1610"/>
      <c r="DQ655" s="1610"/>
      <c r="DR655" s="1610">
        <f>SUM(DR645:DV654)</f>
        <v>0</v>
      </c>
      <c r="DS655" s="1610"/>
      <c r="DT655" s="1610"/>
      <c r="DU655" s="1610"/>
      <c r="DV655" s="1610"/>
      <c r="DX655" s="1386" t="e">
        <f t="shared" si="29"/>
        <v>#VALUE!</v>
      </c>
      <c r="DY655" s="1386"/>
      <c r="DZ655" s="1386"/>
      <c r="EA655" s="1386"/>
      <c r="EB655" s="1386"/>
      <c r="EC655" s="1386" t="e">
        <f t="shared" si="24"/>
        <v>#VALUE!</v>
      </c>
      <c r="ED655" s="1386"/>
      <c r="EE655" s="1386"/>
      <c r="EF655" s="1386"/>
      <c r="EG655" s="1386"/>
      <c r="EH655" s="1386" t="e">
        <f t="shared" si="25"/>
        <v>#VALUE!</v>
      </c>
      <c r="EI655" s="1386"/>
      <c r="EJ655" s="1386"/>
      <c r="EK655" s="1386"/>
      <c r="EL655" s="1386"/>
      <c r="EM655" s="1386" t="e">
        <f t="shared" si="26"/>
        <v>#VALUE!</v>
      </c>
      <c r="EN655" s="1386"/>
      <c r="EO655" s="1386"/>
      <c r="EP655" s="1386"/>
      <c r="EQ655" s="1386"/>
      <c r="ER655" s="1386" t="e">
        <f t="shared" si="27"/>
        <v>#VALUE!</v>
      </c>
      <c r="ES655" s="1386"/>
      <c r="ET655" s="1386"/>
      <c r="EU655" s="1386"/>
      <c r="EV655" s="1386"/>
      <c r="EW655" s="1386" t="e">
        <f t="shared" si="28"/>
        <v>#VALUE!</v>
      </c>
      <c r="EX655" s="1386"/>
      <c r="EY655" s="1386"/>
      <c r="EZ655" s="1386"/>
      <c r="FA655" s="1386"/>
    </row>
    <row r="656" spans="1:157" ht="12.95" customHeight="1">
      <c r="A656" s="22"/>
      <c r="B656" t="s">
        <v>18</v>
      </c>
      <c r="H656" s="1367" t="s">
        <v>1852</v>
      </c>
      <c r="I656" s="1367"/>
      <c r="J656" s="1367"/>
      <c r="K656" s="1367"/>
      <c r="L656" s="1367"/>
      <c r="M656" s="1367"/>
      <c r="N656" s="1367"/>
      <c r="O656" s="1367"/>
      <c r="P656" s="1367"/>
      <c r="Q656" s="1367"/>
      <c r="R656" s="1367"/>
      <c r="T656" s="22"/>
      <c r="U656" t="s">
        <v>18</v>
      </c>
      <c r="AA656" s="1367" t="s">
        <v>2734</v>
      </c>
      <c r="AB656" s="1367"/>
      <c r="AC656" s="1367"/>
      <c r="AD656" s="1367"/>
      <c r="AE656" s="1367"/>
      <c r="AF656" s="1367"/>
      <c r="AG656" s="1367"/>
      <c r="AH656" s="1367"/>
      <c r="AI656" s="1367"/>
      <c r="AJ656" s="1367"/>
      <c r="AK656" s="136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29"/>
        <v>#VALUE!</v>
      </c>
      <c r="DY656" s="1386"/>
      <c r="DZ656" s="1386"/>
      <c r="EA656" s="1386"/>
      <c r="EB656" s="1386"/>
      <c r="EC656" s="1386" t="e">
        <f t="shared" si="24"/>
        <v>#VALUE!</v>
      </c>
      <c r="ED656" s="1386"/>
      <c r="EE656" s="1386"/>
      <c r="EF656" s="1386"/>
      <c r="EG656" s="1386"/>
      <c r="EH656" s="1386" t="e">
        <f t="shared" si="25"/>
        <v>#VALUE!</v>
      </c>
      <c r="EI656" s="1386"/>
      <c r="EJ656" s="1386"/>
      <c r="EK656" s="1386"/>
      <c r="EL656" s="1386"/>
      <c r="EM656" s="1386" t="e">
        <f t="shared" si="26"/>
        <v>#VALUE!</v>
      </c>
      <c r="EN656" s="1386"/>
      <c r="EO656" s="1386"/>
      <c r="EP656" s="1386"/>
      <c r="EQ656" s="1386"/>
      <c r="ER656" s="1386" t="e">
        <f t="shared" si="27"/>
        <v>#VALUE!</v>
      </c>
      <c r="ES656" s="1386"/>
      <c r="ET656" s="1386"/>
      <c r="EU656" s="1386"/>
      <c r="EV656" s="1386"/>
      <c r="EW656" s="1386" t="e">
        <f t="shared" si="28"/>
        <v>#VALUE!</v>
      </c>
      <c r="EX656" s="1386"/>
      <c r="EY656" s="1386"/>
      <c r="EZ656" s="1386"/>
      <c r="FA656" s="1386"/>
    </row>
    <row r="657" spans="1:157" ht="12.95" customHeight="1">
      <c r="A657" s="22"/>
      <c r="B657" t="s">
        <v>20</v>
      </c>
      <c r="N657" s="1451" t="s">
        <v>554</v>
      </c>
      <c r="O657" s="1451"/>
      <c r="T657" s="22"/>
      <c r="U657" t="s">
        <v>20</v>
      </c>
      <c r="AG657" s="1451" t="s">
        <v>554</v>
      </c>
      <c r="AH657" s="1451"/>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86">
        <f>SUM(CS655:DV655)</f>
        <v>0</v>
      </c>
      <c r="DS657" s="1386"/>
      <c r="DT657" s="1386"/>
      <c r="DU657" s="1386"/>
      <c r="DV657" s="1386"/>
      <c r="DX657" s="1386" t="e">
        <f t="shared" si="29"/>
        <v>#VALUE!</v>
      </c>
      <c r="DY657" s="1386"/>
      <c r="DZ657" s="1386"/>
      <c r="EA657" s="1386"/>
      <c r="EB657" s="1386"/>
      <c r="EC657" s="1386" t="e">
        <f t="shared" si="24"/>
        <v>#VALUE!</v>
      </c>
      <c r="ED657" s="1386"/>
      <c r="EE657" s="1386"/>
      <c r="EF657" s="1386"/>
      <c r="EG657" s="1386"/>
      <c r="EH657" s="1386" t="e">
        <f t="shared" si="25"/>
        <v>#VALUE!</v>
      </c>
      <c r="EI657" s="1386"/>
      <c r="EJ657" s="1386"/>
      <c r="EK657" s="1386"/>
      <c r="EL657" s="1386"/>
      <c r="EM657" s="1386" t="e">
        <f t="shared" si="26"/>
        <v>#VALUE!</v>
      </c>
      <c r="EN657" s="1386"/>
      <c r="EO657" s="1386"/>
      <c r="EP657" s="1386"/>
      <c r="EQ657" s="1386"/>
      <c r="ER657" s="1386" t="e">
        <f t="shared" si="27"/>
        <v>#VALUE!</v>
      </c>
      <c r="ES657" s="1386"/>
      <c r="ET657" s="1386"/>
      <c r="EU657" s="1386"/>
      <c r="EV657" s="1386"/>
      <c r="EW657" s="1386" t="e">
        <f t="shared" si="28"/>
        <v>#VALUE!</v>
      </c>
      <c r="EX657" s="1386"/>
      <c r="EY657" s="1386"/>
      <c r="EZ657" s="1386"/>
      <c r="FA657" s="13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86" t="e">
        <f t="shared" ref="DX658:DX667" si="42">DX620*(BN620/$BN$632)</f>
        <v>#VALUE!</v>
      </c>
      <c r="DY658" s="1386"/>
      <c r="DZ658" s="1386"/>
      <c r="EA658" s="1386"/>
      <c r="EB658" s="1386"/>
      <c r="EC658" s="1386" t="e">
        <f t="shared" ref="EC658:EC667" si="43">EC620*(BS620/$BS$632)</f>
        <v>#VALUE!</v>
      </c>
      <c r="ED658" s="1386"/>
      <c r="EE658" s="1386"/>
      <c r="EF658" s="1386"/>
      <c r="EG658" s="1386"/>
      <c r="EH658" s="1386" t="e">
        <f t="shared" ref="EH658:EH667" si="44">EH620*(BX620/$BX$632)</f>
        <v>#VALUE!</v>
      </c>
      <c r="EI658" s="1386"/>
      <c r="EJ658" s="1386"/>
      <c r="EK658" s="1386"/>
      <c r="EL658" s="1386"/>
      <c r="EM658" s="1386" t="e">
        <f t="shared" ref="EM658:EM667" si="45">EM620*(CC620/$CC$632)</f>
        <v>#VALUE!</v>
      </c>
      <c r="EN658" s="1386"/>
      <c r="EO658" s="1386"/>
      <c r="EP658" s="1386"/>
      <c r="EQ658" s="1386"/>
      <c r="ER658" s="1386" t="e">
        <f t="shared" ref="ER658:ER667" si="46">ER620*(CH620/$CH$632)</f>
        <v>#VALUE!</v>
      </c>
      <c r="ES658" s="1386"/>
      <c r="ET658" s="1386"/>
      <c r="EU658" s="1386"/>
      <c r="EV658" s="1386"/>
      <c r="EW658" s="1386" t="e">
        <f t="shared" ref="EW658:EW667" si="47">EW620*(CM620/$CM$632)</f>
        <v>#VALUE!</v>
      </c>
      <c r="EX658" s="1386"/>
      <c r="EY658" s="1386"/>
      <c r="EZ658" s="1386"/>
      <c r="FA658" s="1386"/>
    </row>
    <row r="659" spans="1:157" ht="12.95" customHeight="1">
      <c r="A659" s="55" t="s">
        <v>773</v>
      </c>
      <c r="B659" t="s">
        <v>472</v>
      </c>
      <c r="G659" s="1385" t="str">
        <f>C631</f>
        <v>Adarte LLC</v>
      </c>
      <c r="H659" s="1385"/>
      <c r="I659" s="1385"/>
      <c r="J659" s="1385"/>
      <c r="K659" s="1385"/>
      <c r="L659" s="1385"/>
      <c r="M659" s="1385"/>
      <c r="N659" s="1385"/>
      <c r="O659" s="1385"/>
      <c r="P659" s="1385"/>
      <c r="Q659" s="1385"/>
      <c r="R659" s="1385"/>
      <c r="T659" s="55" t="s">
        <v>593</v>
      </c>
      <c r="U659" t="s">
        <v>472</v>
      </c>
      <c r="Z659" s="1385">
        <f>C632</f>
        <v>0</v>
      </c>
      <c r="AA659" s="1385"/>
      <c r="AB659" s="1385"/>
      <c r="AC659" s="1385"/>
      <c r="AD659" s="1385"/>
      <c r="AE659" s="1385"/>
      <c r="AF659" s="1385"/>
      <c r="AG659" s="1385"/>
      <c r="AH659" s="1385"/>
      <c r="AI659" s="1385"/>
      <c r="AJ659" s="1385"/>
      <c r="AK659" s="138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2"/>
        <v>#VALUE!</v>
      </c>
      <c r="DY659" s="1386"/>
      <c r="DZ659" s="1386"/>
      <c r="EA659" s="1386"/>
      <c r="EB659" s="1386"/>
      <c r="EC659" s="1386" t="e">
        <f t="shared" si="43"/>
        <v>#VALUE!</v>
      </c>
      <c r="ED659" s="1386"/>
      <c r="EE659" s="1386"/>
      <c r="EF659" s="1386"/>
      <c r="EG659" s="1386"/>
      <c r="EH659" s="1386" t="e">
        <f t="shared" si="44"/>
        <v>#VALUE!</v>
      </c>
      <c r="EI659" s="1386"/>
      <c r="EJ659" s="1386"/>
      <c r="EK659" s="1386"/>
      <c r="EL659" s="1386"/>
      <c r="EM659" s="1386" t="e">
        <f t="shared" si="45"/>
        <v>#VALUE!</v>
      </c>
      <c r="EN659" s="1386"/>
      <c r="EO659" s="1386"/>
      <c r="EP659" s="1386"/>
      <c r="EQ659" s="1386"/>
      <c r="ER659" s="1386" t="e">
        <f t="shared" si="46"/>
        <v>#VALUE!</v>
      </c>
      <c r="ES659" s="1386"/>
      <c r="ET659" s="1386"/>
      <c r="EU659" s="1386"/>
      <c r="EV659" s="1386"/>
      <c r="EW659" s="1386" t="e">
        <f t="shared" si="47"/>
        <v>#VALUE!</v>
      </c>
      <c r="EX659" s="1386"/>
      <c r="EY659" s="1386"/>
      <c r="EZ659" s="1386"/>
      <c r="FA659" s="1386"/>
    </row>
    <row r="660" spans="1:157" ht="12.95" customHeight="1">
      <c r="A660" s="22"/>
      <c r="B660" t="s">
        <v>85</v>
      </c>
      <c r="G660" s="1367" t="s">
        <v>2707</v>
      </c>
      <c r="H660" s="1367"/>
      <c r="I660" s="1367"/>
      <c r="J660" s="1367"/>
      <c r="K660" s="1367"/>
      <c r="L660" s="1367"/>
      <c r="M660" s="1367"/>
      <c r="N660" s="1367"/>
      <c r="O660" s="1367"/>
      <c r="P660" s="1367"/>
      <c r="Q660" s="1367"/>
      <c r="R660" s="1367"/>
      <c r="T660" s="22"/>
      <c r="U660" t="s">
        <v>85</v>
      </c>
      <c r="Z660" s="1367"/>
      <c r="AA660" s="1367"/>
      <c r="AB660" s="1367"/>
      <c r="AC660" s="1367"/>
      <c r="AD660" s="1367"/>
      <c r="AE660" s="1367"/>
      <c r="AF660" s="1367"/>
      <c r="AG660" s="1367"/>
      <c r="AH660" s="1367"/>
      <c r="AI660" s="1367"/>
      <c r="AJ660" s="1367"/>
      <c r="AK660" s="1367"/>
      <c r="AZ660" s="34"/>
      <c r="BA660" s="34"/>
      <c r="BB660" s="34"/>
      <c r="BC660" s="34"/>
      <c r="BD660" s="34"/>
      <c r="BE660" s="34"/>
      <c r="BF660" s="34"/>
      <c r="BG660" s="34"/>
      <c r="BH660" s="34"/>
      <c r="BI660" s="34"/>
      <c r="BJ660" s="34"/>
      <c r="BK660" s="34"/>
      <c r="BL660" s="34"/>
      <c r="BM660" s="34"/>
      <c r="BN660" s="1698">
        <f>BN632+BN641+BN655</f>
        <v>0</v>
      </c>
      <c r="BO660" s="1699"/>
      <c r="BP660" s="1699"/>
      <c r="BQ660" s="1699"/>
      <c r="BR660" s="1700"/>
      <c r="BS660" s="1698">
        <f>BS632+BS641+BS655</f>
        <v>50</v>
      </c>
      <c r="BT660" s="1699"/>
      <c r="BU660" s="1699"/>
      <c r="BV660" s="1699"/>
      <c r="BW660" s="1700"/>
      <c r="BX660" s="1698">
        <f>BX632+BX641+BX655</f>
        <v>81</v>
      </c>
      <c r="BY660" s="1699"/>
      <c r="BZ660" s="1699"/>
      <c r="CA660" s="1699"/>
      <c r="CB660" s="1700"/>
      <c r="CC660" s="1698">
        <f>CC632+CC641+CC655</f>
        <v>45</v>
      </c>
      <c r="CD660" s="1699"/>
      <c r="CE660" s="1699"/>
      <c r="CF660" s="1699"/>
      <c r="CG660" s="1700"/>
      <c r="CH660" s="1698">
        <f>CH632+CH641+CH655</f>
        <v>0</v>
      </c>
      <c r="CI660" s="1699"/>
      <c r="CJ660" s="1699"/>
      <c r="CK660" s="1699"/>
      <c r="CL660" s="1700"/>
      <c r="CM660" s="1387">
        <f>CM655+CM641+CM632</f>
        <v>0</v>
      </c>
      <c r="CN660" s="1388"/>
      <c r="CO660" s="1388"/>
      <c r="CP660" s="1388"/>
      <c r="CQ660" s="1389"/>
      <c r="CR660" s="3"/>
      <c r="CS660" s="895">
        <f>CS634+CS658</f>
        <v>343</v>
      </c>
      <c r="CT660" s="57" t="s">
        <v>2056</v>
      </c>
      <c r="CU660" s="3"/>
      <c r="CV660" s="3"/>
      <c r="CW660" s="3"/>
      <c r="CX660" s="3"/>
      <c r="CY660" s="3"/>
      <c r="CZ660" s="3"/>
      <c r="DA660" s="3"/>
      <c r="DB660" s="3"/>
      <c r="DC660" s="3"/>
      <c r="DD660" s="3"/>
      <c r="DE660" s="3"/>
      <c r="DF660" s="3"/>
      <c r="DX660" s="1386" t="e">
        <f t="shared" si="42"/>
        <v>#VALUE!</v>
      </c>
      <c r="DY660" s="1386"/>
      <c r="DZ660" s="1386"/>
      <c r="EA660" s="1386"/>
      <c r="EB660" s="1386"/>
      <c r="EC660" s="1386" t="e">
        <f t="shared" si="43"/>
        <v>#VALUE!</v>
      </c>
      <c r="ED660" s="1386"/>
      <c r="EE660" s="1386"/>
      <c r="EF660" s="1386"/>
      <c r="EG660" s="1386"/>
      <c r="EH660" s="1386" t="e">
        <f t="shared" si="44"/>
        <v>#VALUE!</v>
      </c>
      <c r="EI660" s="1386"/>
      <c r="EJ660" s="1386"/>
      <c r="EK660" s="1386"/>
      <c r="EL660" s="1386"/>
      <c r="EM660" s="1386" t="e">
        <f t="shared" si="45"/>
        <v>#VALUE!</v>
      </c>
      <c r="EN660" s="1386"/>
      <c r="EO660" s="1386"/>
      <c r="EP660" s="1386"/>
      <c r="EQ660" s="1386"/>
      <c r="ER660" s="1386" t="e">
        <f t="shared" si="46"/>
        <v>#VALUE!</v>
      </c>
      <c r="ES660" s="1386"/>
      <c r="ET660" s="1386"/>
      <c r="EU660" s="1386"/>
      <c r="EV660" s="1386"/>
      <c r="EW660" s="1386" t="e">
        <f t="shared" si="47"/>
        <v>#VALUE!</v>
      </c>
      <c r="EX660" s="1386"/>
      <c r="EY660" s="1386"/>
      <c r="EZ660" s="1386"/>
      <c r="FA660" s="1386"/>
    </row>
    <row r="661" spans="1:157" ht="12.95" customHeight="1">
      <c r="A661" s="22"/>
      <c r="B661" t="s">
        <v>589</v>
      </c>
      <c r="G661" s="1367" t="s">
        <v>2644</v>
      </c>
      <c r="H661" s="1367"/>
      <c r="I661" s="1367"/>
      <c r="J661" s="1367"/>
      <c r="K661" s="1367"/>
      <c r="L661" s="1367"/>
      <c r="M661" s="1367"/>
      <c r="N661" s="1367"/>
      <c r="O661" s="1367"/>
      <c r="P661" s="1367"/>
      <c r="Q661" s="1367"/>
      <c r="R661" s="1367"/>
      <c r="T661" s="22"/>
      <c r="U661" t="s">
        <v>589</v>
      </c>
      <c r="Z661" s="1368"/>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2"/>
        <v>#VALUE!</v>
      </c>
      <c r="DY661" s="1386"/>
      <c r="DZ661" s="1386"/>
      <c r="EA661" s="1386"/>
      <c r="EB661" s="1386"/>
      <c r="EC661" s="1386" t="e">
        <f t="shared" si="43"/>
        <v>#VALUE!</v>
      </c>
      <c r="ED661" s="1386"/>
      <c r="EE661" s="1386"/>
      <c r="EF661" s="1386"/>
      <c r="EG661" s="1386"/>
      <c r="EH661" s="1386" t="e">
        <f t="shared" si="44"/>
        <v>#VALUE!</v>
      </c>
      <c r="EI661" s="1386"/>
      <c r="EJ661" s="1386"/>
      <c r="EK661" s="1386"/>
      <c r="EL661" s="1386"/>
      <c r="EM661" s="1386" t="e">
        <f t="shared" si="45"/>
        <v>#VALUE!</v>
      </c>
      <c r="EN661" s="1386"/>
      <c r="EO661" s="1386"/>
      <c r="EP661" s="1386"/>
      <c r="EQ661" s="1386"/>
      <c r="ER661" s="1386" t="e">
        <f t="shared" si="46"/>
        <v>#VALUE!</v>
      </c>
      <c r="ES661" s="1386"/>
      <c r="ET661" s="1386"/>
      <c r="EU661" s="1386"/>
      <c r="EV661" s="1386"/>
      <c r="EW661" s="1386" t="e">
        <f t="shared" si="47"/>
        <v>#VALUE!</v>
      </c>
      <c r="EX661" s="1386"/>
      <c r="EY661" s="1386"/>
      <c r="EZ661" s="1386"/>
      <c r="FA661" s="1386"/>
    </row>
    <row r="662" spans="1:157" ht="12.95" customHeight="1">
      <c r="A662" s="22"/>
      <c r="B662" t="s">
        <v>17</v>
      </c>
      <c r="G662" s="1367" t="s">
        <v>2728</v>
      </c>
      <c r="H662" s="1367"/>
      <c r="I662" s="1367"/>
      <c r="J662" s="1367"/>
      <c r="K662" s="1367"/>
      <c r="L662" s="1367"/>
      <c r="M662" s="1367"/>
      <c r="N662" s="1367"/>
      <c r="O662" s="1367"/>
      <c r="P662" s="1367"/>
      <c r="Q662" s="1367"/>
      <c r="R662" s="1367"/>
      <c r="T662" s="22"/>
      <c r="U662" t="s">
        <v>17</v>
      </c>
      <c r="Z662" s="1368"/>
      <c r="AA662" s="1368"/>
      <c r="AB662" s="1368"/>
      <c r="AC662" s="1368"/>
      <c r="AD662" s="1368"/>
      <c r="AE662" s="1368"/>
      <c r="AF662" s="1368"/>
      <c r="AG662" s="1368"/>
      <c r="AH662" s="1368"/>
      <c r="AI662" s="1368"/>
      <c r="AJ662" s="1368"/>
      <c r="AK662" s="136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2"/>
        <v>#VALUE!</v>
      </c>
      <c r="DY662" s="1386"/>
      <c r="DZ662" s="1386"/>
      <c r="EA662" s="1386"/>
      <c r="EB662" s="1386"/>
      <c r="EC662" s="1386" t="e">
        <f t="shared" si="43"/>
        <v>#VALUE!</v>
      </c>
      <c r="ED662" s="1386"/>
      <c r="EE662" s="1386"/>
      <c r="EF662" s="1386"/>
      <c r="EG662" s="1386"/>
      <c r="EH662" s="1386" t="e">
        <f t="shared" si="44"/>
        <v>#VALUE!</v>
      </c>
      <c r="EI662" s="1386"/>
      <c r="EJ662" s="1386"/>
      <c r="EK662" s="1386"/>
      <c r="EL662" s="1386"/>
      <c r="EM662" s="1386" t="e">
        <f t="shared" si="45"/>
        <v>#VALUE!</v>
      </c>
      <c r="EN662" s="1386"/>
      <c r="EO662" s="1386"/>
      <c r="EP662" s="1386"/>
      <c r="EQ662" s="1386"/>
      <c r="ER662" s="1386" t="e">
        <f t="shared" si="46"/>
        <v>#VALUE!</v>
      </c>
      <c r="ES662" s="1386"/>
      <c r="ET662" s="1386"/>
      <c r="EU662" s="1386"/>
      <c r="EV662" s="1386"/>
      <c r="EW662" s="1386" t="e">
        <f t="shared" si="47"/>
        <v>#VALUE!</v>
      </c>
      <c r="EX662" s="1386"/>
      <c r="EY662" s="1386"/>
      <c r="EZ662" s="1386"/>
      <c r="FA662" s="1386"/>
    </row>
    <row r="663" spans="1:157" ht="12.95" customHeight="1">
      <c r="A663" s="22"/>
      <c r="B663" t="s">
        <v>317</v>
      </c>
      <c r="G663" s="1384">
        <v>9167830330</v>
      </c>
      <c r="H663" s="1384"/>
      <c r="I663" s="1384"/>
      <c r="J663" s="1384"/>
      <c r="K663" s="1384"/>
      <c r="L663" s="1384"/>
      <c r="O663" s="33" t="s">
        <v>207</v>
      </c>
      <c r="P663" s="1510"/>
      <c r="Q663" s="1510"/>
      <c r="R663" s="1510"/>
      <c r="T663" s="22"/>
      <c r="U663" t="s">
        <v>317</v>
      </c>
      <c r="Z663" s="1384"/>
      <c r="AA663" s="1384"/>
      <c r="AB663" s="1384"/>
      <c r="AC663" s="1384"/>
      <c r="AD663" s="1384"/>
      <c r="AE663" s="1384"/>
      <c r="AH663" s="33" t="s">
        <v>207</v>
      </c>
      <c r="AI663" s="1510"/>
      <c r="AJ663" s="1510"/>
      <c r="AK663" s="151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2"/>
        <v>#VALUE!</v>
      </c>
      <c r="DY663" s="1386"/>
      <c r="DZ663" s="1386"/>
      <c r="EA663" s="1386"/>
      <c r="EB663" s="1386"/>
      <c r="EC663" s="1386" t="e">
        <f t="shared" si="43"/>
        <v>#VALUE!</v>
      </c>
      <c r="ED663" s="1386"/>
      <c r="EE663" s="1386"/>
      <c r="EF663" s="1386"/>
      <c r="EG663" s="1386"/>
      <c r="EH663" s="1386" t="e">
        <f t="shared" si="44"/>
        <v>#VALUE!</v>
      </c>
      <c r="EI663" s="1386"/>
      <c r="EJ663" s="1386"/>
      <c r="EK663" s="1386"/>
      <c r="EL663" s="1386"/>
      <c r="EM663" s="1386" t="e">
        <f t="shared" si="45"/>
        <v>#VALUE!</v>
      </c>
      <c r="EN663" s="1386"/>
      <c r="EO663" s="1386"/>
      <c r="EP663" s="1386"/>
      <c r="EQ663" s="1386"/>
      <c r="ER663" s="1386" t="e">
        <f t="shared" si="46"/>
        <v>#VALUE!</v>
      </c>
      <c r="ES663" s="1386"/>
      <c r="ET663" s="1386"/>
      <c r="EU663" s="1386"/>
      <c r="EV663" s="1386"/>
      <c r="EW663" s="1386" t="e">
        <f t="shared" si="47"/>
        <v>#VALUE!</v>
      </c>
      <c r="EX663" s="1386"/>
      <c r="EY663" s="1386"/>
      <c r="EZ663" s="1386"/>
      <c r="FA663" s="1386"/>
    </row>
    <row r="664" spans="1:157" ht="12.95" customHeight="1">
      <c r="A664" s="22"/>
      <c r="B664" t="s">
        <v>18</v>
      </c>
      <c r="H664" s="1367" t="s">
        <v>2743</v>
      </c>
      <c r="I664" s="1367"/>
      <c r="J664" s="1367"/>
      <c r="K664" s="1367"/>
      <c r="L664" s="1367"/>
      <c r="M664" s="1367"/>
      <c r="N664" s="1367"/>
      <c r="O664" s="1367"/>
      <c r="P664" s="1367"/>
      <c r="Q664" s="1367"/>
      <c r="R664" s="1367"/>
      <c r="T664" s="22"/>
      <c r="U664" t="s">
        <v>18</v>
      </c>
      <c r="AA664" s="1367"/>
      <c r="AB664" s="1367"/>
      <c r="AC664" s="1367"/>
      <c r="AD664" s="1367"/>
      <c r="AE664" s="1367"/>
      <c r="AF664" s="1367"/>
      <c r="AG664" s="1367"/>
      <c r="AH664" s="1367"/>
      <c r="AI664" s="1367"/>
      <c r="AJ664" s="1367"/>
      <c r="AK664" s="136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2"/>
        <v>#VALUE!</v>
      </c>
      <c r="DY664" s="1386"/>
      <c r="DZ664" s="1386"/>
      <c r="EA664" s="1386"/>
      <c r="EB664" s="1386"/>
      <c r="EC664" s="1386" t="e">
        <f t="shared" si="43"/>
        <v>#VALUE!</v>
      </c>
      <c r="ED664" s="1386"/>
      <c r="EE664" s="1386"/>
      <c r="EF664" s="1386"/>
      <c r="EG664" s="1386"/>
      <c r="EH664" s="1386" t="e">
        <f t="shared" si="44"/>
        <v>#VALUE!</v>
      </c>
      <c r="EI664" s="1386"/>
      <c r="EJ664" s="1386"/>
      <c r="EK664" s="1386"/>
      <c r="EL664" s="1386"/>
      <c r="EM664" s="1386" t="e">
        <f t="shared" si="45"/>
        <v>#VALUE!</v>
      </c>
      <c r="EN664" s="1386"/>
      <c r="EO664" s="1386"/>
      <c r="EP664" s="1386"/>
      <c r="EQ664" s="1386"/>
      <c r="ER664" s="1386" t="e">
        <f t="shared" si="46"/>
        <v>#VALUE!</v>
      </c>
      <c r="ES664" s="1386"/>
      <c r="ET664" s="1386"/>
      <c r="EU664" s="1386"/>
      <c r="EV664" s="1386"/>
      <c r="EW664" s="1386" t="e">
        <f t="shared" si="47"/>
        <v>#VALUE!</v>
      </c>
      <c r="EX664" s="1386"/>
      <c r="EY664" s="1386"/>
      <c r="EZ664" s="1386"/>
      <c r="FA664" s="1386"/>
    </row>
    <row r="665" spans="1:157" ht="12.95" customHeight="1">
      <c r="A665" s="22"/>
      <c r="B665" t="s">
        <v>20</v>
      </c>
      <c r="N665" s="1451" t="s">
        <v>554</v>
      </c>
      <c r="O665" s="1451"/>
      <c r="T665" s="22"/>
      <c r="U665" t="s">
        <v>20</v>
      </c>
      <c r="AG665" s="1451" t="s">
        <v>678</v>
      </c>
      <c r="AH665" s="145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2"/>
        <v>#VALUE!</v>
      </c>
      <c r="DY665" s="1386"/>
      <c r="DZ665" s="1386"/>
      <c r="EA665" s="1386"/>
      <c r="EB665" s="1386"/>
      <c r="EC665" s="1386" t="e">
        <f t="shared" si="43"/>
        <v>#VALUE!</v>
      </c>
      <c r="ED665" s="1386"/>
      <c r="EE665" s="1386"/>
      <c r="EF665" s="1386"/>
      <c r="EG665" s="1386"/>
      <c r="EH665" s="1386" t="e">
        <f t="shared" si="44"/>
        <v>#VALUE!</v>
      </c>
      <c r="EI665" s="1386"/>
      <c r="EJ665" s="1386"/>
      <c r="EK665" s="1386"/>
      <c r="EL665" s="1386"/>
      <c r="EM665" s="1386" t="e">
        <f t="shared" si="45"/>
        <v>#VALUE!</v>
      </c>
      <c r="EN665" s="1386"/>
      <c r="EO665" s="1386"/>
      <c r="EP665" s="1386"/>
      <c r="EQ665" s="1386"/>
      <c r="ER665" s="1386" t="e">
        <f t="shared" si="46"/>
        <v>#VALUE!</v>
      </c>
      <c r="ES665" s="1386"/>
      <c r="ET665" s="1386"/>
      <c r="EU665" s="1386"/>
      <c r="EV665" s="1386"/>
      <c r="EW665" s="1386" t="e">
        <f t="shared" si="47"/>
        <v>#VALUE!</v>
      </c>
      <c r="EX665" s="1386"/>
      <c r="EY665" s="1386"/>
      <c r="EZ665" s="1386"/>
      <c r="FA665" s="1386"/>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2"/>
        <v>#VALUE!</v>
      </c>
      <c r="DY666" s="1386"/>
      <c r="DZ666" s="1386"/>
      <c r="EA666" s="1386"/>
      <c r="EB666" s="1386"/>
      <c r="EC666" s="1386" t="e">
        <f t="shared" si="43"/>
        <v>#VALUE!</v>
      </c>
      <c r="ED666" s="1386"/>
      <c r="EE666" s="1386"/>
      <c r="EF666" s="1386"/>
      <c r="EG666" s="1386"/>
      <c r="EH666" s="1386" t="e">
        <f t="shared" si="44"/>
        <v>#VALUE!</v>
      </c>
      <c r="EI666" s="1386"/>
      <c r="EJ666" s="1386"/>
      <c r="EK666" s="1386"/>
      <c r="EL666" s="1386"/>
      <c r="EM666" s="1386" t="e">
        <f t="shared" si="45"/>
        <v>#VALUE!</v>
      </c>
      <c r="EN666" s="1386"/>
      <c r="EO666" s="1386"/>
      <c r="EP666" s="1386"/>
      <c r="EQ666" s="1386"/>
      <c r="ER666" s="1386" t="e">
        <f t="shared" si="46"/>
        <v>#VALUE!</v>
      </c>
      <c r="ES666" s="1386"/>
      <c r="ET666" s="1386"/>
      <c r="EU666" s="1386"/>
      <c r="EV666" s="1386"/>
      <c r="EW666" s="1386" t="e">
        <f t="shared" si="47"/>
        <v>#VALUE!</v>
      </c>
      <c r="EX666" s="1386"/>
      <c r="EY666" s="1386"/>
      <c r="EZ666" s="1386"/>
      <c r="FA666" s="1386"/>
    </row>
    <row r="667" spans="1:157" ht="12.95" customHeight="1">
      <c r="A667" s="55" t="s">
        <v>464</v>
      </c>
      <c r="B667" t="s">
        <v>472</v>
      </c>
      <c r="G667" s="1385">
        <f>C633</f>
        <v>0</v>
      </c>
      <c r="H667" s="1385"/>
      <c r="I667" s="1385"/>
      <c r="J667" s="1385"/>
      <c r="K667" s="1385"/>
      <c r="L667" s="1385"/>
      <c r="M667" s="1385"/>
      <c r="N667" s="1385"/>
      <c r="O667" s="1385"/>
      <c r="P667" s="1385"/>
      <c r="Q667" s="1385"/>
      <c r="R667" s="1385"/>
      <c r="T667" s="55" t="s">
        <v>465</v>
      </c>
      <c r="U667" t="s">
        <v>472</v>
      </c>
      <c r="Z667" s="1385">
        <f>C634</f>
        <v>0</v>
      </c>
      <c r="AA667" s="1385"/>
      <c r="AB667" s="1385"/>
      <c r="AC667" s="1385"/>
      <c r="AD667" s="1385"/>
      <c r="AE667" s="1385"/>
      <c r="AF667" s="1385"/>
      <c r="AG667" s="1385"/>
      <c r="AH667" s="1385"/>
      <c r="AI667" s="1385"/>
      <c r="AJ667" s="1385"/>
      <c r="AK667" s="1385"/>
      <c r="AZ667" s="3"/>
      <c r="BA667" s="118">
        <f t="shared" ref="BA667:BA699" si="48">IF($G718=0,"N/A",VLOOKUP($T$189,TC_Rent,(MATCH($B718,bedrooms,FALSE))))</f>
        <v>2010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2"/>
        <v>#VALUE!</v>
      </c>
      <c r="DY667" s="1386"/>
      <c r="DZ667" s="1386"/>
      <c r="EA667" s="1386"/>
      <c r="EB667" s="1386"/>
      <c r="EC667" s="1386" t="e">
        <f t="shared" si="43"/>
        <v>#VALUE!</v>
      </c>
      <c r="ED667" s="1386"/>
      <c r="EE667" s="1386"/>
      <c r="EF667" s="1386"/>
      <c r="EG667" s="1386"/>
      <c r="EH667" s="1386" t="e">
        <f t="shared" si="44"/>
        <v>#VALUE!</v>
      </c>
      <c r="EI667" s="1386"/>
      <c r="EJ667" s="1386"/>
      <c r="EK667" s="1386"/>
      <c r="EL667" s="1386"/>
      <c r="EM667" s="1386" t="e">
        <f t="shared" si="45"/>
        <v>#VALUE!</v>
      </c>
      <c r="EN667" s="1386"/>
      <c r="EO667" s="1386"/>
      <c r="EP667" s="1386"/>
      <c r="EQ667" s="1386"/>
      <c r="ER667" s="1386" t="e">
        <f t="shared" si="46"/>
        <v>#VALUE!</v>
      </c>
      <c r="ES667" s="1386"/>
      <c r="ET667" s="1386"/>
      <c r="EU667" s="1386"/>
      <c r="EV667" s="1386"/>
      <c r="EW667" s="1386" t="e">
        <f t="shared" si="47"/>
        <v>#VALUE!</v>
      </c>
      <c r="EX667" s="1386"/>
      <c r="EY667" s="1386"/>
      <c r="EZ667" s="1386"/>
      <c r="FA667" s="1386"/>
    </row>
    <row r="668" spans="1:157" ht="12.95" customHeight="1">
      <c r="A668" s="22"/>
      <c r="B668" t="s">
        <v>85</v>
      </c>
      <c r="G668" s="1367"/>
      <c r="H668" s="1367"/>
      <c r="I668" s="1367"/>
      <c r="J668" s="1367"/>
      <c r="K668" s="1367"/>
      <c r="L668" s="1367"/>
      <c r="M668" s="1367"/>
      <c r="N668" s="1367"/>
      <c r="O668" s="1367"/>
      <c r="P668" s="1367"/>
      <c r="Q668" s="1367"/>
      <c r="R668" s="1367"/>
      <c r="T668" s="22"/>
      <c r="U668" t="s">
        <v>85</v>
      </c>
      <c r="Z668" s="1367"/>
      <c r="AA668" s="1367"/>
      <c r="AB668" s="1367"/>
      <c r="AC668" s="1367"/>
      <c r="AD668" s="1367"/>
      <c r="AE668" s="1367"/>
      <c r="AF668" s="1367"/>
      <c r="AG668" s="1367"/>
      <c r="AH668" s="1367"/>
      <c r="AI668" s="1367"/>
      <c r="AJ668" s="1367"/>
      <c r="AK668" s="1367"/>
      <c r="AZ668" s="3"/>
      <c r="BA668" s="118">
        <f t="shared" si="48"/>
        <v>2010</v>
      </c>
      <c r="BB668" s="3"/>
      <c r="BC668" s="3"/>
      <c r="BD668" s="3"/>
      <c r="BE668" s="3"/>
      <c r="BF668" s="218"/>
      <c r="BG668" s="315">
        <f t="shared" ref="BG668:BG700" si="49">G718</f>
        <v>5</v>
      </c>
      <c r="BH668" s="319">
        <f t="shared" ref="BH668:BH702" si="50">IF($BG$703=0,0,BG668/$BG$703)</f>
        <v>2.8735632183908046E-2</v>
      </c>
      <c r="BI668" s="320">
        <f t="shared" ref="BI668:BI691" si="51">IF(BH668=0,"",BH668*AC718)</f>
        <v>8.6206896551724137E-3</v>
      </c>
      <c r="BJ668" s="3"/>
      <c r="BK668" s="3"/>
      <c r="BL668" s="3"/>
      <c r="BM668" s="3"/>
      <c r="BN668" s="3"/>
      <c r="BO668" s="3"/>
      <c r="BT668" s="315">
        <f t="shared" ref="BT668:BT700" si="52">G718</f>
        <v>5</v>
      </c>
      <c r="BU668" s="319">
        <f t="shared" ref="BU668:BU702" si="53">IF($BT$703=0,0,BT668/$BT$703)</f>
        <v>2.8735632183908046E-2</v>
      </c>
      <c r="BV668" s="320">
        <f t="shared" ref="BV668:BV700" si="54">IF(BU668=0,"",BU668*AH718)</f>
        <v>8.6206896551724137E-3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2.95" customHeight="1">
      <c r="A669" s="22"/>
      <c r="B669" t="s">
        <v>589</v>
      </c>
      <c r="G669" s="1367"/>
      <c r="H669" s="1367"/>
      <c r="I669" s="1367"/>
      <c r="J669" s="1367"/>
      <c r="K669" s="1367"/>
      <c r="L669" s="1367"/>
      <c r="M669" s="1367"/>
      <c r="N669" s="1367"/>
      <c r="O669" s="1367"/>
      <c r="P669" s="1367"/>
      <c r="Q669" s="1367"/>
      <c r="R669" s="1367"/>
      <c r="T669" s="22"/>
      <c r="U669" t="s">
        <v>589</v>
      </c>
      <c r="Z669" s="1368"/>
      <c r="AA669" s="1368"/>
      <c r="AB669" s="1368"/>
      <c r="AC669" s="1368"/>
      <c r="AD669" s="1368"/>
      <c r="AE669" s="1368"/>
      <c r="AF669" s="1368"/>
      <c r="AG669" s="1368"/>
      <c r="AH669" s="1368"/>
      <c r="AI669" s="1368"/>
      <c r="AJ669" s="1368"/>
      <c r="AK669" s="1368"/>
      <c r="AZ669" s="3"/>
      <c r="BA669" s="118">
        <f t="shared" si="48"/>
        <v>2010</v>
      </c>
      <c r="BB669" s="3"/>
      <c r="BC669" s="3"/>
      <c r="BD669" s="3"/>
      <c r="BE669" s="3"/>
      <c r="BF669" s="218"/>
      <c r="BG669" s="316">
        <f t="shared" si="49"/>
        <v>27</v>
      </c>
      <c r="BH669" s="319">
        <f t="shared" si="50"/>
        <v>0.15517241379310345</v>
      </c>
      <c r="BI669" s="320">
        <f t="shared" si="51"/>
        <v>7.7586206896551727E-2</v>
      </c>
      <c r="BJ669" s="3"/>
      <c r="BK669" s="3"/>
      <c r="BL669" s="3"/>
      <c r="BM669" s="3"/>
      <c r="BN669" s="3"/>
      <c r="BO669" s="3"/>
      <c r="BT669" s="316">
        <f t="shared" si="52"/>
        <v>27</v>
      </c>
      <c r="BU669" s="319">
        <f t="shared" si="53"/>
        <v>0.15517241379310345</v>
      </c>
      <c r="BV669" s="320">
        <f t="shared" si="54"/>
        <v>7.7586206896551727E-2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2.95" customHeight="1">
      <c r="A670" s="22"/>
      <c r="B670" t="s">
        <v>17</v>
      </c>
      <c r="G670" s="1367"/>
      <c r="H670" s="1367"/>
      <c r="I670" s="1367"/>
      <c r="J670" s="1367"/>
      <c r="K670" s="1367"/>
      <c r="L670" s="1367"/>
      <c r="M670" s="1367"/>
      <c r="N670" s="1367"/>
      <c r="O670" s="1367"/>
      <c r="P670" s="1367"/>
      <c r="Q670" s="1367"/>
      <c r="R670" s="1367"/>
      <c r="T670" s="22"/>
      <c r="U670" t="s">
        <v>17</v>
      </c>
      <c r="Z670" s="1368"/>
      <c r="AA670" s="1368"/>
      <c r="AB670" s="1368"/>
      <c r="AC670" s="1368"/>
      <c r="AD670" s="1368"/>
      <c r="AE670" s="1368"/>
      <c r="AF670" s="1368"/>
      <c r="AG670" s="1368"/>
      <c r="AH670" s="1368"/>
      <c r="AI670" s="1368"/>
      <c r="AJ670" s="1368"/>
      <c r="AK670" s="1368"/>
      <c r="AZ670" s="3"/>
      <c r="BA670" s="118">
        <f t="shared" si="48"/>
        <v>2010</v>
      </c>
      <c r="BB670" s="3"/>
      <c r="BC670" s="3"/>
      <c r="BD670" s="3"/>
      <c r="BE670" s="3"/>
      <c r="BF670" s="218"/>
      <c r="BG670" s="316">
        <f t="shared" si="49"/>
        <v>13</v>
      </c>
      <c r="BH670" s="319">
        <f t="shared" si="50"/>
        <v>7.4712643678160925E-2</v>
      </c>
      <c r="BI670" s="320">
        <f t="shared" si="51"/>
        <v>4.4827586206896551E-2</v>
      </c>
      <c r="BJ670" s="3"/>
      <c r="BK670" s="3"/>
      <c r="BL670" s="3"/>
      <c r="BM670" s="3"/>
      <c r="BN670" s="3"/>
      <c r="BO670" s="3"/>
      <c r="BT670" s="316">
        <f t="shared" si="52"/>
        <v>13</v>
      </c>
      <c r="BU670" s="319">
        <f t="shared" si="53"/>
        <v>7.4712643678160925E-2</v>
      </c>
      <c r="BV670" s="320">
        <f t="shared" si="54"/>
        <v>4.4827586206896551E-2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0</v>
      </c>
      <c r="DY670" s="1386"/>
      <c r="DZ670" s="1386"/>
      <c r="EA670" s="1386"/>
      <c r="EB670" s="1386"/>
      <c r="EC670" s="1386">
        <f>SUMIF(EC635:EG669,"&gt;0")</f>
        <v>1029.46</v>
      </c>
      <c r="ED670" s="1386"/>
      <c r="EE670" s="1386"/>
      <c r="EF670" s="1386"/>
      <c r="EG670" s="1386"/>
      <c r="EH670" s="1386">
        <f>SUMIF(EH635:EL669,"&gt;0")</f>
        <v>1410.5189873417721</v>
      </c>
      <c r="EI670" s="1386"/>
      <c r="EJ670" s="1386"/>
      <c r="EK670" s="1386"/>
      <c r="EL670" s="1386"/>
      <c r="EM670" s="1386">
        <f>SUMIF(EM635:EQ669,"&gt;0")</f>
        <v>1763.5777777777776</v>
      </c>
      <c r="EN670" s="1386"/>
      <c r="EO670" s="1386"/>
      <c r="EP670" s="1386"/>
      <c r="EQ670" s="1386"/>
      <c r="ER670" s="1386">
        <f>SUMIF(ER635:EV669,"&gt;0")</f>
        <v>0</v>
      </c>
      <c r="ES670" s="1386"/>
      <c r="ET670" s="1386"/>
      <c r="EU670" s="1386"/>
      <c r="EV670" s="1386"/>
      <c r="EW670" s="1386">
        <f>SUMIF(EW635:FA669,"&gt;0")</f>
        <v>0</v>
      </c>
      <c r="EX670" s="1386"/>
      <c r="EY670" s="1386"/>
      <c r="EZ670" s="1386"/>
      <c r="FA670" s="1386"/>
    </row>
    <row r="671" spans="1:157" ht="12.95" customHeight="1">
      <c r="A671" s="22"/>
      <c r="B671" t="s">
        <v>317</v>
      </c>
      <c r="G671" s="1384"/>
      <c r="H671" s="1384"/>
      <c r="I671" s="1384"/>
      <c r="J671" s="1384"/>
      <c r="K671" s="1384"/>
      <c r="L671" s="1384"/>
      <c r="O671" s="33" t="s">
        <v>207</v>
      </c>
      <c r="P671" s="1510"/>
      <c r="Q671" s="1510"/>
      <c r="R671" s="1510"/>
      <c r="T671" s="22"/>
      <c r="U671" t="s">
        <v>317</v>
      </c>
      <c r="Z671" s="1384"/>
      <c r="AA671" s="1384"/>
      <c r="AB671" s="1384"/>
      <c r="AC671" s="1384"/>
      <c r="AD671" s="1384"/>
      <c r="AE671" s="1384"/>
      <c r="AH671" s="33" t="s">
        <v>207</v>
      </c>
      <c r="AI671" s="1510"/>
      <c r="AJ671" s="1510"/>
      <c r="AK671" s="1510"/>
      <c r="AZ671" s="3"/>
      <c r="BA671" s="118">
        <f t="shared" si="48"/>
        <v>2412</v>
      </c>
      <c r="BB671" s="3"/>
      <c r="BC671" s="3"/>
      <c r="BD671" s="3"/>
      <c r="BE671" s="3"/>
      <c r="BF671" s="218"/>
      <c r="BG671" s="316">
        <f t="shared" si="49"/>
        <v>5</v>
      </c>
      <c r="BH671" s="319">
        <f t="shared" si="50"/>
        <v>2.8735632183908046E-2</v>
      </c>
      <c r="BI671" s="320">
        <f t="shared" si="51"/>
        <v>2.2988505747126436E-2</v>
      </c>
      <c r="BJ671" s="3"/>
      <c r="BK671" s="3"/>
      <c r="BL671" s="3"/>
      <c r="BM671" s="3"/>
      <c r="BN671" s="3"/>
      <c r="BO671" s="3"/>
      <c r="BT671" s="316">
        <f t="shared" si="52"/>
        <v>5</v>
      </c>
      <c r="BU671" s="319">
        <f t="shared" si="53"/>
        <v>2.8735632183908046E-2</v>
      </c>
      <c r="BV671" s="320">
        <f t="shared" si="54"/>
        <v>2.3002802081546293E-2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7"/>
      <c r="I672" s="1367"/>
      <c r="J672" s="1367"/>
      <c r="K672" s="1367"/>
      <c r="L672" s="1367"/>
      <c r="M672" s="1367"/>
      <c r="N672" s="1367"/>
      <c r="O672" s="1367"/>
      <c r="P672" s="1367"/>
      <c r="Q672" s="1367"/>
      <c r="R672" s="1367"/>
      <c r="T672" s="22"/>
      <c r="U672" t="s">
        <v>18</v>
      </c>
      <c r="AA672" s="1367"/>
      <c r="AB672" s="1367"/>
      <c r="AC672" s="1367"/>
      <c r="AD672" s="1367"/>
      <c r="AE672" s="1367"/>
      <c r="AF672" s="1367"/>
      <c r="AG672" s="1367"/>
      <c r="AH672" s="1367"/>
      <c r="AI672" s="1367"/>
      <c r="AJ672" s="1367"/>
      <c r="AK672" s="1367"/>
      <c r="AZ672" s="3"/>
      <c r="BA672" s="118">
        <f t="shared" si="48"/>
        <v>2412</v>
      </c>
      <c r="BB672" s="3"/>
      <c r="BC672" s="3"/>
      <c r="BD672" s="3"/>
      <c r="BE672" s="3"/>
      <c r="BF672" s="218"/>
      <c r="BG672" s="316">
        <f t="shared" si="49"/>
        <v>8</v>
      </c>
      <c r="BH672" s="319">
        <f t="shared" si="50"/>
        <v>4.5977011494252873E-2</v>
      </c>
      <c r="BI672" s="320">
        <f t="shared" si="51"/>
        <v>1.3793103448275862E-2</v>
      </c>
      <c r="BJ672" s="3"/>
      <c r="BK672" s="3"/>
      <c r="BL672" s="3"/>
      <c r="BM672" s="3"/>
      <c r="BN672" s="3"/>
      <c r="BO672" s="3"/>
      <c r="BT672" s="316">
        <f t="shared" si="52"/>
        <v>8</v>
      </c>
      <c r="BU672" s="319">
        <f t="shared" si="53"/>
        <v>4.5977011494252873E-2</v>
      </c>
      <c r="BV672" s="320">
        <f t="shared" si="54"/>
        <v>1.3781666380739977E-2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51" t="s">
        <v>678</v>
      </c>
      <c r="O673" s="1451"/>
      <c r="T673" s="22"/>
      <c r="U673" t="s">
        <v>20</v>
      </c>
      <c r="AG673" s="1451" t="s">
        <v>678</v>
      </c>
      <c r="AH673" s="1451"/>
      <c r="AZ673" s="3"/>
      <c r="BA673" s="118">
        <f t="shared" si="48"/>
        <v>2412</v>
      </c>
      <c r="BB673" s="3"/>
      <c r="BC673" s="3"/>
      <c r="BD673" s="3"/>
      <c r="BE673" s="3"/>
      <c r="BF673" s="218"/>
      <c r="BG673" s="316">
        <f t="shared" si="49"/>
        <v>38</v>
      </c>
      <c r="BH673" s="319">
        <f t="shared" si="50"/>
        <v>0.21839080459770116</v>
      </c>
      <c r="BI673" s="320">
        <f t="shared" si="51"/>
        <v>0.10919540229885058</v>
      </c>
      <c r="BJ673" s="3"/>
      <c r="BK673" s="3"/>
      <c r="BL673" s="3"/>
      <c r="BM673" s="3"/>
      <c r="BN673" s="3"/>
      <c r="BO673" s="3"/>
      <c r="BT673" s="316">
        <f t="shared" si="52"/>
        <v>38</v>
      </c>
      <c r="BU673" s="319">
        <f t="shared" si="53"/>
        <v>0.21839080459770116</v>
      </c>
      <c r="BV673" s="320">
        <f t="shared" si="54"/>
        <v>0.10919540229885058</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2786</v>
      </c>
      <c r="BB674" s="3"/>
      <c r="BC674" s="3"/>
      <c r="BD674" s="3"/>
      <c r="BE674" s="3"/>
      <c r="BF674" s="218"/>
      <c r="BG674" s="316">
        <f t="shared" si="49"/>
        <v>33</v>
      </c>
      <c r="BH674" s="319">
        <f t="shared" si="50"/>
        <v>0.18965517241379309</v>
      </c>
      <c r="BI674" s="320">
        <f t="shared" si="51"/>
        <v>0.15172413793103448</v>
      </c>
      <c r="BJ674" s="3"/>
      <c r="BK674" s="3"/>
      <c r="BL674" s="3"/>
      <c r="BM674" s="3"/>
      <c r="BN674" s="3"/>
      <c r="BO674" s="3"/>
      <c r="BT674" s="316">
        <f t="shared" si="52"/>
        <v>33</v>
      </c>
      <c r="BU674" s="319">
        <f t="shared" si="53"/>
        <v>0.18965517241379309</v>
      </c>
      <c r="BV674" s="320">
        <f t="shared" si="54"/>
        <v>0.15175558986675816</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385">
        <f>C635</f>
        <v>0</v>
      </c>
      <c r="H675" s="1385"/>
      <c r="I675" s="1385"/>
      <c r="J675" s="1385"/>
      <c r="K675" s="1385"/>
      <c r="L675" s="1385"/>
      <c r="M675" s="1385"/>
      <c r="N675" s="1385"/>
      <c r="O675" s="1385"/>
      <c r="P675" s="1385"/>
      <c r="Q675" s="1385"/>
      <c r="R675" s="1385"/>
      <c r="T675" s="55" t="s">
        <v>655</v>
      </c>
      <c r="U675" t="s">
        <v>472</v>
      </c>
      <c r="Z675" s="1385">
        <f>C636</f>
        <v>0</v>
      </c>
      <c r="AA675" s="1385"/>
      <c r="AB675" s="1385"/>
      <c r="AC675" s="1385"/>
      <c r="AD675" s="1385"/>
      <c r="AE675" s="1385"/>
      <c r="AF675" s="1385"/>
      <c r="AG675" s="1385"/>
      <c r="AH675" s="1385"/>
      <c r="AI675" s="1385"/>
      <c r="AJ675" s="1385"/>
      <c r="AK675" s="1385"/>
      <c r="AZ675" s="3"/>
      <c r="BA675" s="118">
        <f t="shared" si="48"/>
        <v>2786</v>
      </c>
      <c r="BB675" s="3"/>
      <c r="BC675" s="3"/>
      <c r="BD675" s="3"/>
      <c r="BE675" s="3"/>
      <c r="BF675" s="218"/>
      <c r="BG675" s="316">
        <f t="shared" si="49"/>
        <v>5</v>
      </c>
      <c r="BH675" s="319">
        <f t="shared" si="50"/>
        <v>2.8735632183908046E-2</v>
      </c>
      <c r="BI675" s="320">
        <f t="shared" si="51"/>
        <v>8.6206896551724137E-3</v>
      </c>
      <c r="BJ675" s="3"/>
      <c r="BK675" s="3"/>
      <c r="BL675" s="3"/>
      <c r="BM675" s="3"/>
      <c r="BN675" s="3"/>
      <c r="BO675" s="3"/>
      <c r="BT675" s="316">
        <f t="shared" si="52"/>
        <v>5</v>
      </c>
      <c r="BU675" s="319">
        <f t="shared" si="53"/>
        <v>2.8735632183908046E-2</v>
      </c>
      <c r="BV675" s="320">
        <f t="shared" si="54"/>
        <v>8.6227525146256746E-3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67"/>
      <c r="H676" s="1367"/>
      <c r="I676" s="1367"/>
      <c r="J676" s="1367"/>
      <c r="K676" s="1367"/>
      <c r="L676" s="1367"/>
      <c r="M676" s="1367"/>
      <c r="N676" s="1367"/>
      <c r="O676" s="1367"/>
      <c r="P676" s="1367"/>
      <c r="Q676" s="1367"/>
      <c r="R676" s="1367"/>
      <c r="T676" s="22"/>
      <c r="U676" t="s">
        <v>85</v>
      </c>
      <c r="Z676" s="1367"/>
      <c r="AA676" s="1367"/>
      <c r="AB676" s="1367"/>
      <c r="AC676" s="1367"/>
      <c r="AD676" s="1367"/>
      <c r="AE676" s="1367"/>
      <c r="AF676" s="1367"/>
      <c r="AG676" s="1367"/>
      <c r="AH676" s="1367"/>
      <c r="AI676" s="1367"/>
      <c r="AJ676" s="1367"/>
      <c r="AK676" s="1367"/>
      <c r="AZ676" s="3"/>
      <c r="BA676" s="118">
        <f t="shared" si="48"/>
        <v>2786</v>
      </c>
      <c r="BB676" s="3"/>
      <c r="BC676" s="3"/>
      <c r="BD676" s="3"/>
      <c r="BE676" s="3"/>
      <c r="BF676" s="218"/>
      <c r="BG676" s="316">
        <f t="shared" si="49"/>
        <v>5</v>
      </c>
      <c r="BH676" s="319">
        <f t="shared" si="50"/>
        <v>2.8735632183908046E-2</v>
      </c>
      <c r="BI676" s="320">
        <f t="shared" si="51"/>
        <v>1.4367816091954023E-2</v>
      </c>
      <c r="BJ676" s="3"/>
      <c r="BK676" s="3"/>
      <c r="BL676" s="3"/>
      <c r="BM676" s="3"/>
      <c r="BN676" s="3"/>
      <c r="BO676" s="3"/>
      <c r="BT676" s="316">
        <f t="shared" si="52"/>
        <v>5</v>
      </c>
      <c r="BU676" s="319">
        <f t="shared" si="53"/>
        <v>2.8735632183908046E-2</v>
      </c>
      <c r="BV676" s="320">
        <f t="shared" si="54"/>
        <v>1.4367816091954023E-2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67"/>
      <c r="H677" s="1367"/>
      <c r="I677" s="1367"/>
      <c r="J677" s="1367"/>
      <c r="K677" s="1367"/>
      <c r="L677" s="1367"/>
      <c r="M677" s="1367"/>
      <c r="N677" s="1367"/>
      <c r="O677" s="1367"/>
      <c r="P677" s="1367"/>
      <c r="Q677" s="1367"/>
      <c r="R677" s="1367"/>
      <c r="T677" s="22"/>
      <c r="U677" t="s">
        <v>589</v>
      </c>
      <c r="Z677" s="1368"/>
      <c r="AA677" s="1368"/>
      <c r="AB677" s="1368"/>
      <c r="AC677" s="1368"/>
      <c r="AD677" s="1368"/>
      <c r="AE677" s="1368"/>
      <c r="AF677" s="1368"/>
      <c r="AG677" s="1368"/>
      <c r="AH677" s="1368"/>
      <c r="AI677" s="1368"/>
      <c r="AJ677" s="1368"/>
      <c r="AK677" s="1368"/>
      <c r="AZ677" s="3"/>
      <c r="BA677" s="118">
        <f t="shared" si="48"/>
        <v>2786</v>
      </c>
      <c r="BB677" s="3"/>
      <c r="BC677" s="3"/>
      <c r="BD677" s="3"/>
      <c r="BE677" s="3"/>
      <c r="BF677" s="218"/>
      <c r="BG677" s="316">
        <f t="shared" si="49"/>
        <v>11</v>
      </c>
      <c r="BH677" s="319">
        <f t="shared" si="50"/>
        <v>6.3218390804597707E-2</v>
      </c>
      <c r="BI677" s="320">
        <f t="shared" si="51"/>
        <v>3.793103448275862E-2</v>
      </c>
      <c r="BJ677" s="3"/>
      <c r="BK677" s="3"/>
      <c r="BL677" s="3"/>
      <c r="BM677" s="3"/>
      <c r="BN677" s="3"/>
      <c r="BO677" s="3"/>
      <c r="BT677" s="316">
        <f t="shared" si="52"/>
        <v>11</v>
      </c>
      <c r="BU677" s="319">
        <f t="shared" si="53"/>
        <v>6.3218390804597707E-2</v>
      </c>
      <c r="BV677" s="320">
        <f t="shared" si="54"/>
        <v>3.7940111064352966E-2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67"/>
      <c r="H678" s="1367"/>
      <c r="I678" s="1367"/>
      <c r="J678" s="1367"/>
      <c r="K678" s="1367"/>
      <c r="L678" s="1367"/>
      <c r="M678" s="1367"/>
      <c r="N678" s="1367"/>
      <c r="O678" s="1367"/>
      <c r="P678" s="1367"/>
      <c r="Q678" s="1367"/>
      <c r="R678" s="1367"/>
      <c r="T678" s="22"/>
      <c r="U678" t="s">
        <v>17</v>
      </c>
      <c r="Z678" s="1368"/>
      <c r="AA678" s="1368"/>
      <c r="AB678" s="1368"/>
      <c r="AC678" s="1368"/>
      <c r="AD678" s="1368"/>
      <c r="AE678" s="1368"/>
      <c r="AF678" s="1368"/>
      <c r="AG678" s="1368"/>
      <c r="AH678" s="1368"/>
      <c r="AI678" s="1368"/>
      <c r="AJ678" s="1368"/>
      <c r="AK678" s="1368"/>
      <c r="AZ678" s="3"/>
      <c r="BA678" s="118" t="str">
        <f t="shared" si="48"/>
        <v>N/A</v>
      </c>
      <c r="BB678" s="3"/>
      <c r="BC678" s="3"/>
      <c r="BD678" s="3"/>
      <c r="BE678" s="3"/>
      <c r="BF678" s="218"/>
      <c r="BG678" s="316">
        <f t="shared" si="49"/>
        <v>24</v>
      </c>
      <c r="BH678" s="319">
        <f t="shared" si="50"/>
        <v>0.13793103448275862</v>
      </c>
      <c r="BI678" s="320">
        <f t="shared" si="51"/>
        <v>0.1103448275862069</v>
      </c>
      <c r="BJ678" s="3"/>
      <c r="BK678" s="3"/>
      <c r="BL678" s="3"/>
      <c r="BM678" s="3"/>
      <c r="BN678" s="3"/>
      <c r="BO678" s="3"/>
      <c r="BT678" s="316">
        <f t="shared" si="52"/>
        <v>24</v>
      </c>
      <c r="BU678" s="319">
        <f t="shared" si="53"/>
        <v>0.13793103448275862</v>
      </c>
      <c r="BV678" s="320">
        <f t="shared" si="54"/>
        <v>0.10797831522142733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4"/>
      <c r="H679" s="1384"/>
      <c r="I679" s="1384"/>
      <c r="J679" s="1384"/>
      <c r="K679" s="1384"/>
      <c r="L679" s="1384"/>
      <c r="O679" s="33" t="s">
        <v>207</v>
      </c>
      <c r="P679" s="1510"/>
      <c r="Q679" s="1510"/>
      <c r="R679" s="1510"/>
      <c r="T679" s="22"/>
      <c r="U679" t="s">
        <v>317</v>
      </c>
      <c r="Z679" s="1384"/>
      <c r="AA679" s="1384"/>
      <c r="AB679" s="1384"/>
      <c r="AC679" s="1384"/>
      <c r="AD679" s="1384"/>
      <c r="AE679" s="1384"/>
      <c r="AH679" s="33" t="s">
        <v>207</v>
      </c>
      <c r="AI679" s="1510"/>
      <c r="AJ679" s="1510"/>
      <c r="AK679" s="1510"/>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67"/>
      <c r="I680" s="1367"/>
      <c r="J680" s="1367"/>
      <c r="K680" s="1367"/>
      <c r="L680" s="1367"/>
      <c r="M680" s="1367"/>
      <c r="N680" s="1367"/>
      <c r="O680" s="1367"/>
      <c r="P680" s="1367"/>
      <c r="Q680" s="1367"/>
      <c r="R680" s="1367"/>
      <c r="T680" s="22"/>
      <c r="U680" t="s">
        <v>18</v>
      </c>
      <c r="AA680" s="1367"/>
      <c r="AB680" s="1367"/>
      <c r="AC680" s="1367"/>
      <c r="AD680" s="1367"/>
      <c r="AE680" s="1367"/>
      <c r="AF680" s="1367"/>
      <c r="AG680" s="1367"/>
      <c r="AH680" s="1367"/>
      <c r="AI680" s="1367"/>
      <c r="AJ680" s="1367"/>
      <c r="AK680" s="136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51" t="s">
        <v>678</v>
      </c>
      <c r="O681" s="1451"/>
      <c r="T681" s="22"/>
      <c r="U681" t="s">
        <v>20</v>
      </c>
      <c r="AG681" s="1451" t="s">
        <v>678</v>
      </c>
      <c r="AH681" s="145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385">
        <f>C637</f>
        <v>0</v>
      </c>
      <c r="H683" s="1385"/>
      <c r="I683" s="1385"/>
      <c r="J683" s="1385"/>
      <c r="K683" s="1385"/>
      <c r="L683" s="1385"/>
      <c r="M683" s="1385"/>
      <c r="N683" s="1385"/>
      <c r="O683" s="1385"/>
      <c r="P683" s="1385"/>
      <c r="Q683" s="1385"/>
      <c r="R683" s="1385"/>
      <c r="T683" s="55" t="s">
        <v>364</v>
      </c>
      <c r="U683" t="s">
        <v>472</v>
      </c>
      <c r="Z683" s="1385">
        <f>C638</f>
        <v>0</v>
      </c>
      <c r="AA683" s="1385"/>
      <c r="AB683" s="1385"/>
      <c r="AC683" s="1385"/>
      <c r="AD683" s="1385"/>
      <c r="AE683" s="1385"/>
      <c r="AF683" s="1385"/>
      <c r="AG683" s="1385"/>
      <c r="AH683" s="1385"/>
      <c r="AI683" s="1385"/>
      <c r="AJ683" s="1385"/>
      <c r="AK683" s="138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67"/>
      <c r="H684" s="1367"/>
      <c r="I684" s="1367"/>
      <c r="J684" s="1367"/>
      <c r="K684" s="1367"/>
      <c r="L684" s="1367"/>
      <c r="M684" s="1367"/>
      <c r="N684" s="1367"/>
      <c r="O684" s="1367"/>
      <c r="P684" s="1367"/>
      <c r="Q684" s="1367"/>
      <c r="R684" s="1367"/>
      <c r="T684" s="22"/>
      <c r="U684" t="s">
        <v>85</v>
      </c>
      <c r="Z684" s="1367"/>
      <c r="AA684" s="1367"/>
      <c r="AB684" s="1367"/>
      <c r="AC684" s="1367"/>
      <c r="AD684" s="1367"/>
      <c r="AE684" s="1367"/>
      <c r="AF684" s="1367"/>
      <c r="AG684" s="1367"/>
      <c r="AH684" s="1367"/>
      <c r="AI684" s="1367"/>
      <c r="AJ684" s="1367"/>
      <c r="AK684" s="136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67"/>
      <c r="H685" s="1367"/>
      <c r="I685" s="1367"/>
      <c r="J685" s="1367"/>
      <c r="K685" s="1367"/>
      <c r="L685" s="1367"/>
      <c r="M685" s="1367"/>
      <c r="N685" s="1367"/>
      <c r="O685" s="1367"/>
      <c r="P685" s="1367"/>
      <c r="Q685" s="1367"/>
      <c r="R685" s="1367"/>
      <c r="U685" t="s">
        <v>589</v>
      </c>
      <c r="Z685" s="1368"/>
      <c r="AA685" s="1368"/>
      <c r="AB685" s="1368"/>
      <c r="AC685" s="1368"/>
      <c r="AD685" s="1368"/>
      <c r="AE685" s="1368"/>
      <c r="AF685" s="1368"/>
      <c r="AG685" s="1368"/>
      <c r="AH685" s="1368"/>
      <c r="AI685" s="1368"/>
      <c r="AJ685" s="1368"/>
      <c r="AK685" s="136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67"/>
      <c r="H686" s="1367"/>
      <c r="I686" s="1367"/>
      <c r="J686" s="1367"/>
      <c r="K686" s="1367"/>
      <c r="L686" s="1367"/>
      <c r="M686" s="1367"/>
      <c r="N686" s="1367"/>
      <c r="O686" s="1367"/>
      <c r="P686" s="1367"/>
      <c r="Q686" s="1367"/>
      <c r="R686" s="1367"/>
      <c r="U686" t="s">
        <v>17</v>
      </c>
      <c r="Z686" s="1368"/>
      <c r="AA686" s="1368"/>
      <c r="AB686" s="1368"/>
      <c r="AC686" s="1368"/>
      <c r="AD686" s="1368"/>
      <c r="AE686" s="1368"/>
      <c r="AF686" s="1368"/>
      <c r="AG686" s="1368"/>
      <c r="AH686" s="1368"/>
      <c r="AI686" s="1368"/>
      <c r="AJ686" s="1368"/>
      <c r="AK686" s="136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4"/>
      <c r="H687" s="1384"/>
      <c r="I687" s="1384"/>
      <c r="J687" s="1384"/>
      <c r="K687" s="1384"/>
      <c r="L687" s="1384"/>
      <c r="O687" s="33" t="s">
        <v>207</v>
      </c>
      <c r="P687" s="1510"/>
      <c r="Q687" s="1510"/>
      <c r="R687" s="1510"/>
      <c r="U687" t="s">
        <v>317</v>
      </c>
      <c r="Z687" s="1384"/>
      <c r="AA687" s="1384"/>
      <c r="AB687" s="1384"/>
      <c r="AC687" s="1384"/>
      <c r="AD687" s="1384"/>
      <c r="AE687" s="1384"/>
      <c r="AH687" s="33" t="s">
        <v>207</v>
      </c>
      <c r="AI687" s="1510"/>
      <c r="AJ687" s="1510"/>
      <c r="AK687" s="151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67"/>
      <c r="I688" s="1367"/>
      <c r="J688" s="1367"/>
      <c r="K688" s="1367"/>
      <c r="L688" s="1367"/>
      <c r="M688" s="1367"/>
      <c r="N688" s="1367"/>
      <c r="O688" s="1367"/>
      <c r="P688" s="1367"/>
      <c r="Q688" s="1367"/>
      <c r="R688" s="1367"/>
      <c r="U688" t="s">
        <v>18</v>
      </c>
      <c r="AA688" s="1367"/>
      <c r="AB688" s="1367"/>
      <c r="AC688" s="1367"/>
      <c r="AD688" s="1367"/>
      <c r="AE688" s="1367"/>
      <c r="AF688" s="1367"/>
      <c r="AG688" s="1367"/>
      <c r="AH688" s="1367"/>
      <c r="AI688" s="1367"/>
      <c r="AJ688" s="1367"/>
      <c r="AK688" s="136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51" t="s">
        <v>678</v>
      </c>
      <c r="O689" s="1451"/>
      <c r="U689" t="s">
        <v>20</v>
      </c>
      <c r="AG689" s="1451" t="s">
        <v>678</v>
      </c>
      <c r="AH689" s="145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51" t="s">
        <v>554</v>
      </c>
      <c r="AF693" s="145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51" t="s">
        <v>678</v>
      </c>
      <c r="AF694" s="145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2">
        <v>45405</v>
      </c>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98">
        <v>45511</v>
      </c>
      <c r="AF696" s="1598"/>
      <c r="AG696" s="1598"/>
      <c r="AH696" s="1598"/>
      <c r="AI696" s="159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2">
        <v>45689</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02">
        <v>0.5464</v>
      </c>
      <c r="AF699" s="1602"/>
      <c r="AG699" s="1602"/>
      <c r="AH699" s="1602"/>
      <c r="AI699" s="160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85" t="str">
        <f>H335</f>
        <v>California Municipal Finance Authority</v>
      </c>
      <c r="X700" s="1385"/>
      <c r="Y700" s="1385"/>
      <c r="Z700" s="1385"/>
      <c r="AA700" s="1385"/>
      <c r="AB700" s="1385"/>
      <c r="AC700" s="1385"/>
      <c r="AD700" s="1385"/>
      <c r="AE700" s="1385"/>
      <c r="AF700" s="1385"/>
      <c r="AG700" s="1385"/>
      <c r="AH700" s="1385"/>
      <c r="AI700" s="1385"/>
      <c r="AJ700" s="1385"/>
      <c r="AK700" s="138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51" t="s">
        <v>678</v>
      </c>
      <c r="AF702" s="145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67"/>
      <c r="X703" s="1367"/>
      <c r="Y703" s="1367"/>
      <c r="Z703" s="1367"/>
      <c r="AA703" s="1367"/>
      <c r="AB703" s="1367"/>
      <c r="AC703" s="1367"/>
      <c r="AD703" s="1367"/>
      <c r="AE703" s="1367"/>
      <c r="AF703" s="1367"/>
      <c r="AG703" s="1367"/>
      <c r="AH703" s="1367"/>
      <c r="AI703" s="1367"/>
      <c r="AJ703" s="1367"/>
      <c r="AK703" s="1367"/>
      <c r="AZ703" s="34"/>
      <c r="BA703" s="34"/>
      <c r="BB703" s="34"/>
      <c r="BC703" s="34"/>
      <c r="BD703" s="34"/>
      <c r="BE703" s="3"/>
      <c r="BF703" s="312" t="s">
        <v>915</v>
      </c>
      <c r="BG703" s="321">
        <f>SUM(BG668:BG702)</f>
        <v>174</v>
      </c>
      <c r="BH703" s="322">
        <f>SUM(BH668:BH702)</f>
        <v>1</v>
      </c>
      <c r="BI703" s="322">
        <f>SUM(BI668:BI702)</f>
        <v>0.60000000000000009</v>
      </c>
      <c r="BN703" s="3"/>
      <c r="BO703" s="3"/>
      <c r="BT703" s="893">
        <f>SUM(BT668:BT702)</f>
        <v>174</v>
      </c>
      <c r="BU703" s="322">
        <f>SUM(BU668:BU702)</f>
        <v>1</v>
      </c>
      <c r="BV703" s="322">
        <f>SUM(BV668:BV702)</f>
        <v>0.59767893827887575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67"/>
      <c r="K704" s="1367"/>
      <c r="L704" s="1367"/>
      <c r="M704" s="1367"/>
      <c r="N704" s="1367"/>
      <c r="O704" s="1367"/>
      <c r="P704" s="1367"/>
      <c r="Q704" s="1367"/>
      <c r="R704" s="1367"/>
      <c r="S704" s="1367"/>
      <c r="T704" s="1367"/>
      <c r="U704" s="1367"/>
      <c r="V704" s="1367"/>
      <c r="W704" s="1367"/>
      <c r="X704" s="136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4"/>
      <c r="K705" s="1384"/>
      <c r="L705" s="1384"/>
      <c r="M705" s="1384"/>
      <c r="N705" s="1384"/>
      <c r="O705" s="1384"/>
      <c r="P705" s="4" t="s">
        <v>207</v>
      </c>
      <c r="Q705" s="4"/>
      <c r="R705" s="1510"/>
      <c r="S705" s="1510"/>
      <c r="T705" s="151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67" t="s">
        <v>308</v>
      </c>
      <c r="X706" s="1367"/>
      <c r="Y706" s="1367"/>
      <c r="Z706" s="1367"/>
      <c r="AA706" s="1367"/>
      <c r="AB706" s="1367"/>
      <c r="AC706" s="1367"/>
      <c r="AD706" s="1367"/>
      <c r="AE706" s="1367"/>
      <c r="AF706" s="1367"/>
      <c r="AG706" s="1367"/>
      <c r="AH706" s="1367"/>
      <c r="AI706" s="1367"/>
      <c r="AJ706" s="1367"/>
      <c r="AK706" s="136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67" t="s">
        <v>335</v>
      </c>
      <c r="F707" s="1367"/>
      <c r="G707" s="1367"/>
      <c r="H707" s="1367"/>
      <c r="I707" s="1367"/>
      <c r="J707" s="1367"/>
      <c r="K707" s="1367"/>
      <c r="L707" s="1367"/>
      <c r="M707" s="1367"/>
      <c r="N707" s="1367"/>
      <c r="O707" s="1367"/>
      <c r="P707" s="1367"/>
      <c r="Q707" s="1367"/>
      <c r="R707" s="1367"/>
      <c r="S707" s="1367"/>
      <c r="T707" s="1367"/>
      <c r="U707" s="1367"/>
      <c r="V707" s="1367"/>
      <c r="W707" s="1367"/>
      <c r="X707" s="1367"/>
      <c r="Y707" s="1367"/>
      <c r="Z707" s="1367"/>
      <c r="AA707" s="1367"/>
      <c r="AB707" s="1367"/>
      <c r="AC707" s="1367"/>
      <c r="AD707" s="1367"/>
      <c r="AE707" s="1367"/>
      <c r="AF707" s="1367"/>
      <c r="AG707" s="1367"/>
      <c r="AH707" s="1367"/>
      <c r="AI707" s="1367"/>
      <c r="AJ707" s="1367"/>
      <c r="AK707" s="136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6" t="s">
        <v>390</v>
      </c>
      <c r="C714" s="1373"/>
      <c r="D714" s="1373"/>
      <c r="E714" s="1373"/>
      <c r="F714" s="1374"/>
      <c r="G714" s="1576" t="s">
        <v>286</v>
      </c>
      <c r="H714" s="1373"/>
      <c r="I714" s="1373"/>
      <c r="J714" s="1374"/>
      <c r="K714" s="1397" t="s">
        <v>1869</v>
      </c>
      <c r="L714" s="1398"/>
      <c r="M714" s="1398"/>
      <c r="N714" s="1399"/>
      <c r="O714" s="1576" t="s">
        <v>456</v>
      </c>
      <c r="P714" s="1373"/>
      <c r="Q714" s="1373"/>
      <c r="R714" s="1373"/>
      <c r="S714" s="1374"/>
      <c r="T714" s="1372" t="s">
        <v>2253</v>
      </c>
      <c r="U714" s="1373"/>
      <c r="V714" s="1373"/>
      <c r="W714" s="1374"/>
      <c r="X714" s="1372" t="s">
        <v>2255</v>
      </c>
      <c r="Y714" s="1373"/>
      <c r="Z714" s="1373"/>
      <c r="AA714" s="1373"/>
      <c r="AB714" s="1374"/>
      <c r="AC714" s="1372" t="s">
        <v>2254</v>
      </c>
      <c r="AD714" s="1373"/>
      <c r="AE714" s="1373"/>
      <c r="AF714" s="1373"/>
      <c r="AG714" s="1374"/>
      <c r="AH714" s="1372" t="s">
        <v>2256</v>
      </c>
      <c r="AI714" s="1373"/>
      <c r="AJ714" s="1374"/>
      <c r="AK714" s="1372" t="s">
        <v>2290</v>
      </c>
      <c r="AL714" s="1373"/>
      <c r="AM714" s="1373"/>
      <c r="AN714" s="1373"/>
      <c r="AO714" s="13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5"/>
      <c r="C715" s="1376"/>
      <c r="D715" s="1376"/>
      <c r="E715" s="1376"/>
      <c r="F715" s="1377"/>
      <c r="G715" s="1375"/>
      <c r="H715" s="1376"/>
      <c r="I715" s="1376"/>
      <c r="J715" s="1377"/>
      <c r="K715" s="1400"/>
      <c r="L715" s="1401"/>
      <c r="M715" s="1401"/>
      <c r="N715" s="1402"/>
      <c r="O715" s="1375"/>
      <c r="P715" s="1376"/>
      <c r="Q715" s="1376"/>
      <c r="R715" s="1376"/>
      <c r="S715" s="1377"/>
      <c r="T715" s="1375"/>
      <c r="U715" s="1376"/>
      <c r="V715" s="1376"/>
      <c r="W715" s="1377"/>
      <c r="X715" s="1375"/>
      <c r="Y715" s="1376"/>
      <c r="Z715" s="1376"/>
      <c r="AA715" s="1376"/>
      <c r="AB715" s="1377"/>
      <c r="AC715" s="1375"/>
      <c r="AD715" s="1376"/>
      <c r="AE715" s="1376"/>
      <c r="AF715" s="1376"/>
      <c r="AG715" s="1377"/>
      <c r="AH715" s="1375"/>
      <c r="AI715" s="1376"/>
      <c r="AJ715" s="1377"/>
      <c r="AK715" s="1375"/>
      <c r="AL715" s="1376"/>
      <c r="AM715" s="1376"/>
      <c r="AN715" s="1376"/>
      <c r="AO715" s="13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5"/>
      <c r="C716" s="1376"/>
      <c r="D716" s="1376"/>
      <c r="E716" s="1376"/>
      <c r="F716" s="1377"/>
      <c r="G716" s="1375"/>
      <c r="H716" s="1376"/>
      <c r="I716" s="1376"/>
      <c r="J716" s="1377"/>
      <c r="K716" s="1400"/>
      <c r="L716" s="1401"/>
      <c r="M716" s="1401"/>
      <c r="N716" s="1402"/>
      <c r="O716" s="1375"/>
      <c r="P716" s="1376"/>
      <c r="Q716" s="1376"/>
      <c r="R716" s="1376"/>
      <c r="S716" s="1377"/>
      <c r="T716" s="1375"/>
      <c r="U716" s="1376"/>
      <c r="V716" s="1376"/>
      <c r="W716" s="1377"/>
      <c r="X716" s="1375"/>
      <c r="Y716" s="1376"/>
      <c r="Z716" s="1376"/>
      <c r="AA716" s="1376"/>
      <c r="AB716" s="1377"/>
      <c r="AC716" s="1375"/>
      <c r="AD716" s="1376"/>
      <c r="AE716" s="1376"/>
      <c r="AF716" s="1376"/>
      <c r="AG716" s="1377"/>
      <c r="AH716" s="1375"/>
      <c r="AI716" s="1376"/>
      <c r="AJ716" s="1377"/>
      <c r="AK716" s="1375"/>
      <c r="AL716" s="1376"/>
      <c r="AM716" s="1376"/>
      <c r="AN716" s="1376"/>
      <c r="AO716" s="13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8"/>
      <c r="C717" s="1379"/>
      <c r="D717" s="1379"/>
      <c r="E717" s="1379"/>
      <c r="F717" s="1380"/>
      <c r="G717" s="1378"/>
      <c r="H717" s="1379"/>
      <c r="I717" s="1379"/>
      <c r="J717" s="1380"/>
      <c r="K717" s="1400"/>
      <c r="L717" s="1401"/>
      <c r="M717" s="1401"/>
      <c r="N717" s="1402"/>
      <c r="O717" s="1378"/>
      <c r="P717" s="1379"/>
      <c r="Q717" s="1379"/>
      <c r="R717" s="1379"/>
      <c r="S717" s="1380"/>
      <c r="T717" s="1378"/>
      <c r="U717" s="1379"/>
      <c r="V717" s="1379"/>
      <c r="W717" s="1380"/>
      <c r="X717" s="1378"/>
      <c r="Y717" s="1379"/>
      <c r="Z717" s="1379"/>
      <c r="AA717" s="1379"/>
      <c r="AB717" s="1380"/>
      <c r="AC717" s="1378"/>
      <c r="AD717" s="1379"/>
      <c r="AE717" s="1379"/>
      <c r="AF717" s="1379"/>
      <c r="AG717" s="1380"/>
      <c r="AH717" s="1378"/>
      <c r="AI717" s="1379"/>
      <c r="AJ717" s="1380"/>
      <c r="AK717" s="1378"/>
      <c r="AL717" s="1379"/>
      <c r="AM717" s="1379"/>
      <c r="AN717" s="1379"/>
      <c r="AO717" s="13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4">
        <v>5</v>
      </c>
      <c r="H718" s="1365"/>
      <c r="I718" s="1365"/>
      <c r="J718" s="1366"/>
      <c r="K718" s="1585">
        <v>615</v>
      </c>
      <c r="L718" s="1586"/>
      <c r="M718" s="1586"/>
      <c r="N718" s="1587"/>
      <c r="O718" s="1369">
        <v>555</v>
      </c>
      <c r="P718" s="1370"/>
      <c r="Q718" s="1370"/>
      <c r="R718" s="1370"/>
      <c r="S718" s="1371"/>
      <c r="T718" s="1369">
        <v>48</v>
      </c>
      <c r="U718" s="1370"/>
      <c r="V718" s="1370"/>
      <c r="W718" s="1371"/>
      <c r="X718" s="1358">
        <f t="shared" ref="X718:X741" si="59">O718+T718</f>
        <v>603</v>
      </c>
      <c r="Y718" s="1359"/>
      <c r="Z718" s="1359"/>
      <c r="AA718" s="1359"/>
      <c r="AB718" s="1360"/>
      <c r="AC718" s="1381">
        <v>0.3</v>
      </c>
      <c r="AD718" s="1382"/>
      <c r="AE718" s="1382"/>
      <c r="AF718" s="1382"/>
      <c r="AG718" s="1383"/>
      <c r="AH718" s="1361">
        <f t="shared" ref="AH718:AH751" si="60">IF($AC718&gt;0,($X718/$BA667), "")</f>
        <v>0.3</v>
      </c>
      <c r="AI718" s="1362"/>
      <c r="AJ718" s="1363"/>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4">
        <v>27</v>
      </c>
      <c r="H719" s="1365"/>
      <c r="I719" s="1365"/>
      <c r="J719" s="1366"/>
      <c r="K719" s="1585">
        <v>615</v>
      </c>
      <c r="L719" s="1586"/>
      <c r="M719" s="1586"/>
      <c r="N719" s="1587"/>
      <c r="O719" s="1369">
        <v>957</v>
      </c>
      <c r="P719" s="1370"/>
      <c r="Q719" s="1370"/>
      <c r="R719" s="1370"/>
      <c r="S719" s="1371"/>
      <c r="T719" s="1369">
        <v>48</v>
      </c>
      <c r="U719" s="1370"/>
      <c r="V719" s="1370"/>
      <c r="W719" s="1371"/>
      <c r="X719" s="1358">
        <f t="shared" si="59"/>
        <v>1005</v>
      </c>
      <c r="Y719" s="1359"/>
      <c r="Z719" s="1359"/>
      <c r="AA719" s="1359"/>
      <c r="AB719" s="1360"/>
      <c r="AC719" s="1381">
        <v>0.5</v>
      </c>
      <c r="AD719" s="1382"/>
      <c r="AE719" s="1382"/>
      <c r="AF719" s="1382"/>
      <c r="AG719" s="1383"/>
      <c r="AH719" s="1361">
        <f t="shared" si="60"/>
        <v>0.5</v>
      </c>
      <c r="AI719" s="1362"/>
      <c r="AJ719" s="1363"/>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64">
        <v>13</v>
      </c>
      <c r="H720" s="1365"/>
      <c r="I720" s="1365"/>
      <c r="J720" s="1366"/>
      <c r="K720" s="1585">
        <v>615</v>
      </c>
      <c r="L720" s="1586"/>
      <c r="M720" s="1586"/>
      <c r="N720" s="1587"/>
      <c r="O720" s="1369">
        <v>1158</v>
      </c>
      <c r="P720" s="1370"/>
      <c r="Q720" s="1370"/>
      <c r="R720" s="1370"/>
      <c r="S720" s="1371"/>
      <c r="T720" s="1369">
        <v>48</v>
      </c>
      <c r="U720" s="1370"/>
      <c r="V720" s="1370"/>
      <c r="W720" s="1371"/>
      <c r="X720" s="1358">
        <f t="shared" si="59"/>
        <v>1206</v>
      </c>
      <c r="Y720" s="1359"/>
      <c r="Z720" s="1359"/>
      <c r="AA720" s="1359"/>
      <c r="AB720" s="1360"/>
      <c r="AC720" s="1381">
        <v>0.6</v>
      </c>
      <c r="AD720" s="1382"/>
      <c r="AE720" s="1382"/>
      <c r="AF720" s="1382"/>
      <c r="AG720" s="1383"/>
      <c r="AH720" s="1361">
        <f t="shared" si="60"/>
        <v>0.6</v>
      </c>
      <c r="AI720" s="1362"/>
      <c r="AJ720" s="1363"/>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64">
        <v>5</v>
      </c>
      <c r="H721" s="1365"/>
      <c r="I721" s="1365"/>
      <c r="J721" s="1366"/>
      <c r="K721" s="1585">
        <v>615</v>
      </c>
      <c r="L721" s="1586"/>
      <c r="M721" s="1586"/>
      <c r="N721" s="1587"/>
      <c r="O721" s="1369">
        <v>1561</v>
      </c>
      <c r="P721" s="1370"/>
      <c r="Q721" s="1370"/>
      <c r="R721" s="1370"/>
      <c r="S721" s="1371"/>
      <c r="T721" s="1369">
        <v>48</v>
      </c>
      <c r="U721" s="1370"/>
      <c r="V721" s="1370"/>
      <c r="W721" s="1371"/>
      <c r="X721" s="1358">
        <f t="shared" si="59"/>
        <v>1609</v>
      </c>
      <c r="Y721" s="1359"/>
      <c r="Z721" s="1359"/>
      <c r="AA721" s="1359"/>
      <c r="AB721" s="1360"/>
      <c r="AC721" s="1381">
        <v>0.8</v>
      </c>
      <c r="AD721" s="1382"/>
      <c r="AE721" s="1382"/>
      <c r="AF721" s="1382"/>
      <c r="AG721" s="1383"/>
      <c r="AH721" s="1361">
        <f t="shared" si="60"/>
        <v>0.80049751243781098</v>
      </c>
      <c r="AI721" s="1362"/>
      <c r="AJ721" s="1363"/>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4">
        <v>8</v>
      </c>
      <c r="H722" s="1365"/>
      <c r="I722" s="1365"/>
      <c r="J722" s="1366"/>
      <c r="K722" s="1585">
        <v>840</v>
      </c>
      <c r="L722" s="1586"/>
      <c r="M722" s="1586"/>
      <c r="N722" s="1587"/>
      <c r="O722" s="1369">
        <v>674</v>
      </c>
      <c r="P722" s="1370"/>
      <c r="Q722" s="1370"/>
      <c r="R722" s="1370"/>
      <c r="S722" s="1371"/>
      <c r="T722" s="1369">
        <v>49</v>
      </c>
      <c r="U722" s="1370"/>
      <c r="V722" s="1370"/>
      <c r="W722" s="1371"/>
      <c r="X722" s="1358">
        <f t="shared" si="59"/>
        <v>723</v>
      </c>
      <c r="Y722" s="1359"/>
      <c r="Z722" s="1359"/>
      <c r="AA722" s="1359"/>
      <c r="AB722" s="1360"/>
      <c r="AC722" s="1381">
        <v>0.3</v>
      </c>
      <c r="AD722" s="1382"/>
      <c r="AE722" s="1382"/>
      <c r="AF722" s="1382"/>
      <c r="AG722" s="1383"/>
      <c r="AH722" s="1361">
        <f t="shared" si="60"/>
        <v>0.29975124378109452</v>
      </c>
      <c r="AI722" s="1362"/>
      <c r="AJ722" s="1363"/>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4">
        <v>38</v>
      </c>
      <c r="H723" s="1365"/>
      <c r="I723" s="1365"/>
      <c r="J723" s="1366"/>
      <c r="K723" s="1585">
        <v>840</v>
      </c>
      <c r="L723" s="1586"/>
      <c r="M723" s="1586"/>
      <c r="N723" s="1587"/>
      <c r="O723" s="1369">
        <v>1157</v>
      </c>
      <c r="P723" s="1370"/>
      <c r="Q723" s="1370"/>
      <c r="R723" s="1370"/>
      <c r="S723" s="1371"/>
      <c r="T723" s="1369">
        <v>49</v>
      </c>
      <c r="U723" s="1370"/>
      <c r="V723" s="1370"/>
      <c r="W723" s="1371"/>
      <c r="X723" s="1358">
        <f t="shared" si="59"/>
        <v>1206</v>
      </c>
      <c r="Y723" s="1359"/>
      <c r="Z723" s="1359"/>
      <c r="AA723" s="1359"/>
      <c r="AB723" s="1360"/>
      <c r="AC723" s="1381">
        <v>0.5</v>
      </c>
      <c r="AD723" s="1382"/>
      <c r="AE723" s="1382"/>
      <c r="AF723" s="1382"/>
      <c r="AG723" s="1383"/>
      <c r="AH723" s="1361">
        <f t="shared" si="60"/>
        <v>0.5</v>
      </c>
      <c r="AI723" s="1362"/>
      <c r="AJ723" s="1363"/>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163</v>
      </c>
      <c r="C724" s="1356"/>
      <c r="D724" s="1356"/>
      <c r="E724" s="1356"/>
      <c r="F724" s="1357"/>
      <c r="G724" s="1364">
        <v>33</v>
      </c>
      <c r="H724" s="1365"/>
      <c r="I724" s="1365"/>
      <c r="J724" s="1366"/>
      <c r="K724" s="1585">
        <v>840</v>
      </c>
      <c r="L724" s="1586"/>
      <c r="M724" s="1586"/>
      <c r="N724" s="1587"/>
      <c r="O724" s="1369">
        <v>1881</v>
      </c>
      <c r="P724" s="1370"/>
      <c r="Q724" s="1370"/>
      <c r="R724" s="1370"/>
      <c r="S724" s="1371"/>
      <c r="T724" s="1369">
        <v>49</v>
      </c>
      <c r="U724" s="1370"/>
      <c r="V724" s="1370"/>
      <c r="W724" s="1371"/>
      <c r="X724" s="1358">
        <f t="shared" si="59"/>
        <v>1930</v>
      </c>
      <c r="Y724" s="1359"/>
      <c r="Z724" s="1359"/>
      <c r="AA724" s="1359"/>
      <c r="AB724" s="1360"/>
      <c r="AC724" s="1381">
        <v>0.8</v>
      </c>
      <c r="AD724" s="1382"/>
      <c r="AE724" s="1382"/>
      <c r="AF724" s="1382"/>
      <c r="AG724" s="1383"/>
      <c r="AH724" s="1361">
        <f t="shared" si="60"/>
        <v>0.80016583747927028</v>
      </c>
      <c r="AI724" s="1362"/>
      <c r="AJ724" s="1363"/>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164</v>
      </c>
      <c r="C725" s="1356"/>
      <c r="D725" s="1356"/>
      <c r="E725" s="1356"/>
      <c r="F725" s="1357"/>
      <c r="G725" s="1364">
        <v>5</v>
      </c>
      <c r="H725" s="1365"/>
      <c r="I725" s="1365"/>
      <c r="J725" s="1366"/>
      <c r="K725" s="1585">
        <v>1060</v>
      </c>
      <c r="L725" s="1586"/>
      <c r="M725" s="1586"/>
      <c r="N725" s="1587"/>
      <c r="O725" s="1369">
        <v>780</v>
      </c>
      <c r="P725" s="1370"/>
      <c r="Q725" s="1370"/>
      <c r="R725" s="1370"/>
      <c r="S725" s="1371"/>
      <c r="T725" s="1369">
        <v>56</v>
      </c>
      <c r="U725" s="1370"/>
      <c r="V725" s="1370"/>
      <c r="W725" s="1371"/>
      <c r="X725" s="1358">
        <f t="shared" si="59"/>
        <v>836</v>
      </c>
      <c r="Y725" s="1359"/>
      <c r="Z725" s="1359"/>
      <c r="AA725" s="1359"/>
      <c r="AB725" s="1360"/>
      <c r="AC725" s="1381">
        <v>0.3</v>
      </c>
      <c r="AD725" s="1382"/>
      <c r="AE725" s="1382"/>
      <c r="AF725" s="1382"/>
      <c r="AG725" s="1383"/>
      <c r="AH725" s="1361">
        <f t="shared" si="60"/>
        <v>0.30007178750897345</v>
      </c>
      <c r="AI725" s="1362"/>
      <c r="AJ725" s="1363"/>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4">
        <v>5</v>
      </c>
      <c r="H726" s="1365"/>
      <c r="I726" s="1365"/>
      <c r="J726" s="1366"/>
      <c r="K726" s="1585">
        <v>1060</v>
      </c>
      <c r="L726" s="1586"/>
      <c r="M726" s="1586"/>
      <c r="N726" s="1587"/>
      <c r="O726" s="1369">
        <v>1337</v>
      </c>
      <c r="P726" s="1370"/>
      <c r="Q726" s="1370"/>
      <c r="R726" s="1370"/>
      <c r="S726" s="1371"/>
      <c r="T726" s="1369">
        <v>56</v>
      </c>
      <c r="U726" s="1370"/>
      <c r="V726" s="1370"/>
      <c r="W726" s="1371"/>
      <c r="X726" s="1358">
        <f t="shared" si="59"/>
        <v>1393</v>
      </c>
      <c r="Y726" s="1359"/>
      <c r="Z726" s="1359"/>
      <c r="AA726" s="1359"/>
      <c r="AB726" s="1360"/>
      <c r="AC726" s="1381">
        <v>0.5</v>
      </c>
      <c r="AD726" s="1382"/>
      <c r="AE726" s="1382"/>
      <c r="AF726" s="1382"/>
      <c r="AG726" s="1383"/>
      <c r="AH726" s="1361">
        <f t="shared" si="60"/>
        <v>0.5</v>
      </c>
      <c r="AI726" s="1362"/>
      <c r="AJ726" s="1363"/>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164</v>
      </c>
      <c r="C727" s="1356"/>
      <c r="D727" s="1356"/>
      <c r="E727" s="1356"/>
      <c r="F727" s="1357"/>
      <c r="G727" s="1364">
        <v>11</v>
      </c>
      <c r="H727" s="1365"/>
      <c r="I727" s="1365"/>
      <c r="J727" s="1366"/>
      <c r="K727" s="1585">
        <v>1060</v>
      </c>
      <c r="L727" s="1586"/>
      <c r="M727" s="1586"/>
      <c r="N727" s="1587"/>
      <c r="O727" s="1369">
        <v>1616</v>
      </c>
      <c r="P727" s="1370"/>
      <c r="Q727" s="1370"/>
      <c r="R727" s="1370"/>
      <c r="S727" s="1371"/>
      <c r="T727" s="1369">
        <v>56</v>
      </c>
      <c r="U727" s="1370"/>
      <c r="V727" s="1370"/>
      <c r="W727" s="1371"/>
      <c r="X727" s="1358">
        <f t="shared" si="59"/>
        <v>1672</v>
      </c>
      <c r="Y727" s="1359"/>
      <c r="Z727" s="1359"/>
      <c r="AA727" s="1359"/>
      <c r="AB727" s="1360"/>
      <c r="AC727" s="1381">
        <v>0.6</v>
      </c>
      <c r="AD727" s="1382"/>
      <c r="AE727" s="1382"/>
      <c r="AF727" s="1382"/>
      <c r="AG727" s="1383"/>
      <c r="AH727" s="1361">
        <f t="shared" si="60"/>
        <v>0.60014357501794691</v>
      </c>
      <c r="AI727" s="1362"/>
      <c r="AJ727" s="1363"/>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164</v>
      </c>
      <c r="C728" s="1356"/>
      <c r="D728" s="1356"/>
      <c r="E728" s="1356"/>
      <c r="F728" s="1357"/>
      <c r="G728" s="1364">
        <v>24</v>
      </c>
      <c r="H728" s="1365"/>
      <c r="I728" s="1365"/>
      <c r="J728" s="1366"/>
      <c r="K728" s="1585">
        <v>1060</v>
      </c>
      <c r="L728" s="1586"/>
      <c r="M728" s="1586"/>
      <c r="N728" s="1587"/>
      <c r="O728" s="1369">
        <v>2125</v>
      </c>
      <c r="P728" s="1370"/>
      <c r="Q728" s="1370"/>
      <c r="R728" s="1370"/>
      <c r="S728" s="1371"/>
      <c r="T728" s="1369">
        <v>56</v>
      </c>
      <c r="U728" s="1370"/>
      <c r="V728" s="1370"/>
      <c r="W728" s="1371"/>
      <c r="X728" s="1358">
        <f t="shared" si="59"/>
        <v>2181</v>
      </c>
      <c r="Y728" s="1359"/>
      <c r="Z728" s="1359"/>
      <c r="AA728" s="1359"/>
      <c r="AB728" s="1360"/>
      <c r="AC728" s="1381">
        <v>0.8</v>
      </c>
      <c r="AD728" s="1382"/>
      <c r="AE728" s="1382"/>
      <c r="AF728" s="1382"/>
      <c r="AG728" s="1383"/>
      <c r="AH728" s="1361">
        <f t="shared" si="60"/>
        <v>0.78284278535534813</v>
      </c>
      <c r="AI728" s="1362"/>
      <c r="AJ728" s="1363"/>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4"/>
      <c r="H729" s="1365"/>
      <c r="I729" s="1365"/>
      <c r="J729" s="1366"/>
      <c r="K729" s="1585"/>
      <c r="L729" s="1586"/>
      <c r="M729" s="1586"/>
      <c r="N729" s="1587"/>
      <c r="O729" s="1369"/>
      <c r="P729" s="1370"/>
      <c r="Q729" s="1370"/>
      <c r="R729" s="1370"/>
      <c r="S729" s="1371"/>
      <c r="T729" s="1369"/>
      <c r="U729" s="1370"/>
      <c r="V729" s="1370"/>
      <c r="W729" s="1371"/>
      <c r="X729" s="1358">
        <f t="shared" si="59"/>
        <v>0</v>
      </c>
      <c r="Y729" s="1359"/>
      <c r="Z729" s="1359"/>
      <c r="AA729" s="1359"/>
      <c r="AB729" s="1360"/>
      <c r="AC729" s="1381"/>
      <c r="AD729" s="1382"/>
      <c r="AE729" s="1382"/>
      <c r="AF729" s="1382"/>
      <c r="AG729" s="1383"/>
      <c r="AH729" s="1361" t="str">
        <f t="shared" si="60"/>
        <v/>
      </c>
      <c r="AI729" s="1362"/>
      <c r="AJ729" s="1363"/>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4"/>
      <c r="H730" s="1365"/>
      <c r="I730" s="1365"/>
      <c r="J730" s="1366"/>
      <c r="K730" s="1585"/>
      <c r="L730" s="1586"/>
      <c r="M730" s="1586"/>
      <c r="N730" s="1587"/>
      <c r="O730" s="1369"/>
      <c r="P730" s="1370"/>
      <c r="Q730" s="1370"/>
      <c r="R730" s="1370"/>
      <c r="S730" s="1371"/>
      <c r="T730" s="1369"/>
      <c r="U730" s="1370"/>
      <c r="V730" s="1370"/>
      <c r="W730" s="1371"/>
      <c r="X730" s="1358">
        <f t="shared" si="59"/>
        <v>0</v>
      </c>
      <c r="Y730" s="1359"/>
      <c r="Z730" s="1359"/>
      <c r="AA730" s="1359"/>
      <c r="AB730" s="1360"/>
      <c r="AC730" s="1381"/>
      <c r="AD730" s="1382"/>
      <c r="AE730" s="1382"/>
      <c r="AF730" s="1382"/>
      <c r="AG730" s="1383"/>
      <c r="AH730" s="1361" t="str">
        <f t="shared" si="60"/>
        <v/>
      </c>
      <c r="AI730" s="1362"/>
      <c r="AJ730" s="1363"/>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4"/>
      <c r="H731" s="1365"/>
      <c r="I731" s="1365"/>
      <c r="J731" s="1366"/>
      <c r="K731" s="1585"/>
      <c r="L731" s="1586"/>
      <c r="M731" s="1586"/>
      <c r="N731" s="1587"/>
      <c r="O731" s="1369"/>
      <c r="P731" s="1370"/>
      <c r="Q731" s="1370"/>
      <c r="R731" s="1370"/>
      <c r="S731" s="1371"/>
      <c r="T731" s="1369"/>
      <c r="U731" s="1370"/>
      <c r="V731" s="1370"/>
      <c r="W731" s="1371"/>
      <c r="X731" s="1358">
        <f t="shared" si="59"/>
        <v>0</v>
      </c>
      <c r="Y731" s="1359"/>
      <c r="Z731" s="1359"/>
      <c r="AA731" s="1359"/>
      <c r="AB731" s="1360"/>
      <c r="AC731" s="1381"/>
      <c r="AD731" s="1382"/>
      <c r="AE731" s="1382"/>
      <c r="AF731" s="1382"/>
      <c r="AG731" s="1383"/>
      <c r="AH731" s="1361" t="str">
        <f t="shared" si="60"/>
        <v/>
      </c>
      <c r="AI731" s="1362"/>
      <c r="AJ731" s="1363"/>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4"/>
      <c r="H732" s="1365"/>
      <c r="I732" s="1365"/>
      <c r="J732" s="1366"/>
      <c r="K732" s="1585"/>
      <c r="L732" s="1586"/>
      <c r="M732" s="1586"/>
      <c r="N732" s="1587"/>
      <c r="O732" s="1369"/>
      <c r="P732" s="1370"/>
      <c r="Q732" s="1370"/>
      <c r="R732" s="1370"/>
      <c r="S732" s="1371"/>
      <c r="T732" s="1369"/>
      <c r="U732" s="1370"/>
      <c r="V732" s="1370"/>
      <c r="W732" s="1371"/>
      <c r="X732" s="1358">
        <f t="shared" si="59"/>
        <v>0</v>
      </c>
      <c r="Y732" s="1359"/>
      <c r="Z732" s="1359"/>
      <c r="AA732" s="1359"/>
      <c r="AB732" s="1360"/>
      <c r="AC732" s="1381"/>
      <c r="AD732" s="1382"/>
      <c r="AE732" s="1382"/>
      <c r="AF732" s="1382"/>
      <c r="AG732" s="1383"/>
      <c r="AH732" s="1361" t="str">
        <f t="shared" si="60"/>
        <v/>
      </c>
      <c r="AI732" s="1362"/>
      <c r="AJ732" s="1363"/>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4"/>
      <c r="H733" s="1365"/>
      <c r="I733" s="1365"/>
      <c r="J733" s="1366"/>
      <c r="K733" s="1585"/>
      <c r="L733" s="1586"/>
      <c r="M733" s="1586"/>
      <c r="N733" s="1587"/>
      <c r="O733" s="1369"/>
      <c r="P733" s="1370"/>
      <c r="Q733" s="1370"/>
      <c r="R733" s="1370"/>
      <c r="S733" s="1371"/>
      <c r="T733" s="1369"/>
      <c r="U733" s="1370"/>
      <c r="V733" s="1370"/>
      <c r="W733" s="1371"/>
      <c r="X733" s="1358">
        <f t="shared" si="59"/>
        <v>0</v>
      </c>
      <c r="Y733" s="1359"/>
      <c r="Z733" s="1359"/>
      <c r="AA733" s="1359"/>
      <c r="AB733" s="1360"/>
      <c r="AC733" s="1381"/>
      <c r="AD733" s="1382"/>
      <c r="AE733" s="1382"/>
      <c r="AF733" s="1382"/>
      <c r="AG733" s="1383"/>
      <c r="AH733" s="1361" t="str">
        <f t="shared" si="60"/>
        <v/>
      </c>
      <c r="AI733" s="1362"/>
      <c r="AJ733" s="1363"/>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4"/>
      <c r="H734" s="1365"/>
      <c r="I734" s="1365"/>
      <c r="J734" s="1366"/>
      <c r="K734" s="1585"/>
      <c r="L734" s="1586"/>
      <c r="M734" s="1586"/>
      <c r="N734" s="1587"/>
      <c r="O734" s="1369"/>
      <c r="P734" s="1370"/>
      <c r="Q734" s="1370"/>
      <c r="R734" s="1370"/>
      <c r="S734" s="1371"/>
      <c r="T734" s="1369"/>
      <c r="U734" s="1370"/>
      <c r="V734" s="1370"/>
      <c r="W734" s="1371"/>
      <c r="X734" s="1358">
        <f t="shared" si="59"/>
        <v>0</v>
      </c>
      <c r="Y734" s="1359"/>
      <c r="Z734" s="1359"/>
      <c r="AA734" s="1359"/>
      <c r="AB734" s="1360"/>
      <c r="AC734" s="1381"/>
      <c r="AD734" s="1382"/>
      <c r="AE734" s="1382"/>
      <c r="AF734" s="1382"/>
      <c r="AG734" s="1383"/>
      <c r="AH734" s="1361" t="str">
        <f t="shared" si="60"/>
        <v/>
      </c>
      <c r="AI734" s="1362"/>
      <c r="AJ734" s="1363"/>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4"/>
      <c r="H735" s="1365"/>
      <c r="I735" s="1365"/>
      <c r="J735" s="1366"/>
      <c r="K735" s="1585"/>
      <c r="L735" s="1586"/>
      <c r="M735" s="1586"/>
      <c r="N735" s="1587"/>
      <c r="O735" s="1369"/>
      <c r="P735" s="1370"/>
      <c r="Q735" s="1370"/>
      <c r="R735" s="1370"/>
      <c r="S735" s="1371"/>
      <c r="T735" s="1369"/>
      <c r="U735" s="1370"/>
      <c r="V735" s="1370"/>
      <c r="W735" s="1371"/>
      <c r="X735" s="1358">
        <f t="shared" si="59"/>
        <v>0</v>
      </c>
      <c r="Y735" s="1359"/>
      <c r="Z735" s="1359"/>
      <c r="AA735" s="1359"/>
      <c r="AB735" s="1360"/>
      <c r="AC735" s="1381"/>
      <c r="AD735" s="1382"/>
      <c r="AE735" s="1382"/>
      <c r="AF735" s="1382"/>
      <c r="AG735" s="1383"/>
      <c r="AH735" s="1361" t="str">
        <f t="shared" si="60"/>
        <v/>
      </c>
      <c r="AI735" s="1362"/>
      <c r="AJ735" s="1363"/>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4"/>
      <c r="H736" s="1365"/>
      <c r="I736" s="1365"/>
      <c r="J736" s="1366"/>
      <c r="K736" s="1585"/>
      <c r="L736" s="1586"/>
      <c r="M736" s="1586"/>
      <c r="N736" s="1587"/>
      <c r="O736" s="1369"/>
      <c r="P736" s="1370"/>
      <c r="Q736" s="1370"/>
      <c r="R736" s="1370"/>
      <c r="S736" s="1371"/>
      <c r="T736" s="1369"/>
      <c r="U736" s="1370"/>
      <c r="V736" s="1370"/>
      <c r="W736" s="1371"/>
      <c r="X736" s="1358">
        <f t="shared" si="59"/>
        <v>0</v>
      </c>
      <c r="Y736" s="1359"/>
      <c r="Z736" s="1359"/>
      <c r="AA736" s="1359"/>
      <c r="AB736" s="1360"/>
      <c r="AC736" s="1381"/>
      <c r="AD736" s="1382"/>
      <c r="AE736" s="1382"/>
      <c r="AF736" s="1382"/>
      <c r="AG736" s="1383"/>
      <c r="AH736" s="1361" t="str">
        <f t="shared" si="60"/>
        <v/>
      </c>
      <c r="AI736" s="1362"/>
      <c r="AJ736" s="1363"/>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4"/>
      <c r="H737" s="1365"/>
      <c r="I737" s="1365"/>
      <c r="J737" s="1366"/>
      <c r="K737" s="1585"/>
      <c r="L737" s="1586"/>
      <c r="M737" s="1586"/>
      <c r="N737" s="1587"/>
      <c r="O737" s="1369"/>
      <c r="P737" s="1370"/>
      <c r="Q737" s="1370"/>
      <c r="R737" s="1370"/>
      <c r="S737" s="1371"/>
      <c r="T737" s="1369"/>
      <c r="U737" s="1370"/>
      <c r="V737" s="1370"/>
      <c r="W737" s="1371"/>
      <c r="X737" s="1358">
        <f t="shared" si="59"/>
        <v>0</v>
      </c>
      <c r="Y737" s="1359"/>
      <c r="Z737" s="1359"/>
      <c r="AA737" s="1359"/>
      <c r="AB737" s="1360"/>
      <c r="AC737" s="1381"/>
      <c r="AD737" s="1382"/>
      <c r="AE737" s="1382"/>
      <c r="AF737" s="1382"/>
      <c r="AG737" s="1383"/>
      <c r="AH737" s="1361" t="str">
        <f t="shared" si="60"/>
        <v/>
      </c>
      <c r="AI737" s="1362"/>
      <c r="AJ737" s="1363"/>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4"/>
      <c r="H738" s="1365"/>
      <c r="I738" s="1365"/>
      <c r="J738" s="1366"/>
      <c r="K738" s="1585"/>
      <c r="L738" s="1586"/>
      <c r="M738" s="1586"/>
      <c r="N738" s="1587"/>
      <c r="O738" s="1369"/>
      <c r="P738" s="1370"/>
      <c r="Q738" s="1370"/>
      <c r="R738" s="1370"/>
      <c r="S738" s="1371"/>
      <c r="T738" s="1369"/>
      <c r="U738" s="1370"/>
      <c r="V738" s="1370"/>
      <c r="W738" s="1371"/>
      <c r="X738" s="1358">
        <f t="shared" si="59"/>
        <v>0</v>
      </c>
      <c r="Y738" s="1359"/>
      <c r="Z738" s="1359"/>
      <c r="AA738" s="1359"/>
      <c r="AB738" s="1360"/>
      <c r="AC738" s="1381"/>
      <c r="AD738" s="1382"/>
      <c r="AE738" s="1382"/>
      <c r="AF738" s="1382"/>
      <c r="AG738" s="1383"/>
      <c r="AH738" s="1361" t="str">
        <f t="shared" si="60"/>
        <v/>
      </c>
      <c r="AI738" s="1362"/>
      <c r="AJ738" s="1363"/>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4"/>
      <c r="H739" s="1365"/>
      <c r="I739" s="1365"/>
      <c r="J739" s="1366"/>
      <c r="K739" s="1585"/>
      <c r="L739" s="1586"/>
      <c r="M739" s="1586"/>
      <c r="N739" s="1587"/>
      <c r="O739" s="1369"/>
      <c r="P739" s="1370"/>
      <c r="Q739" s="1370"/>
      <c r="R739" s="1370"/>
      <c r="S739" s="1371"/>
      <c r="T739" s="1369"/>
      <c r="U739" s="1370"/>
      <c r="V739" s="1370"/>
      <c r="W739" s="1371"/>
      <c r="X739" s="1358">
        <f t="shared" si="59"/>
        <v>0</v>
      </c>
      <c r="Y739" s="1359"/>
      <c r="Z739" s="1359"/>
      <c r="AA739" s="1359"/>
      <c r="AB739" s="1360"/>
      <c r="AC739" s="1381"/>
      <c r="AD739" s="1382"/>
      <c r="AE739" s="1382"/>
      <c r="AF739" s="1382"/>
      <c r="AG739" s="1383"/>
      <c r="AH739" s="1361" t="str">
        <f t="shared" si="60"/>
        <v/>
      </c>
      <c r="AI739" s="1362"/>
      <c r="AJ739" s="1363"/>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4"/>
      <c r="H740" s="1365"/>
      <c r="I740" s="1365"/>
      <c r="J740" s="1366"/>
      <c r="K740" s="1585"/>
      <c r="L740" s="1586"/>
      <c r="M740" s="1586"/>
      <c r="N740" s="1587"/>
      <c r="O740" s="1369"/>
      <c r="P740" s="1370"/>
      <c r="Q740" s="1370"/>
      <c r="R740" s="1370"/>
      <c r="S740" s="1371"/>
      <c r="T740" s="1369"/>
      <c r="U740" s="1370"/>
      <c r="V740" s="1370"/>
      <c r="W740" s="1371"/>
      <c r="X740" s="1358">
        <f t="shared" si="59"/>
        <v>0</v>
      </c>
      <c r="Y740" s="1359"/>
      <c r="Z740" s="1359"/>
      <c r="AA740" s="1359"/>
      <c r="AB740" s="1360"/>
      <c r="AC740" s="1381"/>
      <c r="AD740" s="1382"/>
      <c r="AE740" s="1382"/>
      <c r="AF740" s="1382"/>
      <c r="AG740" s="1383"/>
      <c r="AH740" s="1361" t="str">
        <f t="shared" si="60"/>
        <v/>
      </c>
      <c r="AI740" s="1362"/>
      <c r="AJ740" s="1363"/>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4"/>
      <c r="H741" s="1365"/>
      <c r="I741" s="1365"/>
      <c r="J741" s="1366"/>
      <c r="K741" s="1585"/>
      <c r="L741" s="1586"/>
      <c r="M741" s="1586"/>
      <c r="N741" s="1587"/>
      <c r="O741" s="1369"/>
      <c r="P741" s="1370"/>
      <c r="Q741" s="1370"/>
      <c r="R741" s="1370"/>
      <c r="S741" s="1371"/>
      <c r="T741" s="1369"/>
      <c r="U741" s="1370"/>
      <c r="V741" s="1370"/>
      <c r="W741" s="1371"/>
      <c r="X741" s="1358">
        <f t="shared" si="59"/>
        <v>0</v>
      </c>
      <c r="Y741" s="1359"/>
      <c r="Z741" s="1359"/>
      <c r="AA741" s="1359"/>
      <c r="AB741" s="1360"/>
      <c r="AC741" s="1381"/>
      <c r="AD741" s="1382"/>
      <c r="AE741" s="1382"/>
      <c r="AF741" s="1382"/>
      <c r="AG741" s="1383"/>
      <c r="AH741" s="1361" t="str">
        <f t="shared" si="60"/>
        <v/>
      </c>
      <c r="AI741" s="1362"/>
      <c r="AJ741" s="1363"/>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4"/>
      <c r="H742" s="1365"/>
      <c r="I742" s="1365"/>
      <c r="J742" s="1366"/>
      <c r="K742" s="1585"/>
      <c r="L742" s="1586"/>
      <c r="M742" s="1586"/>
      <c r="N742" s="1587"/>
      <c r="O742" s="1369"/>
      <c r="P742" s="1370"/>
      <c r="Q742" s="1370"/>
      <c r="R742" s="1370"/>
      <c r="S742" s="1371"/>
      <c r="T742" s="1369"/>
      <c r="U742" s="1370"/>
      <c r="V742" s="1370"/>
      <c r="W742" s="1371"/>
      <c r="X742" s="1358">
        <f t="shared" ref="X742:X751" si="61">O742+T742</f>
        <v>0</v>
      </c>
      <c r="Y742" s="1359"/>
      <c r="Z742" s="1359"/>
      <c r="AA742" s="1359"/>
      <c r="AB742" s="1360"/>
      <c r="AC742" s="1381"/>
      <c r="AD742" s="1382"/>
      <c r="AE742" s="1382"/>
      <c r="AF742" s="1382"/>
      <c r="AG742" s="1383"/>
      <c r="AH742" s="1361" t="str">
        <f t="shared" si="60"/>
        <v/>
      </c>
      <c r="AI742" s="1362"/>
      <c r="AJ742" s="1363"/>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4"/>
      <c r="H743" s="1365"/>
      <c r="I743" s="1365"/>
      <c r="J743" s="1366"/>
      <c r="K743" s="1585"/>
      <c r="L743" s="1586"/>
      <c r="M743" s="1586"/>
      <c r="N743" s="1587"/>
      <c r="O743" s="1369"/>
      <c r="P743" s="1370"/>
      <c r="Q743" s="1370"/>
      <c r="R743" s="1370"/>
      <c r="S743" s="1371"/>
      <c r="T743" s="1369"/>
      <c r="U743" s="1370"/>
      <c r="V743" s="1370"/>
      <c r="W743" s="1371"/>
      <c r="X743" s="1358">
        <f t="shared" si="61"/>
        <v>0</v>
      </c>
      <c r="Y743" s="1359"/>
      <c r="Z743" s="1359"/>
      <c r="AA743" s="1359"/>
      <c r="AB743" s="1360"/>
      <c r="AC743" s="1381"/>
      <c r="AD743" s="1382"/>
      <c r="AE743" s="1382"/>
      <c r="AF743" s="1382"/>
      <c r="AG743" s="1383"/>
      <c r="AH743" s="1361" t="str">
        <f t="shared" si="60"/>
        <v/>
      </c>
      <c r="AI743" s="1362"/>
      <c r="AJ743" s="1363"/>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4"/>
      <c r="H744" s="1365"/>
      <c r="I744" s="1365"/>
      <c r="J744" s="1366"/>
      <c r="K744" s="1585"/>
      <c r="L744" s="1586"/>
      <c r="M744" s="1586"/>
      <c r="N744" s="1587"/>
      <c r="O744" s="1369"/>
      <c r="P744" s="1370"/>
      <c r="Q744" s="1370"/>
      <c r="R744" s="1370"/>
      <c r="S744" s="1371"/>
      <c r="T744" s="1369"/>
      <c r="U744" s="1370"/>
      <c r="V744" s="1370"/>
      <c r="W744" s="1371"/>
      <c r="X744" s="1358">
        <f t="shared" si="61"/>
        <v>0</v>
      </c>
      <c r="Y744" s="1359"/>
      <c r="Z744" s="1359"/>
      <c r="AA744" s="1359"/>
      <c r="AB744" s="1360"/>
      <c r="AC744" s="1381"/>
      <c r="AD744" s="1382"/>
      <c r="AE744" s="1382"/>
      <c r="AF744" s="1382"/>
      <c r="AG744" s="1383"/>
      <c r="AH744" s="1361" t="str">
        <f t="shared" si="60"/>
        <v/>
      </c>
      <c r="AI744" s="1362"/>
      <c r="AJ744" s="1363"/>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4"/>
      <c r="H745" s="1365"/>
      <c r="I745" s="1365"/>
      <c r="J745" s="1366"/>
      <c r="K745" s="1585"/>
      <c r="L745" s="1586"/>
      <c r="M745" s="1586"/>
      <c r="N745" s="1587"/>
      <c r="O745" s="1369"/>
      <c r="P745" s="1370"/>
      <c r="Q745" s="1370"/>
      <c r="R745" s="1370"/>
      <c r="S745" s="1371"/>
      <c r="T745" s="1369"/>
      <c r="U745" s="1370"/>
      <c r="V745" s="1370"/>
      <c r="W745" s="1371"/>
      <c r="X745" s="1358">
        <f t="shared" si="61"/>
        <v>0</v>
      </c>
      <c r="Y745" s="1359"/>
      <c r="Z745" s="1359"/>
      <c r="AA745" s="1359"/>
      <c r="AB745" s="1360"/>
      <c r="AC745" s="1381"/>
      <c r="AD745" s="1382"/>
      <c r="AE745" s="1382"/>
      <c r="AF745" s="1382"/>
      <c r="AG745" s="1383"/>
      <c r="AH745" s="1361" t="str">
        <f t="shared" si="60"/>
        <v/>
      </c>
      <c r="AI745" s="1362"/>
      <c r="AJ745" s="1363"/>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4"/>
      <c r="H746" s="1365"/>
      <c r="I746" s="1365"/>
      <c r="J746" s="1366"/>
      <c r="K746" s="1585"/>
      <c r="L746" s="1586"/>
      <c r="M746" s="1586"/>
      <c r="N746" s="1587"/>
      <c r="O746" s="1369"/>
      <c r="P746" s="1370"/>
      <c r="Q746" s="1370"/>
      <c r="R746" s="1370"/>
      <c r="S746" s="1371"/>
      <c r="T746" s="1369"/>
      <c r="U746" s="1370"/>
      <c r="V746" s="1370"/>
      <c r="W746" s="1371"/>
      <c r="X746" s="1358">
        <f t="shared" si="61"/>
        <v>0</v>
      </c>
      <c r="Y746" s="1359"/>
      <c r="Z746" s="1359"/>
      <c r="AA746" s="1359"/>
      <c r="AB746" s="1360"/>
      <c r="AC746" s="1381"/>
      <c r="AD746" s="1382"/>
      <c r="AE746" s="1382"/>
      <c r="AF746" s="1382"/>
      <c r="AG746" s="1383"/>
      <c r="AH746" s="1361" t="str">
        <f t="shared" si="60"/>
        <v/>
      </c>
      <c r="AI746" s="1362"/>
      <c r="AJ746" s="1363"/>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4"/>
      <c r="H747" s="1365"/>
      <c r="I747" s="1365"/>
      <c r="J747" s="1366"/>
      <c r="K747" s="1585"/>
      <c r="L747" s="1586"/>
      <c r="M747" s="1586"/>
      <c r="N747" s="1587"/>
      <c r="O747" s="1369"/>
      <c r="P747" s="1370"/>
      <c r="Q747" s="1370"/>
      <c r="R747" s="1370"/>
      <c r="S747" s="1371"/>
      <c r="T747" s="1369"/>
      <c r="U747" s="1370"/>
      <c r="V747" s="1370"/>
      <c r="W747" s="1371"/>
      <c r="X747" s="1358">
        <f t="shared" si="61"/>
        <v>0</v>
      </c>
      <c r="Y747" s="1359"/>
      <c r="Z747" s="1359"/>
      <c r="AA747" s="1359"/>
      <c r="AB747" s="1360"/>
      <c r="AC747" s="1381"/>
      <c r="AD747" s="1382"/>
      <c r="AE747" s="1382"/>
      <c r="AF747" s="1382"/>
      <c r="AG747" s="1383"/>
      <c r="AH747" s="1361" t="str">
        <f t="shared" si="60"/>
        <v/>
      </c>
      <c r="AI747" s="1362"/>
      <c r="AJ747" s="1363"/>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4"/>
      <c r="H748" s="1365"/>
      <c r="I748" s="1365"/>
      <c r="J748" s="1366"/>
      <c r="K748" s="1585"/>
      <c r="L748" s="1586"/>
      <c r="M748" s="1586"/>
      <c r="N748" s="1587"/>
      <c r="O748" s="1369"/>
      <c r="P748" s="1370"/>
      <c r="Q748" s="1370"/>
      <c r="R748" s="1370"/>
      <c r="S748" s="1371"/>
      <c r="T748" s="1369"/>
      <c r="U748" s="1370"/>
      <c r="V748" s="1370"/>
      <c r="W748" s="1371"/>
      <c r="X748" s="1358">
        <f t="shared" si="61"/>
        <v>0</v>
      </c>
      <c r="Y748" s="1359"/>
      <c r="Z748" s="1359"/>
      <c r="AA748" s="1359"/>
      <c r="AB748" s="1360"/>
      <c r="AC748" s="1381"/>
      <c r="AD748" s="1382"/>
      <c r="AE748" s="1382"/>
      <c r="AF748" s="1382"/>
      <c r="AG748" s="1383"/>
      <c r="AH748" s="1361" t="str">
        <f t="shared" si="60"/>
        <v/>
      </c>
      <c r="AI748" s="1362"/>
      <c r="AJ748" s="1363"/>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4"/>
      <c r="H749" s="1365"/>
      <c r="I749" s="1365"/>
      <c r="J749" s="1366"/>
      <c r="K749" s="1585"/>
      <c r="L749" s="1586"/>
      <c r="M749" s="1586"/>
      <c r="N749" s="1587"/>
      <c r="O749" s="1369"/>
      <c r="P749" s="1370"/>
      <c r="Q749" s="1370"/>
      <c r="R749" s="1370"/>
      <c r="S749" s="1371"/>
      <c r="T749" s="1369"/>
      <c r="U749" s="1370"/>
      <c r="V749" s="1370"/>
      <c r="W749" s="1371"/>
      <c r="X749" s="1358">
        <f t="shared" si="61"/>
        <v>0</v>
      </c>
      <c r="Y749" s="1359"/>
      <c r="Z749" s="1359"/>
      <c r="AA749" s="1359"/>
      <c r="AB749" s="1360"/>
      <c r="AC749" s="1381"/>
      <c r="AD749" s="1382"/>
      <c r="AE749" s="1382"/>
      <c r="AF749" s="1382"/>
      <c r="AG749" s="1383"/>
      <c r="AH749" s="1361" t="str">
        <f t="shared" si="60"/>
        <v/>
      </c>
      <c r="AI749" s="1362"/>
      <c r="AJ749" s="1363"/>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4"/>
      <c r="H750" s="1365"/>
      <c r="I750" s="1365"/>
      <c r="J750" s="1366"/>
      <c r="K750" s="1585"/>
      <c r="L750" s="1586"/>
      <c r="M750" s="1586"/>
      <c r="N750" s="1587"/>
      <c r="O750" s="1369"/>
      <c r="P750" s="1370"/>
      <c r="Q750" s="1370"/>
      <c r="R750" s="1370"/>
      <c r="S750" s="1371"/>
      <c r="T750" s="1369"/>
      <c r="U750" s="1370"/>
      <c r="V750" s="1370"/>
      <c r="W750" s="1371"/>
      <c r="X750" s="1358">
        <f t="shared" si="61"/>
        <v>0</v>
      </c>
      <c r="Y750" s="1359"/>
      <c r="Z750" s="1359"/>
      <c r="AA750" s="1359"/>
      <c r="AB750" s="1360"/>
      <c r="AC750" s="1381"/>
      <c r="AD750" s="1382"/>
      <c r="AE750" s="1382"/>
      <c r="AF750" s="1382"/>
      <c r="AG750" s="1383"/>
      <c r="AH750" s="1361" t="str">
        <f t="shared" si="60"/>
        <v/>
      </c>
      <c r="AI750" s="1362"/>
      <c r="AJ750" s="1363"/>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4"/>
      <c r="H751" s="1365"/>
      <c r="I751" s="1365"/>
      <c r="J751" s="1366"/>
      <c r="K751" s="1585"/>
      <c r="L751" s="1586"/>
      <c r="M751" s="1586"/>
      <c r="N751" s="1587"/>
      <c r="O751" s="1369"/>
      <c r="P751" s="1370"/>
      <c r="Q751" s="1370"/>
      <c r="R751" s="1370"/>
      <c r="S751" s="1371"/>
      <c r="T751" s="1369"/>
      <c r="U751" s="1370"/>
      <c r="V751" s="1370"/>
      <c r="W751" s="1371"/>
      <c r="X751" s="1358">
        <f t="shared" si="61"/>
        <v>0</v>
      </c>
      <c r="Y751" s="1359"/>
      <c r="Z751" s="1359"/>
      <c r="AA751" s="1359"/>
      <c r="AB751" s="1360"/>
      <c r="AC751" s="1381"/>
      <c r="AD751" s="1382"/>
      <c r="AE751" s="1382"/>
      <c r="AF751" s="1382"/>
      <c r="AG751" s="1383"/>
      <c r="AH751" s="1361" t="str">
        <f t="shared" si="60"/>
        <v/>
      </c>
      <c r="AI751" s="1362"/>
      <c r="AJ751" s="1363"/>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4"/>
      <c r="H752" s="1365"/>
      <c r="I752" s="1365"/>
      <c r="J752" s="1366"/>
      <c r="K752" s="1585"/>
      <c r="L752" s="1586"/>
      <c r="M752" s="1586"/>
      <c r="N752" s="1587"/>
      <c r="O752" s="1369"/>
      <c r="P752" s="1370"/>
      <c r="Q752" s="1370"/>
      <c r="R752" s="1370"/>
      <c r="S752" s="1371"/>
      <c r="T752" s="1369"/>
      <c r="U752" s="1370"/>
      <c r="V752" s="1370"/>
      <c r="W752" s="1371"/>
      <c r="X752" s="1358">
        <f>O752+T752</f>
        <v>0</v>
      </c>
      <c r="Y752" s="1359"/>
      <c r="Z752" s="1359"/>
      <c r="AA752" s="1359"/>
      <c r="AB752" s="1360"/>
      <c r="AC752" s="1381"/>
      <c r="AD752" s="1382"/>
      <c r="AE752" s="1382"/>
      <c r="AF752" s="1382"/>
      <c r="AG752" s="1383"/>
      <c r="AH752" s="1361" t="str">
        <f>IF($AC752&gt;0,($X752/$BA701), "")</f>
        <v/>
      </c>
      <c r="AI752" s="1362"/>
      <c r="AJ752" s="1363"/>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2" t="s">
        <v>125</v>
      </c>
      <c r="C753" s="1593"/>
      <c r="D753" s="1593"/>
      <c r="E753" s="1593"/>
      <c r="F753" s="1594"/>
      <c r="G753" s="1717">
        <f>SUM(G718:G752)</f>
        <v>174</v>
      </c>
      <c r="H753" s="1718"/>
      <c r="I753" s="1718"/>
      <c r="J753" s="1719"/>
      <c r="K753" s="937" t="s">
        <v>124</v>
      </c>
      <c r="L753" s="5"/>
      <c r="M753" s="5"/>
      <c r="N753" s="46"/>
      <c r="O753" s="1358">
        <f>SUMPRODUCT(G718:G752,O718:O752)</f>
        <v>242265</v>
      </c>
      <c r="P753" s="1359"/>
      <c r="Q753" s="1359"/>
      <c r="R753" s="1359"/>
      <c r="S753" s="1360"/>
      <c r="T753"/>
      <c r="U753"/>
      <c r="V753"/>
      <c r="W753"/>
      <c r="X753" s="939" t="s">
        <v>916</v>
      </c>
      <c r="Y753" s="938"/>
      <c r="Z753" s="938"/>
      <c r="AA753" s="938"/>
      <c r="AB753" s="940"/>
      <c r="AC753" s="1695">
        <f>BI703</f>
        <v>0.60000000000000009</v>
      </c>
      <c r="AD753" s="1696"/>
      <c r="AE753" s="1696"/>
      <c r="AF753" s="1696"/>
      <c r="AG753" s="1697"/>
      <c r="AH753" s="1695">
        <f>IFERROR(BV703,"")</f>
        <v>0.59767893827887575</v>
      </c>
      <c r="AI753" s="1696"/>
      <c r="AJ753" s="169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94" t="s">
        <v>2184</v>
      </c>
      <c r="C754" s="1694"/>
      <c r="D754" s="1694"/>
      <c r="E754" s="1694"/>
      <c r="F754" s="1694"/>
      <c r="G754" s="1694"/>
      <c r="H754" s="1694"/>
      <c r="I754" s="1694"/>
      <c r="J754" s="1694"/>
      <c r="K754" s="1694"/>
      <c r="L754" s="1694"/>
      <c r="M754" s="1694"/>
      <c r="N754" s="1694"/>
      <c r="O754" s="1694"/>
      <c r="P754" s="1694"/>
      <c r="Q754" s="1694"/>
      <c r="R754" s="1694"/>
      <c r="S754" s="1694"/>
      <c r="T754" s="1694"/>
      <c r="U754" s="1694"/>
      <c r="V754" s="1694"/>
      <c r="W754" s="1694"/>
      <c r="X754" s="1694"/>
      <c r="Y754" s="1694"/>
      <c r="Z754" s="1694"/>
      <c r="AA754" s="1694"/>
      <c r="AB754" s="1694"/>
      <c r="AC754" s="1694"/>
      <c r="AD754" s="1694"/>
      <c r="AE754" s="1694"/>
      <c r="AF754" s="1694"/>
      <c r="AG754" s="1694"/>
      <c r="AH754" s="169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94"/>
      <c r="C755" s="1694"/>
      <c r="D755" s="1694"/>
      <c r="E755" s="1694"/>
      <c r="F755" s="1694"/>
      <c r="G755" s="1694"/>
      <c r="H755" s="1694"/>
      <c r="I755" s="1694"/>
      <c r="J755" s="1694"/>
      <c r="K755" s="1694"/>
      <c r="L755" s="1694"/>
      <c r="M755" s="1694"/>
      <c r="N755" s="1694"/>
      <c r="O755" s="1694"/>
      <c r="P755" s="1694"/>
      <c r="Q755" s="1694"/>
      <c r="R755" s="1694"/>
      <c r="S755" s="1694"/>
      <c r="T755" s="1694"/>
      <c r="U755" s="1694"/>
      <c r="V755" s="1694"/>
      <c r="W755" s="1694"/>
      <c r="X755" s="1694"/>
      <c r="Y755" s="1694"/>
      <c r="Z755" s="1694"/>
      <c r="AA755" s="1694"/>
      <c r="AB755" s="1694"/>
      <c r="AC755" s="1694"/>
      <c r="AD755" s="1694"/>
      <c r="AE755" s="1694"/>
      <c r="AF755" s="1694"/>
      <c r="AG755" s="1694"/>
      <c r="AH755" s="169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90">
        <f>CS634</f>
        <v>343</v>
      </c>
      <c r="P756" s="1390"/>
      <c r="Q756" s="1390"/>
      <c r="R756" s="1390"/>
      <c r="S756" s="1004"/>
      <c r="T756" s="1004"/>
      <c r="U756" s="118" t="s">
        <v>2183</v>
      </c>
      <c r="V756" s="1067"/>
      <c r="W756" s="1067"/>
      <c r="X756" s="1067"/>
      <c r="Y756" s="1068"/>
      <c r="Z756" s="1068"/>
      <c r="AA756" s="1068"/>
      <c r="AB756" s="1068"/>
      <c r="AC756" s="1067"/>
      <c r="AD756" s="1067"/>
      <c r="AE756" s="1067"/>
      <c r="AF756" s="1067"/>
      <c r="AG756" s="1734"/>
      <c r="AH756" s="1734"/>
      <c r="AI756" s="1734"/>
      <c r="AJ756" s="173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54" t="s">
        <v>600</v>
      </c>
      <c r="AE759" s="1854"/>
      <c r="AF759" s="185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6" t="s">
        <v>390</v>
      </c>
      <c r="K769" s="1373"/>
      <c r="L769" s="1373"/>
      <c r="M769" s="1373"/>
      <c r="N769" s="1374"/>
      <c r="O769" s="1609" t="s">
        <v>286</v>
      </c>
      <c r="P769" s="1609"/>
      <c r="Q769" s="1609"/>
      <c r="R769" s="1609"/>
      <c r="S769" s="1609"/>
      <c r="T769" s="1397" t="s">
        <v>1869</v>
      </c>
      <c r="U769" s="1398"/>
      <c r="V769" s="1398"/>
      <c r="W769" s="1399"/>
      <c r="X769" s="1576" t="s">
        <v>456</v>
      </c>
      <c r="Y769" s="1373"/>
      <c r="Z769" s="1373"/>
      <c r="AA769" s="1373"/>
      <c r="AB769" s="1374"/>
      <c r="AC769" s="1576" t="s">
        <v>287</v>
      </c>
      <c r="AD769" s="1373"/>
      <c r="AE769" s="1373"/>
      <c r="AF769" s="1373"/>
      <c r="AG769" s="13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5"/>
      <c r="K770" s="1376"/>
      <c r="L770" s="1376"/>
      <c r="M770" s="1376"/>
      <c r="N770" s="1377"/>
      <c r="O770" s="1609"/>
      <c r="P770" s="1609"/>
      <c r="Q770" s="1609"/>
      <c r="R770" s="1609"/>
      <c r="S770" s="1609"/>
      <c r="T770" s="1400"/>
      <c r="U770" s="1401"/>
      <c r="V770" s="1401"/>
      <c r="W770" s="1402"/>
      <c r="X770" s="1375"/>
      <c r="Y770" s="1376"/>
      <c r="Z770" s="1376"/>
      <c r="AA770" s="1376"/>
      <c r="AB770" s="1377"/>
      <c r="AC770" s="1375"/>
      <c r="AD770" s="1376"/>
      <c r="AE770" s="1376"/>
      <c r="AF770" s="1376"/>
      <c r="AG770" s="13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5"/>
      <c r="K771" s="1376"/>
      <c r="L771" s="1376"/>
      <c r="M771" s="1376"/>
      <c r="N771" s="1377"/>
      <c r="O771" s="1609"/>
      <c r="P771" s="1609"/>
      <c r="Q771" s="1609"/>
      <c r="R771" s="1609"/>
      <c r="S771" s="1609"/>
      <c r="T771" s="1400"/>
      <c r="U771" s="1401"/>
      <c r="V771" s="1401"/>
      <c r="W771" s="1402"/>
      <c r="X771" s="1375"/>
      <c r="Y771" s="1376"/>
      <c r="Z771" s="1376"/>
      <c r="AA771" s="1376"/>
      <c r="AB771" s="1377"/>
      <c r="AC771" s="1375"/>
      <c r="AD771" s="1376"/>
      <c r="AE771" s="1376"/>
      <c r="AF771" s="1376"/>
      <c r="AG771" s="13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8"/>
      <c r="K772" s="1379"/>
      <c r="L772" s="1379"/>
      <c r="M772" s="1379"/>
      <c r="N772" s="1380"/>
      <c r="O772" s="1609"/>
      <c r="P772" s="1609"/>
      <c r="Q772" s="1609"/>
      <c r="R772" s="1609"/>
      <c r="S772" s="1609"/>
      <c r="T772" s="1604"/>
      <c r="U772" s="1605"/>
      <c r="V772" s="1605"/>
      <c r="W772" s="1606"/>
      <c r="X772" s="1378"/>
      <c r="Y772" s="1379"/>
      <c r="Z772" s="1379"/>
      <c r="AA772" s="1379"/>
      <c r="AB772" s="1380"/>
      <c r="AC772" s="1378"/>
      <c r="AD772" s="1379"/>
      <c r="AE772" s="1379"/>
      <c r="AF772" s="1379"/>
      <c r="AG772" s="13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37">
        <v>2</v>
      </c>
      <c r="P773" s="1437"/>
      <c r="Q773" s="1437"/>
      <c r="R773" s="1437"/>
      <c r="S773" s="1437"/>
      <c r="T773" s="1585">
        <v>840</v>
      </c>
      <c r="U773" s="1586"/>
      <c r="V773" s="1586"/>
      <c r="W773" s="1587"/>
      <c r="X773" s="1369"/>
      <c r="Y773" s="1370"/>
      <c r="Z773" s="1370"/>
      <c r="AA773" s="1370"/>
      <c r="AB773" s="1371"/>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37"/>
      <c r="P774" s="1437"/>
      <c r="Q774" s="1437"/>
      <c r="R774" s="1437"/>
      <c r="S774" s="1437"/>
      <c r="T774" s="1585"/>
      <c r="U774" s="1586"/>
      <c r="V774" s="1586"/>
      <c r="W774" s="1587"/>
      <c r="X774" s="1369"/>
      <c r="Y774" s="1370"/>
      <c r="Z774" s="1370"/>
      <c r="AA774" s="1370"/>
      <c r="AB774" s="1371"/>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37"/>
      <c r="P775" s="1437"/>
      <c r="Q775" s="1437"/>
      <c r="R775" s="1437"/>
      <c r="S775" s="1437"/>
      <c r="T775" s="1585"/>
      <c r="U775" s="1586"/>
      <c r="V775" s="1586"/>
      <c r="W775" s="1587"/>
      <c r="X775" s="1369"/>
      <c r="Y775" s="1370"/>
      <c r="Z775" s="1370"/>
      <c r="AA775" s="1370"/>
      <c r="AB775" s="1371"/>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37"/>
      <c r="P776" s="1437"/>
      <c r="Q776" s="1437"/>
      <c r="R776" s="1437"/>
      <c r="S776" s="1437"/>
      <c r="T776" s="1585"/>
      <c r="U776" s="1586"/>
      <c r="V776" s="1586"/>
      <c r="W776" s="1587"/>
      <c r="X776" s="1369"/>
      <c r="Y776" s="1370"/>
      <c r="Z776" s="1370"/>
      <c r="AA776" s="1370"/>
      <c r="AB776" s="1371"/>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2" t="s">
        <v>125</v>
      </c>
      <c r="K777" s="1593"/>
      <c r="L777" s="1593"/>
      <c r="M777" s="1593"/>
      <c r="N777" s="1594"/>
      <c r="O777" s="1511">
        <f>SUM(O773:S776)</f>
        <v>2</v>
      </c>
      <c r="P777" s="1716"/>
      <c r="Q777" s="1716"/>
      <c r="R777" s="1716"/>
      <c r="S777" s="1512"/>
      <c r="X777" s="1592" t="s">
        <v>124</v>
      </c>
      <c r="Y777" s="1593"/>
      <c r="Z777" s="1593"/>
      <c r="AA777" s="1593"/>
      <c r="AB777" s="1594"/>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8" t="s">
        <v>678</v>
      </c>
      <c r="K779" s="144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6" t="s">
        <v>390</v>
      </c>
      <c r="K783" s="1373"/>
      <c r="L783" s="1373"/>
      <c r="M783" s="1373"/>
      <c r="N783" s="1374"/>
      <c r="O783" s="1609" t="s">
        <v>286</v>
      </c>
      <c r="P783" s="1609"/>
      <c r="Q783" s="1609"/>
      <c r="R783" s="1609"/>
      <c r="S783" s="1609"/>
      <c r="T783" s="1397" t="s">
        <v>1869</v>
      </c>
      <c r="U783" s="1398"/>
      <c r="V783" s="1398"/>
      <c r="W783" s="1399"/>
      <c r="X783" s="1576" t="s">
        <v>456</v>
      </c>
      <c r="Y783" s="1373"/>
      <c r="Z783" s="1373"/>
      <c r="AA783" s="1373"/>
      <c r="AB783" s="1374"/>
      <c r="AC783" s="1576" t="s">
        <v>287</v>
      </c>
      <c r="AD783" s="1373"/>
      <c r="AE783" s="1373"/>
      <c r="AF783" s="1373"/>
      <c r="AG783" s="13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5"/>
      <c r="K784" s="1376"/>
      <c r="L784" s="1376"/>
      <c r="M784" s="1376"/>
      <c r="N784" s="1377"/>
      <c r="O784" s="1609"/>
      <c r="P784" s="1609"/>
      <c r="Q784" s="1609"/>
      <c r="R784" s="1609"/>
      <c r="S784" s="1609"/>
      <c r="T784" s="1400"/>
      <c r="U784" s="1401"/>
      <c r="V784" s="1401"/>
      <c r="W784" s="1402"/>
      <c r="X784" s="1375"/>
      <c r="Y784" s="1376"/>
      <c r="Z784" s="1376"/>
      <c r="AA784" s="1376"/>
      <c r="AB784" s="1377"/>
      <c r="AC784" s="1375"/>
      <c r="AD784" s="1376"/>
      <c r="AE784" s="1376"/>
      <c r="AF784" s="1376"/>
      <c r="AG784" s="13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5"/>
      <c r="K785" s="1376"/>
      <c r="L785" s="1376"/>
      <c r="M785" s="1376"/>
      <c r="N785" s="1377"/>
      <c r="O785" s="1609"/>
      <c r="P785" s="1609"/>
      <c r="Q785" s="1609"/>
      <c r="R785" s="1609"/>
      <c r="S785" s="1609"/>
      <c r="T785" s="1400"/>
      <c r="U785" s="1401"/>
      <c r="V785" s="1401"/>
      <c r="W785" s="1402"/>
      <c r="X785" s="1375"/>
      <c r="Y785" s="1376"/>
      <c r="Z785" s="1376"/>
      <c r="AA785" s="1376"/>
      <c r="AB785" s="1377"/>
      <c r="AC785" s="1375"/>
      <c r="AD785" s="1376"/>
      <c r="AE785" s="1376"/>
      <c r="AF785" s="1376"/>
      <c r="AG785" s="13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8"/>
      <c r="K786" s="1379"/>
      <c r="L786" s="1379"/>
      <c r="M786" s="1379"/>
      <c r="N786" s="1380"/>
      <c r="O786" s="1609"/>
      <c r="P786" s="1609"/>
      <c r="Q786" s="1609"/>
      <c r="R786" s="1609"/>
      <c r="S786" s="1609"/>
      <c r="T786" s="1604"/>
      <c r="U786" s="1605"/>
      <c r="V786" s="1605"/>
      <c r="W786" s="1606"/>
      <c r="X786" s="1378"/>
      <c r="Y786" s="1379"/>
      <c r="Z786" s="1379"/>
      <c r="AA786" s="1379"/>
      <c r="AB786" s="1380"/>
      <c r="AC786" s="1378"/>
      <c r="AD786" s="1379"/>
      <c r="AE786" s="1379"/>
      <c r="AF786" s="1379"/>
      <c r="AG786" s="13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37"/>
      <c r="P787" s="1437"/>
      <c r="Q787" s="1437"/>
      <c r="R787" s="1437"/>
      <c r="S787" s="1437"/>
      <c r="T787" s="1585"/>
      <c r="U787" s="1586"/>
      <c r="V787" s="1586"/>
      <c r="W787" s="1587"/>
      <c r="X787" s="1369"/>
      <c r="Y787" s="1370"/>
      <c r="Z787" s="1370"/>
      <c r="AA787" s="1370"/>
      <c r="AB787" s="1371"/>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37"/>
      <c r="P788" s="1437"/>
      <c r="Q788" s="1437"/>
      <c r="R788" s="1437"/>
      <c r="S788" s="1437"/>
      <c r="T788" s="1585"/>
      <c r="U788" s="1586"/>
      <c r="V788" s="1586"/>
      <c r="W788" s="1587"/>
      <c r="X788" s="1369"/>
      <c r="Y788" s="1370"/>
      <c r="Z788" s="1370"/>
      <c r="AA788" s="1370"/>
      <c r="AB788" s="1371"/>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37"/>
      <c r="P789" s="1437"/>
      <c r="Q789" s="1437"/>
      <c r="R789" s="1437"/>
      <c r="S789" s="1437"/>
      <c r="T789" s="1585"/>
      <c r="U789" s="1586"/>
      <c r="V789" s="1586"/>
      <c r="W789" s="1587"/>
      <c r="X789" s="1369"/>
      <c r="Y789" s="1370"/>
      <c r="Z789" s="1370"/>
      <c r="AA789" s="1370"/>
      <c r="AB789" s="1371"/>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37"/>
      <c r="P790" s="1437"/>
      <c r="Q790" s="1437"/>
      <c r="R790" s="1437"/>
      <c r="S790" s="1437"/>
      <c r="T790" s="1585"/>
      <c r="U790" s="1586"/>
      <c r="V790" s="1586"/>
      <c r="W790" s="1587"/>
      <c r="X790" s="1369"/>
      <c r="Y790" s="1370"/>
      <c r="Z790" s="1370"/>
      <c r="AA790" s="1370"/>
      <c r="AB790" s="1371"/>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37"/>
      <c r="P791" s="1437"/>
      <c r="Q791" s="1437"/>
      <c r="R791" s="1437"/>
      <c r="S791" s="1437"/>
      <c r="T791" s="1585"/>
      <c r="U791" s="1586"/>
      <c r="V791" s="1586"/>
      <c r="W791" s="1587"/>
      <c r="X791" s="1369"/>
      <c r="Y791" s="1370"/>
      <c r="Z791" s="1370"/>
      <c r="AA791" s="1370"/>
      <c r="AB791" s="1371"/>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37"/>
      <c r="P792" s="1437"/>
      <c r="Q792" s="1437"/>
      <c r="R792" s="1437"/>
      <c r="S792" s="1437"/>
      <c r="T792" s="1585"/>
      <c r="U792" s="1586"/>
      <c r="V792" s="1586"/>
      <c r="W792" s="1587"/>
      <c r="X792" s="1369"/>
      <c r="Y792" s="1370"/>
      <c r="Z792" s="1370"/>
      <c r="AA792" s="1370"/>
      <c r="AB792" s="1371"/>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37"/>
      <c r="P793" s="1437"/>
      <c r="Q793" s="1437"/>
      <c r="R793" s="1437"/>
      <c r="S793" s="1437"/>
      <c r="T793" s="1585"/>
      <c r="U793" s="1586"/>
      <c r="V793" s="1586"/>
      <c r="W793" s="1587"/>
      <c r="X793" s="1369"/>
      <c r="Y793" s="1370"/>
      <c r="Z793" s="1370"/>
      <c r="AA793" s="1370"/>
      <c r="AB793" s="1371"/>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37"/>
      <c r="P794" s="1437"/>
      <c r="Q794" s="1437"/>
      <c r="R794" s="1437"/>
      <c r="S794" s="1437"/>
      <c r="T794" s="1585"/>
      <c r="U794" s="1586"/>
      <c r="V794" s="1586"/>
      <c r="W794" s="1587"/>
      <c r="X794" s="1369"/>
      <c r="Y794" s="1370"/>
      <c r="Z794" s="1370"/>
      <c r="AA794" s="1370"/>
      <c r="AB794" s="1371"/>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37"/>
      <c r="P795" s="1437"/>
      <c r="Q795" s="1437"/>
      <c r="R795" s="1437"/>
      <c r="S795" s="1437"/>
      <c r="T795" s="1585"/>
      <c r="U795" s="1586"/>
      <c r="V795" s="1586"/>
      <c r="W795" s="1587"/>
      <c r="X795" s="1369"/>
      <c r="Y795" s="1370"/>
      <c r="Z795" s="1370"/>
      <c r="AA795" s="1370"/>
      <c r="AB795" s="1371"/>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37"/>
      <c r="P796" s="1437"/>
      <c r="Q796" s="1437"/>
      <c r="R796" s="1437"/>
      <c r="S796" s="1437"/>
      <c r="T796" s="1585"/>
      <c r="U796" s="1586"/>
      <c r="V796" s="1586"/>
      <c r="W796" s="1587"/>
      <c r="X796" s="1369"/>
      <c r="Y796" s="1370"/>
      <c r="Z796" s="1370"/>
      <c r="AA796" s="1370"/>
      <c r="AB796" s="1371"/>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04" t="s">
        <v>478</v>
      </c>
      <c r="BO796" s="1705"/>
      <c r="BP796" s="3"/>
      <c r="BQ796" s="3"/>
      <c r="BR796" s="3"/>
      <c r="BS796" s="14" t="s">
        <v>643</v>
      </c>
      <c r="BT796" s="14"/>
      <c r="BU796" s="14"/>
      <c r="BV796" s="14"/>
      <c r="BW796" s="14"/>
      <c r="BX796" s="14"/>
      <c r="BY796" s="14"/>
      <c r="BZ796" s="14"/>
      <c r="CA796" s="14"/>
      <c r="CB796" s="1701" t="str">
        <f>T189</f>
        <v>Placer</v>
      </c>
      <c r="CC796" s="1702"/>
      <c r="CD796" s="1702"/>
      <c r="CE796" s="1702"/>
      <c r="CF796" s="1702"/>
      <c r="CG796" s="1702"/>
      <c r="CH796" s="170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2" t="s">
        <v>125</v>
      </c>
      <c r="K797" s="1593"/>
      <c r="L797" s="1593"/>
      <c r="M797" s="1593"/>
      <c r="N797" s="1594"/>
      <c r="O797" s="1610">
        <f>SUM(O787:S796)</f>
        <v>0</v>
      </c>
      <c r="P797" s="1610"/>
      <c r="Q797" s="1610"/>
      <c r="R797" s="1610"/>
      <c r="S797" s="1610"/>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77" t="str">
        <f>IF(O797&lt;&gt;AG438,"! Total market rate units in the Unit Mix Table above does not match the number of  market rate units on row #"&amp;TEXT(ROW(D438),"#"),"")</f>
        <v/>
      </c>
      <c r="D798" s="1577"/>
      <c r="E798" s="1577"/>
      <c r="F798" s="1577"/>
      <c r="G798" s="1577"/>
      <c r="H798" s="1577"/>
      <c r="I798" s="1577"/>
      <c r="J798" s="1577"/>
      <c r="K798" s="1577"/>
      <c r="L798" s="1577"/>
      <c r="M798" s="1577"/>
      <c r="N798" s="1577"/>
      <c r="O798" s="1577"/>
      <c r="P798" s="1577"/>
      <c r="Q798" s="1577"/>
      <c r="R798" s="1577"/>
      <c r="S798" s="1577"/>
      <c r="T798" s="1577"/>
      <c r="U798" s="1577"/>
      <c r="V798" s="1577"/>
      <c r="W798" s="1577"/>
      <c r="X798" s="1577"/>
      <c r="Y798" s="1577"/>
      <c r="Z798" s="1577"/>
      <c r="AA798" s="1577"/>
      <c r="AB798" s="1577"/>
      <c r="AC798" s="1577"/>
      <c r="AD798" s="1577"/>
      <c r="AE798" s="1577"/>
      <c r="AF798" s="1577"/>
      <c r="AG798" s="1577"/>
      <c r="AH798" s="1577"/>
      <c r="AI798" s="1577"/>
      <c r="AJ798" s="1577"/>
      <c r="AK798" s="1577"/>
      <c r="AL798" s="1577"/>
      <c r="AM798" s="1577"/>
      <c r="AN798" s="157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77"/>
      <c r="D799" s="1577"/>
      <c r="E799" s="1577"/>
      <c r="F799" s="1577"/>
      <c r="G799" s="1577"/>
      <c r="H799" s="1577"/>
      <c r="I799" s="1577"/>
      <c r="J799" s="1577"/>
      <c r="K799" s="1577"/>
      <c r="L799" s="1577"/>
      <c r="M799" s="1577"/>
      <c r="N799" s="1577"/>
      <c r="O799" s="1577"/>
      <c r="P799" s="1577"/>
      <c r="Q799" s="1577"/>
      <c r="R799" s="1577"/>
      <c r="S799" s="1577"/>
      <c r="T799" s="1577"/>
      <c r="U799" s="1577"/>
      <c r="V799" s="1577"/>
      <c r="W799" s="1577"/>
      <c r="X799" s="1577"/>
      <c r="Y799" s="1577"/>
      <c r="Z799" s="1577"/>
      <c r="AA799" s="1577"/>
      <c r="AB799" s="1577"/>
      <c r="AC799" s="1577"/>
      <c r="AD799" s="1577"/>
      <c r="AE799" s="1577"/>
      <c r="AF799" s="1577"/>
      <c r="AG799" s="1577"/>
      <c r="AH799" s="1577"/>
      <c r="AI799" s="1577"/>
      <c r="AJ799" s="1577"/>
      <c r="AK799" s="1577"/>
      <c r="AL799" s="1577"/>
      <c r="AM799" s="1577"/>
      <c r="AN799" s="157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242265</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2907180</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7"/>
      <c r="AA806" s="1622"/>
      <c r="AB806" s="1622"/>
      <c r="AC806" s="1622"/>
      <c r="AD806" s="1622"/>
      <c r="AE806" s="162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21"/>
      <c r="AA807" s="1622"/>
      <c r="AB807" s="1622"/>
      <c r="AC807" s="1622"/>
      <c r="AD807" s="1622"/>
      <c r="AE807" s="162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7">
        <v>0</v>
      </c>
      <c r="AA808" s="1618"/>
      <c r="AB808" s="1618"/>
      <c r="AC808" s="1618"/>
      <c r="AD808" s="1618"/>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9">
        <f>'Subsidy Contract Calculation'!J40</f>
        <v>0</v>
      </c>
      <c r="AA809" s="1600"/>
      <c r="AB809" s="1600"/>
      <c r="AC809" s="1600"/>
      <c r="AD809" s="1600"/>
      <c r="AE809" s="160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9">
        <v>31680</v>
      </c>
      <c r="AA813" s="1590"/>
      <c r="AB813" s="1590"/>
      <c r="AC813" s="1590"/>
      <c r="AD813" s="1590"/>
      <c r="AE813" s="159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9">
        <v>21120</v>
      </c>
      <c r="AA814" s="1590"/>
      <c r="AB814" s="1590"/>
      <c r="AC814" s="1590"/>
      <c r="AD814" s="1590"/>
      <c r="AE814" s="159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9"/>
      <c r="AA815" s="1590"/>
      <c r="AB815" s="1590"/>
      <c r="AC815" s="1590"/>
      <c r="AD815" s="1590"/>
      <c r="AE815" s="159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3" t="s">
        <v>335</v>
      </c>
      <c r="Q816" s="1614"/>
      <c r="R816" s="1614"/>
      <c r="S816" s="1614"/>
      <c r="T816" s="1614"/>
      <c r="U816" s="1614"/>
      <c r="V816" s="1614"/>
      <c r="W816" s="1614"/>
      <c r="X816" s="1614"/>
      <c r="Y816" s="1615"/>
      <c r="Z816" s="1589"/>
      <c r="AA816" s="1590"/>
      <c r="AB816" s="1590"/>
      <c r="AC816" s="1590"/>
      <c r="AD816" s="1590"/>
      <c r="AE816" s="159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9">
        <f>SUM(Z813:AE816)</f>
        <v>52800</v>
      </c>
      <c r="AA817" s="1600"/>
      <c r="AB817" s="1600"/>
      <c r="AC817" s="1600"/>
      <c r="AD817" s="1600"/>
      <c r="AE817" s="160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9">
        <f>Z817+Y801+Z809</f>
        <v>2959980</v>
      </c>
      <c r="AA818" s="1600"/>
      <c r="AB818" s="1600"/>
      <c r="AC818" s="1600"/>
      <c r="AD818" s="1600"/>
      <c r="AE818" s="160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27" t="s">
        <v>126</v>
      </c>
      <c r="N823" s="1727"/>
      <c r="O823" s="1727"/>
      <c r="P823" s="1728"/>
      <c r="Q823" s="1616" t="s">
        <v>291</v>
      </c>
      <c r="R823" s="1616"/>
      <c r="S823" s="1616"/>
      <c r="T823" s="1616"/>
      <c r="U823" s="1616" t="s">
        <v>292</v>
      </c>
      <c r="V823" s="1616"/>
      <c r="W823" s="1616"/>
      <c r="X823" s="1616"/>
      <c r="Y823" s="1616" t="s">
        <v>293</v>
      </c>
      <c r="Z823" s="1616"/>
      <c r="AA823" s="1616"/>
      <c r="AB823" s="1616"/>
      <c r="AC823" s="1616" t="s">
        <v>362</v>
      </c>
      <c r="AD823" s="1616"/>
      <c r="AE823" s="1616"/>
      <c r="AF823" s="1616"/>
      <c r="AG823" s="1607" t="s">
        <v>336</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9"/>
      <c r="N824" s="1729"/>
      <c r="O824" s="1729"/>
      <c r="P824" s="1730"/>
      <c r="Q824" s="1616"/>
      <c r="R824" s="1616"/>
      <c r="S824" s="1616"/>
      <c r="T824" s="1616"/>
      <c r="U824" s="1616"/>
      <c r="V824" s="1616"/>
      <c r="W824" s="1616"/>
      <c r="X824" s="1616"/>
      <c r="Y824" s="1616"/>
      <c r="Z824" s="1616"/>
      <c r="AA824" s="1616"/>
      <c r="AB824" s="1616"/>
      <c r="AC824" s="1616"/>
      <c r="AD824" s="1616"/>
      <c r="AE824" s="1616"/>
      <c r="AF824" s="1616"/>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20" t="s">
        <v>40</v>
      </c>
      <c r="D825" s="1385"/>
      <c r="E825" s="1385"/>
      <c r="F825" s="1385"/>
      <c r="G825" s="1385"/>
      <c r="H825" s="1385"/>
      <c r="I825" s="48"/>
      <c r="J825" s="48"/>
      <c r="K825" s="48"/>
      <c r="L825" s="49"/>
      <c r="M825" s="1608"/>
      <c r="N825" s="1608"/>
      <c r="O825" s="1608"/>
      <c r="P825" s="1608"/>
      <c r="Q825" s="1608">
        <v>2</v>
      </c>
      <c r="R825" s="1608"/>
      <c r="S825" s="1608"/>
      <c r="T825" s="1608"/>
      <c r="U825" s="1608">
        <v>1</v>
      </c>
      <c r="V825" s="1608"/>
      <c r="W825" s="1608"/>
      <c r="X825" s="1608"/>
      <c r="Y825" s="1608">
        <v>3</v>
      </c>
      <c r="Z825" s="1608"/>
      <c r="AA825" s="1608"/>
      <c r="AB825" s="1608"/>
      <c r="AC825" s="1513"/>
      <c r="AD825" s="1514"/>
      <c r="AE825" s="1514"/>
      <c r="AF825" s="1515"/>
      <c r="AG825" s="1513"/>
      <c r="AH825" s="1514"/>
      <c r="AI825" s="1514"/>
      <c r="AJ825" s="151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00" t="s">
        <v>41</v>
      </c>
      <c r="D826" s="1449"/>
      <c r="E826" s="1449"/>
      <c r="F826" s="1449"/>
      <c r="G826" s="1449"/>
      <c r="H826" s="1449"/>
      <c r="I826" s="5"/>
      <c r="J826" s="5"/>
      <c r="K826" s="5"/>
      <c r="L826" s="46"/>
      <c r="M826" s="1608"/>
      <c r="N826" s="1608"/>
      <c r="O826" s="1608"/>
      <c r="P826" s="1608"/>
      <c r="Q826" s="1608">
        <v>6</v>
      </c>
      <c r="R826" s="1608"/>
      <c r="S826" s="1608"/>
      <c r="T826" s="1608"/>
      <c r="U826" s="1608">
        <v>6</v>
      </c>
      <c r="V826" s="1608"/>
      <c r="W826" s="1608"/>
      <c r="X826" s="1608"/>
      <c r="Y826" s="1608">
        <v>7</v>
      </c>
      <c r="Z826" s="1608"/>
      <c r="AA826" s="1608"/>
      <c r="AB826" s="1608"/>
      <c r="AC826" s="1513"/>
      <c r="AD826" s="1514"/>
      <c r="AE826" s="1514"/>
      <c r="AF826" s="1515"/>
      <c r="AG826" s="1513"/>
      <c r="AH826" s="1514"/>
      <c r="AI826" s="1514"/>
      <c r="AJ826" s="151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00" t="s">
        <v>42</v>
      </c>
      <c r="D827" s="1449"/>
      <c r="E827" s="1449"/>
      <c r="F827" s="1449"/>
      <c r="G827" s="1449"/>
      <c r="H827" s="1449"/>
      <c r="I827" s="60"/>
      <c r="J827" s="60"/>
      <c r="K827" s="60"/>
      <c r="L827" s="61"/>
      <c r="M827" s="1608"/>
      <c r="N827" s="1608"/>
      <c r="O827" s="1608"/>
      <c r="P827" s="1608"/>
      <c r="Q827" s="1608">
        <v>3</v>
      </c>
      <c r="R827" s="1608"/>
      <c r="S827" s="1608"/>
      <c r="T827" s="1608"/>
      <c r="U827" s="1608">
        <v>3</v>
      </c>
      <c r="V827" s="1608"/>
      <c r="W827" s="1608"/>
      <c r="X827" s="1608"/>
      <c r="Y827" s="1608">
        <v>3</v>
      </c>
      <c r="Z827" s="1608"/>
      <c r="AA827" s="1608"/>
      <c r="AB827" s="1608"/>
      <c r="AC827" s="1513"/>
      <c r="AD827" s="1514"/>
      <c r="AE827" s="1514"/>
      <c r="AF827" s="1515"/>
      <c r="AG827" s="1513"/>
      <c r="AH827" s="1514"/>
      <c r="AI827" s="1514"/>
      <c r="AJ827" s="151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00" t="s">
        <v>772</v>
      </c>
      <c r="D828" s="1449"/>
      <c r="E828" s="1449"/>
      <c r="F828" s="1449"/>
      <c r="G828" s="1449"/>
      <c r="H828" s="1449"/>
      <c r="I828" s="60"/>
      <c r="J828" s="60"/>
      <c r="K828" s="60"/>
      <c r="L828" s="61"/>
      <c r="M828" s="1608"/>
      <c r="N828" s="1608"/>
      <c r="O828" s="1608"/>
      <c r="P828" s="1608"/>
      <c r="Q828" s="1608">
        <v>2</v>
      </c>
      <c r="R828" s="1608"/>
      <c r="S828" s="1608"/>
      <c r="T828" s="1608"/>
      <c r="U828" s="1608">
        <v>3</v>
      </c>
      <c r="V828" s="1608"/>
      <c r="W828" s="1608"/>
      <c r="X828" s="1608"/>
      <c r="Y828" s="1608">
        <v>3</v>
      </c>
      <c r="Z828" s="1608"/>
      <c r="AA828" s="1608"/>
      <c r="AB828" s="1608"/>
      <c r="AC828" s="1513"/>
      <c r="AD828" s="1514"/>
      <c r="AE828" s="1514"/>
      <c r="AF828" s="1515"/>
      <c r="AG828" s="1513"/>
      <c r="AH828" s="1514"/>
      <c r="AI828" s="1514"/>
      <c r="AJ828" s="151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00" t="s">
        <v>468</v>
      </c>
      <c r="D829" s="1449"/>
      <c r="E829" s="1449"/>
      <c r="F829" s="1449"/>
      <c r="G829" s="1449"/>
      <c r="H829" s="1449"/>
      <c r="I829" s="60"/>
      <c r="J829" s="60"/>
      <c r="K829" s="60"/>
      <c r="L829" s="61"/>
      <c r="M829" s="1608"/>
      <c r="N829" s="1608"/>
      <c r="O829" s="1608"/>
      <c r="P829" s="1608"/>
      <c r="Q829" s="1608">
        <v>30</v>
      </c>
      <c r="R829" s="1608"/>
      <c r="S829" s="1608"/>
      <c r="T829" s="1608"/>
      <c r="U829" s="1608">
        <v>31</v>
      </c>
      <c r="V829" s="1608"/>
      <c r="W829" s="1608"/>
      <c r="X829" s="1608"/>
      <c r="Y829" s="1608">
        <v>34</v>
      </c>
      <c r="Z829" s="1608"/>
      <c r="AA829" s="1608"/>
      <c r="AB829" s="1608"/>
      <c r="AC829" s="1513"/>
      <c r="AD829" s="1514"/>
      <c r="AE829" s="1514"/>
      <c r="AF829" s="1515"/>
      <c r="AG829" s="1513"/>
      <c r="AH829" s="1514"/>
      <c r="AI829" s="1514"/>
      <c r="AJ829" s="151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851" t="s">
        <v>793</v>
      </c>
      <c r="D830" s="1449"/>
      <c r="E830" s="1449"/>
      <c r="F830" s="1449"/>
      <c r="G830" s="1449"/>
      <c r="H830" s="1449"/>
      <c r="I830" s="60"/>
      <c r="J830" s="60"/>
      <c r="K830" s="60"/>
      <c r="L830" s="61"/>
      <c r="M830" s="1608"/>
      <c r="N830" s="1608"/>
      <c r="O830" s="1608"/>
      <c r="P830" s="1608"/>
      <c r="Q830" s="1608"/>
      <c r="R830" s="1608"/>
      <c r="S830" s="1608"/>
      <c r="T830" s="1608"/>
      <c r="U830" s="1608"/>
      <c r="V830" s="1608"/>
      <c r="W830" s="1608"/>
      <c r="X830" s="1608"/>
      <c r="Y830" s="1608"/>
      <c r="Z830" s="1608"/>
      <c r="AA830" s="1608"/>
      <c r="AB830" s="1608"/>
      <c r="AC830" s="1513"/>
      <c r="AD830" s="1514"/>
      <c r="AE830" s="1514"/>
      <c r="AF830" s="1515"/>
      <c r="AG830" s="1513"/>
      <c r="AH830" s="1514"/>
      <c r="AI830" s="1514"/>
      <c r="AJ830" s="151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3" t="s">
        <v>2713</v>
      </c>
      <c r="G831" s="1614"/>
      <c r="H831" s="1614"/>
      <c r="I831" s="1614"/>
      <c r="J831" s="1614"/>
      <c r="K831" s="1614"/>
      <c r="L831" s="1614"/>
      <c r="M831" s="1608"/>
      <c r="N831" s="1608"/>
      <c r="O831" s="1608"/>
      <c r="P831" s="1608"/>
      <c r="Q831" s="1608">
        <v>5</v>
      </c>
      <c r="R831" s="1608"/>
      <c r="S831" s="1608"/>
      <c r="T831" s="1608"/>
      <c r="U831" s="1608">
        <v>5</v>
      </c>
      <c r="V831" s="1608"/>
      <c r="W831" s="1608"/>
      <c r="X831" s="1608"/>
      <c r="Y831" s="1608">
        <v>6</v>
      </c>
      <c r="Z831" s="1608"/>
      <c r="AA831" s="1608"/>
      <c r="AB831" s="1608"/>
      <c r="AC831" s="1513"/>
      <c r="AD831" s="1514"/>
      <c r="AE831" s="1514"/>
      <c r="AF831" s="1515"/>
      <c r="AG831" s="1513"/>
      <c r="AH831" s="1514"/>
      <c r="AI831" s="1514"/>
      <c r="AJ831" s="151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2" t="s">
        <v>124</v>
      </c>
      <c r="D832" s="1593"/>
      <c r="E832" s="1593"/>
      <c r="F832" s="1593"/>
      <c r="G832" s="1593"/>
      <c r="H832" s="1593"/>
      <c r="I832" s="1593"/>
      <c r="J832" s="1593"/>
      <c r="K832" s="1593"/>
      <c r="L832" s="1594"/>
      <c r="M832" s="1603">
        <f>SUM(M825:P831)</f>
        <v>0</v>
      </c>
      <c r="N832" s="1603"/>
      <c r="O832" s="1603"/>
      <c r="P832" s="1603"/>
      <c r="Q832" s="1603">
        <f>SUM(Q825:T831)</f>
        <v>48</v>
      </c>
      <c r="R832" s="1603"/>
      <c r="S832" s="1603"/>
      <c r="T832" s="1603"/>
      <c r="U832" s="1603">
        <f>SUM(U825:X831)</f>
        <v>49</v>
      </c>
      <c r="V832" s="1603"/>
      <c r="W832" s="1603"/>
      <c r="X832" s="1603"/>
      <c r="Y832" s="1603">
        <f>SUM(Y825:AB831)</f>
        <v>56</v>
      </c>
      <c r="Z832" s="1603"/>
      <c r="AA832" s="1603"/>
      <c r="AB832" s="1603"/>
      <c r="AC832" s="1603">
        <f>SUM(AC825:AF831)</f>
        <v>0</v>
      </c>
      <c r="AD832" s="1603"/>
      <c r="AE832" s="1603"/>
      <c r="AF832" s="1603"/>
      <c r="AG832" s="1603">
        <f>SUM(AG825:AJ831)</f>
        <v>0</v>
      </c>
      <c r="AH832" s="1603"/>
      <c r="AI832" s="1603"/>
      <c r="AJ832" s="160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1" t="s">
        <v>2730</v>
      </c>
      <c r="D837" s="1692"/>
      <c r="E837" s="1692"/>
      <c r="F837" s="1692"/>
      <c r="G837" s="1692"/>
      <c r="H837" s="1692"/>
      <c r="I837" s="1692"/>
      <c r="J837" s="1692"/>
      <c r="K837" s="1692"/>
      <c r="L837" s="1692"/>
      <c r="M837" s="1692"/>
      <c r="N837" s="1692"/>
      <c r="O837" s="1692"/>
      <c r="P837" s="1692"/>
      <c r="Q837" s="1692"/>
      <c r="R837" s="1692"/>
      <c r="S837" s="1692"/>
      <c r="T837" s="1692"/>
      <c r="U837" s="1692"/>
      <c r="V837" s="1692"/>
      <c r="W837" s="1692"/>
      <c r="X837" s="1692"/>
      <c r="Y837" s="1692"/>
      <c r="Z837" s="1692"/>
      <c r="AA837" s="1692"/>
      <c r="AB837" s="1692"/>
      <c r="AC837" s="1692"/>
      <c r="AD837" s="1692"/>
      <c r="AE837" s="1692"/>
      <c r="AF837" s="1692"/>
      <c r="AG837" s="1692"/>
      <c r="AH837" s="1692"/>
      <c r="AI837" s="1692"/>
      <c r="AJ837" s="169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f>ROUNDDOWN(BC939*2,2)</f>
        <v>0</v>
      </c>
      <c r="BJ841" s="1664"/>
      <c r="BK841" s="1664"/>
      <c r="BL841" s="166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2">
        <v>20000</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2">
        <v>25000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2">
        <v>20000</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2">
        <v>15000</v>
      </c>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3" t="s">
        <v>2714</v>
      </c>
      <c r="N846" s="1614"/>
      <c r="O846" s="1614"/>
      <c r="P846" s="1614"/>
      <c r="Q846" s="1614"/>
      <c r="R846" s="1614"/>
      <c r="S846" s="1614"/>
      <c r="T846" s="1614"/>
      <c r="U846" s="1614"/>
      <c r="V846" s="1615"/>
      <c r="W846" s="1612">
        <v>20000</v>
      </c>
      <c r="X846" s="1612"/>
      <c r="Y846" s="1612"/>
      <c r="Z846" s="1612"/>
      <c r="AA846" s="1612"/>
      <c r="AB846" s="1612"/>
      <c r="AC846" s="161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9">
        <f>SUM(W842:AC846)</f>
        <v>100000</v>
      </c>
      <c r="X847" s="1600"/>
      <c r="Y847" s="1600"/>
      <c r="Z847" s="1600"/>
      <c r="AA847" s="1600"/>
      <c r="AB847" s="1600"/>
      <c r="AC847" s="1601"/>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7"/>
      <c r="BH848" s="1627"/>
      <c r="BI848" s="1627"/>
      <c r="BJ848" s="1627"/>
      <c r="BK848" s="1627"/>
      <c r="BL848" s="162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2" t="s">
        <v>346</v>
      </c>
      <c r="K849" s="1593"/>
      <c r="L849" s="1593"/>
      <c r="M849" s="1593"/>
      <c r="N849" s="1593"/>
      <c r="O849" s="1593"/>
      <c r="P849" s="1593"/>
      <c r="Q849" s="1593"/>
      <c r="R849" s="1593"/>
      <c r="S849" s="1593"/>
      <c r="T849" s="1593"/>
      <c r="U849" s="1593"/>
      <c r="V849" s="1594"/>
      <c r="W849" s="1589">
        <v>105600</v>
      </c>
      <c r="X849" s="1590"/>
      <c r="Y849" s="1590"/>
      <c r="Z849" s="1590"/>
      <c r="AA849" s="1590"/>
      <c r="AB849" s="1590"/>
      <c r="AC849" s="159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5"/>
      <c r="X851" s="1625"/>
      <c r="Y851" s="1625"/>
      <c r="Z851" s="1625"/>
      <c r="AA851" s="1625"/>
      <c r="AB851" s="1625"/>
      <c r="AC851" s="1625"/>
      <c r="AZ851" s="1624">
        <f>SUM(AZ818:AZ846)</f>
        <v>0</v>
      </c>
      <c r="BA851" s="162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5">
        <v>49000</v>
      </c>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5">
        <v>54000</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5">
        <v>72000</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3">
        <f>SUM(W851:AC854)</f>
        <v>175000</v>
      </c>
      <c r="X855" s="1723"/>
      <c r="Y855" s="1723"/>
      <c r="Z855" s="1723"/>
      <c r="AA855" s="1723"/>
      <c r="AB855" s="1723"/>
      <c r="AC855" s="172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33">
        <v>125000</v>
      </c>
      <c r="X857" s="1634"/>
      <c r="Y857" s="1634"/>
      <c r="Z857" s="1634"/>
      <c r="AA857" s="1634"/>
      <c r="AB857" s="1634"/>
      <c r="AC857" s="163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28">
        <v>2</v>
      </c>
      <c r="U858" s="1524"/>
      <c r="V858" s="162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33">
        <v>100000</v>
      </c>
      <c r="X859" s="1634"/>
      <c r="Y859" s="1634"/>
      <c r="Z859" s="1634"/>
      <c r="AA859" s="1634"/>
      <c r="AB859" s="1634"/>
      <c r="AC859" s="163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28">
        <v>2</v>
      </c>
      <c r="U860" s="1524"/>
      <c r="V860" s="162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3" t="s">
        <v>2715</v>
      </c>
      <c r="N861" s="1614"/>
      <c r="O861" s="1614"/>
      <c r="P861" s="1614"/>
      <c r="Q861" s="1614"/>
      <c r="R861" s="1614"/>
      <c r="S861" s="1614"/>
      <c r="T861" s="1614"/>
      <c r="U861" s="1614"/>
      <c r="V861" s="1615"/>
      <c r="W861" s="1633">
        <v>55000</v>
      </c>
      <c r="X861" s="1634"/>
      <c r="Y861" s="1634"/>
      <c r="Z861" s="1634"/>
      <c r="AA861" s="1634"/>
      <c r="AB861" s="1634"/>
      <c r="AC861" s="163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0">
        <f>SUM(W857:AC861)</f>
        <v>280000</v>
      </c>
      <c r="X862" s="1631"/>
      <c r="Y862" s="1631"/>
      <c r="Z862" s="1631"/>
      <c r="AA862" s="1631"/>
      <c r="AB862" s="1631"/>
      <c r="AC862" s="163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3">
        <v>64400</v>
      </c>
      <c r="X863" s="1634"/>
      <c r="Y863" s="1634"/>
      <c r="Z863" s="1634"/>
      <c r="AA863" s="1634"/>
      <c r="AB863" s="1634"/>
      <c r="AC863" s="163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2">
        <v>17500</v>
      </c>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2">
        <v>21000</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2">
        <v>26000</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2">
        <v>19500</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2">
        <v>26000</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2"/>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3" t="s">
        <v>2716</v>
      </c>
      <c r="N871" s="1614"/>
      <c r="O871" s="1614"/>
      <c r="P871" s="1614"/>
      <c r="Q871" s="1614"/>
      <c r="R871" s="1614"/>
      <c r="S871" s="1614"/>
      <c r="T871" s="1614"/>
      <c r="U871" s="1614"/>
      <c r="V871" s="1615"/>
      <c r="W871" s="1612">
        <v>45000</v>
      </c>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1">
        <f>SUM(W865:AC871)</f>
        <v>155000</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3" t="s">
        <v>335</v>
      </c>
      <c r="N874" s="1614"/>
      <c r="O874" s="1614"/>
      <c r="P874" s="1614"/>
      <c r="Q874" s="1614"/>
      <c r="R874" s="1614"/>
      <c r="S874" s="1614"/>
      <c r="T874" s="1614"/>
      <c r="U874" s="1614"/>
      <c r="V874" s="1615"/>
      <c r="W874" s="1589"/>
      <c r="X874" s="1590"/>
      <c r="Y874" s="1590"/>
      <c r="Z874" s="1590"/>
      <c r="AA874" s="1590"/>
      <c r="AB874" s="1590"/>
      <c r="AC874" s="159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3" t="s">
        <v>335</v>
      </c>
      <c r="N875" s="1614"/>
      <c r="O875" s="1614"/>
      <c r="P875" s="1614"/>
      <c r="Q875" s="1614"/>
      <c r="R875" s="1614"/>
      <c r="S875" s="1614"/>
      <c r="T875" s="1614"/>
      <c r="U875" s="1614"/>
      <c r="V875" s="1615"/>
      <c r="W875" s="1589"/>
      <c r="X875" s="1590"/>
      <c r="Y875" s="1590"/>
      <c r="Z875" s="1590"/>
      <c r="AA875" s="1590"/>
      <c r="AB875" s="1590"/>
      <c r="AC875" s="159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3" t="s">
        <v>335</v>
      </c>
      <c r="N876" s="1614"/>
      <c r="O876" s="1614"/>
      <c r="P876" s="1614"/>
      <c r="Q876" s="1614"/>
      <c r="R876" s="1614"/>
      <c r="S876" s="1614"/>
      <c r="T876" s="1614"/>
      <c r="U876" s="1614"/>
      <c r="V876" s="1615"/>
      <c r="W876" s="1589"/>
      <c r="X876" s="1590"/>
      <c r="Y876" s="1590"/>
      <c r="Z876" s="1590"/>
      <c r="AA876" s="1590"/>
      <c r="AB876" s="1590"/>
      <c r="AC876" s="159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3" t="s">
        <v>335</v>
      </c>
      <c r="N877" s="1614"/>
      <c r="O877" s="1614"/>
      <c r="P877" s="1614"/>
      <c r="Q877" s="1614"/>
      <c r="R877" s="1614"/>
      <c r="S877" s="1614"/>
      <c r="T877" s="1614"/>
      <c r="U877" s="1614"/>
      <c r="V877" s="1615"/>
      <c r="W877" s="1589"/>
      <c r="X877" s="1590"/>
      <c r="Y877" s="1590"/>
      <c r="Z877" s="1590"/>
      <c r="AA877" s="1590"/>
      <c r="AB877" s="1590"/>
      <c r="AC877" s="159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3" t="s">
        <v>335</v>
      </c>
      <c r="N878" s="1614"/>
      <c r="O878" s="1614"/>
      <c r="P878" s="1614"/>
      <c r="Q878" s="1614"/>
      <c r="R878" s="1614"/>
      <c r="S878" s="1614"/>
      <c r="T878" s="1614"/>
      <c r="U878" s="1614"/>
      <c r="V878" s="1615"/>
      <c r="W878" s="1589"/>
      <c r="X878" s="1590"/>
      <c r="Y878" s="1590"/>
      <c r="Z878" s="1590"/>
      <c r="AA878" s="1590"/>
      <c r="AB878" s="1590"/>
      <c r="AC878" s="159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9">
        <f>SUM(W874:AC878)</f>
        <v>0</v>
      </c>
      <c r="X879" s="1600"/>
      <c r="Y879" s="1600"/>
      <c r="Z879" s="1600"/>
      <c r="AA879" s="1600"/>
      <c r="AB879" s="1600"/>
      <c r="AC879" s="160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0">
        <f>W847+W855+W862+W863+W872+W879+W849</f>
        <v>880000</v>
      </c>
      <c r="AD883" s="1600"/>
      <c r="AE883" s="1600"/>
      <c r="AF883" s="1600"/>
      <c r="AG883" s="1600"/>
      <c r="AH883" s="160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9">
        <f>O797+O777+G753</f>
        <v>176</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11">
        <f>IF(ISERROR((ROUNDDOWN(AC883/AC884,0))),0,(ROUNDDOWN(AC883/AC884,0)))</f>
        <v>5000</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1">
        <v>632007</v>
      </c>
      <c r="AD886" s="1642"/>
      <c r="AE886" s="1642"/>
      <c r="AF886" s="1642"/>
      <c r="AG886" s="1642"/>
      <c r="AH886" s="164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91"/>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90">
        <v>28500</v>
      </c>
      <c r="AD888" s="1590"/>
      <c r="AE888" s="1590"/>
      <c r="AF888" s="1590"/>
      <c r="AG888" s="1590"/>
      <c r="AH888" s="159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0">
        <v>44000</v>
      </c>
      <c r="AD889" s="1590"/>
      <c r="AE889" s="1590"/>
      <c r="AF889" s="1590"/>
      <c r="AG889" s="1590"/>
      <c r="AH889" s="159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13">
        <v>11100</v>
      </c>
      <c r="AD890" s="1514"/>
      <c r="AE890" s="1514"/>
      <c r="AF890" s="1514"/>
      <c r="AG890" s="1514"/>
      <c r="AH890" s="151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0"/>
      <c r="AD891" s="1590"/>
      <c r="AE891" s="1590"/>
      <c r="AF891" s="1590"/>
      <c r="AG891" s="1590"/>
      <c r="AH891" s="159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90"/>
      <c r="AD892" s="1590"/>
      <c r="AE892" s="1590"/>
      <c r="AF892" s="1590"/>
      <c r="AG892" s="1590"/>
      <c r="AH892" s="159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12"/>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9"/>
      <c r="AA898" s="1590"/>
      <c r="AB898" s="1590"/>
      <c r="AC898" s="1590"/>
      <c r="AD898" s="1590"/>
      <c r="AE898" s="1591"/>
      <c r="AF898" s="567"/>
      <c r="AZ898" s="34"/>
      <c r="BB898" s="30"/>
      <c r="BC898" s="850"/>
      <c r="BD898" s="1626"/>
      <c r="BE898" s="162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9"/>
      <c r="AA899" s="1590"/>
      <c r="AB899" s="1590"/>
      <c r="AC899" s="1590"/>
      <c r="AD899" s="1590"/>
      <c r="AE899" s="1591"/>
      <c r="AZ899" s="34"/>
      <c r="BB899" s="30"/>
      <c r="BC899" s="850"/>
      <c r="BD899" s="1626"/>
      <c r="BE899" s="162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9"/>
      <c r="AA900" s="1590"/>
      <c r="AB900" s="1590"/>
      <c r="AC900" s="1590"/>
      <c r="AD900" s="1590"/>
      <c r="AE900" s="1591"/>
      <c r="AZ900" s="34"/>
      <c r="BB900" s="30"/>
      <c r="BC900" s="850"/>
      <c r="BD900" s="1627"/>
      <c r="BE900" s="162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9">
        <f>Z898-(Z899+Z900)</f>
        <v>0</v>
      </c>
      <c r="AA901" s="1600"/>
      <c r="AB901" s="1600"/>
      <c r="AC901" s="1600"/>
      <c r="AD901" s="1600"/>
      <c r="AE901" s="1601"/>
      <c r="AZ901" s="34"/>
      <c r="BB901" s="30"/>
      <c r="BC901" s="850"/>
      <c r="BD901" s="1627"/>
      <c r="BE901" s="162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7"/>
      <c r="BE902" s="162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6"/>
      <c r="BE903" s="162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3"/>
      <c r="BE904" s="1643"/>
      <c r="BF904" s="16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4"/>
      <c r="BE905" s="1664"/>
      <c r="BF905" s="166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7"/>
      <c r="BE906" s="162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6"/>
      <c r="BE907" s="162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3" t="s">
        <v>96</v>
      </c>
      <c r="B909" s="1663"/>
      <c r="C909" s="1663"/>
      <c r="D909" s="1663"/>
      <c r="E909" s="1663"/>
      <c r="F909" s="1663"/>
      <c r="G909" s="1663"/>
      <c r="H909" s="1663"/>
      <c r="I909" s="1663"/>
      <c r="J909" s="1663"/>
      <c r="K909" s="1663"/>
      <c r="L909" s="1663"/>
      <c r="M909" s="1663"/>
      <c r="N909" s="1663"/>
      <c r="O909" s="1663"/>
      <c r="P909" s="1663"/>
      <c r="Q909" s="1663"/>
      <c r="R909" s="1663"/>
      <c r="S909" s="1663"/>
      <c r="T909" s="1663"/>
      <c r="U909" s="1663"/>
      <c r="V909" s="1663"/>
      <c r="W909" s="1663"/>
      <c r="X909" s="1663"/>
      <c r="Y909" s="1663"/>
      <c r="Z909" s="1663"/>
      <c r="AA909" s="1663"/>
      <c r="AB909" s="1663"/>
      <c r="AC909" s="1663"/>
      <c r="AD909" s="1663"/>
      <c r="AE909" s="1663"/>
      <c r="AF909" s="1663"/>
      <c r="AG909" s="1663"/>
      <c r="AH909" s="1663"/>
      <c r="AI909" s="1663"/>
      <c r="AJ909" s="1663"/>
      <c r="AK909" s="1663"/>
      <c r="AL909" s="1663"/>
      <c r="AM909" s="1663"/>
      <c r="AN909" s="1663"/>
      <c r="AO909" s="1663"/>
      <c r="AP909" s="1663"/>
      <c r="AQ909" s="1663"/>
      <c r="AR909" s="1663"/>
      <c r="AS909" s="1663"/>
      <c r="AT909" s="1663"/>
      <c r="AZ909" s="34"/>
      <c r="BA909" s="34"/>
      <c r="BB909" s="30"/>
      <c r="BC909" s="30"/>
      <c r="BD909" s="1626"/>
      <c r="BE909" s="162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3"/>
      <c r="B910" s="1663"/>
      <c r="C910" s="1663"/>
      <c r="D910" s="1663"/>
      <c r="E910" s="1663"/>
      <c r="F910" s="1663"/>
      <c r="G910" s="1663"/>
      <c r="H910" s="1663"/>
      <c r="I910" s="1663"/>
      <c r="J910" s="1663"/>
      <c r="K910" s="1663"/>
      <c r="L910" s="1663"/>
      <c r="M910" s="1663"/>
      <c r="N910" s="1663"/>
      <c r="O910" s="1663"/>
      <c r="P910" s="1663"/>
      <c r="Q910" s="1663"/>
      <c r="R910" s="1663"/>
      <c r="S910" s="1663"/>
      <c r="T910" s="1663"/>
      <c r="U910" s="1663"/>
      <c r="V910" s="1663"/>
      <c r="W910" s="1663"/>
      <c r="X910" s="1663"/>
      <c r="Y910" s="1663"/>
      <c r="Z910" s="1663"/>
      <c r="AA910" s="1663"/>
      <c r="AB910" s="1663"/>
      <c r="AC910" s="1663"/>
      <c r="AD910" s="1663"/>
      <c r="AE910" s="1663"/>
      <c r="AF910" s="1663"/>
      <c r="AG910" s="1663"/>
      <c r="AH910" s="1663"/>
      <c r="AI910" s="1663"/>
      <c r="AJ910" s="1663"/>
      <c r="AK910" s="1663"/>
      <c r="AL910" s="1663"/>
      <c r="AM910" s="1663"/>
      <c r="AN910" s="1663"/>
      <c r="AO910" s="1663"/>
      <c r="AP910" s="1663"/>
      <c r="AQ910" s="1663"/>
      <c r="AR910" s="1663"/>
      <c r="AS910" s="1663"/>
      <c r="AT910" s="166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8" t="s">
        <v>802</v>
      </c>
      <c r="G914" s="1849"/>
      <c r="H914" s="1849"/>
      <c r="I914" s="1849"/>
      <c r="J914" s="1849"/>
      <c r="K914" s="1849"/>
      <c r="L914" s="1849"/>
      <c r="M914" s="1849"/>
      <c r="N914" s="1849"/>
      <c r="O914" s="1849"/>
      <c r="P914" s="1849"/>
      <c r="Q914" s="1849"/>
      <c r="R914" s="1849"/>
      <c r="S914" s="1849"/>
      <c r="T914" s="1850"/>
      <c r="U914" s="1754" t="s">
        <v>31</v>
      </c>
      <c r="V914" s="1727"/>
      <c r="W914" s="1727"/>
      <c r="X914" s="1727"/>
      <c r="Y914" s="1727"/>
      <c r="Z914" s="172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5" t="s">
        <v>828</v>
      </c>
      <c r="G915" s="1756"/>
      <c r="H915" s="1756"/>
      <c r="I915" s="1756"/>
      <c r="J915" s="1756"/>
      <c r="K915" s="1756"/>
      <c r="L915" s="1756"/>
      <c r="M915" s="1756"/>
      <c r="N915" s="1756"/>
      <c r="O915" s="1756"/>
      <c r="P915" s="1756"/>
      <c r="Q915" s="1756"/>
      <c r="R915" s="1756"/>
      <c r="S915" s="1756"/>
      <c r="T915" s="1786"/>
      <c r="U915" s="1755"/>
      <c r="V915" s="1756"/>
      <c r="W915" s="1756"/>
      <c r="X915" s="1756"/>
      <c r="Y915" s="1756"/>
      <c r="Z915" s="17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7"/>
      <c r="G916" s="1729"/>
      <c r="H916" s="1729"/>
      <c r="I916" s="1729"/>
      <c r="J916" s="1729"/>
      <c r="K916" s="1729"/>
      <c r="L916" s="1729"/>
      <c r="M916" s="1729"/>
      <c r="N916" s="1729"/>
      <c r="O916" s="1729"/>
      <c r="P916" s="1729"/>
      <c r="Q916" s="1729"/>
      <c r="R916" s="1729"/>
      <c r="S916" s="1729"/>
      <c r="T916" s="1730"/>
      <c r="U916" s="1757"/>
      <c r="V916" s="1729"/>
      <c r="W916" s="1729"/>
      <c r="X916" s="1729"/>
      <c r="Y916" s="1729"/>
      <c r="Z916" s="1729"/>
      <c r="AA916" s="108"/>
      <c r="AB916" s="1490" t="s">
        <v>392</v>
      </c>
      <c r="AC916" s="1490"/>
      <c r="AD916" s="1490"/>
      <c r="AE916" s="149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4" t="s">
        <v>554</v>
      </c>
      <c r="V917" s="1423"/>
      <c r="W917" s="1423"/>
      <c r="X917" s="1423"/>
      <c r="Y917" s="1423"/>
      <c r="Z917" s="1424"/>
      <c r="AA917" s="1645">
        <v>35978279</v>
      </c>
      <c r="AB917" s="1532"/>
      <c r="AC917" s="1532"/>
      <c r="AD917" s="1532"/>
      <c r="AE917" s="1532"/>
      <c r="AF917" s="164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4" t="s">
        <v>554</v>
      </c>
      <c r="V918" s="1423"/>
      <c r="W918" s="1423"/>
      <c r="X918" s="1423"/>
      <c r="Y918" s="1423"/>
      <c r="Z918" s="1424"/>
      <c r="AA918" s="1645">
        <v>13358539</v>
      </c>
      <c r="AB918" s="1532"/>
      <c r="AC918" s="1532"/>
      <c r="AD918" s="1532"/>
      <c r="AE918" s="1532"/>
      <c r="AF918" s="164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4" t="s">
        <v>600</v>
      </c>
      <c r="V919" s="1423"/>
      <c r="W919" s="1423"/>
      <c r="X919" s="1423"/>
      <c r="Y919" s="1423"/>
      <c r="Z919" s="1424"/>
      <c r="AA919" s="1645"/>
      <c r="AB919" s="1532"/>
      <c r="AC919" s="1532"/>
      <c r="AD919" s="1532"/>
      <c r="AE919" s="1532"/>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4" t="s">
        <v>554</v>
      </c>
      <c r="V920" s="1423"/>
      <c r="W920" s="1423"/>
      <c r="X920" s="1423"/>
      <c r="Y920" s="1423"/>
      <c r="Z920" s="1424"/>
      <c r="AA920" s="1645">
        <v>585000</v>
      </c>
      <c r="AB920" s="1532"/>
      <c r="AC920" s="1532"/>
      <c r="AD920" s="1532"/>
      <c r="AE920" s="1532"/>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4" t="s">
        <v>600</v>
      </c>
      <c r="V921" s="1423"/>
      <c r="W921" s="1423"/>
      <c r="X921" s="1423"/>
      <c r="Y921" s="1423"/>
      <c r="Z921" s="1424"/>
      <c r="AA921" s="1645"/>
      <c r="AB921" s="1532"/>
      <c r="AC921" s="1532"/>
      <c r="AD921" s="1532"/>
      <c r="AE921" s="1532"/>
      <c r="AF921" s="164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4" t="s">
        <v>600</v>
      </c>
      <c r="V922" s="1423"/>
      <c r="W922" s="1423"/>
      <c r="X922" s="1423"/>
      <c r="Y922" s="1423"/>
      <c r="Z922" s="1424"/>
      <c r="AA922" s="1645"/>
      <c r="AB922" s="1532"/>
      <c r="AC922" s="1532"/>
      <c r="AD922" s="1532"/>
      <c r="AE922" s="1532"/>
      <c r="AF922" s="164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4" t="s">
        <v>600</v>
      </c>
      <c r="V923" s="1423"/>
      <c r="W923" s="1423"/>
      <c r="X923" s="1423"/>
      <c r="Y923" s="1423"/>
      <c r="Z923" s="1424"/>
      <c r="AA923" s="1645"/>
      <c r="AB923" s="1532"/>
      <c r="AC923" s="1532"/>
      <c r="AD923" s="1532"/>
      <c r="AE923" s="1532"/>
      <c r="AF923" s="164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4" t="s">
        <v>600</v>
      </c>
      <c r="V924" s="1423"/>
      <c r="W924" s="1423"/>
      <c r="X924" s="1423"/>
      <c r="Y924" s="1423"/>
      <c r="Z924" s="1424"/>
      <c r="AA924" s="1645"/>
      <c r="AB924" s="1532"/>
      <c r="AC924" s="1532"/>
      <c r="AD924" s="1532"/>
      <c r="AE924" s="1532"/>
      <c r="AF924" s="164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7" t="s">
        <v>2558</v>
      </c>
      <c r="G925" s="1648"/>
      <c r="H925" s="1648"/>
      <c r="I925" s="1648"/>
      <c r="J925" s="1648"/>
      <c r="K925" s="1648"/>
      <c r="L925" s="1648"/>
      <c r="M925" s="1648"/>
      <c r="N925" s="1648"/>
      <c r="O925" s="1648"/>
      <c r="P925" s="1648"/>
      <c r="Q925" s="1648"/>
      <c r="R925" s="1648"/>
      <c r="S925" s="1648"/>
      <c r="T925" s="1649"/>
      <c r="U925" s="1644" t="s">
        <v>600</v>
      </c>
      <c r="V925" s="1423"/>
      <c r="W925" s="1423"/>
      <c r="X925" s="1423"/>
      <c r="Y925" s="1423"/>
      <c r="Z925" s="1424"/>
      <c r="AA925" s="1645"/>
      <c r="AB925" s="1532"/>
      <c r="AC925" s="1532"/>
      <c r="AD925" s="1532"/>
      <c r="AE925" s="1532"/>
      <c r="AF925" s="164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7" t="s">
        <v>688</v>
      </c>
      <c r="G926" s="1648"/>
      <c r="H926" s="1648"/>
      <c r="I926" s="1648"/>
      <c r="J926" s="1648"/>
      <c r="K926" s="1648"/>
      <c r="L926" s="1648"/>
      <c r="M926" s="1648"/>
      <c r="N926" s="1648"/>
      <c r="O926" s="1648"/>
      <c r="P926" s="1648"/>
      <c r="Q926" s="1648"/>
      <c r="R926" s="1648"/>
      <c r="S926" s="1648"/>
      <c r="T926" s="1649"/>
      <c r="U926" s="1644" t="s">
        <v>600</v>
      </c>
      <c r="V926" s="1423"/>
      <c r="W926" s="1423"/>
      <c r="X926" s="1423"/>
      <c r="Y926" s="1423"/>
      <c r="Z926" s="1424"/>
      <c r="AA926" s="1645"/>
      <c r="AB926" s="1532"/>
      <c r="AC926" s="1532"/>
      <c r="AD926" s="1532"/>
      <c r="AE926" s="1532"/>
      <c r="AF926" s="164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7" t="s">
        <v>2559</v>
      </c>
      <c r="G927" s="1648"/>
      <c r="H927" s="1648"/>
      <c r="I927" s="1648"/>
      <c r="J927" s="1648"/>
      <c r="K927" s="1648"/>
      <c r="L927" s="1648"/>
      <c r="M927" s="1648"/>
      <c r="N927" s="1648"/>
      <c r="O927" s="1648"/>
      <c r="P927" s="1648"/>
      <c r="Q927" s="1648"/>
      <c r="R927" s="1648"/>
      <c r="S927" s="1648"/>
      <c r="T927" s="1649"/>
      <c r="U927" s="1644" t="s">
        <v>600</v>
      </c>
      <c r="V927" s="1423"/>
      <c r="W927" s="1423"/>
      <c r="X927" s="1423"/>
      <c r="Y927" s="1423"/>
      <c r="Z927" s="1424"/>
      <c r="AA927" s="1645"/>
      <c r="AB927" s="1532"/>
      <c r="AC927" s="1532"/>
      <c r="AD927" s="1532"/>
      <c r="AE927" s="1532"/>
      <c r="AF927" s="164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7" t="s">
        <v>2560</v>
      </c>
      <c r="G928" s="1648"/>
      <c r="H928" s="1648"/>
      <c r="I928" s="1648"/>
      <c r="J928" s="1648"/>
      <c r="K928" s="1648"/>
      <c r="L928" s="1648"/>
      <c r="M928" s="1648"/>
      <c r="N928" s="1648"/>
      <c r="O928" s="1648"/>
      <c r="P928" s="1648"/>
      <c r="Q928" s="1648"/>
      <c r="R928" s="1648"/>
      <c r="S928" s="1648"/>
      <c r="T928" s="1649"/>
      <c r="U928" s="1644" t="s">
        <v>600</v>
      </c>
      <c r="V928" s="1423"/>
      <c r="W928" s="1423"/>
      <c r="X928" s="1423"/>
      <c r="Y928" s="1423"/>
      <c r="Z928" s="1424"/>
      <c r="AA928" s="1645"/>
      <c r="AB928" s="1532"/>
      <c r="AC928" s="1532"/>
      <c r="AD928" s="1532"/>
      <c r="AE928" s="1532"/>
      <c r="AF928" s="164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7" t="s">
        <v>2561</v>
      </c>
      <c r="G929" s="1648"/>
      <c r="H929" s="1648"/>
      <c r="I929" s="1648"/>
      <c r="J929" s="1648"/>
      <c r="K929" s="1648"/>
      <c r="L929" s="1648"/>
      <c r="M929" s="1648"/>
      <c r="N929" s="1648"/>
      <c r="O929" s="1648"/>
      <c r="P929" s="1648"/>
      <c r="Q929" s="1648"/>
      <c r="R929" s="1648"/>
      <c r="S929" s="1648"/>
      <c r="T929" s="1649"/>
      <c r="U929" s="1644" t="s">
        <v>600</v>
      </c>
      <c r="V929" s="1423"/>
      <c r="W929" s="1423"/>
      <c r="X929" s="1423"/>
      <c r="Y929" s="1423"/>
      <c r="Z929" s="1424"/>
      <c r="AA929" s="1645"/>
      <c r="AB929" s="1532"/>
      <c r="AC929" s="1532"/>
      <c r="AD929" s="1532"/>
      <c r="AE929" s="1532"/>
      <c r="AF929" s="164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7" t="s">
        <v>2562</v>
      </c>
      <c r="G930" s="1648"/>
      <c r="H930" s="1648"/>
      <c r="I930" s="1648"/>
      <c r="J930" s="1648"/>
      <c r="K930" s="1648"/>
      <c r="L930" s="1648"/>
      <c r="M930" s="1648"/>
      <c r="N930" s="1648"/>
      <c r="O930" s="1648"/>
      <c r="P930" s="1648"/>
      <c r="Q930" s="1648"/>
      <c r="R930" s="1648"/>
      <c r="S930" s="1648"/>
      <c r="T930" s="1649"/>
      <c r="U930" s="1644" t="s">
        <v>600</v>
      </c>
      <c r="V930" s="1423"/>
      <c r="W930" s="1423"/>
      <c r="X930" s="1423"/>
      <c r="Y930" s="1423"/>
      <c r="Z930" s="1424"/>
      <c r="AA930" s="1645"/>
      <c r="AB930" s="1532"/>
      <c r="AC930" s="1532"/>
      <c r="AD930" s="1532"/>
      <c r="AE930" s="1532"/>
      <c r="AF930" s="164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7" t="s">
        <v>2563</v>
      </c>
      <c r="G931" s="1648"/>
      <c r="H931" s="1648"/>
      <c r="I931" s="1648"/>
      <c r="J931" s="1648"/>
      <c r="K931" s="1648"/>
      <c r="L931" s="1648"/>
      <c r="M931" s="1648"/>
      <c r="N931" s="1648"/>
      <c r="O931" s="1648"/>
      <c r="P931" s="1648"/>
      <c r="Q931" s="1648"/>
      <c r="R931" s="1648"/>
      <c r="S931" s="1648"/>
      <c r="T931" s="1649"/>
      <c r="U931" s="1644" t="s">
        <v>600</v>
      </c>
      <c r="V931" s="1423"/>
      <c r="W931" s="1423"/>
      <c r="X931" s="1423"/>
      <c r="Y931" s="1423"/>
      <c r="Z931" s="1424"/>
      <c r="AA931" s="1645"/>
      <c r="AB931" s="1532"/>
      <c r="AC931" s="1532"/>
      <c r="AD931" s="1532"/>
      <c r="AE931" s="1532"/>
      <c r="AF931" s="164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4" t="s">
        <v>600</v>
      </c>
      <c r="V932" s="1423"/>
      <c r="W932" s="1423"/>
      <c r="X932" s="1423"/>
      <c r="Y932" s="1423"/>
      <c r="Z932" s="1424"/>
      <c r="AA932" s="1645"/>
      <c r="AB932" s="1532"/>
      <c r="AC932" s="1532"/>
      <c r="AD932" s="1532"/>
      <c r="AE932" s="1532"/>
      <c r="AF932" s="164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44" t="s">
        <v>600</v>
      </c>
      <c r="V933" s="1423"/>
      <c r="W933" s="1423"/>
      <c r="X933" s="1423"/>
      <c r="Y933" s="1423"/>
      <c r="Z933" s="1424"/>
      <c r="AA933" s="1645"/>
      <c r="AB933" s="1532"/>
      <c r="AC933" s="1532"/>
      <c r="AD933" s="1532"/>
      <c r="AE933" s="1532"/>
      <c r="AF933" s="164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4" t="s">
        <v>600</v>
      </c>
      <c r="V934" s="1423"/>
      <c r="W934" s="1423"/>
      <c r="X934" s="1423"/>
      <c r="Y934" s="1423"/>
      <c r="Z934" s="1424"/>
      <c r="AA934" s="1645"/>
      <c r="AB934" s="1532"/>
      <c r="AC934" s="1532"/>
      <c r="AD934" s="1532"/>
      <c r="AE934" s="1532"/>
      <c r="AF934" s="164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50" t="s">
        <v>2567</v>
      </c>
      <c r="G935" s="1651"/>
      <c r="H935" s="1651"/>
      <c r="I935" s="1651"/>
      <c r="J935" s="1651"/>
      <c r="K935" s="1651"/>
      <c r="L935" s="1651"/>
      <c r="M935" s="1651"/>
      <c r="N935" s="1651"/>
      <c r="O935" s="1651"/>
      <c r="P935" s="1651"/>
      <c r="Q935" s="1651"/>
      <c r="R935" s="1651"/>
      <c r="S935" s="1651"/>
      <c r="T935" s="1652"/>
      <c r="U935" s="1644" t="s">
        <v>600</v>
      </c>
      <c r="V935" s="1423"/>
      <c r="W935" s="1423"/>
      <c r="X935" s="1423"/>
      <c r="Y935" s="1423"/>
      <c r="Z935" s="1424"/>
      <c r="AA935" s="1645"/>
      <c r="AB935" s="1532"/>
      <c r="AC935" s="1532"/>
      <c r="AD935" s="1532"/>
      <c r="AE935" s="1532"/>
      <c r="AF935" s="164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50" t="s">
        <v>2568</v>
      </c>
      <c r="G936" s="1651"/>
      <c r="H936" s="1651"/>
      <c r="I936" s="1651"/>
      <c r="J936" s="1651"/>
      <c r="K936" s="1651"/>
      <c r="L936" s="1651"/>
      <c r="M936" s="1651"/>
      <c r="N936" s="1651"/>
      <c r="O936" s="1651"/>
      <c r="P936" s="1651"/>
      <c r="Q936" s="1651"/>
      <c r="R936" s="1651"/>
      <c r="S936" s="1651"/>
      <c r="T936" s="1652"/>
      <c r="U936" s="1644" t="s">
        <v>600</v>
      </c>
      <c r="V936" s="1423"/>
      <c r="W936" s="1423"/>
      <c r="X936" s="1423"/>
      <c r="Y936" s="1423"/>
      <c r="Z936" s="1424"/>
      <c r="AA936" s="1645"/>
      <c r="AB936" s="1532"/>
      <c r="AC936" s="1532"/>
      <c r="AD936" s="1532"/>
      <c r="AE936" s="1532"/>
      <c r="AF936" s="164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7" t="s">
        <v>2564</v>
      </c>
      <c r="G937" s="1648"/>
      <c r="H937" s="1648"/>
      <c r="I937" s="1648"/>
      <c r="J937" s="1648"/>
      <c r="K937" s="1648"/>
      <c r="L937" s="1648"/>
      <c r="M937" s="1648"/>
      <c r="N937" s="1648"/>
      <c r="O937" s="1648"/>
      <c r="P937" s="1648"/>
      <c r="Q937" s="1648"/>
      <c r="R937" s="1648"/>
      <c r="S937" s="1648"/>
      <c r="T937" s="1649"/>
      <c r="U937" s="1644" t="s">
        <v>600</v>
      </c>
      <c r="V937" s="1423"/>
      <c r="W937" s="1423"/>
      <c r="X937" s="1423"/>
      <c r="Y937" s="1423"/>
      <c r="Z937" s="1424"/>
      <c r="AA937" s="1645"/>
      <c r="AB937" s="1532"/>
      <c r="AC937" s="1532"/>
      <c r="AD937" s="1532"/>
      <c r="AE937" s="1532"/>
      <c r="AF937" s="164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7" t="s">
        <v>2565</v>
      </c>
      <c r="G938" s="1648"/>
      <c r="H938" s="1648"/>
      <c r="I938" s="1648"/>
      <c r="J938" s="1648"/>
      <c r="K938" s="1648"/>
      <c r="L938" s="1648"/>
      <c r="M938" s="1648"/>
      <c r="N938" s="1648"/>
      <c r="O938" s="1648"/>
      <c r="P938" s="1648"/>
      <c r="Q938" s="1648"/>
      <c r="R938" s="1648"/>
      <c r="S938" s="1648"/>
      <c r="T938" s="1649"/>
      <c r="U938" s="1644" t="s">
        <v>600</v>
      </c>
      <c r="V938" s="1423"/>
      <c r="W938" s="1423"/>
      <c r="X938" s="1423"/>
      <c r="Y938" s="1423"/>
      <c r="Z938" s="142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7" t="s">
        <v>2566</v>
      </c>
      <c r="G939" s="1648"/>
      <c r="H939" s="1648"/>
      <c r="I939" s="1648"/>
      <c r="J939" s="1648"/>
      <c r="K939" s="1648"/>
      <c r="L939" s="1648"/>
      <c r="M939" s="1648"/>
      <c r="N939" s="1648"/>
      <c r="O939" s="1648"/>
      <c r="P939" s="1648"/>
      <c r="Q939" s="1648"/>
      <c r="R939" s="1648"/>
      <c r="S939" s="1648"/>
      <c r="T939" s="1649"/>
      <c r="U939" s="1644" t="s">
        <v>600</v>
      </c>
      <c r="V939" s="1423"/>
      <c r="W939" s="1423"/>
      <c r="X939" s="1423"/>
      <c r="Y939" s="1423"/>
      <c r="Z939" s="142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44" t="s">
        <v>600</v>
      </c>
      <c r="V940" s="1423"/>
      <c r="W940" s="1423"/>
      <c r="X940" s="1423"/>
      <c r="Y940" s="1423"/>
      <c r="Z940" s="1424"/>
      <c r="AA940" s="1645"/>
      <c r="AB940" s="1532"/>
      <c r="AC940" s="1532"/>
      <c r="AD940" s="1532"/>
      <c r="AE940" s="1532"/>
      <c r="AF940" s="164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50" t="s">
        <v>2569</v>
      </c>
      <c r="G941" s="1651"/>
      <c r="H941" s="1651"/>
      <c r="I941" s="1651"/>
      <c r="J941" s="1651"/>
      <c r="K941" s="1651"/>
      <c r="L941" s="1651"/>
      <c r="M941" s="1651"/>
      <c r="N941" s="1651"/>
      <c r="O941" s="1651"/>
      <c r="P941" s="1651"/>
      <c r="Q941" s="1651"/>
      <c r="R941" s="1651"/>
      <c r="S941" s="1651"/>
      <c r="T941" s="1652"/>
      <c r="U941" s="1644" t="s">
        <v>600</v>
      </c>
      <c r="V941" s="1423"/>
      <c r="W941" s="1423"/>
      <c r="X941" s="1423"/>
      <c r="Y941" s="1423"/>
      <c r="Z941" s="1424"/>
      <c r="AA941" s="1645"/>
      <c r="AB941" s="1532"/>
      <c r="AC941" s="1532"/>
      <c r="AD941" s="1532"/>
      <c r="AE941" s="1532"/>
      <c r="AF941" s="164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44" t="s">
        <v>600</v>
      </c>
      <c r="V942" s="1423"/>
      <c r="W942" s="1423"/>
      <c r="X942" s="1423"/>
      <c r="Y942" s="1423"/>
      <c r="Z942" s="1424"/>
      <c r="AA942" s="1645"/>
      <c r="AB942" s="1532"/>
      <c r="AC942" s="1532"/>
      <c r="AD942" s="1532"/>
      <c r="AE942" s="1532"/>
      <c r="AF942" s="164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50" t="s">
        <v>2570</v>
      </c>
      <c r="G943" s="1651"/>
      <c r="H943" s="1651"/>
      <c r="I943" s="1651"/>
      <c r="J943" s="1651"/>
      <c r="K943" s="1651"/>
      <c r="L943" s="1651"/>
      <c r="M943" s="1651"/>
      <c r="N943" s="1651"/>
      <c r="O943" s="1651"/>
      <c r="P943" s="1651"/>
      <c r="Q943" s="1651"/>
      <c r="R943" s="1651"/>
      <c r="S943" s="1651"/>
      <c r="T943" s="1652"/>
      <c r="U943" s="1644" t="s">
        <v>600</v>
      </c>
      <c r="V943" s="1423"/>
      <c r="W943" s="1423"/>
      <c r="X943" s="1423"/>
      <c r="Y943" s="1423"/>
      <c r="Z943" s="1424"/>
      <c r="AA943" s="1645"/>
      <c r="AB943" s="1532"/>
      <c r="AC943" s="1532"/>
      <c r="AD943" s="1532"/>
      <c r="AE943" s="1532"/>
      <c r="AF943" s="164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4" t="s">
        <v>678</v>
      </c>
      <c r="Q944" s="1423"/>
      <c r="R944" s="1423"/>
      <c r="S944" s="1423"/>
      <c r="T944" s="1424"/>
      <c r="U944" s="1644" t="s">
        <v>600</v>
      </c>
      <c r="V944" s="1423"/>
      <c r="W944" s="1423"/>
      <c r="X944" s="1423"/>
      <c r="Y944" s="1423"/>
      <c r="Z944" s="1424"/>
      <c r="AA944" s="1645"/>
      <c r="AB944" s="1532"/>
      <c r="AC944" s="1532"/>
      <c r="AD944" s="1532"/>
      <c r="AE944" s="1532"/>
      <c r="AF944" s="164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7" t="s">
        <v>2557</v>
      </c>
      <c r="G945" s="1648"/>
      <c r="H945" s="1649"/>
      <c r="I945" s="1613" t="s">
        <v>335</v>
      </c>
      <c r="J945" s="1614"/>
      <c r="K945" s="1614"/>
      <c r="L945" s="1614"/>
      <c r="M945" s="1614"/>
      <c r="N945" s="1614"/>
      <c r="O945" s="1614"/>
      <c r="P945" s="1614"/>
      <c r="Q945" s="1614"/>
      <c r="R945" s="1614"/>
      <c r="S945" s="1614"/>
      <c r="T945" s="1615"/>
      <c r="U945" s="1644" t="s">
        <v>600</v>
      </c>
      <c r="V945" s="1423"/>
      <c r="W945" s="1423"/>
      <c r="X945" s="1423"/>
      <c r="Y945" s="1423"/>
      <c r="Z945" s="1424"/>
      <c r="AA945" s="1645"/>
      <c r="AB945" s="1532"/>
      <c r="AC945" s="1532"/>
      <c r="AD945" s="1532"/>
      <c r="AE945" s="1532"/>
      <c r="AF945" s="164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3" t="s">
        <v>335</v>
      </c>
      <c r="J946" s="1614"/>
      <c r="K946" s="1614"/>
      <c r="L946" s="1614"/>
      <c r="M946" s="1614"/>
      <c r="N946" s="1614"/>
      <c r="O946" s="1614"/>
      <c r="P946" s="1614"/>
      <c r="Q946" s="1614"/>
      <c r="R946" s="1614"/>
      <c r="S946" s="1614"/>
      <c r="T946" s="1615"/>
      <c r="U946" s="1644" t="s">
        <v>600</v>
      </c>
      <c r="V946" s="1423"/>
      <c r="W946" s="1423"/>
      <c r="X946" s="1423"/>
      <c r="Y946" s="1423"/>
      <c r="Z946" s="1424"/>
      <c r="AA946" s="1645"/>
      <c r="AB946" s="1532"/>
      <c r="AC946" s="1532"/>
      <c r="AD946" s="1532"/>
      <c r="AE946" s="1532"/>
      <c r="AF946" s="164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783" t="s">
        <v>335</v>
      </c>
      <c r="J947" s="1784"/>
      <c r="K947" s="1784"/>
      <c r="L947" s="1784"/>
      <c r="M947" s="1784"/>
      <c r="N947" s="1784"/>
      <c r="O947" s="1784"/>
      <c r="P947" s="1784"/>
      <c r="Q947" s="1784"/>
      <c r="R947" s="1784"/>
      <c r="S947" s="1784"/>
      <c r="T947" s="1785"/>
      <c r="U947" s="1644" t="s">
        <v>600</v>
      </c>
      <c r="V947" s="1423"/>
      <c r="W947" s="1423"/>
      <c r="X947" s="1423"/>
      <c r="Y947" s="1423"/>
      <c r="Z947" s="1424"/>
      <c r="AA947" s="1645"/>
      <c r="AB947" s="1532"/>
      <c r="AC947" s="1532"/>
      <c r="AD947" s="1532"/>
      <c r="AE947" s="1532"/>
      <c r="AF947" s="164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3" t="s">
        <v>2717</v>
      </c>
      <c r="J948" s="1784"/>
      <c r="K948" s="1784"/>
      <c r="L948" s="1784"/>
      <c r="M948" s="1784"/>
      <c r="N948" s="1784"/>
      <c r="O948" s="1784"/>
      <c r="P948" s="1784"/>
      <c r="Q948" s="1784"/>
      <c r="R948" s="1784"/>
      <c r="S948" s="1784"/>
      <c r="T948" s="1785"/>
      <c r="U948" s="1644" t="s">
        <v>554</v>
      </c>
      <c r="V948" s="1423"/>
      <c r="W948" s="1423"/>
      <c r="X948" s="1423"/>
      <c r="Y948" s="1423"/>
      <c r="Z948" s="1424"/>
      <c r="AA948" s="1645">
        <v>2800000</v>
      </c>
      <c r="AB948" s="1532"/>
      <c r="AC948" s="1532"/>
      <c r="AD948" s="1532"/>
      <c r="AE948" s="1532"/>
      <c r="AF948" s="164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83" t="s">
        <v>335</v>
      </c>
      <c r="J949" s="1784"/>
      <c r="K949" s="1784"/>
      <c r="L949" s="1784"/>
      <c r="M949" s="1784"/>
      <c r="N949" s="1784"/>
      <c r="O949" s="1784"/>
      <c r="P949" s="1784"/>
      <c r="Q949" s="1784"/>
      <c r="R949" s="1784"/>
      <c r="S949" s="1784"/>
      <c r="T949" s="1785"/>
      <c r="U949" s="1644" t="s">
        <v>600</v>
      </c>
      <c r="V949" s="1423"/>
      <c r="W949" s="1423"/>
      <c r="X949" s="1423"/>
      <c r="Y949" s="1423"/>
      <c r="Z949" s="1424"/>
      <c r="AA949" s="1645"/>
      <c r="AB949" s="1532"/>
      <c r="AC949" s="1532"/>
      <c r="AD949" s="1532"/>
      <c r="AE949" s="1532"/>
      <c r="AF949" s="164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82"/>
      <c r="N954" s="1618"/>
      <c r="O954" s="1618"/>
      <c r="P954" s="1618"/>
      <c r="Q954" s="1618"/>
      <c r="R954" s="1618"/>
      <c r="S954" s="1619"/>
      <c r="U954" s="66" t="s">
        <v>11</v>
      </c>
      <c r="V954" s="5"/>
      <c r="W954" s="5"/>
      <c r="X954" s="5"/>
      <c r="Y954" s="5"/>
      <c r="Z954" s="5"/>
      <c r="AA954" s="5"/>
      <c r="AB954" s="5"/>
      <c r="AC954" s="5"/>
      <c r="AD954" s="46"/>
      <c r="AE954" s="1782"/>
      <c r="AF954" s="1618"/>
      <c r="AG954" s="1618"/>
      <c r="AH954" s="1618"/>
      <c r="AI954" s="1618"/>
      <c r="AJ954" s="1618"/>
      <c r="AK954" s="161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64"/>
      <c r="N955" s="1509"/>
      <c r="O955" s="1509"/>
      <c r="P955" s="1509"/>
      <c r="Q955" s="1509"/>
      <c r="R955" s="1509"/>
      <c r="S955" s="1653"/>
      <c r="U955" s="66" t="s">
        <v>12</v>
      </c>
      <c r="V955" s="5"/>
      <c r="W955" s="5"/>
      <c r="X955" s="5"/>
      <c r="Y955" s="5"/>
      <c r="Z955" s="5"/>
      <c r="AA955" s="5"/>
      <c r="AB955" s="5"/>
      <c r="AC955" s="5"/>
      <c r="AD955" s="46"/>
      <c r="AE955" s="1464"/>
      <c r="AF955" s="1509"/>
      <c r="AG955" s="1509"/>
      <c r="AH955" s="1509"/>
      <c r="AI955" s="1509"/>
      <c r="AJ955" s="1509"/>
      <c r="AK955" s="16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54" t="s">
        <v>308</v>
      </c>
      <c r="K956" s="1655"/>
      <c r="L956" s="1655"/>
      <c r="M956" s="1655"/>
      <c r="N956" s="1655"/>
      <c r="O956" s="1655"/>
      <c r="P956" s="1655"/>
      <c r="Q956" s="1655"/>
      <c r="R956" s="1655"/>
      <c r="S956" s="1656"/>
      <c r="U956" s="66" t="s">
        <v>893</v>
      </c>
      <c r="V956" s="5"/>
      <c r="W956" s="5"/>
      <c r="AB956" s="1654" t="s">
        <v>308</v>
      </c>
      <c r="AC956" s="1655"/>
      <c r="AD956" s="1655"/>
      <c r="AE956" s="1655"/>
      <c r="AF956" s="1655"/>
      <c r="AG956" s="1655"/>
      <c r="AH956" s="1655"/>
      <c r="AI956" s="1655"/>
      <c r="AJ956" s="1655"/>
      <c r="AK956" s="16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30"/>
      <c r="N957" s="1828"/>
      <c r="O957" s="1828"/>
      <c r="P957" s="1828"/>
      <c r="Q957" s="1828"/>
      <c r="R957" s="1828"/>
      <c r="S957" s="1829"/>
      <c r="U957" s="66" t="s">
        <v>13</v>
      </c>
      <c r="V957" s="5"/>
      <c r="W957" s="5"/>
      <c r="X957" s="5"/>
      <c r="Y957" s="5"/>
      <c r="Z957" s="5"/>
      <c r="AA957" s="5"/>
      <c r="AB957" s="5"/>
      <c r="AC957" s="5"/>
      <c r="AD957" s="46"/>
      <c r="AE957" s="1827"/>
      <c r="AF957" s="1828"/>
      <c r="AG957" s="1828"/>
      <c r="AH957" s="1828"/>
      <c r="AI957" s="1828"/>
      <c r="AJ957" s="1828"/>
      <c r="AK957" s="182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7"/>
      <c r="N958" s="1622"/>
      <c r="O958" s="1622"/>
      <c r="P958" s="1622"/>
      <c r="Q958" s="1622"/>
      <c r="R958" s="1622"/>
      <c r="S958" s="1623"/>
      <c r="U958" s="66" t="s">
        <v>14</v>
      </c>
      <c r="V958" s="5"/>
      <c r="W958" s="5"/>
      <c r="X958" s="5"/>
      <c r="Y958" s="5"/>
      <c r="Z958" s="5"/>
      <c r="AA958" s="5"/>
      <c r="AB958" s="5"/>
      <c r="AC958" s="5"/>
      <c r="AD958" s="46"/>
      <c r="AE958" s="1707"/>
      <c r="AF958" s="1622"/>
      <c r="AG958" s="1622"/>
      <c r="AH958" s="1622"/>
      <c r="AI958" s="1622"/>
      <c r="AJ958" s="1622"/>
      <c r="AK958" s="162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5"/>
      <c r="N959" s="1532"/>
      <c r="O959" s="1532"/>
      <c r="P959" s="1532"/>
      <c r="Q959" s="1532"/>
      <c r="R959" s="1532"/>
      <c r="S959" s="1646"/>
      <c r="U959" s="66" t="s">
        <v>15</v>
      </c>
      <c r="V959" s="5"/>
      <c r="W959" s="5"/>
      <c r="X959" s="5"/>
      <c r="Y959" s="5"/>
      <c r="Z959" s="5"/>
      <c r="AA959" s="5"/>
      <c r="AB959" s="5"/>
      <c r="AC959" s="5"/>
      <c r="AD959" s="46"/>
      <c r="AE959" s="1645"/>
      <c r="AF959" s="1532"/>
      <c r="AG959" s="1532"/>
      <c r="AH959" s="1532"/>
      <c r="AI959" s="1532"/>
      <c r="AJ959" s="1532"/>
      <c r="AK959" s="164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5"/>
      <c r="N960" s="1532"/>
      <c r="O960" s="1532"/>
      <c r="P960" s="1532"/>
      <c r="Q960" s="1532"/>
      <c r="R960" s="1532"/>
      <c r="S960" s="1646"/>
      <c r="U960" s="66" t="s">
        <v>16</v>
      </c>
      <c r="V960" s="5"/>
      <c r="W960" s="5"/>
      <c r="X960" s="5"/>
      <c r="Y960" s="5"/>
      <c r="Z960" s="5"/>
      <c r="AA960" s="5"/>
      <c r="AB960" s="5"/>
      <c r="AC960" s="5"/>
      <c r="AD960" s="46"/>
      <c r="AE960" s="1645"/>
      <c r="AF960" s="1532"/>
      <c r="AG960" s="1532"/>
      <c r="AH960" s="1532"/>
      <c r="AI960" s="1532"/>
      <c r="AJ960" s="1532"/>
      <c r="AK960" s="164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724"/>
      <c r="N961" s="1725"/>
      <c r="O961" s="1725"/>
      <c r="P961" s="1725"/>
      <c r="Q961" s="1725"/>
      <c r="R961" s="1725"/>
      <c r="S961" s="1726"/>
      <c r="U961" s="121" t="s">
        <v>1776</v>
      </c>
      <c r="V961" s="5"/>
      <c r="W961" s="5"/>
      <c r="X961" s="5"/>
      <c r="Y961" s="5"/>
      <c r="Z961" s="5"/>
      <c r="AA961" s="5"/>
      <c r="AB961" s="5"/>
      <c r="AC961" s="5"/>
      <c r="AD961" s="46"/>
      <c r="AE961" s="1724"/>
      <c r="AF961" s="1725"/>
      <c r="AG961" s="1725"/>
      <c r="AH961" s="1725"/>
      <c r="AI961" s="1725"/>
      <c r="AJ961" s="1725"/>
      <c r="AK961" s="172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57"/>
      <c r="N966" s="1658"/>
      <c r="O966" s="1658"/>
      <c r="P966" s="1658"/>
      <c r="Q966" s="1658"/>
      <c r="R966" s="1658"/>
      <c r="S966" s="1659"/>
      <c r="T966" s="66" t="s">
        <v>800</v>
      </c>
      <c r="U966" s="5"/>
      <c r="V966" s="5"/>
      <c r="W966" s="5"/>
      <c r="X966" s="5"/>
      <c r="Y966" s="5"/>
      <c r="Z966" s="46"/>
      <c r="AA966" s="1657"/>
      <c r="AB966" s="1658"/>
      <c r="AC966" s="1658"/>
      <c r="AD966" s="1658"/>
      <c r="AE966" s="1658"/>
      <c r="AF966" s="1658"/>
      <c r="AG966" s="165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57"/>
      <c r="N967" s="1658"/>
      <c r="O967" s="1658"/>
      <c r="P967" s="1658"/>
      <c r="Q967" s="1658"/>
      <c r="R967" s="1658"/>
      <c r="S967" s="1659"/>
      <c r="T967" s="66" t="s">
        <v>799</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20" t="s">
        <v>600</v>
      </c>
      <c r="N968" s="1721"/>
      <c r="O968" s="1721"/>
      <c r="P968" s="1721"/>
      <c r="Q968" s="1721"/>
      <c r="R968" s="1721"/>
      <c r="S968" s="1722"/>
      <c r="T968" s="45" t="s">
        <v>338</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57"/>
      <c r="N969" s="1658"/>
      <c r="O969" s="1658"/>
      <c r="P969" s="1658"/>
      <c r="Q969" s="1658"/>
      <c r="R969" s="1658"/>
      <c r="S969" s="1659"/>
      <c r="T969" s="45" t="s">
        <v>339</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57"/>
      <c r="N970" s="1658"/>
      <c r="O970" s="1658"/>
      <c r="P970" s="1658"/>
      <c r="Q970" s="1658"/>
      <c r="R970" s="1658"/>
      <c r="S970" s="1659"/>
      <c r="T970" s="45" t="s">
        <v>377</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11" t="s">
        <v>308</v>
      </c>
      <c r="N971" s="1712"/>
      <c r="O971" s="1712"/>
      <c r="P971" s="1712"/>
      <c r="Q971" s="1712"/>
      <c r="R971" s="1712"/>
      <c r="S971" s="1713"/>
      <c r="T971" s="1660"/>
      <c r="U971" s="1661"/>
      <c r="V971" s="1661"/>
      <c r="W971" s="1661"/>
      <c r="X971" s="1661"/>
      <c r="Y971" s="1661"/>
      <c r="Z971" s="1662"/>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57"/>
      <c r="N972" s="1658"/>
      <c r="O972" s="1658"/>
      <c r="P972" s="1658"/>
      <c r="Q972" s="1658"/>
      <c r="R972" s="1658"/>
      <c r="S972" s="1659"/>
      <c r="T972" s="1660"/>
      <c r="U972" s="1661"/>
      <c r="V972" s="1661"/>
      <c r="W972" s="1661"/>
      <c r="X972" s="1661"/>
      <c r="Y972" s="1661"/>
      <c r="Z972" s="16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7" t="s">
        <v>678</v>
      </c>
      <c r="P973" s="1465"/>
      <c r="Q973" s="92"/>
      <c r="R973" s="92"/>
      <c r="S973" s="93"/>
      <c r="T973" s="41" t="s">
        <v>170</v>
      </c>
      <c r="U973" s="42"/>
      <c r="V973" s="42"/>
      <c r="W973" s="1708" t="s">
        <v>335</v>
      </c>
      <c r="X973" s="1709"/>
      <c r="Y973" s="1709"/>
      <c r="Z973" s="1709"/>
      <c r="AA973" s="1709"/>
      <c r="AB973" s="1709"/>
      <c r="AC973" s="1709"/>
      <c r="AD973" s="1709"/>
      <c r="AE973" s="1709"/>
      <c r="AF973" s="1709"/>
      <c r="AG973" s="171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20" t="s">
        <v>33</v>
      </c>
      <c r="G974" s="1385"/>
      <c r="H974" s="1385"/>
      <c r="I974" s="1385"/>
      <c r="J974" s="1385"/>
      <c r="K974" s="1385"/>
      <c r="L974" s="1385"/>
      <c r="M974" s="1657"/>
      <c r="N974" s="1658"/>
      <c r="O974" s="1658"/>
      <c r="P974" s="1658"/>
      <c r="Q974" s="1658"/>
      <c r="R974" s="1658"/>
      <c r="S974" s="1659"/>
      <c r="T974" s="47"/>
      <c r="U974" s="48"/>
      <c r="V974" s="48"/>
      <c r="W974" s="48"/>
      <c r="X974" s="48"/>
      <c r="Y974" s="48"/>
      <c r="Z974" s="124" t="s">
        <v>134</v>
      </c>
      <c r="AA974" s="1758"/>
      <c r="AB974" s="1759"/>
      <c r="AC974" s="1759"/>
      <c r="AD974" s="1759"/>
      <c r="AE974" s="1759"/>
      <c r="AF974" s="1759"/>
      <c r="AG974" s="17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7"/>
      <c r="BH975" s="1627"/>
      <c r="BI975" s="1627"/>
      <c r="BJ975" s="1627"/>
      <c r="BK975" s="1627"/>
      <c r="BL975" s="162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3" t="s">
        <v>557</v>
      </c>
      <c r="B978" s="1663"/>
      <c r="C978" s="1663"/>
      <c r="D978" s="1663"/>
      <c r="E978" s="1663"/>
      <c r="F978" s="1663"/>
      <c r="G978" s="1663"/>
      <c r="H978" s="1663"/>
      <c r="I978" s="1663"/>
      <c r="J978" s="1663"/>
      <c r="K978" s="1663"/>
      <c r="L978" s="1663"/>
      <c r="M978" s="1663"/>
      <c r="N978" s="1663"/>
      <c r="O978" s="1663"/>
      <c r="P978" s="1663"/>
      <c r="Q978" s="1663"/>
      <c r="R978" s="1663"/>
      <c r="S978" s="1663"/>
      <c r="T978" s="1663"/>
      <c r="U978" s="1663"/>
      <c r="V978" s="1663"/>
      <c r="W978" s="1663"/>
      <c r="X978" s="1663"/>
      <c r="Y978" s="1663"/>
      <c r="Z978" s="1663"/>
      <c r="AA978" s="1663"/>
      <c r="AB978" s="1663"/>
      <c r="AC978" s="1663"/>
      <c r="AD978" s="1663"/>
      <c r="AE978" s="1663"/>
      <c r="AF978" s="1663"/>
      <c r="AG978" s="1663"/>
      <c r="AH978" s="1663"/>
      <c r="AI978" s="1663"/>
      <c r="AJ978" s="1663"/>
      <c r="AK978" s="1663"/>
      <c r="AL978" s="1663"/>
      <c r="AM978" s="1663"/>
      <c r="AN978" s="1663"/>
      <c r="AO978" s="1663"/>
      <c r="AP978" s="1663"/>
      <c r="AQ978" s="1663"/>
      <c r="AR978" s="1663"/>
      <c r="AS978" s="1663"/>
      <c r="AT978" s="166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3"/>
      <c r="B979" s="1663"/>
      <c r="C979" s="1663"/>
      <c r="D979" s="1663"/>
      <c r="E979" s="1663"/>
      <c r="F979" s="1663"/>
      <c r="G979" s="1663"/>
      <c r="H979" s="1663"/>
      <c r="I979" s="1663"/>
      <c r="J979" s="1663"/>
      <c r="K979" s="1663"/>
      <c r="L979" s="1663"/>
      <c r="M979" s="1663"/>
      <c r="N979" s="1663"/>
      <c r="O979" s="1663"/>
      <c r="P979" s="1663"/>
      <c r="Q979" s="1663"/>
      <c r="R979" s="1663"/>
      <c r="S979" s="1663"/>
      <c r="T979" s="1663"/>
      <c r="U979" s="1663"/>
      <c r="V979" s="1663"/>
      <c r="W979" s="1663"/>
      <c r="X979" s="1663"/>
      <c r="Y979" s="1663"/>
      <c r="Z979" s="1663"/>
      <c r="AA979" s="1663"/>
      <c r="AB979" s="1663"/>
      <c r="AC979" s="1663"/>
      <c r="AD979" s="1663"/>
      <c r="AE979" s="1663"/>
      <c r="AF979" s="1663"/>
      <c r="AG979" s="1663"/>
      <c r="AH979" s="1663"/>
      <c r="AI979" s="1663"/>
      <c r="AJ979" s="1663"/>
      <c r="AK979" s="1663"/>
      <c r="AL979" s="1663"/>
      <c r="AM979" s="1663"/>
      <c r="AN979" s="1663"/>
      <c r="AO979" s="1663"/>
      <c r="AP979" s="1663"/>
      <c r="AQ979" s="1663"/>
      <c r="AR979" s="1663"/>
      <c r="AS979" s="1663"/>
      <c r="AT979" s="166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3"/>
      <c r="B980" s="1663"/>
      <c r="C980" s="1663"/>
      <c r="D980" s="1663"/>
      <c r="E980" s="1663"/>
      <c r="F980" s="1663"/>
      <c r="G980" s="1663"/>
      <c r="H980" s="1663"/>
      <c r="I980" s="1663"/>
      <c r="J980" s="1663"/>
      <c r="K980" s="1663"/>
      <c r="L980" s="1663"/>
      <c r="M980" s="1663"/>
      <c r="N980" s="1663"/>
      <c r="O980" s="1663"/>
      <c r="P980" s="1663"/>
      <c r="Q980" s="1663"/>
      <c r="R980" s="1663"/>
      <c r="S980" s="1663"/>
      <c r="T980" s="1663"/>
      <c r="U980" s="1663"/>
      <c r="V980" s="1663"/>
      <c r="W980" s="1663"/>
      <c r="X980" s="1663"/>
      <c r="Y980" s="1663"/>
      <c r="Z980" s="1663"/>
      <c r="AA980" s="1663"/>
      <c r="AB980" s="1663"/>
      <c r="AC980" s="1663"/>
      <c r="AD980" s="1663"/>
      <c r="AE980" s="1663"/>
      <c r="AF980" s="1663"/>
      <c r="AG980" s="1663"/>
      <c r="AH980" s="1663"/>
      <c r="AI980" s="1663"/>
      <c r="AJ980" s="1663"/>
      <c r="AK980" s="1663"/>
      <c r="AL980" s="1663"/>
      <c r="AM980" s="1663"/>
      <c r="AN980" s="1663"/>
      <c r="AO980" s="1663"/>
      <c r="AP980" s="1663"/>
      <c r="AQ980" s="1663"/>
      <c r="AR980" s="1663"/>
      <c r="AS980" s="1663"/>
      <c r="AT980" s="166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1" t="s">
        <v>647</v>
      </c>
      <c r="E984" s="1832"/>
      <c r="F984" s="1832"/>
      <c r="G984" s="1832"/>
      <c r="H984" s="1832"/>
      <c r="I984" s="1832"/>
      <c r="J984" s="1832"/>
      <c r="K984" s="1832"/>
      <c r="L984" s="1832"/>
      <c r="M984" s="1832"/>
      <c r="N984" s="1832"/>
      <c r="O984" s="1832"/>
      <c r="P984" s="1832"/>
      <c r="Q984" s="1833"/>
      <c r="R984" s="1831" t="s">
        <v>648</v>
      </c>
      <c r="S984" s="1832"/>
      <c r="T984" s="1832"/>
      <c r="U984" s="1832"/>
      <c r="V984" s="1832"/>
      <c r="W984" s="1832"/>
      <c r="X984" s="1832"/>
      <c r="Y984" s="1832"/>
      <c r="Z984" s="1832"/>
      <c r="AA984" s="1833"/>
      <c r="AB984" s="1831" t="s">
        <v>649</v>
      </c>
      <c r="AC984" s="1832"/>
      <c r="AD984" s="1832"/>
      <c r="AE984" s="1832"/>
      <c r="AF984" s="1832"/>
      <c r="AG984" s="1832"/>
      <c r="AH984" s="1832"/>
      <c r="AI984" s="1833"/>
      <c r="AJ984" s="1831" t="s">
        <v>650</v>
      </c>
      <c r="AK984" s="1832"/>
      <c r="AL984" s="1832"/>
      <c r="AM984" s="1832"/>
      <c r="AN984" s="1832"/>
      <c r="AO984" s="1832"/>
      <c r="AP984" s="1832"/>
      <c r="AQ984" s="183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642</v>
      </c>
      <c r="E985" s="1521"/>
      <c r="F985" s="1521"/>
      <c r="G985" s="1521"/>
      <c r="H985" s="1521"/>
      <c r="I985" s="1521"/>
      <c r="J985" s="1521"/>
      <c r="K985" s="1521"/>
      <c r="L985" s="1521"/>
      <c r="M985" s="1521"/>
      <c r="N985" s="1521"/>
      <c r="O985" s="1521"/>
      <c r="P985" s="1521"/>
      <c r="Q985" s="1522"/>
      <c r="R985" s="1706">
        <f>IF(ISNA(IF($BN$796="4%",(INDEX($BP$806:$BT$863,MATCH($CB$796,$BO$806:$BO$863,0),MATCH(D985,$BP$805:$BT$805,0))),(INDEX($BW$806:$CA$863,MATCH($CB$796,$BV$806:$BV$863,0),MATCH(D985,$BW$805:$CA$805,0))))),0,IF($BN$796="4%",(INDEX($BP$806:$BT$863,MATCH($CB$796,$BO$806:$BO$863,0),MATCH(D985,$BP$805:$BT$805,0))),(INDEX($BW$806:$CA$863,MATCH($CB$796,$BV$806:$BV$863,0),MATCH(D985,$BW$805:$CA$805,0)))))</f>
        <v>331890</v>
      </c>
      <c r="S985" s="1706"/>
      <c r="T985" s="1706"/>
      <c r="U985" s="1706"/>
      <c r="V985" s="1706"/>
      <c r="W985" s="1706"/>
      <c r="X985" s="1706"/>
      <c r="Y985" s="1706"/>
      <c r="Z985" s="1706"/>
      <c r="AA985" s="1706"/>
      <c r="AB985" s="1776">
        <f>BN660</f>
        <v>0</v>
      </c>
      <c r="AC985" s="1777"/>
      <c r="AD985" s="1777"/>
      <c r="AE985" s="1777"/>
      <c r="AF985" s="1777"/>
      <c r="AG985" s="1777"/>
      <c r="AH985" s="1777"/>
      <c r="AI985" s="1778"/>
      <c r="AJ985" s="1731">
        <f>IF(ISERROR((R985*AB985)),0,(R985*AB985))</f>
        <v>0</v>
      </c>
      <c r="AK985" s="1732"/>
      <c r="AL985" s="1732"/>
      <c r="AM985" s="1732"/>
      <c r="AN985" s="1732"/>
      <c r="AO985" s="1732"/>
      <c r="AP985" s="1732"/>
      <c r="AQ985" s="173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06">
        <f>IF(ISNA(IF($BN$796="4%",(INDEX($BP$806:$BT$863,MATCH($CB$796,$BO$806:$BO$863,0),MATCH(D986,$BP$805:$BT$805,0))),(INDEX($BW$806:$CA$863,MATCH($CB$796,$BV$806:$BV$863,0),MATCH(D986,$BW$805:$CA$805,0))))),0,IF($BN$796="4%",(INDEX($BP$806:$BT$863,MATCH($CB$796,$BO$806:$BO$863,0),MATCH(D986,$BP$805:$BT$805,0))),(INDEX($BW$806:$CA$863,MATCH($CB$796,$BV$806:$BV$863,0),MATCH(D986,$BW$805:$CA$805,0)))))</f>
        <v>382666</v>
      </c>
      <c r="S986" s="1706"/>
      <c r="T986" s="1706"/>
      <c r="U986" s="1706"/>
      <c r="V986" s="1706"/>
      <c r="W986" s="1706"/>
      <c r="X986" s="1706"/>
      <c r="Y986" s="1706"/>
      <c r="Z986" s="1706"/>
      <c r="AA986" s="1706"/>
      <c r="AB986" s="1776">
        <f>BS660</f>
        <v>50</v>
      </c>
      <c r="AC986" s="1777"/>
      <c r="AD986" s="1777"/>
      <c r="AE986" s="1777"/>
      <c r="AF986" s="1777"/>
      <c r="AG986" s="1777"/>
      <c r="AH986" s="1777"/>
      <c r="AI986" s="1778"/>
      <c r="AJ986" s="1731">
        <f>IF(ISERROR((R986*AB986)),0,(R986*AB986))</f>
        <v>19133300</v>
      </c>
      <c r="AK986" s="1732"/>
      <c r="AL986" s="1732"/>
      <c r="AM986" s="1732"/>
      <c r="AN986" s="1732"/>
      <c r="AO986" s="1732"/>
      <c r="AP986" s="1732"/>
      <c r="AQ986" s="173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06">
        <f>IF(ISNA(IF($BN$796="4%",(INDEX($BP$806:$BT$863,MATCH($CB$796,$BO$806:$BO$863,0),MATCH(D987,$BP$805:$BT$805,0))),(INDEX($BW$806:$CA$863,MATCH($CB$796,$BV$806:$BV$863,0),MATCH(D987,$BW$805:$CA$805,0))))),0,IF($BN$796="4%",(INDEX($BP$806:$BT$863,MATCH($CB$796,$BO$806:$BO$863,0),MATCH(D987,$BP$805:$BT$805,0))),(INDEX($BW$806:$CA$863,MATCH($CB$796,$BV$806:$BV$863,0),MATCH(D987,$BW$805:$CA$805,0)))))</f>
        <v>461600</v>
      </c>
      <c r="S987" s="1706"/>
      <c r="T987" s="1706"/>
      <c r="U987" s="1706"/>
      <c r="V987" s="1706"/>
      <c r="W987" s="1706"/>
      <c r="X987" s="1706"/>
      <c r="Y987" s="1706"/>
      <c r="Z987" s="1706"/>
      <c r="AA987" s="1706"/>
      <c r="AB987" s="1776">
        <f>BX660</f>
        <v>81</v>
      </c>
      <c r="AC987" s="1777"/>
      <c r="AD987" s="1777"/>
      <c r="AE987" s="1777"/>
      <c r="AF987" s="1777"/>
      <c r="AG987" s="1777"/>
      <c r="AH987" s="1777"/>
      <c r="AI987" s="1778"/>
      <c r="AJ987" s="1731">
        <f>IF(ISERROR((R987*AB987)),0,(R987*AB987))</f>
        <v>37389600</v>
      </c>
      <c r="AK987" s="1732"/>
      <c r="AL987" s="1732"/>
      <c r="AM987" s="1732"/>
      <c r="AN987" s="1732"/>
      <c r="AO987" s="1732"/>
      <c r="AP987" s="1732"/>
      <c r="AQ987" s="173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06">
        <f>IF(ISNA(IF($BN$796="4%",(INDEX($BP$806:$BT$863,MATCH($CB$796,$BO$806:$BO$863,0),MATCH(D988,$BP$805:$BT$805,0))),(INDEX($BW$806:$CA$863,MATCH($CB$796,$BV$806:$BV$863,0),MATCH(D988,$BW$805:$CA$805,0))))),0,IF($BN$796="4%",(INDEX($BP$806:$BT$863,MATCH($CB$796,$BO$806:$BO$863,0),MATCH(D988,$BP$805:$BT$805,0))),(INDEX($BW$806:$CA$863,MATCH($CB$796,$BV$806:$BV$863,0),MATCH(D988,$BW$805:$CA$805,0)))))</f>
        <v>590848</v>
      </c>
      <c r="S988" s="1706"/>
      <c r="T988" s="1706"/>
      <c r="U988" s="1706"/>
      <c r="V988" s="1706"/>
      <c r="W988" s="1706"/>
      <c r="X988" s="1706"/>
      <c r="Y988" s="1706"/>
      <c r="Z988" s="1706"/>
      <c r="AA988" s="1706"/>
      <c r="AB988" s="1776">
        <f>CC660</f>
        <v>45</v>
      </c>
      <c r="AC988" s="1777"/>
      <c r="AD988" s="1777"/>
      <c r="AE988" s="1777"/>
      <c r="AF988" s="1777"/>
      <c r="AG988" s="1777"/>
      <c r="AH988" s="1777"/>
      <c r="AI988" s="1778"/>
      <c r="AJ988" s="1731">
        <f>IF(ISERROR((R988*AB988)),0,(R988*AB988))</f>
        <v>26588160</v>
      </c>
      <c r="AK988" s="1732"/>
      <c r="AL988" s="1732"/>
      <c r="AM988" s="1732"/>
      <c r="AN988" s="1732"/>
      <c r="AO988" s="1732"/>
      <c r="AP988" s="1732"/>
      <c r="AQ988" s="173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469</v>
      </c>
      <c r="E989" s="1521"/>
      <c r="F989" s="1521"/>
      <c r="G989" s="1521"/>
      <c r="H989" s="1521"/>
      <c r="I989" s="1521"/>
      <c r="J989" s="1521"/>
      <c r="K989" s="1521"/>
      <c r="L989" s="1521"/>
      <c r="M989" s="1521"/>
      <c r="N989" s="1521"/>
      <c r="O989" s="1521"/>
      <c r="P989" s="1521"/>
      <c r="Q989" s="1522"/>
      <c r="R989" s="1706">
        <f>IF(ISNA(IF($BN$796="4%",(INDEX($BP$806:$BT$863,MATCH($CB$796,$BO$806:$BO$863,0),MATCH(D989,$BP$805:$BT$805,0))),(INDEX($BW$806:$CA$863,MATCH($CB$796,$BV$806:$BV$863,0),MATCH(D989,$BW$805:$CA$805,0))))),0,IF($BN$796="4%",(INDEX($BP$806:$BT$863,MATCH($CB$796,$BO$806:$BO$863,0),MATCH(D989,$BP$805:$BT$805,0))),(INDEX($BW$806:$CA$863,MATCH($CB$796,$BV$806:$BV$863,0),MATCH(D989,$BW$805:$CA$805,0)))))</f>
        <v>658242</v>
      </c>
      <c r="S989" s="1706"/>
      <c r="T989" s="1706"/>
      <c r="U989" s="1706"/>
      <c r="V989" s="1706"/>
      <c r="W989" s="1706"/>
      <c r="X989" s="1706"/>
      <c r="Y989" s="1706"/>
      <c r="Z989" s="1706"/>
      <c r="AA989" s="1706"/>
      <c r="AB989" s="1776">
        <f>CM660+CH660</f>
        <v>0</v>
      </c>
      <c r="AC989" s="1777"/>
      <c r="AD989" s="1777"/>
      <c r="AE989" s="1777"/>
      <c r="AF989" s="1777"/>
      <c r="AG989" s="1777"/>
      <c r="AH989" s="1777"/>
      <c r="AI989" s="1778"/>
      <c r="AJ989" s="1731">
        <f>IF(ISERROR((R989*AB989)),0,(R989*AB989))</f>
        <v>0</v>
      </c>
      <c r="AK989" s="1732"/>
      <c r="AL989" s="1732"/>
      <c r="AM989" s="1732"/>
      <c r="AN989" s="1732"/>
      <c r="AO989" s="1732"/>
      <c r="AP989" s="1732"/>
      <c r="AQ989" s="173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14" t="s">
        <v>801</v>
      </c>
      <c r="C990" s="1815"/>
      <c r="D990" s="1815"/>
      <c r="E990" s="1815"/>
      <c r="F990" s="1815"/>
      <c r="G990" s="1815"/>
      <c r="H990" s="1815"/>
      <c r="I990" s="1815"/>
      <c r="J990" s="1815"/>
      <c r="K990" s="1815"/>
      <c r="L990" s="1815"/>
      <c r="M990" s="1815"/>
      <c r="N990" s="1815"/>
      <c r="O990" s="1815"/>
      <c r="P990" s="1815"/>
      <c r="Q990" s="1815"/>
      <c r="R990" s="1815"/>
      <c r="S990" s="1815"/>
      <c r="T990" s="1815"/>
      <c r="U990" s="1815"/>
      <c r="V990" s="1815"/>
      <c r="W990" s="1815"/>
      <c r="X990" s="1815"/>
      <c r="Y990" s="1815"/>
      <c r="Z990" s="1815"/>
      <c r="AA990" s="1816"/>
      <c r="AB990" s="1776">
        <f>SUM(AB985:AI989)</f>
        <v>176</v>
      </c>
      <c r="AC990" s="1777"/>
      <c r="AD990" s="1777"/>
      <c r="AE990" s="1777"/>
      <c r="AF990" s="1777"/>
      <c r="AG990" s="1777"/>
      <c r="AH990" s="1777"/>
      <c r="AI990" s="1778"/>
      <c r="AJ990" s="1731"/>
      <c r="AK990" s="1732"/>
      <c r="AL990" s="1732"/>
      <c r="AM990" s="1732"/>
      <c r="AN990" s="1732"/>
      <c r="AO990" s="1732"/>
      <c r="AP990" s="1732"/>
      <c r="AQ990" s="173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4" t="s">
        <v>521</v>
      </c>
      <c r="C991" s="1835"/>
      <c r="D991" s="1835"/>
      <c r="E991" s="1835"/>
      <c r="F991" s="1835"/>
      <c r="G991" s="1835"/>
      <c r="H991" s="1835"/>
      <c r="I991" s="1835"/>
      <c r="J991" s="1835"/>
      <c r="K991" s="1835"/>
      <c r="L991" s="1835"/>
      <c r="M991" s="1835"/>
      <c r="N991" s="1835"/>
      <c r="O991" s="1835"/>
      <c r="P991" s="1835"/>
      <c r="Q991" s="1835"/>
      <c r="R991" s="1835"/>
      <c r="S991" s="1835"/>
      <c r="T991" s="1835"/>
      <c r="U991" s="1835"/>
      <c r="V991" s="1835"/>
      <c r="W991" s="1835"/>
      <c r="X991" s="1835"/>
      <c r="Y991" s="1835"/>
      <c r="Z991" s="1835"/>
      <c r="AA991" s="1835"/>
      <c r="AB991" s="1835"/>
      <c r="AC991" s="1835"/>
      <c r="AD991" s="1835"/>
      <c r="AE991" s="1835"/>
      <c r="AF991" s="1835"/>
      <c r="AG991" s="1835"/>
      <c r="AH991" s="1835"/>
      <c r="AI991" s="1836"/>
      <c r="AJ991" s="1731">
        <f>SUM(AJ985:AQ989)</f>
        <v>83111060</v>
      </c>
      <c r="AK991" s="1732"/>
      <c r="AL991" s="1732"/>
      <c r="AM991" s="1732"/>
      <c r="AN991" s="1732"/>
      <c r="AO991" s="1732"/>
      <c r="AP991" s="1732"/>
      <c r="AQ991" s="173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6"/>
      <c r="C992" s="1807"/>
      <c r="D992" s="1807"/>
      <c r="E992" s="1807"/>
      <c r="F992" s="1807"/>
      <c r="G992" s="1807"/>
      <c r="H992" s="1807"/>
      <c r="I992" s="1807"/>
      <c r="J992" s="1807"/>
      <c r="K992" s="1807"/>
      <c r="L992" s="1807"/>
      <c r="M992" s="1807"/>
      <c r="N992" s="1807"/>
      <c r="O992" s="1807"/>
      <c r="P992" s="1807"/>
      <c r="Q992" s="1807"/>
      <c r="R992" s="1807"/>
      <c r="S992" s="1807"/>
      <c r="T992" s="1807"/>
      <c r="U992" s="1807"/>
      <c r="V992" s="1807"/>
      <c r="W992" s="1807"/>
      <c r="X992" s="1807"/>
      <c r="Y992" s="1807"/>
      <c r="Z992" s="1807"/>
      <c r="AA992" s="1807"/>
      <c r="AB992" s="1807"/>
      <c r="AC992" s="1807"/>
      <c r="AD992" s="1807"/>
      <c r="AE992" s="1808"/>
      <c r="AF992" s="1840" t="s">
        <v>675</v>
      </c>
      <c r="AG992" s="1841"/>
      <c r="AH992" s="1841"/>
      <c r="AI992" s="1842"/>
      <c r="AJ992" s="1806"/>
      <c r="AK992" s="1807"/>
      <c r="AL992" s="1807"/>
      <c r="AM992" s="1807"/>
      <c r="AN992" s="1807"/>
      <c r="AO992" s="1807"/>
      <c r="AP992" s="1807"/>
      <c r="AQ992" s="180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809" t="s">
        <v>1327</v>
      </c>
      <c r="E993" s="1810"/>
      <c r="F993" s="1810"/>
      <c r="G993" s="1810"/>
      <c r="H993" s="1810"/>
      <c r="I993" s="1810"/>
      <c r="J993" s="1810"/>
      <c r="K993" s="1810"/>
      <c r="L993" s="1810"/>
      <c r="M993" s="1810"/>
      <c r="N993" s="1810"/>
      <c r="O993" s="1810"/>
      <c r="P993" s="1810"/>
      <c r="Q993" s="1810"/>
      <c r="R993" s="1810"/>
      <c r="S993" s="1810"/>
      <c r="T993" s="1810"/>
      <c r="U993" s="1810"/>
      <c r="V993" s="1810"/>
      <c r="W993" s="1810"/>
      <c r="X993" s="1810"/>
      <c r="Y993" s="1810"/>
      <c r="Z993" s="1810"/>
      <c r="AA993" s="1810"/>
      <c r="AB993" s="1810"/>
      <c r="AC993" s="1810"/>
      <c r="AD993" s="1810"/>
      <c r="AE993" s="1811"/>
      <c r="AF993" s="79"/>
      <c r="AG993" s="1843" t="s">
        <v>678</v>
      </c>
      <c r="AH993" s="1844"/>
      <c r="AI993" s="87"/>
      <c r="AJ993" s="1797">
        <f>ROUND(IF(AND(AG993="yes",D999&gt;0),AJ991*0.2,0),0)</f>
        <v>0</v>
      </c>
      <c r="AK993" s="1798"/>
      <c r="AL993" s="1798"/>
      <c r="AM993" s="1798"/>
      <c r="AN993" s="1798"/>
      <c r="AO993" s="1798"/>
      <c r="AP993" s="1798"/>
      <c r="AQ993" s="179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4" t="s">
        <v>2571</v>
      </c>
      <c r="E994" s="1765"/>
      <c r="F994" s="1765"/>
      <c r="G994" s="1765"/>
      <c r="H994" s="1765"/>
      <c r="I994" s="1765"/>
      <c r="J994" s="1765"/>
      <c r="K994" s="1765"/>
      <c r="L994" s="1765"/>
      <c r="M994" s="1765"/>
      <c r="N994" s="1765"/>
      <c r="O994" s="1765"/>
      <c r="P994" s="1765"/>
      <c r="Q994" s="1765"/>
      <c r="R994" s="1765"/>
      <c r="S994" s="1765"/>
      <c r="T994" s="1765"/>
      <c r="U994" s="1765"/>
      <c r="V994" s="1765"/>
      <c r="W994" s="1765"/>
      <c r="X994" s="1765"/>
      <c r="Y994" s="1765"/>
      <c r="Z994" s="1765"/>
      <c r="AA994" s="1765"/>
      <c r="AB994" s="1765"/>
      <c r="AC994" s="1765"/>
      <c r="AD994" s="1765"/>
      <c r="AE994" s="1766"/>
      <c r="AF994" s="73"/>
      <c r="AG994" s="14"/>
      <c r="AH994" s="14"/>
      <c r="AI994" s="83"/>
      <c r="AJ994" s="1800"/>
      <c r="AK994" s="1801"/>
      <c r="AL994" s="1801"/>
      <c r="AM994" s="1801"/>
      <c r="AN994" s="1801"/>
      <c r="AO994" s="1801"/>
      <c r="AP994" s="1801"/>
      <c r="AQ994" s="180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4"/>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800"/>
      <c r="AK995" s="1801"/>
      <c r="AL995" s="1801"/>
      <c r="AM995" s="1801"/>
      <c r="AN995" s="1801"/>
      <c r="AO995" s="1801"/>
      <c r="AP995" s="1801"/>
      <c r="AQ995" s="180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800"/>
      <c r="AK996" s="1801"/>
      <c r="AL996" s="1801"/>
      <c r="AM996" s="1801"/>
      <c r="AN996" s="1801"/>
      <c r="AO996" s="1801"/>
      <c r="AP996" s="1801"/>
      <c r="AQ996" s="180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800"/>
      <c r="AK997" s="1801"/>
      <c r="AL997" s="1801"/>
      <c r="AM997" s="1801"/>
      <c r="AN997" s="1801"/>
      <c r="AO997" s="1801"/>
      <c r="AP997" s="1801"/>
      <c r="AQ997" s="180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7" t="s">
        <v>2572</v>
      </c>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800"/>
      <c r="AK998" s="1801"/>
      <c r="AL998" s="1801"/>
      <c r="AM998" s="1801"/>
      <c r="AN998" s="1801"/>
      <c r="AO998" s="1801"/>
      <c r="AP998" s="1801"/>
      <c r="AQ998" s="180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17"/>
      <c r="E999" s="1818"/>
      <c r="F999" s="1818"/>
      <c r="G999" s="1818"/>
      <c r="H999" s="1818"/>
      <c r="I999" s="1818"/>
      <c r="J999" s="1818"/>
      <c r="K999" s="1818"/>
      <c r="L999" s="1818"/>
      <c r="M999" s="1818"/>
      <c r="N999" s="1818"/>
      <c r="O999" s="1818"/>
      <c r="P999" s="1818"/>
      <c r="Q999" s="1818"/>
      <c r="R999" s="1818"/>
      <c r="S999" s="1818"/>
      <c r="T999" s="1818"/>
      <c r="U999" s="1818"/>
      <c r="V999" s="1818"/>
      <c r="W999" s="1818"/>
      <c r="X999" s="1818"/>
      <c r="Y999" s="1818"/>
      <c r="Z999" s="1818"/>
      <c r="AA999" s="1818"/>
      <c r="AB999" s="1818"/>
      <c r="AC999" s="1818"/>
      <c r="AD999" s="1818"/>
      <c r="AE999" s="1819"/>
      <c r="AF999" s="77"/>
      <c r="AG999" s="7"/>
      <c r="AH999" s="7"/>
      <c r="AI999" s="78"/>
      <c r="AJ999" s="1803"/>
      <c r="AK999" s="1804"/>
      <c r="AL999" s="1804"/>
      <c r="AM999" s="1804"/>
      <c r="AN999" s="1804"/>
      <c r="AO999" s="1804"/>
      <c r="AP999" s="1804"/>
      <c r="AQ999" s="180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1" t="s">
        <v>1397</v>
      </c>
      <c r="E1000" s="1762"/>
      <c r="F1000" s="1762"/>
      <c r="G1000" s="1762"/>
      <c r="H1000" s="1762"/>
      <c r="I1000" s="1762"/>
      <c r="J1000" s="1762"/>
      <c r="K1000" s="1762"/>
      <c r="L1000" s="1762"/>
      <c r="M1000" s="1762"/>
      <c r="N1000" s="1762"/>
      <c r="O1000" s="1762"/>
      <c r="P1000" s="1762"/>
      <c r="Q1000" s="1762"/>
      <c r="R1000" s="1762"/>
      <c r="S1000" s="1762"/>
      <c r="T1000" s="1762"/>
      <c r="U1000" s="1762"/>
      <c r="V1000" s="1762"/>
      <c r="W1000" s="1762"/>
      <c r="X1000" s="1762"/>
      <c r="Y1000" s="1762"/>
      <c r="Z1000" s="1762"/>
      <c r="AA1000" s="1762"/>
      <c r="AB1000" s="1762"/>
      <c r="AC1000" s="1762"/>
      <c r="AD1000" s="1762"/>
      <c r="AE1000" s="1763"/>
      <c r="AF1000" s="79"/>
      <c r="AG1000" s="1790" t="s">
        <v>678</v>
      </c>
      <c r="AH1000" s="1791"/>
      <c r="AI1000" s="87"/>
      <c r="AJ1000" s="1797">
        <f>ROUND(IF(AG1000="yes",AJ991*0.05,0),0)</f>
        <v>0</v>
      </c>
      <c r="AK1000" s="1798"/>
      <c r="AL1000" s="1798"/>
      <c r="AM1000" s="1798"/>
      <c r="AN1000" s="1798"/>
      <c r="AO1000" s="1798"/>
      <c r="AP1000" s="1798"/>
      <c r="AQ1000" s="179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4" t="s">
        <v>1395</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3"/>
      <c r="AG1001" s="14"/>
      <c r="AH1001" s="14"/>
      <c r="AI1001" s="83"/>
      <c r="AJ1001" s="1800"/>
      <c r="AK1001" s="1801"/>
      <c r="AL1001" s="1801"/>
      <c r="AM1001" s="1801"/>
      <c r="AN1001" s="1801"/>
      <c r="AO1001" s="1801"/>
      <c r="AP1001" s="1801"/>
      <c r="AQ1001" s="180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4"/>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800"/>
      <c r="AK1002" s="1801"/>
      <c r="AL1002" s="1801"/>
      <c r="AM1002" s="1801"/>
      <c r="AN1002" s="1801"/>
      <c r="AO1002" s="1801"/>
      <c r="AP1002" s="1801"/>
      <c r="AQ1002" s="1802"/>
      <c r="AR1002" s="68"/>
      <c r="AS1002" s="68"/>
      <c r="AT1002" s="68"/>
      <c r="AU1002" s="68"/>
      <c r="AV1002" s="68"/>
      <c r="AW1002" s="68"/>
      <c r="AX1002" s="68"/>
      <c r="AY1002" s="949">
        <f>G753+O797</f>
        <v>174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800"/>
      <c r="AK1003" s="1801"/>
      <c r="AL1003" s="1801"/>
      <c r="AM1003" s="1801"/>
      <c r="AN1003" s="1801"/>
      <c r="AO1003" s="1801"/>
      <c r="AP1003" s="1801"/>
      <c r="AQ1003" s="180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800"/>
      <c r="AK1004" s="1801"/>
      <c r="AL1004" s="1801"/>
      <c r="AM1004" s="1801"/>
      <c r="AN1004" s="1801"/>
      <c r="AO1004" s="1801"/>
      <c r="AP1004" s="1801"/>
      <c r="AQ1004" s="1802"/>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7"/>
      <c r="AG1005" s="7"/>
      <c r="AH1005" s="7"/>
      <c r="AI1005" s="78"/>
      <c r="AJ1005" s="1803"/>
      <c r="AK1005" s="1804"/>
      <c r="AL1005" s="1804"/>
      <c r="AM1005" s="1804"/>
      <c r="AN1005" s="1804"/>
      <c r="AO1005" s="1804"/>
      <c r="AP1005" s="1804"/>
      <c r="AQ1005" s="180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61" t="s">
        <v>1874</v>
      </c>
      <c r="E1006" s="1762"/>
      <c r="F1006" s="1762"/>
      <c r="G1006" s="1762"/>
      <c r="H1006" s="1762"/>
      <c r="I1006" s="1762"/>
      <c r="J1006" s="1762"/>
      <c r="K1006" s="1762"/>
      <c r="L1006" s="1762"/>
      <c r="M1006" s="1762"/>
      <c r="N1006" s="1762"/>
      <c r="O1006" s="1762"/>
      <c r="P1006" s="1762"/>
      <c r="Q1006" s="1762"/>
      <c r="R1006" s="1762"/>
      <c r="S1006" s="1762"/>
      <c r="T1006" s="1762"/>
      <c r="U1006" s="1762"/>
      <c r="V1006" s="1762"/>
      <c r="W1006" s="1762"/>
      <c r="X1006" s="1762"/>
      <c r="Y1006" s="1762"/>
      <c r="Z1006" s="1762"/>
      <c r="AA1006" s="1762"/>
      <c r="AB1006" s="1762"/>
      <c r="AC1006" s="1762"/>
      <c r="AD1006" s="1762"/>
      <c r="AE1006" s="1763"/>
      <c r="AF1006" s="86"/>
      <c r="AG1006" s="1790" t="s">
        <v>678</v>
      </c>
      <c r="AH1006" s="1791"/>
      <c r="AI1006" s="87"/>
      <c r="AJ1006" s="1797">
        <f>ROUND(IF(AG1006="yes",AJ991*0.1,0),0)</f>
        <v>0</v>
      </c>
      <c r="AK1006" s="1798"/>
      <c r="AL1006" s="1798"/>
      <c r="AM1006" s="1798"/>
      <c r="AN1006" s="1798"/>
      <c r="AO1006" s="1798"/>
      <c r="AP1006" s="1798"/>
      <c r="AQ1006" s="1799"/>
      <c r="AR1006" s="68"/>
      <c r="AS1006" s="68"/>
      <c r="AT1006" s="68"/>
      <c r="AU1006" s="68"/>
      <c r="AV1006" s="68"/>
      <c r="AW1006" s="68"/>
      <c r="AX1006" s="68"/>
      <c r="BB1006" s="34"/>
      <c r="BD1006" s="34"/>
      <c r="BE1006" s="34"/>
      <c r="BF1006" s="34"/>
    </row>
    <row r="1007" spans="1:157" ht="12.95" customHeight="1">
      <c r="A1007" s="14"/>
      <c r="B1007" s="73"/>
      <c r="C1007" s="74"/>
      <c r="D1007" s="1748" t="s">
        <v>1396</v>
      </c>
      <c r="E1007" s="1749"/>
      <c r="F1007" s="1749"/>
      <c r="G1007" s="1749"/>
      <c r="H1007" s="1749"/>
      <c r="I1007" s="1749"/>
      <c r="J1007" s="1749"/>
      <c r="K1007" s="1749"/>
      <c r="L1007" s="1749"/>
      <c r="M1007" s="1749"/>
      <c r="N1007" s="1749"/>
      <c r="O1007" s="1749"/>
      <c r="P1007" s="1749"/>
      <c r="Q1007" s="1749"/>
      <c r="R1007" s="1749"/>
      <c r="S1007" s="1749"/>
      <c r="T1007" s="1749"/>
      <c r="U1007" s="1749"/>
      <c r="V1007" s="1749"/>
      <c r="W1007" s="1749"/>
      <c r="X1007" s="1749"/>
      <c r="Y1007" s="1749"/>
      <c r="Z1007" s="1749"/>
      <c r="AA1007" s="1749"/>
      <c r="AB1007" s="1749"/>
      <c r="AC1007" s="1749"/>
      <c r="AD1007" s="1749"/>
      <c r="AE1007" s="1750"/>
      <c r="AF1007" s="73"/>
      <c r="AI1007" s="83"/>
      <c r="AJ1007" s="1800"/>
      <c r="AK1007" s="1801"/>
      <c r="AL1007" s="1801"/>
      <c r="AM1007" s="1801"/>
      <c r="AN1007" s="1801"/>
      <c r="AO1007" s="1801"/>
      <c r="AP1007" s="1801"/>
      <c r="AQ1007" s="1802"/>
      <c r="AR1007" s="68"/>
      <c r="AS1007" s="68"/>
      <c r="AT1007" s="68"/>
      <c r="AU1007" s="68"/>
      <c r="AV1007" s="68"/>
      <c r="AW1007" s="68"/>
      <c r="AX1007" s="68"/>
    </row>
    <row r="1008" spans="1:157" ht="12.95" customHeight="1">
      <c r="A1008" s="14"/>
      <c r="B1008" s="73"/>
      <c r="C1008" s="74"/>
      <c r="D1008" s="1748"/>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800"/>
      <c r="AK1008" s="1801"/>
      <c r="AL1008" s="1801"/>
      <c r="AM1008" s="1801"/>
      <c r="AN1008" s="1801"/>
      <c r="AO1008" s="1801"/>
      <c r="AP1008" s="1801"/>
      <c r="AQ1008" s="1802"/>
      <c r="AR1008" s="68"/>
      <c r="AS1008" s="68"/>
      <c r="AT1008" s="68"/>
      <c r="AU1008" s="68"/>
      <c r="AV1008" s="68"/>
      <c r="AW1008" s="68"/>
      <c r="AX1008" s="68"/>
    </row>
    <row r="1009" spans="1:51" ht="12.95" customHeight="1">
      <c r="A1009" s="14"/>
      <c r="B1009" s="85"/>
      <c r="C1009" s="76"/>
      <c r="D1009" s="1751"/>
      <c r="E1009" s="1752"/>
      <c r="F1009" s="1752"/>
      <c r="G1009" s="1752"/>
      <c r="H1009" s="1752"/>
      <c r="I1009" s="1752"/>
      <c r="J1009" s="1752"/>
      <c r="K1009" s="1752"/>
      <c r="L1009" s="1752"/>
      <c r="M1009" s="1752"/>
      <c r="N1009" s="1752"/>
      <c r="O1009" s="1752"/>
      <c r="P1009" s="1752"/>
      <c r="Q1009" s="1752"/>
      <c r="R1009" s="1752"/>
      <c r="S1009" s="1752"/>
      <c r="T1009" s="1752"/>
      <c r="U1009" s="1752"/>
      <c r="V1009" s="1752"/>
      <c r="W1009" s="1752"/>
      <c r="X1009" s="1752"/>
      <c r="Y1009" s="1752"/>
      <c r="Z1009" s="1752"/>
      <c r="AA1009" s="1752"/>
      <c r="AB1009" s="1752"/>
      <c r="AC1009" s="1752"/>
      <c r="AD1009" s="1752"/>
      <c r="AE1009" s="1753"/>
      <c r="AF1009" s="77"/>
      <c r="AG1009" s="7"/>
      <c r="AH1009" s="7"/>
      <c r="AI1009" s="78"/>
      <c r="AJ1009" s="1803"/>
      <c r="AK1009" s="1804"/>
      <c r="AL1009" s="1804"/>
      <c r="AM1009" s="1804"/>
      <c r="AN1009" s="1804"/>
      <c r="AO1009" s="1804"/>
      <c r="AP1009" s="1804"/>
      <c r="AQ1009" s="1805"/>
      <c r="AR1009" s="68"/>
      <c r="AS1009" s="68"/>
      <c r="AT1009" s="68"/>
      <c r="AU1009" s="68"/>
      <c r="AV1009" s="68"/>
      <c r="AW1009" s="68"/>
      <c r="AX1009" s="68"/>
    </row>
    <row r="1010" spans="1:51" ht="12.95" customHeight="1">
      <c r="A1010" s="14"/>
      <c r="B1010" s="79"/>
      <c r="C1010" s="80" t="s">
        <v>213</v>
      </c>
      <c r="D1010" s="1761" t="s">
        <v>1398</v>
      </c>
      <c r="E1010" s="1762"/>
      <c r="F1010" s="1762"/>
      <c r="G1010" s="1762"/>
      <c r="H1010" s="1762"/>
      <c r="I1010" s="1762"/>
      <c r="J1010" s="1762"/>
      <c r="K1010" s="1762"/>
      <c r="L1010" s="1762"/>
      <c r="M1010" s="1762"/>
      <c r="N1010" s="1762"/>
      <c r="O1010" s="1762"/>
      <c r="P1010" s="1762"/>
      <c r="Q1010" s="1762"/>
      <c r="R1010" s="1762"/>
      <c r="S1010" s="1762"/>
      <c r="T1010" s="1762"/>
      <c r="U1010" s="1762"/>
      <c r="V1010" s="1762"/>
      <c r="W1010" s="1762"/>
      <c r="X1010" s="1762"/>
      <c r="Y1010" s="1762"/>
      <c r="Z1010" s="1762"/>
      <c r="AA1010" s="1762"/>
      <c r="AB1010" s="1762"/>
      <c r="AC1010" s="1762"/>
      <c r="AD1010" s="1762"/>
      <c r="AE1010" s="1763"/>
      <c r="AF1010" s="79"/>
      <c r="AG1010" s="1790" t="s">
        <v>678</v>
      </c>
      <c r="AH1010" s="1791"/>
      <c r="AI1010" s="87"/>
      <c r="AJ1010" s="1797">
        <f>ROUND(IF(AG1010="yes",AJ991*0.02,0),0)</f>
        <v>0</v>
      </c>
      <c r="AK1010" s="1798"/>
      <c r="AL1010" s="1798"/>
      <c r="AM1010" s="1798"/>
      <c r="AN1010" s="1798"/>
      <c r="AO1010" s="1798"/>
      <c r="AP1010" s="1798"/>
      <c r="AQ1010" s="1799"/>
      <c r="AR1010" s="68"/>
      <c r="AS1010" s="68"/>
      <c r="AT1010" s="68"/>
      <c r="AU1010" s="68"/>
      <c r="AV1010" s="68"/>
      <c r="AW1010" s="68"/>
      <c r="AX1010" s="68"/>
      <c r="AY1010" s="215">
        <f>IF(SUM(AY1012:AY1020)&lt;=0.1,SUM(AY1012:AY1020),0.1)</f>
        <v>0</v>
      </c>
    </row>
    <row r="1011" spans="1:51" ht="14.25" customHeight="1">
      <c r="A1011" s="14"/>
      <c r="B1011" s="73"/>
      <c r="C1011" s="74"/>
      <c r="D1011" s="1751" t="s">
        <v>1399</v>
      </c>
      <c r="E1011" s="1752"/>
      <c r="F1011" s="1752"/>
      <c r="G1011" s="1752"/>
      <c r="H1011" s="1752"/>
      <c r="I1011" s="1752"/>
      <c r="J1011" s="1752"/>
      <c r="K1011" s="1752"/>
      <c r="L1011" s="1752"/>
      <c r="M1011" s="1752"/>
      <c r="N1011" s="1752"/>
      <c r="O1011" s="1752"/>
      <c r="P1011" s="1752"/>
      <c r="Q1011" s="1752"/>
      <c r="R1011" s="1752"/>
      <c r="S1011" s="1752"/>
      <c r="T1011" s="1752"/>
      <c r="U1011" s="1752"/>
      <c r="V1011" s="1752"/>
      <c r="W1011" s="1752"/>
      <c r="X1011" s="1752"/>
      <c r="Y1011" s="1752"/>
      <c r="Z1011" s="1752"/>
      <c r="AA1011" s="1752"/>
      <c r="AB1011" s="1752"/>
      <c r="AC1011" s="1752"/>
      <c r="AD1011" s="1752"/>
      <c r="AE1011" s="1753"/>
      <c r="AF1011" s="77"/>
      <c r="AG1011" s="7"/>
      <c r="AH1011" s="7"/>
      <c r="AI1011" s="78"/>
      <c r="AJ1011" s="1803"/>
      <c r="AK1011" s="1804"/>
      <c r="AL1011" s="1804"/>
      <c r="AM1011" s="1804"/>
      <c r="AN1011" s="1804"/>
      <c r="AO1011" s="1804"/>
      <c r="AP1011" s="1804"/>
      <c r="AQ1011" s="1805"/>
      <c r="AR1011" s="68"/>
      <c r="AS1011" s="68"/>
      <c r="AT1011" s="68"/>
      <c r="AU1011" s="68"/>
      <c r="AV1011" s="68"/>
      <c r="AW1011" s="68"/>
      <c r="AX1011" s="68"/>
    </row>
    <row r="1012" spans="1:51" ht="12.95" customHeight="1">
      <c r="A1012" s="14"/>
      <c r="B1012" s="79"/>
      <c r="C1012" s="80" t="s">
        <v>216</v>
      </c>
      <c r="D1012" s="1761" t="s">
        <v>1400</v>
      </c>
      <c r="E1012" s="1762"/>
      <c r="F1012" s="1762"/>
      <c r="G1012" s="1762"/>
      <c r="H1012" s="1762"/>
      <c r="I1012" s="1762"/>
      <c r="J1012" s="1762"/>
      <c r="K1012" s="1762"/>
      <c r="L1012" s="1762"/>
      <c r="M1012" s="1762"/>
      <c r="N1012" s="1762"/>
      <c r="O1012" s="1762"/>
      <c r="P1012" s="1762"/>
      <c r="Q1012" s="1762"/>
      <c r="R1012" s="1762"/>
      <c r="S1012" s="1762"/>
      <c r="T1012" s="1762"/>
      <c r="U1012" s="1762"/>
      <c r="V1012" s="1762"/>
      <c r="W1012" s="1762"/>
      <c r="X1012" s="1762"/>
      <c r="Y1012" s="1762"/>
      <c r="Z1012" s="1762"/>
      <c r="AA1012" s="1762"/>
      <c r="AB1012" s="1762"/>
      <c r="AC1012" s="1762"/>
      <c r="AD1012" s="1762"/>
      <c r="AE1012" s="1763"/>
      <c r="AF1012" s="79"/>
      <c r="AG1012" s="1790" t="s">
        <v>678</v>
      </c>
      <c r="AH1012" s="1791"/>
      <c r="AI1012" s="79"/>
      <c r="AJ1012" s="1797">
        <f>ROUND(IF(AG1012="yes",AJ991*0.02,0),0)</f>
        <v>0</v>
      </c>
      <c r="AK1012" s="1798"/>
      <c r="AL1012" s="1798"/>
      <c r="AM1012" s="1798"/>
      <c r="AN1012" s="1798"/>
      <c r="AO1012" s="1798"/>
      <c r="AP1012" s="1798"/>
      <c r="AQ1012" s="1799"/>
      <c r="AR1012" s="68"/>
      <c r="AS1012" s="68"/>
      <c r="AT1012" s="68"/>
      <c r="AU1012" s="68"/>
      <c r="AV1012" s="68"/>
      <c r="AW1012" s="68"/>
      <c r="AX1012" s="68"/>
      <c r="AY1012" s="213">
        <f>IF(A1064="Yes",0.05,0)</f>
        <v>0</v>
      </c>
    </row>
    <row r="1013" spans="1:51" ht="12.95" customHeight="1">
      <c r="A1013" s="14"/>
      <c r="B1013" s="73"/>
      <c r="C1013" s="74"/>
      <c r="D1013" s="1748" t="s">
        <v>1401</v>
      </c>
      <c r="E1013" s="1749"/>
      <c r="F1013" s="1749"/>
      <c r="G1013" s="1749"/>
      <c r="H1013" s="1749"/>
      <c r="I1013" s="1749"/>
      <c r="J1013" s="1749"/>
      <c r="K1013" s="1749"/>
      <c r="L1013" s="1749"/>
      <c r="M1013" s="1749"/>
      <c r="N1013" s="1749"/>
      <c r="O1013" s="1749"/>
      <c r="P1013" s="1749"/>
      <c r="Q1013" s="1749"/>
      <c r="R1013" s="1749"/>
      <c r="S1013" s="1749"/>
      <c r="T1013" s="1749"/>
      <c r="U1013" s="1749"/>
      <c r="V1013" s="1749"/>
      <c r="W1013" s="1749"/>
      <c r="X1013" s="1749"/>
      <c r="Y1013" s="1749"/>
      <c r="Z1013" s="1749"/>
      <c r="AA1013" s="1749"/>
      <c r="AB1013" s="1749"/>
      <c r="AC1013" s="1749"/>
      <c r="AD1013" s="1749"/>
      <c r="AE1013" s="1750"/>
      <c r="AF1013" s="1865" t="str">
        <f>IF(AND(AG1012="yes",AB212&lt;&gt;1),"The project may not be eligible for this boost","")</f>
        <v/>
      </c>
      <c r="AG1013" s="1866"/>
      <c r="AH1013" s="1866"/>
      <c r="AI1013" s="1867"/>
      <c r="AJ1013" s="1800"/>
      <c r="AK1013" s="1801"/>
      <c r="AL1013" s="1801"/>
      <c r="AM1013" s="1801"/>
      <c r="AN1013" s="1801"/>
      <c r="AO1013" s="1801"/>
      <c r="AP1013" s="1801"/>
      <c r="AQ1013" s="1802"/>
      <c r="AR1013" s="68"/>
      <c r="AS1013" s="68"/>
      <c r="AT1013" s="68"/>
      <c r="AU1013" s="68"/>
      <c r="AV1013" s="68"/>
      <c r="AW1013" s="68"/>
      <c r="AX1013" s="68"/>
      <c r="AY1013" s="213">
        <f>IF(A1070="Yes",0.02,0)</f>
        <v>0</v>
      </c>
    </row>
    <row r="1014" spans="1:51" ht="12.95" customHeight="1">
      <c r="A1014" s="14"/>
      <c r="B1014" s="75"/>
      <c r="C1014" s="76"/>
      <c r="D1014" s="1751"/>
      <c r="E1014" s="1752"/>
      <c r="F1014" s="1752"/>
      <c r="G1014" s="1752"/>
      <c r="H1014" s="1752"/>
      <c r="I1014" s="1752"/>
      <c r="J1014" s="1752"/>
      <c r="K1014" s="1752"/>
      <c r="L1014" s="1752"/>
      <c r="M1014" s="1752"/>
      <c r="N1014" s="1752"/>
      <c r="O1014" s="1752"/>
      <c r="P1014" s="1752"/>
      <c r="Q1014" s="1752"/>
      <c r="R1014" s="1752"/>
      <c r="S1014" s="1752"/>
      <c r="T1014" s="1752"/>
      <c r="U1014" s="1752"/>
      <c r="V1014" s="1752"/>
      <c r="W1014" s="1752"/>
      <c r="X1014" s="1752"/>
      <c r="Y1014" s="1752"/>
      <c r="Z1014" s="1752"/>
      <c r="AA1014" s="1752"/>
      <c r="AB1014" s="1752"/>
      <c r="AC1014" s="1752"/>
      <c r="AD1014" s="1752"/>
      <c r="AE1014" s="1753"/>
      <c r="AF1014" s="1868"/>
      <c r="AG1014" s="1869"/>
      <c r="AH1014" s="1869"/>
      <c r="AI1014" s="1870"/>
      <c r="AJ1014" s="1803"/>
      <c r="AK1014" s="1804"/>
      <c r="AL1014" s="1804"/>
      <c r="AM1014" s="1804"/>
      <c r="AN1014" s="1804"/>
      <c r="AO1014" s="1804"/>
      <c r="AP1014" s="1804"/>
      <c r="AQ1014" s="1805"/>
      <c r="AR1014" s="68"/>
      <c r="AS1014" s="68"/>
      <c r="AT1014" s="68"/>
      <c r="AU1014" s="68"/>
      <c r="AV1014" s="68"/>
      <c r="AW1014" s="68"/>
      <c r="AX1014" s="68"/>
      <c r="AY1014" s="213">
        <f>IF(A1076="Yes",0.04,0)</f>
        <v>0</v>
      </c>
    </row>
    <row r="1015" spans="1:51" ht="12.95" customHeight="1">
      <c r="A1015" s="14"/>
      <c r="B1015" s="79"/>
      <c r="C1015" s="80" t="s">
        <v>219</v>
      </c>
      <c r="D1015" s="1809" t="s">
        <v>1402</v>
      </c>
      <c r="E1015" s="1810"/>
      <c r="F1015" s="1810"/>
      <c r="G1015" s="1810"/>
      <c r="H1015" s="1810"/>
      <c r="I1015" s="1810"/>
      <c r="J1015" s="1810"/>
      <c r="K1015" s="1810"/>
      <c r="L1015" s="1810"/>
      <c r="M1015" s="1810"/>
      <c r="N1015" s="1810"/>
      <c r="O1015" s="1810"/>
      <c r="P1015" s="1810"/>
      <c r="Q1015" s="1810"/>
      <c r="R1015" s="1810"/>
      <c r="S1015" s="1810"/>
      <c r="T1015" s="1810"/>
      <c r="U1015" s="1810"/>
      <c r="V1015" s="1810"/>
      <c r="W1015" s="1810"/>
      <c r="X1015" s="1810"/>
      <c r="Y1015" s="1810"/>
      <c r="Z1015" s="1810"/>
      <c r="AA1015" s="1810"/>
      <c r="AB1015" s="1810"/>
      <c r="AC1015" s="1810"/>
      <c r="AD1015" s="1810"/>
      <c r="AE1015" s="1811"/>
      <c r="AF1015" s="79"/>
      <c r="AG1015" s="1790" t="s">
        <v>678</v>
      </c>
      <c r="AH1015" s="1791"/>
      <c r="AI1015" s="87"/>
      <c r="AJ1015" s="1797">
        <f>IF(AG1015="yes",AJ991*AY1010,0)</f>
        <v>0</v>
      </c>
      <c r="AK1015" s="1798"/>
      <c r="AL1015" s="1798"/>
      <c r="AM1015" s="1798"/>
      <c r="AN1015" s="1798"/>
      <c r="AO1015" s="1798"/>
      <c r="AP1015" s="1798"/>
      <c r="AQ1015" s="1799"/>
      <c r="AR1015" s="68"/>
      <c r="AS1015" s="68"/>
      <c r="AT1015" s="68"/>
      <c r="AU1015" s="68"/>
      <c r="AV1015" s="68"/>
      <c r="AW1015" s="68"/>
      <c r="AX1015" s="68"/>
      <c r="AY1015" s="213">
        <f>IF(A1083="Yes",0.04,0)</f>
        <v>0</v>
      </c>
    </row>
    <row r="1016" spans="1:51" ht="12.95" customHeight="1">
      <c r="A1016" s="14"/>
      <c r="B1016" s="73"/>
      <c r="C1016" s="74"/>
      <c r="D1016" s="1748" t="s">
        <v>1403</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1859" t="str">
        <f>IF(AND(AG1015="Yes",AY1010=0),AY1022,"")</f>
        <v/>
      </c>
      <c r="AG1016" s="1860"/>
      <c r="AH1016" s="1860"/>
      <c r="AI1016" s="1861"/>
      <c r="AJ1016" s="1800"/>
      <c r="AK1016" s="1801"/>
      <c r="AL1016" s="1801"/>
      <c r="AM1016" s="1801"/>
      <c r="AN1016" s="1801"/>
      <c r="AO1016" s="1801"/>
      <c r="AP1016" s="1801"/>
      <c r="AQ1016" s="1802"/>
      <c r="AR1016" s="68"/>
      <c r="AS1016" s="68"/>
      <c r="AT1016" s="68"/>
      <c r="AU1016" s="68"/>
      <c r="AV1016" s="68"/>
      <c r="AW1016" s="68"/>
      <c r="AX1016" s="68"/>
      <c r="AY1016" s="213">
        <f>IF(A1086="Yes",0.01,0)</f>
        <v>0</v>
      </c>
    </row>
    <row r="1017" spans="1:51" ht="12.95" customHeight="1">
      <c r="A1017" s="14"/>
      <c r="B1017" s="73"/>
      <c r="C1017" s="74"/>
      <c r="D1017" s="1748"/>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1859"/>
      <c r="AG1017" s="1860"/>
      <c r="AH1017" s="1860"/>
      <c r="AI1017" s="1861"/>
      <c r="AJ1017" s="1800"/>
      <c r="AK1017" s="1801"/>
      <c r="AL1017" s="1801"/>
      <c r="AM1017" s="1801"/>
      <c r="AN1017" s="1801"/>
      <c r="AO1017" s="1801"/>
      <c r="AP1017" s="1801"/>
      <c r="AQ1017" s="1802"/>
      <c r="AR1017" s="68"/>
      <c r="AS1017" s="68"/>
      <c r="AT1017" s="68"/>
      <c r="AU1017" s="68"/>
      <c r="AV1017" s="68"/>
      <c r="AW1017" s="68"/>
      <c r="AX1017" s="68"/>
      <c r="AY1017" s="213">
        <f>IF(A1091="Yes",0.01,0)</f>
        <v>0</v>
      </c>
    </row>
    <row r="1018" spans="1:51" ht="12.95" customHeight="1">
      <c r="A1018" s="14"/>
      <c r="B1018" s="81"/>
      <c r="C1018" s="82"/>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1862"/>
      <c r="AG1018" s="1863"/>
      <c r="AH1018" s="1863"/>
      <c r="AI1018" s="1864"/>
      <c r="AJ1018" s="1803"/>
      <c r="AK1018" s="1804"/>
      <c r="AL1018" s="1804"/>
      <c r="AM1018" s="1804"/>
      <c r="AN1018" s="1804"/>
      <c r="AO1018" s="1804"/>
      <c r="AP1018" s="1804"/>
      <c r="AQ1018" s="1805"/>
      <c r="AR1018" s="68"/>
      <c r="AS1018" s="68"/>
      <c r="AT1018" s="68"/>
      <c r="AU1018" s="68"/>
      <c r="AV1018" s="68"/>
      <c r="AW1018" s="68"/>
      <c r="AX1018" s="68"/>
      <c r="AY1018" s="213">
        <f>IF(A1094="Yes",0.01,0)</f>
        <v>0</v>
      </c>
    </row>
    <row r="1019" spans="1:51" ht="12.95" customHeight="1">
      <c r="A1019" s="14"/>
      <c r="B1019" s="79"/>
      <c r="C1019" s="80" t="s">
        <v>224</v>
      </c>
      <c r="D1019" s="1770" t="s">
        <v>1404</v>
      </c>
      <c r="E1019" s="1771"/>
      <c r="F1019" s="1771"/>
      <c r="G1019" s="1771"/>
      <c r="H1019" s="1771"/>
      <c r="I1019" s="1771"/>
      <c r="J1019" s="1771"/>
      <c r="K1019" s="1771"/>
      <c r="L1019" s="1771"/>
      <c r="M1019" s="1771"/>
      <c r="N1019" s="1771"/>
      <c r="O1019" s="1771"/>
      <c r="P1019" s="1771"/>
      <c r="Q1019" s="1771"/>
      <c r="R1019" s="1771"/>
      <c r="S1019" s="1771"/>
      <c r="T1019" s="1771"/>
      <c r="U1019" s="1771"/>
      <c r="V1019" s="1771"/>
      <c r="W1019" s="1771"/>
      <c r="X1019" s="1771"/>
      <c r="Y1019" s="1771"/>
      <c r="Z1019" s="1771"/>
      <c r="AA1019" s="1771"/>
      <c r="AB1019" s="1771"/>
      <c r="AC1019" s="1771"/>
      <c r="AD1019" s="1771"/>
      <c r="AE1019" s="1772"/>
      <c r="AF1019" s="79"/>
      <c r="AG1019" s="1790" t="s">
        <v>678</v>
      </c>
      <c r="AH1019" s="1791"/>
      <c r="AI1019" s="87"/>
      <c r="AJ1019" s="1797">
        <f>ROUND(IF(AND(AG1019="Yes",J1023&lt;&gt;"N/A",AF1022&lt;&gt;""),MIN(AF1022,(0.15*AJ991)),0),0)</f>
        <v>0</v>
      </c>
      <c r="AK1019" s="1798"/>
      <c r="AL1019" s="1798"/>
      <c r="AM1019" s="1798"/>
      <c r="AN1019" s="1798"/>
      <c r="AO1019" s="1798"/>
      <c r="AP1019" s="1798"/>
      <c r="AQ1019" s="1799"/>
      <c r="AR1019" s="68"/>
      <c r="AS1019" s="68"/>
      <c r="AT1019" s="68"/>
      <c r="AU1019" s="68"/>
      <c r="AV1019" s="68"/>
      <c r="AW1019" s="68"/>
      <c r="AX1019" s="68"/>
      <c r="AY1019" s="213">
        <f>IF(A1098="Yes",0.02,0)</f>
        <v>0</v>
      </c>
    </row>
    <row r="1020" spans="1:51" ht="12.95" customHeight="1">
      <c r="A1020" s="14"/>
      <c r="B1020" s="81"/>
      <c r="C1020" s="84"/>
      <c r="D1020" s="1773"/>
      <c r="E1020" s="1774"/>
      <c r="F1020" s="1774"/>
      <c r="G1020" s="1774"/>
      <c r="H1020" s="1774"/>
      <c r="I1020" s="1774"/>
      <c r="J1020" s="1774"/>
      <c r="K1020" s="1774"/>
      <c r="L1020" s="1774"/>
      <c r="M1020" s="1774"/>
      <c r="N1020" s="1774"/>
      <c r="O1020" s="1774"/>
      <c r="P1020" s="1774"/>
      <c r="Q1020" s="1774"/>
      <c r="R1020" s="1774"/>
      <c r="S1020" s="1774"/>
      <c r="T1020" s="1774"/>
      <c r="U1020" s="1774"/>
      <c r="V1020" s="1774"/>
      <c r="W1020" s="1774"/>
      <c r="X1020" s="1774"/>
      <c r="Y1020" s="1774"/>
      <c r="Z1020" s="1774"/>
      <c r="AA1020" s="1774"/>
      <c r="AB1020" s="1774"/>
      <c r="AC1020" s="1774"/>
      <c r="AD1020" s="1774"/>
      <c r="AE1020" s="1775"/>
      <c r="AF1020" s="1845" t="str">
        <f>IF(AG1019="yes","Please Select Type and Enter Amount:","")</f>
        <v/>
      </c>
      <c r="AG1020" s="1846"/>
      <c r="AH1020" s="1846"/>
      <c r="AI1020" s="1847"/>
      <c r="AJ1020" s="1800"/>
      <c r="AK1020" s="1801"/>
      <c r="AL1020" s="1801"/>
      <c r="AM1020" s="1801"/>
      <c r="AN1020" s="1801"/>
      <c r="AO1020" s="1801"/>
      <c r="AP1020" s="1801"/>
      <c r="AQ1020" s="1802"/>
      <c r="AR1020" s="68"/>
      <c r="AS1020" s="68"/>
      <c r="AT1020" s="68"/>
      <c r="AU1020" s="68"/>
      <c r="AV1020" s="68"/>
      <c r="AW1020" s="68"/>
      <c r="AX1020" s="68"/>
      <c r="AY1020" s="214">
        <f>IF(A1103="Yes",0.02,0)</f>
        <v>0</v>
      </c>
    </row>
    <row r="1021" spans="1:51" ht="12.95" customHeight="1">
      <c r="A1021" s="14"/>
      <c r="B1021" s="81"/>
      <c r="C1021" s="84"/>
      <c r="D1021" s="1748" t="s">
        <v>1405</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845"/>
      <c r="AG1021" s="1846"/>
      <c r="AH1021" s="1846"/>
      <c r="AI1021" s="1847"/>
      <c r="AJ1021" s="1800"/>
      <c r="AK1021" s="1801"/>
      <c r="AL1021" s="1801"/>
      <c r="AM1021" s="1801"/>
      <c r="AN1021" s="1801"/>
      <c r="AO1021" s="1801"/>
      <c r="AP1021" s="1801"/>
      <c r="AQ1021" s="1802"/>
      <c r="AR1021" s="68"/>
      <c r="AS1021" s="68"/>
      <c r="AT1021" s="68"/>
      <c r="AU1021" s="68"/>
      <c r="AV1021" s="68"/>
      <c r="AW1021" s="68"/>
      <c r="AX1021" s="68"/>
      <c r="AY1021" s="68"/>
    </row>
    <row r="1022" spans="1:51" ht="12.95" customHeight="1">
      <c r="A1022" s="14"/>
      <c r="B1022" s="81"/>
      <c r="C1022" s="84"/>
      <c r="D1022" s="1748"/>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1826"/>
      <c r="AG1022" s="1826"/>
      <c r="AH1022" s="1826"/>
      <c r="AI1022" s="1826"/>
      <c r="AJ1022" s="1800"/>
      <c r="AK1022" s="1801"/>
      <c r="AL1022" s="1801"/>
      <c r="AM1022" s="1801"/>
      <c r="AN1022" s="1801"/>
      <c r="AO1022" s="1801"/>
      <c r="AP1022" s="1801"/>
      <c r="AQ1022" s="180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7" t="s">
        <v>600</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826"/>
      <c r="AG1023" s="1826"/>
      <c r="AH1023" s="1826"/>
      <c r="AI1023" s="1826"/>
      <c r="AJ1023" s="1803"/>
      <c r="AK1023" s="1804"/>
      <c r="AL1023" s="1804"/>
      <c r="AM1023" s="1804"/>
      <c r="AN1023" s="1804"/>
      <c r="AO1023" s="1804"/>
      <c r="AP1023" s="1804"/>
      <c r="AQ1023" s="1805"/>
      <c r="AR1023" s="68"/>
      <c r="AS1023" s="68"/>
      <c r="AT1023" s="68"/>
      <c r="AU1023" s="68"/>
      <c r="AV1023" s="68"/>
      <c r="AW1023" s="68"/>
      <c r="AX1023" s="68"/>
      <c r="AY1023" s="68"/>
    </row>
    <row r="1024" spans="1:51" ht="12.95" customHeight="1">
      <c r="A1024" s="14"/>
      <c r="B1024" s="79"/>
      <c r="C1024" s="80" t="s">
        <v>230</v>
      </c>
      <c r="D1024" s="1761" t="s">
        <v>1406</v>
      </c>
      <c r="E1024" s="1762"/>
      <c r="F1024" s="1762"/>
      <c r="G1024" s="1762"/>
      <c r="H1024" s="1762"/>
      <c r="I1024" s="1762"/>
      <c r="J1024" s="1762"/>
      <c r="K1024" s="1762"/>
      <c r="L1024" s="1762"/>
      <c r="M1024" s="1762"/>
      <c r="N1024" s="1762"/>
      <c r="O1024" s="1762"/>
      <c r="P1024" s="1762"/>
      <c r="Q1024" s="1762"/>
      <c r="R1024" s="1762"/>
      <c r="S1024" s="1762"/>
      <c r="T1024" s="1762"/>
      <c r="U1024" s="1762"/>
      <c r="V1024" s="1762"/>
      <c r="W1024" s="1762"/>
      <c r="X1024" s="1762"/>
      <c r="Y1024" s="1762"/>
      <c r="Z1024" s="1762"/>
      <c r="AA1024" s="1762"/>
      <c r="AB1024" s="1762"/>
      <c r="AC1024" s="1762"/>
      <c r="AD1024" s="1762"/>
      <c r="AE1024" s="1763"/>
      <c r="AF1024" s="79"/>
      <c r="AG1024" s="1790" t="s">
        <v>554</v>
      </c>
      <c r="AH1024" s="1791"/>
      <c r="AI1024" s="87"/>
      <c r="AJ1024" s="1797">
        <f>ROUND(IF(AG1024="Yes",AF1026,0),0)</f>
        <v>9939707</v>
      </c>
      <c r="AK1024" s="1798"/>
      <c r="AL1024" s="1798"/>
      <c r="AM1024" s="1798"/>
      <c r="AN1024" s="1798"/>
      <c r="AO1024" s="1798"/>
      <c r="AP1024" s="1798"/>
      <c r="AQ1024" s="1799"/>
      <c r="AR1024" s="68"/>
      <c r="AS1024" s="68"/>
      <c r="AT1024" s="68"/>
      <c r="AU1024" s="68"/>
      <c r="AV1024" s="68"/>
      <c r="AW1024" s="68"/>
      <c r="AX1024" s="68"/>
      <c r="AY1024" s="68"/>
    </row>
    <row r="1025" spans="1:51" ht="12.95" customHeight="1">
      <c r="A1025" s="14"/>
      <c r="B1025" s="73"/>
      <c r="C1025" s="74"/>
      <c r="D1025" s="1748" t="s">
        <v>1881</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1779" t="str">
        <f>IF(AG1024="yes","Enter Amount:","")</f>
        <v>Enter Amount:</v>
      </c>
      <c r="AG1025" s="1780"/>
      <c r="AH1025" s="1780"/>
      <c r="AI1025" s="1781"/>
      <c r="AJ1025" s="1800"/>
      <c r="AK1025" s="1801"/>
      <c r="AL1025" s="1801"/>
      <c r="AM1025" s="1801"/>
      <c r="AN1025" s="1801"/>
      <c r="AO1025" s="1801"/>
      <c r="AP1025" s="1801"/>
      <c r="AQ1025" s="1802"/>
      <c r="AR1025" s="68"/>
      <c r="AS1025" s="68"/>
      <c r="AT1025" s="68"/>
      <c r="AU1025" s="68"/>
      <c r="AV1025" s="68"/>
      <c r="AW1025" s="68"/>
      <c r="AX1025" s="68"/>
      <c r="AY1025" s="68"/>
    </row>
    <row r="1026" spans="1:51" ht="12.95" customHeight="1">
      <c r="A1026" s="14"/>
      <c r="B1026" s="73"/>
      <c r="C1026" s="74"/>
      <c r="D1026" s="1748"/>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826">
        <v>9939707</v>
      </c>
      <c r="AG1026" s="1826"/>
      <c r="AH1026" s="1826"/>
      <c r="AI1026" s="1826"/>
      <c r="AJ1026" s="1800"/>
      <c r="AK1026" s="1801"/>
      <c r="AL1026" s="1801"/>
      <c r="AM1026" s="1801"/>
      <c r="AN1026" s="1801"/>
      <c r="AO1026" s="1801"/>
      <c r="AP1026" s="1801"/>
      <c r="AQ1026" s="1802"/>
      <c r="AR1026" s="68"/>
      <c r="AS1026" s="68"/>
      <c r="AT1026" s="68"/>
      <c r="AU1026" s="68"/>
      <c r="AV1026" s="68"/>
      <c r="AW1026" s="68"/>
      <c r="AX1026" s="68"/>
      <c r="AY1026" s="68"/>
    </row>
    <row r="1027" spans="1:51" ht="12.95" customHeight="1">
      <c r="A1027" s="14"/>
      <c r="B1027" s="85"/>
      <c r="C1027" s="84"/>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26"/>
      <c r="AG1027" s="1826"/>
      <c r="AH1027" s="1826"/>
      <c r="AI1027" s="1826"/>
      <c r="AJ1027" s="1803"/>
      <c r="AK1027" s="1804"/>
      <c r="AL1027" s="1804"/>
      <c r="AM1027" s="1804"/>
      <c r="AN1027" s="1804"/>
      <c r="AO1027" s="1804"/>
      <c r="AP1027" s="1804"/>
      <c r="AQ1027" s="1805"/>
      <c r="AR1027" s="68"/>
      <c r="AS1027" s="68"/>
      <c r="AT1027" s="68"/>
      <c r="AU1027" s="68"/>
      <c r="AV1027" s="68"/>
      <c r="AW1027" s="68"/>
      <c r="AX1027" s="68"/>
      <c r="AY1027" s="68"/>
    </row>
    <row r="1028" spans="1:51" ht="12.95" customHeight="1">
      <c r="A1028" s="14"/>
      <c r="B1028" s="79"/>
      <c r="C1028" s="80" t="s">
        <v>235</v>
      </c>
      <c r="D1028" s="1809" t="s">
        <v>1407</v>
      </c>
      <c r="E1028" s="1810"/>
      <c r="F1028" s="1810"/>
      <c r="G1028" s="1810"/>
      <c r="H1028" s="1810"/>
      <c r="I1028" s="1810"/>
      <c r="J1028" s="1810"/>
      <c r="K1028" s="1810"/>
      <c r="L1028" s="1810"/>
      <c r="M1028" s="1810"/>
      <c r="N1028" s="1810"/>
      <c r="O1028" s="1810"/>
      <c r="P1028" s="1810"/>
      <c r="Q1028" s="1810"/>
      <c r="R1028" s="1810"/>
      <c r="S1028" s="1810"/>
      <c r="T1028" s="1810"/>
      <c r="U1028" s="1810"/>
      <c r="V1028" s="1810"/>
      <c r="W1028" s="1810"/>
      <c r="X1028" s="1810"/>
      <c r="Y1028" s="1810"/>
      <c r="Z1028" s="1810"/>
      <c r="AA1028" s="1810"/>
      <c r="AB1028" s="1810"/>
      <c r="AC1028" s="1810"/>
      <c r="AD1028" s="1810"/>
      <c r="AE1028" s="1811"/>
      <c r="AF1028" s="79"/>
      <c r="AG1028" s="1790" t="s">
        <v>678</v>
      </c>
      <c r="AH1028" s="1791"/>
      <c r="AI1028" s="87"/>
      <c r="AJ1028" s="1797">
        <f>ROUND(IF(AG1028="yes",(AJ991*0.1),0),0)</f>
        <v>0</v>
      </c>
      <c r="AK1028" s="1798"/>
      <c r="AL1028" s="1798"/>
      <c r="AM1028" s="1798"/>
      <c r="AN1028" s="1798"/>
      <c r="AO1028" s="1798"/>
      <c r="AP1028" s="1798"/>
      <c r="AQ1028" s="1799"/>
      <c r="AR1028" s="68"/>
      <c r="AS1028" s="68"/>
      <c r="AT1028" s="68"/>
      <c r="AU1028" s="68"/>
      <c r="AV1028" s="68"/>
      <c r="AW1028" s="68"/>
      <c r="AX1028" s="68"/>
      <c r="AY1028" s="68"/>
    </row>
    <row r="1029" spans="1:51" ht="12.95" customHeight="1">
      <c r="A1029" s="14"/>
      <c r="B1029" s="73"/>
      <c r="C1029" s="74"/>
      <c r="D1029" s="1748" t="s">
        <v>1408</v>
      </c>
      <c r="E1029" s="1749"/>
      <c r="F1029" s="1749"/>
      <c r="G1029" s="1749"/>
      <c r="H1029" s="1749"/>
      <c r="I1029" s="1749"/>
      <c r="J1029" s="1749"/>
      <c r="K1029" s="1749"/>
      <c r="L1029" s="1749"/>
      <c r="M1029" s="1749"/>
      <c r="N1029" s="1749"/>
      <c r="O1029" s="1749"/>
      <c r="P1029" s="1749"/>
      <c r="Q1029" s="1749"/>
      <c r="R1029" s="1749"/>
      <c r="S1029" s="1749"/>
      <c r="T1029" s="1749"/>
      <c r="U1029" s="1749"/>
      <c r="V1029" s="1749"/>
      <c r="W1029" s="1749"/>
      <c r="X1029" s="1749"/>
      <c r="Y1029" s="1749"/>
      <c r="Z1029" s="1749"/>
      <c r="AA1029" s="1749"/>
      <c r="AB1029" s="1749"/>
      <c r="AC1029" s="1749"/>
      <c r="AD1029" s="1749"/>
      <c r="AE1029" s="1750"/>
      <c r="AF1029" s="73"/>
      <c r="AG1029" s="14"/>
      <c r="AH1029" s="14"/>
      <c r="AI1029" s="83"/>
      <c r="AJ1029" s="1800"/>
      <c r="AK1029" s="1801"/>
      <c r="AL1029" s="1801"/>
      <c r="AM1029" s="1801"/>
      <c r="AN1029" s="1801"/>
      <c r="AO1029" s="1801"/>
      <c r="AP1029" s="1801"/>
      <c r="AQ1029" s="1802"/>
      <c r="AR1029" s="68"/>
      <c r="AS1029" s="68"/>
      <c r="AT1029" s="68"/>
      <c r="AU1029" s="68"/>
      <c r="AV1029" s="68"/>
      <c r="AW1029" s="68"/>
      <c r="AX1029" s="68"/>
      <c r="AY1029" s="68"/>
    </row>
    <row r="1030" spans="1:51" ht="12.95" customHeight="1">
      <c r="A1030" s="14"/>
      <c r="B1030" s="77"/>
      <c r="C1030" s="74"/>
      <c r="D1030" s="1751"/>
      <c r="E1030" s="1752"/>
      <c r="F1030" s="1752"/>
      <c r="G1030" s="1752"/>
      <c r="H1030" s="1752"/>
      <c r="I1030" s="1752"/>
      <c r="J1030" s="1752"/>
      <c r="K1030" s="1752"/>
      <c r="L1030" s="1752"/>
      <c r="M1030" s="1752"/>
      <c r="N1030" s="1752"/>
      <c r="O1030" s="1752"/>
      <c r="P1030" s="1752"/>
      <c r="Q1030" s="1752"/>
      <c r="R1030" s="1752"/>
      <c r="S1030" s="1752"/>
      <c r="T1030" s="1752"/>
      <c r="U1030" s="1752"/>
      <c r="V1030" s="1752"/>
      <c r="W1030" s="1752"/>
      <c r="X1030" s="1752"/>
      <c r="Y1030" s="1752"/>
      <c r="Z1030" s="1752"/>
      <c r="AA1030" s="1752"/>
      <c r="AB1030" s="1752"/>
      <c r="AC1030" s="1752"/>
      <c r="AD1030" s="1752"/>
      <c r="AE1030" s="1753"/>
      <c r="AF1030" s="73"/>
      <c r="AG1030" s="14"/>
      <c r="AH1030" s="14"/>
      <c r="AI1030" s="83"/>
      <c r="AJ1030" s="1803"/>
      <c r="AK1030" s="1804"/>
      <c r="AL1030" s="1804"/>
      <c r="AM1030" s="1804"/>
      <c r="AN1030" s="1804"/>
      <c r="AO1030" s="1804"/>
      <c r="AP1030" s="1804"/>
      <c r="AQ1030" s="1805"/>
      <c r="AR1030" s="68"/>
      <c r="AS1030" s="68"/>
      <c r="AT1030" s="68"/>
      <c r="AU1030" s="68"/>
      <c r="AV1030" s="68"/>
      <c r="AW1030" s="68"/>
      <c r="AX1030" s="68"/>
      <c r="AY1030" s="68"/>
    </row>
    <row r="1031" spans="1:51" ht="12.95" customHeight="1">
      <c r="A1031" s="14"/>
      <c r="B1031" s="73"/>
      <c r="C1031" s="367" t="s">
        <v>697</v>
      </c>
      <c r="D1031" s="1761" t="s">
        <v>1877</v>
      </c>
      <c r="E1031" s="1762"/>
      <c r="F1031" s="1762"/>
      <c r="G1031" s="1762"/>
      <c r="H1031" s="1762"/>
      <c r="I1031" s="1762"/>
      <c r="J1031" s="1762"/>
      <c r="K1031" s="1762"/>
      <c r="L1031" s="1762"/>
      <c r="M1031" s="1762"/>
      <c r="N1031" s="1762"/>
      <c r="O1031" s="1762"/>
      <c r="P1031" s="1762"/>
      <c r="Q1031" s="1762"/>
      <c r="R1031" s="1762"/>
      <c r="S1031" s="1762"/>
      <c r="T1031" s="1762"/>
      <c r="U1031" s="1762"/>
      <c r="V1031" s="1762"/>
      <c r="W1031" s="1762"/>
      <c r="X1031" s="1762"/>
      <c r="Y1031" s="1762"/>
      <c r="Z1031" s="1762"/>
      <c r="AA1031" s="1762"/>
      <c r="AB1031" s="1762"/>
      <c r="AC1031" s="1762"/>
      <c r="AD1031" s="1762"/>
      <c r="AE1031" s="1763"/>
      <c r="AF1031" s="79"/>
      <c r="AG1031" s="1790" t="s">
        <v>678</v>
      </c>
      <c r="AH1031" s="1791"/>
      <c r="AI1031" s="87"/>
      <c r="AJ1031" s="1797">
        <f>ROUND(IF(AG1031="yes",(AJ991*0.15),0),0)</f>
        <v>0</v>
      </c>
      <c r="AK1031" s="1798"/>
      <c r="AL1031" s="1798"/>
      <c r="AM1031" s="1798"/>
      <c r="AN1031" s="1798"/>
      <c r="AO1031" s="1798"/>
      <c r="AP1031" s="1798"/>
      <c r="AQ1031" s="1799"/>
      <c r="AR1031" s="68"/>
      <c r="AS1031" s="68"/>
      <c r="AT1031" s="68"/>
      <c r="AU1031" s="68"/>
      <c r="AV1031" s="68"/>
      <c r="AW1031" s="68"/>
      <c r="AX1031" s="68"/>
      <c r="AY1031" s="68"/>
    </row>
    <row r="1032" spans="1:51" ht="12.95" customHeight="1">
      <c r="A1032" s="14"/>
      <c r="B1032" s="73"/>
      <c r="C1032" s="74"/>
      <c r="D1032" s="1792"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3"/>
      <c r="AF1032" s="950"/>
      <c r="AG1032" s="951"/>
      <c r="AH1032" s="951"/>
      <c r="AI1032" s="952"/>
      <c r="AJ1032" s="1800"/>
      <c r="AK1032" s="1801"/>
      <c r="AL1032" s="1801"/>
      <c r="AM1032" s="1801"/>
      <c r="AN1032" s="1801"/>
      <c r="AO1032" s="1801"/>
      <c r="AP1032" s="1801"/>
      <c r="AQ1032" s="1802"/>
      <c r="AR1032" s="68"/>
      <c r="AS1032" s="68"/>
      <c r="AT1032" s="68"/>
      <c r="AU1032" s="68"/>
      <c r="AV1032" s="68"/>
      <c r="AW1032" s="68"/>
      <c r="AX1032" s="68"/>
      <c r="AY1032" s="68"/>
    </row>
    <row r="1033" spans="1:51" ht="12.95" customHeight="1">
      <c r="A1033" s="14"/>
      <c r="B1033" s="73"/>
      <c r="C1033" s="74"/>
      <c r="D1033" s="179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3"/>
      <c r="AF1033" s="950"/>
      <c r="AG1033" s="951"/>
      <c r="AH1033" s="951"/>
      <c r="AI1033" s="952"/>
      <c r="AJ1033" s="1800"/>
      <c r="AK1033" s="1801"/>
      <c r="AL1033" s="1801"/>
      <c r="AM1033" s="1801"/>
      <c r="AN1033" s="1801"/>
      <c r="AO1033" s="1801"/>
      <c r="AP1033" s="1801"/>
      <c r="AQ1033" s="1802"/>
      <c r="AR1033" s="68"/>
      <c r="AS1033" s="68"/>
      <c r="AT1033" s="68"/>
      <c r="AU1033" s="68"/>
      <c r="AV1033" s="68"/>
      <c r="AW1033" s="68"/>
      <c r="AX1033" s="68"/>
      <c r="AY1033" s="68"/>
    </row>
    <row r="1034" spans="1:51" ht="12.95" customHeight="1">
      <c r="A1034" s="14"/>
      <c r="B1034" s="73"/>
      <c r="C1034" s="74"/>
      <c r="D1034" s="1794"/>
      <c r="E1034" s="1795"/>
      <c r="F1034" s="1795"/>
      <c r="G1034" s="1795"/>
      <c r="H1034" s="1795"/>
      <c r="I1034" s="1795"/>
      <c r="J1034" s="1795"/>
      <c r="K1034" s="1795"/>
      <c r="L1034" s="1795"/>
      <c r="M1034" s="1795"/>
      <c r="N1034" s="1795"/>
      <c r="O1034" s="1795"/>
      <c r="P1034" s="1795"/>
      <c r="Q1034" s="1795"/>
      <c r="R1034" s="1795"/>
      <c r="S1034" s="1795"/>
      <c r="T1034" s="1795"/>
      <c r="U1034" s="1795"/>
      <c r="V1034" s="1795"/>
      <c r="W1034" s="1795"/>
      <c r="X1034" s="1795"/>
      <c r="Y1034" s="1795"/>
      <c r="Z1034" s="1795"/>
      <c r="AA1034" s="1795"/>
      <c r="AB1034" s="1795"/>
      <c r="AC1034" s="1795"/>
      <c r="AD1034" s="1795"/>
      <c r="AE1034" s="1796"/>
      <c r="AF1034" s="953"/>
      <c r="AG1034" s="954"/>
      <c r="AH1034" s="954"/>
      <c r="AI1034" s="955"/>
      <c r="AJ1034" s="1803"/>
      <c r="AK1034" s="1804"/>
      <c r="AL1034" s="1804"/>
      <c r="AM1034" s="1804"/>
      <c r="AN1034" s="1804"/>
      <c r="AO1034" s="1804"/>
      <c r="AP1034" s="1804"/>
      <c r="AQ1034" s="1805"/>
      <c r="AR1034" s="68"/>
      <c r="AS1034" s="68"/>
      <c r="AT1034" s="68"/>
      <c r="AU1034" s="68"/>
      <c r="AV1034" s="68"/>
      <c r="AW1034" s="68"/>
      <c r="AX1034" s="68"/>
      <c r="AY1034" s="68"/>
    </row>
    <row r="1035" spans="1:51" ht="12.95" customHeight="1">
      <c r="A1035" s="14"/>
      <c r="B1035" s="73"/>
      <c r="C1035" s="367" t="s">
        <v>697</v>
      </c>
      <c r="D1035" s="1809" t="s">
        <v>1879</v>
      </c>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73"/>
      <c r="AG1035" s="1746" t="s">
        <v>678</v>
      </c>
      <c r="AH1035" s="1747"/>
      <c r="AI1035" s="83"/>
      <c r="AJ1035" s="1797">
        <f>ROUND(IF(AND(AG1035="yes",AJ1031=0),(AJ991*0.1),0),0)</f>
        <v>0</v>
      </c>
      <c r="AK1035" s="1798"/>
      <c r="AL1035" s="1798"/>
      <c r="AM1035" s="1798"/>
      <c r="AN1035" s="1798"/>
      <c r="AO1035" s="1798"/>
      <c r="AP1035" s="1798"/>
      <c r="AQ1035" s="1799"/>
      <c r="AR1035" s="68"/>
      <c r="AS1035" s="68"/>
      <c r="AT1035" s="68"/>
      <c r="AU1035" s="68"/>
      <c r="AV1035" s="68"/>
      <c r="AW1035" s="68"/>
      <c r="AX1035" s="68"/>
      <c r="AY1035" s="68"/>
    </row>
    <row r="1036" spans="1:51" ht="12.95" customHeight="1">
      <c r="A1036" s="14"/>
      <c r="B1036" s="73"/>
      <c r="C1036" s="74"/>
      <c r="D1036" s="1792"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3"/>
      <c r="AF1036" s="73"/>
      <c r="AG1036" s="14"/>
      <c r="AH1036" s="14"/>
      <c r="AI1036" s="83"/>
      <c r="AJ1036" s="1800"/>
      <c r="AK1036" s="1801"/>
      <c r="AL1036" s="1801"/>
      <c r="AM1036" s="1801"/>
      <c r="AN1036" s="1801"/>
      <c r="AO1036" s="1801"/>
      <c r="AP1036" s="1801"/>
      <c r="AQ1036" s="1802"/>
      <c r="AR1036" s="68"/>
      <c r="AS1036" s="68"/>
      <c r="AT1036" s="68"/>
      <c r="AU1036" s="68"/>
      <c r="AV1036" s="68"/>
      <c r="AW1036" s="68"/>
      <c r="AX1036" s="68"/>
      <c r="AY1036" s="68"/>
    </row>
    <row r="1037" spans="1:51" ht="12.95" customHeight="1">
      <c r="A1037" s="14"/>
      <c r="B1037" s="73"/>
      <c r="C1037" s="74"/>
      <c r="D1037" s="179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3"/>
      <c r="AF1037" s="73"/>
      <c r="AG1037" s="14"/>
      <c r="AH1037" s="14"/>
      <c r="AI1037" s="83"/>
      <c r="AJ1037" s="1800"/>
      <c r="AK1037" s="1801"/>
      <c r="AL1037" s="1801"/>
      <c r="AM1037" s="1801"/>
      <c r="AN1037" s="1801"/>
      <c r="AO1037" s="1801"/>
      <c r="AP1037" s="1801"/>
      <c r="AQ1037" s="1802"/>
      <c r="AR1037" s="68"/>
      <c r="AS1037" s="68"/>
      <c r="AT1037" s="68"/>
      <c r="AU1037" s="68"/>
      <c r="AV1037" s="68"/>
      <c r="AW1037" s="68"/>
      <c r="AX1037" s="68"/>
      <c r="AY1037" s="68"/>
    </row>
    <row r="1038" spans="1:51" ht="12.95" customHeight="1">
      <c r="A1038" s="14"/>
      <c r="B1038" s="73"/>
      <c r="C1038" s="74"/>
      <c r="D1038" s="179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3"/>
      <c r="AF1038" s="73"/>
      <c r="AG1038" s="14"/>
      <c r="AH1038" s="14"/>
      <c r="AI1038" s="83"/>
      <c r="AJ1038" s="1800"/>
      <c r="AK1038" s="1801"/>
      <c r="AL1038" s="1801"/>
      <c r="AM1038" s="1801"/>
      <c r="AN1038" s="1801"/>
      <c r="AO1038" s="1801"/>
      <c r="AP1038" s="1801"/>
      <c r="AQ1038" s="1802"/>
      <c r="AR1038" s="68"/>
      <c r="AS1038" s="68"/>
      <c r="AT1038" s="68"/>
      <c r="AU1038" s="68"/>
      <c r="AV1038" s="68"/>
      <c r="AW1038" s="68"/>
      <c r="AX1038" s="68"/>
      <c r="AY1038" s="68"/>
    </row>
    <row r="1039" spans="1:51" ht="12.95" customHeight="1">
      <c r="A1039" s="14"/>
      <c r="B1039" s="73"/>
      <c r="C1039" s="74"/>
      <c r="D1039" s="1794"/>
      <c r="E1039" s="1795"/>
      <c r="F1039" s="1795"/>
      <c r="G1039" s="1795"/>
      <c r="H1039" s="1795"/>
      <c r="I1039" s="1795"/>
      <c r="J1039" s="1795"/>
      <c r="K1039" s="1795"/>
      <c r="L1039" s="1795"/>
      <c r="M1039" s="1795"/>
      <c r="N1039" s="1795"/>
      <c r="O1039" s="1795"/>
      <c r="P1039" s="1795"/>
      <c r="Q1039" s="1795"/>
      <c r="R1039" s="1795"/>
      <c r="S1039" s="1795"/>
      <c r="T1039" s="1795"/>
      <c r="U1039" s="1795"/>
      <c r="V1039" s="1795"/>
      <c r="W1039" s="1795"/>
      <c r="X1039" s="1795"/>
      <c r="Y1039" s="1795"/>
      <c r="Z1039" s="1795"/>
      <c r="AA1039" s="1795"/>
      <c r="AB1039" s="1795"/>
      <c r="AC1039" s="1795"/>
      <c r="AD1039" s="1795"/>
      <c r="AE1039" s="1796"/>
      <c r="AF1039" s="73"/>
      <c r="AG1039" s="14"/>
      <c r="AH1039" s="14"/>
      <c r="AI1039" s="83"/>
      <c r="AJ1039" s="1800"/>
      <c r="AK1039" s="1801"/>
      <c r="AL1039" s="1801"/>
      <c r="AM1039" s="1801"/>
      <c r="AN1039" s="1801"/>
      <c r="AO1039" s="1801"/>
      <c r="AP1039" s="1801"/>
      <c r="AQ1039" s="1802"/>
      <c r="AR1039" s="68"/>
      <c r="AS1039" s="68"/>
      <c r="AT1039" s="68"/>
      <c r="AU1039" s="68"/>
      <c r="AV1039" s="68"/>
      <c r="AW1039" s="68"/>
      <c r="AX1039" s="68"/>
      <c r="AY1039" s="68"/>
    </row>
    <row r="1040" spans="1:51" ht="12.95" customHeight="1">
      <c r="A1040" s="14"/>
      <c r="B1040" s="79"/>
      <c r="C1040" s="131" t="s">
        <v>1035</v>
      </c>
      <c r="D1040" s="1761" t="s">
        <v>1409</v>
      </c>
      <c r="E1040" s="1762"/>
      <c r="F1040" s="1762"/>
      <c r="G1040" s="1762"/>
      <c r="H1040" s="1762"/>
      <c r="I1040" s="1762"/>
      <c r="J1040" s="1762"/>
      <c r="K1040" s="1762"/>
      <c r="L1040" s="1762"/>
      <c r="M1040" s="1762"/>
      <c r="N1040" s="1762"/>
      <c r="O1040" s="1762"/>
      <c r="P1040" s="1762"/>
      <c r="Q1040" s="1762"/>
      <c r="R1040" s="1762"/>
      <c r="S1040" s="1762"/>
      <c r="T1040" s="1762"/>
      <c r="U1040" s="1762"/>
      <c r="V1040" s="1762"/>
      <c r="W1040" s="1762"/>
      <c r="X1040" s="1762"/>
      <c r="Y1040" s="1762"/>
      <c r="Z1040" s="1762"/>
      <c r="AA1040" s="1762"/>
      <c r="AB1040" s="1762"/>
      <c r="AC1040" s="1762"/>
      <c r="AD1040" s="1762"/>
      <c r="AE1040" s="1763"/>
      <c r="AF1040" s="79"/>
      <c r="AG1040" s="1790" t="s">
        <v>678</v>
      </c>
      <c r="AH1040" s="1791"/>
      <c r="AI1040" s="87"/>
      <c r="AJ1040" s="1797">
        <f>ROUND(IF(AG1040="yes",(AJ991*0.1),0),0)</f>
        <v>0</v>
      </c>
      <c r="AK1040" s="1798"/>
      <c r="AL1040" s="1798"/>
      <c r="AM1040" s="1798"/>
      <c r="AN1040" s="1798"/>
      <c r="AO1040" s="1798"/>
      <c r="AP1040" s="1798"/>
      <c r="AQ1040" s="1799"/>
      <c r="AR1040" s="68"/>
      <c r="AS1040" s="68"/>
      <c r="AT1040" s="68"/>
      <c r="AU1040" s="68"/>
      <c r="AV1040" s="68"/>
      <c r="AW1040" s="68"/>
      <c r="AX1040" s="68"/>
      <c r="AY1040" s="68"/>
    </row>
    <row r="1041" spans="1:51" ht="12.95" customHeight="1">
      <c r="A1041" s="14"/>
      <c r="B1041" s="73"/>
      <c r="C1041" s="74"/>
      <c r="D1041" s="1748" t="s">
        <v>2505</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3"/>
      <c r="AG1041" s="14"/>
      <c r="AH1041" s="14"/>
      <c r="AI1041" s="83"/>
      <c r="AJ1041" s="1800"/>
      <c r="AK1041" s="1801"/>
      <c r="AL1041" s="1801"/>
      <c r="AM1041" s="1801"/>
      <c r="AN1041" s="1801"/>
      <c r="AO1041" s="1801"/>
      <c r="AP1041" s="1801"/>
      <c r="AQ1041" s="1802"/>
      <c r="AR1041" s="68"/>
      <c r="AS1041" s="68"/>
      <c r="AT1041" s="68"/>
      <c r="AU1041" s="68"/>
      <c r="AV1041" s="68"/>
      <c r="AW1041" s="68"/>
      <c r="AX1041" s="68"/>
      <c r="AY1041" s="68"/>
    </row>
    <row r="1042" spans="1:51" ht="12.95" customHeight="1">
      <c r="A1042" s="14"/>
      <c r="B1042" s="73"/>
      <c r="C1042" s="74"/>
      <c r="D1042" s="1748"/>
      <c r="E1042" s="1749"/>
      <c r="F1042" s="1749"/>
      <c r="G1042" s="1749"/>
      <c r="H1042" s="1749"/>
      <c r="I1042" s="1749"/>
      <c r="J1042" s="1749"/>
      <c r="K1042" s="1749"/>
      <c r="L1042" s="1749"/>
      <c r="M1042" s="1749"/>
      <c r="N1042" s="1749"/>
      <c r="O1042" s="1749"/>
      <c r="P1042" s="1749"/>
      <c r="Q1042" s="1749"/>
      <c r="R1042" s="1749"/>
      <c r="S1042" s="1749"/>
      <c r="T1042" s="1749"/>
      <c r="U1042" s="1749"/>
      <c r="V1042" s="1749"/>
      <c r="W1042" s="1749"/>
      <c r="X1042" s="1749"/>
      <c r="Y1042" s="1749"/>
      <c r="Z1042" s="1749"/>
      <c r="AA1042" s="1749"/>
      <c r="AB1042" s="1749"/>
      <c r="AC1042" s="1749"/>
      <c r="AD1042" s="1749"/>
      <c r="AE1042" s="1750"/>
      <c r="AF1042" s="73"/>
      <c r="AG1042" s="14"/>
      <c r="AH1042" s="14"/>
      <c r="AI1042" s="83"/>
      <c r="AJ1042" s="1800"/>
      <c r="AK1042" s="1801"/>
      <c r="AL1042" s="1801"/>
      <c r="AM1042" s="1801"/>
      <c r="AN1042" s="1801"/>
      <c r="AO1042" s="1801"/>
      <c r="AP1042" s="1801"/>
      <c r="AQ1042" s="1802"/>
      <c r="AR1042" s="68"/>
      <c r="AS1042" s="68"/>
      <c r="AT1042" s="68"/>
      <c r="AU1042" s="68"/>
      <c r="AV1042" s="68"/>
      <c r="AW1042" s="68"/>
      <c r="AX1042" s="68"/>
      <c r="AY1042" s="68"/>
    </row>
    <row r="1043" spans="1:51" ht="12.95" customHeight="1">
      <c r="A1043" s="14"/>
      <c r="B1043" s="73"/>
      <c r="C1043" s="74"/>
      <c r="D1043" s="1751"/>
      <c r="E1043" s="1752"/>
      <c r="F1043" s="1752"/>
      <c r="G1043" s="1752"/>
      <c r="H1043" s="1752"/>
      <c r="I1043" s="1752"/>
      <c r="J1043" s="1752"/>
      <c r="K1043" s="1752"/>
      <c r="L1043" s="1752"/>
      <c r="M1043" s="1752"/>
      <c r="N1043" s="1752"/>
      <c r="O1043" s="1752"/>
      <c r="P1043" s="1752"/>
      <c r="Q1043" s="1752"/>
      <c r="R1043" s="1752"/>
      <c r="S1043" s="1752"/>
      <c r="T1043" s="1752"/>
      <c r="U1043" s="1752"/>
      <c r="V1043" s="1752"/>
      <c r="W1043" s="1752"/>
      <c r="X1043" s="1752"/>
      <c r="Y1043" s="1752"/>
      <c r="Z1043" s="1752"/>
      <c r="AA1043" s="1752"/>
      <c r="AB1043" s="1752"/>
      <c r="AC1043" s="1752"/>
      <c r="AD1043" s="1752"/>
      <c r="AE1043" s="1753"/>
      <c r="AF1043" s="73"/>
      <c r="AG1043" s="14"/>
      <c r="AH1043" s="14"/>
      <c r="AI1043" s="83"/>
      <c r="AJ1043" s="1803"/>
      <c r="AK1043" s="1804"/>
      <c r="AL1043" s="1804"/>
      <c r="AM1043" s="1804"/>
      <c r="AN1043" s="1804"/>
      <c r="AO1043" s="1804"/>
      <c r="AP1043" s="1804"/>
      <c r="AQ1043" s="1805"/>
      <c r="AR1043" s="68"/>
      <c r="AS1043" s="68"/>
      <c r="AT1043" s="68"/>
      <c r="AU1043" s="68"/>
      <c r="AV1043" s="68"/>
      <c r="AW1043" s="68"/>
      <c r="AX1043" s="68"/>
      <c r="AY1043" s="68"/>
    </row>
    <row r="1044" spans="1:51" ht="12.95" customHeight="1">
      <c r="A1044" s="14"/>
      <c r="B1044" s="79"/>
      <c r="C1044" s="131" t="s">
        <v>1875</v>
      </c>
      <c r="D1044" s="1809" t="s">
        <v>2057</v>
      </c>
      <c r="E1044" s="1810"/>
      <c r="F1044" s="1810"/>
      <c r="G1044" s="1810"/>
      <c r="H1044" s="1810"/>
      <c r="I1044" s="1810"/>
      <c r="J1044" s="1810"/>
      <c r="K1044" s="1810"/>
      <c r="L1044" s="1810"/>
      <c r="M1044" s="1810"/>
      <c r="N1044" s="1810"/>
      <c r="O1044" s="1810"/>
      <c r="P1044" s="1810"/>
      <c r="Q1044" s="1810"/>
      <c r="R1044" s="1810"/>
      <c r="S1044" s="1810"/>
      <c r="T1044" s="1810"/>
      <c r="U1044" s="1810"/>
      <c r="V1044" s="1810"/>
      <c r="W1044" s="1810"/>
      <c r="X1044" s="1810"/>
      <c r="Y1044" s="1810"/>
      <c r="Z1044" s="1810"/>
      <c r="AA1044" s="1810"/>
      <c r="AB1044" s="1810"/>
      <c r="AC1044" s="1810"/>
      <c r="AD1044" s="1810"/>
      <c r="AE1044" s="1811"/>
      <c r="AF1044" s="79"/>
      <c r="AG1044" s="1812" t="str">
        <f>IF(X1047&gt;0,"Yes","No")</f>
        <v>Yes</v>
      </c>
      <c r="AH1044" s="1813"/>
      <c r="AI1044" s="87"/>
      <c r="AJ1044" s="1797">
        <f>IF((X1047=0),0,AY1004*AJ991)</f>
        <v>33244424</v>
      </c>
      <c r="AK1044" s="1798"/>
      <c r="AL1044" s="1798"/>
      <c r="AM1044" s="1798"/>
      <c r="AN1044" s="1798"/>
      <c r="AO1044" s="1798"/>
      <c r="AP1044" s="1798"/>
      <c r="AQ1044" s="1799"/>
      <c r="AR1044" s="68"/>
      <c r="AS1044" s="68"/>
      <c r="AT1044" s="68"/>
      <c r="AU1044" s="68"/>
      <c r="AV1044" s="68"/>
      <c r="AW1044" s="68"/>
      <c r="AX1044" s="68"/>
      <c r="AY1044" s="68"/>
    </row>
    <row r="1045" spans="1:51" ht="12.95" customHeight="1">
      <c r="A1045" s="14"/>
      <c r="B1045" s="73"/>
      <c r="C1045" s="476"/>
      <c r="D1045" s="1748" t="s">
        <v>1411</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477"/>
      <c r="AH1045" s="477"/>
      <c r="AI1045" s="83"/>
      <c r="AJ1045" s="1800"/>
      <c r="AK1045" s="1801"/>
      <c r="AL1045" s="1801"/>
      <c r="AM1045" s="1801"/>
      <c r="AN1045" s="1801"/>
      <c r="AO1045" s="1801"/>
      <c r="AP1045" s="1801"/>
      <c r="AQ1045" s="1802"/>
      <c r="AR1045" s="68"/>
      <c r="AS1045" s="68"/>
      <c r="AT1045" s="68"/>
      <c r="AU1045" s="13"/>
      <c r="AV1045" s="68"/>
      <c r="AW1045" s="68"/>
      <c r="AX1045" s="68"/>
      <c r="AY1045" s="68"/>
    </row>
    <row r="1046" spans="1:51" ht="12.95" customHeight="1">
      <c r="A1046" s="14"/>
      <c r="B1046" s="73"/>
      <c r="C1046" s="476"/>
      <c r="D1046" s="1748"/>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50"/>
      <c r="AF1046" s="73"/>
      <c r="AG1046" s="477"/>
      <c r="AH1046" s="477"/>
      <c r="AI1046" s="83"/>
      <c r="AJ1046" s="1800"/>
      <c r="AK1046" s="1801"/>
      <c r="AL1046" s="1801"/>
      <c r="AM1046" s="1801"/>
      <c r="AN1046" s="1801"/>
      <c r="AO1046" s="1801"/>
      <c r="AP1046" s="1801"/>
      <c r="AQ1046" s="180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824">
        <f>AY1002</f>
        <v>174</v>
      </c>
      <c r="J1047" s="1825"/>
      <c r="K1047" s="7"/>
      <c r="L1047" s="133"/>
      <c r="M1047" s="133"/>
      <c r="N1047" s="133"/>
      <c r="O1047" s="133"/>
      <c r="P1047" s="133"/>
      <c r="Q1047" s="133"/>
      <c r="R1047" s="133"/>
      <c r="S1047" s="133"/>
      <c r="T1047" s="133"/>
      <c r="U1047" s="133"/>
      <c r="V1047" s="134" t="s">
        <v>993</v>
      </c>
      <c r="W1047" s="48"/>
      <c r="X1047" s="1822">
        <f>BG632</f>
        <v>70</v>
      </c>
      <c r="Y1047" s="1823"/>
      <c r="Z1047" s="48"/>
      <c r="AA1047" s="48"/>
      <c r="AB1047" s="48"/>
      <c r="AC1047" s="48"/>
      <c r="AD1047" s="48"/>
      <c r="AE1047" s="49"/>
      <c r="AF1047" s="959"/>
      <c r="AG1047" s="960"/>
      <c r="AH1047" s="960"/>
      <c r="AI1047" s="961"/>
      <c r="AJ1047" s="1803"/>
      <c r="AK1047" s="1804"/>
      <c r="AL1047" s="1804"/>
      <c r="AM1047" s="1804"/>
      <c r="AN1047" s="1804"/>
      <c r="AO1047" s="1804"/>
      <c r="AP1047" s="1804"/>
      <c r="AQ1047" s="1805"/>
      <c r="AR1047" s="68"/>
      <c r="AS1047" s="68"/>
      <c r="AT1047" s="68"/>
      <c r="AU1047" s="14"/>
      <c r="AV1047" s="68"/>
      <c r="AW1047" s="68"/>
      <c r="AX1047" s="68"/>
      <c r="AY1047" s="68"/>
    </row>
    <row r="1048" spans="1:51" ht="12.95" customHeight="1">
      <c r="A1048" s="14"/>
      <c r="B1048" s="79"/>
      <c r="C1048" s="131" t="s">
        <v>1876</v>
      </c>
      <c r="D1048" s="1761" t="s">
        <v>2536</v>
      </c>
      <c r="E1048" s="1762"/>
      <c r="F1048" s="1762"/>
      <c r="G1048" s="1762"/>
      <c r="H1048" s="1762"/>
      <c r="I1048" s="1762"/>
      <c r="J1048" s="1762"/>
      <c r="K1048" s="1762"/>
      <c r="L1048" s="1762"/>
      <c r="M1048" s="1762"/>
      <c r="N1048" s="1762"/>
      <c r="O1048" s="1762"/>
      <c r="P1048" s="1762"/>
      <c r="Q1048" s="1762"/>
      <c r="R1048" s="1762"/>
      <c r="S1048" s="1762"/>
      <c r="T1048" s="1762"/>
      <c r="U1048" s="1762"/>
      <c r="V1048" s="1762"/>
      <c r="W1048" s="1762"/>
      <c r="X1048" s="1762"/>
      <c r="Y1048" s="1762"/>
      <c r="Z1048" s="1762"/>
      <c r="AA1048" s="1762"/>
      <c r="AB1048" s="1762"/>
      <c r="AC1048" s="1762"/>
      <c r="AD1048" s="1762"/>
      <c r="AE1048" s="1763"/>
      <c r="AF1048" s="73"/>
      <c r="AG1048" s="1812" t="str">
        <f>IF(X1051&gt;0,"Yes","No")</f>
        <v>Yes</v>
      </c>
      <c r="AH1048" s="1813"/>
      <c r="AI1048" s="83"/>
      <c r="AJ1048" s="1797">
        <f>IF((X1051=0),0,(2*AY1005)*AJ991)</f>
        <v>16622212</v>
      </c>
      <c r="AK1048" s="1798"/>
      <c r="AL1048" s="1798"/>
      <c r="AM1048" s="1798"/>
      <c r="AN1048" s="1798"/>
      <c r="AO1048" s="1798"/>
      <c r="AP1048" s="1798"/>
      <c r="AQ1048" s="1799"/>
      <c r="AR1048" s="68"/>
      <c r="AS1048" s="68"/>
      <c r="AT1048" s="68"/>
      <c r="AU1048" s="14"/>
      <c r="AV1048" s="68"/>
      <c r="AW1048" s="68"/>
      <c r="AX1048" s="68"/>
      <c r="AY1048" s="68"/>
    </row>
    <row r="1049" spans="1:51" ht="12.95" customHeight="1">
      <c r="A1049" s="14"/>
      <c r="B1049" s="73"/>
      <c r="C1049" s="476"/>
      <c r="D1049" s="1748" t="s">
        <v>1410</v>
      </c>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50"/>
      <c r="AF1049" s="73"/>
      <c r="AG1049" s="477"/>
      <c r="AH1049" s="477"/>
      <c r="AI1049" s="83"/>
      <c r="AJ1049" s="1800"/>
      <c r="AK1049" s="1801"/>
      <c r="AL1049" s="1801"/>
      <c r="AM1049" s="1801"/>
      <c r="AN1049" s="1801"/>
      <c r="AO1049" s="1801"/>
      <c r="AP1049" s="1801"/>
      <c r="AQ1049" s="1802"/>
      <c r="AR1049" s="68"/>
      <c r="AS1049" s="68"/>
      <c r="AT1049" s="68"/>
      <c r="AU1049" s="68"/>
      <c r="AV1049" s="68"/>
      <c r="AW1049" s="68"/>
      <c r="AX1049" s="68"/>
      <c r="AY1049" s="68"/>
    </row>
    <row r="1050" spans="1:51" ht="12.95" customHeight="1">
      <c r="A1050" s="14"/>
      <c r="B1050" s="73"/>
      <c r="C1050" s="83"/>
      <c r="D1050" s="1748"/>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956"/>
      <c r="AG1050" s="957"/>
      <c r="AH1050" s="957"/>
      <c r="AI1050" s="958"/>
      <c r="AJ1050" s="1800"/>
      <c r="AK1050" s="1801"/>
      <c r="AL1050" s="1801"/>
      <c r="AM1050" s="1801"/>
      <c r="AN1050" s="1801"/>
      <c r="AO1050" s="1801"/>
      <c r="AP1050" s="1801"/>
      <c r="AQ1050" s="180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824">
        <f>AY1002</f>
        <v>174</v>
      </c>
      <c r="J1051" s="1825"/>
      <c r="K1051" s="14"/>
      <c r="L1051" s="133"/>
      <c r="M1051" s="133"/>
      <c r="N1051" s="133"/>
      <c r="O1051" s="133"/>
      <c r="P1051" s="133"/>
      <c r="Q1051" s="133"/>
      <c r="R1051" s="133"/>
      <c r="S1051" s="133"/>
      <c r="T1051" s="133"/>
      <c r="U1051" s="133"/>
      <c r="V1051" s="134" t="s">
        <v>994</v>
      </c>
      <c r="X1051" s="1822">
        <f>BK632</f>
        <v>18</v>
      </c>
      <c r="Y1051" s="1823"/>
      <c r="AF1051" s="959"/>
      <c r="AG1051" s="960"/>
      <c r="AH1051" s="960"/>
      <c r="AI1051" s="961"/>
      <c r="AJ1051" s="1803"/>
      <c r="AK1051" s="1804"/>
      <c r="AL1051" s="1804"/>
      <c r="AM1051" s="1804"/>
      <c r="AN1051" s="1804"/>
      <c r="AO1051" s="1804"/>
      <c r="AP1051" s="1804"/>
      <c r="AQ1051" s="1805"/>
      <c r="AR1051" s="68"/>
      <c r="AS1051" s="68"/>
      <c r="AT1051" s="68"/>
      <c r="AU1051" s="68"/>
      <c r="AV1051" s="68"/>
      <c r="AW1051" s="68"/>
      <c r="AX1051" s="68"/>
      <c r="AY1051" s="68"/>
    </row>
    <row r="1052" spans="1:51" ht="12.95" customHeight="1">
      <c r="A1052" s="14"/>
      <c r="B1052" s="102"/>
      <c r="C1052" s="103"/>
      <c r="D1052" s="1820" t="s">
        <v>522</v>
      </c>
      <c r="E1052" s="1820"/>
      <c r="F1052" s="1820"/>
      <c r="G1052" s="1820"/>
      <c r="H1052" s="1820"/>
      <c r="I1052" s="1820"/>
      <c r="J1052" s="1820"/>
      <c r="K1052" s="1820"/>
      <c r="L1052" s="1820"/>
      <c r="M1052" s="1820"/>
      <c r="N1052" s="1820"/>
      <c r="O1052" s="1820"/>
      <c r="P1052" s="1820"/>
      <c r="Q1052" s="1820"/>
      <c r="R1052" s="1820"/>
      <c r="S1052" s="1820"/>
      <c r="T1052" s="1820"/>
      <c r="U1052" s="1820"/>
      <c r="V1052" s="1820"/>
      <c r="W1052" s="1820"/>
      <c r="X1052" s="1820"/>
      <c r="Y1052" s="1820"/>
      <c r="Z1052" s="1820"/>
      <c r="AA1052" s="1820"/>
      <c r="AB1052" s="1820"/>
      <c r="AC1052" s="1820"/>
      <c r="AD1052" s="1820"/>
      <c r="AE1052" s="1820"/>
      <c r="AF1052" s="1820"/>
      <c r="AG1052" s="1820"/>
      <c r="AH1052" s="1820"/>
      <c r="AI1052" s="1821"/>
      <c r="AJ1052" s="1787">
        <f>SUM(AJ991:AQ1051)</f>
        <v>142917403</v>
      </c>
      <c r="AK1052" s="1788"/>
      <c r="AL1052" s="1788"/>
      <c r="AM1052" s="1788"/>
      <c r="AN1052" s="1788"/>
      <c r="AO1052" s="1788"/>
      <c r="AP1052" s="1788"/>
      <c r="AQ1052" s="178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51" t="s">
        <v>600</v>
      </c>
      <c r="B1064" s="1451"/>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51" t="s">
        <v>600</v>
      </c>
      <c r="B1070" s="1451"/>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51" t="s">
        <v>600</v>
      </c>
      <c r="B1076" s="1451"/>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51" t="s">
        <v>600</v>
      </c>
      <c r="B1083" s="1451"/>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51" t="s">
        <v>600</v>
      </c>
      <c r="B1086" s="1451"/>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51" t="s">
        <v>600</v>
      </c>
      <c r="B1091" s="1451"/>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51" t="s">
        <v>600</v>
      </c>
      <c r="B1094" s="1451"/>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51" t="s">
        <v>600</v>
      </c>
      <c r="B1098" s="1451"/>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51" t="s">
        <v>600</v>
      </c>
      <c r="B1103" s="1451"/>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J1000:AQ1005"/>
    <mergeCell ref="AJ1019:AQ1023"/>
    <mergeCell ref="AJ1044:AQ1047"/>
    <mergeCell ref="AJ1048:AQ1051"/>
    <mergeCell ref="U928:Z928"/>
    <mergeCell ref="AA928:AF928"/>
    <mergeCell ref="U929:Z929"/>
    <mergeCell ref="AA929:AF929"/>
    <mergeCell ref="K750:N750"/>
    <mergeCell ref="O750:S750"/>
    <mergeCell ref="T750:W750"/>
    <mergeCell ref="K751:N751"/>
    <mergeCell ref="O751:S751"/>
    <mergeCell ref="T751:W751"/>
    <mergeCell ref="AC745:AG745"/>
    <mergeCell ref="AC746:AG746"/>
    <mergeCell ref="AC747:AG747"/>
    <mergeCell ref="AA918:AF918"/>
    <mergeCell ref="U923:Z923"/>
    <mergeCell ref="O776:S776"/>
    <mergeCell ref="K748:N748"/>
    <mergeCell ref="O748:S748"/>
    <mergeCell ref="O747:S747"/>
    <mergeCell ref="D985:Q985"/>
    <mergeCell ref="Z899:AE899"/>
    <mergeCell ref="X750:AB750"/>
    <mergeCell ref="D998:AE998"/>
    <mergeCell ref="D987:Q987"/>
    <mergeCell ref="D988:Q988"/>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J1012:AQ1014"/>
    <mergeCell ref="AJ1015:AQ1018"/>
    <mergeCell ref="AJ1024:AQ1027"/>
    <mergeCell ref="AJ1028:AQ1030"/>
    <mergeCell ref="B742:F742"/>
    <mergeCell ref="B1059:AP1059"/>
    <mergeCell ref="C798:AN799"/>
    <mergeCell ref="T748:W748"/>
    <mergeCell ref="U924:Z924"/>
    <mergeCell ref="AA934:AF934"/>
    <mergeCell ref="AA917:AF917"/>
    <mergeCell ref="T749:W749"/>
    <mergeCell ref="D1031:AE1031"/>
    <mergeCell ref="D1032:AE1034"/>
    <mergeCell ref="AJ1031:AQ1034"/>
    <mergeCell ref="J956:S956"/>
    <mergeCell ref="AA948:AF948"/>
    <mergeCell ref="U940:Z940"/>
    <mergeCell ref="Q825:T825"/>
    <mergeCell ref="X745:AB745"/>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3:L613"/>
    <mergeCell ref="AJ1006:AQ1009"/>
    <mergeCell ref="D994:AE997"/>
    <mergeCell ref="AJ993:AQ999"/>
    <mergeCell ref="X747:AB747"/>
    <mergeCell ref="AB988:AI988"/>
    <mergeCell ref="AB989:AI989"/>
    <mergeCell ref="M961:S961"/>
    <mergeCell ref="X746:AB746"/>
    <mergeCell ref="O734:S734"/>
    <mergeCell ref="K739:N739"/>
    <mergeCell ref="AC734:AG734"/>
    <mergeCell ref="B752:F752"/>
    <mergeCell ref="O790:S790"/>
    <mergeCell ref="AK746:AO746"/>
    <mergeCell ref="AK747:AO747"/>
    <mergeCell ref="J788:N788"/>
    <mergeCell ref="AC748:AG748"/>
    <mergeCell ref="AC749:AG749"/>
    <mergeCell ref="D989:Q989"/>
    <mergeCell ref="M635:P635"/>
    <mergeCell ref="B743:F743"/>
    <mergeCell ref="B733:F733"/>
    <mergeCell ref="AH740:AJ740"/>
    <mergeCell ref="AH749:AJ749"/>
    <mergeCell ref="AD759:AF759"/>
    <mergeCell ref="AC744:AG744"/>
    <mergeCell ref="G740:J740"/>
    <mergeCell ref="T733:W733"/>
    <mergeCell ref="X740:AB740"/>
    <mergeCell ref="X737:AB737"/>
    <mergeCell ref="T743:W743"/>
    <mergeCell ref="Q635:S635"/>
    <mergeCell ref="B744:F744"/>
    <mergeCell ref="B745:F745"/>
    <mergeCell ref="X748:AB748"/>
    <mergeCell ref="X749:AB749"/>
    <mergeCell ref="N615:O615"/>
    <mergeCell ref="AC633:AE633"/>
    <mergeCell ref="AC634:AE634"/>
    <mergeCell ref="AC635:AE635"/>
    <mergeCell ref="AA573:AK573"/>
    <mergeCell ref="Z594:AK594"/>
    <mergeCell ref="G601:R601"/>
    <mergeCell ref="G611:R611"/>
    <mergeCell ref="C636:L636"/>
    <mergeCell ref="C637:L637"/>
    <mergeCell ref="Z611:AK611"/>
    <mergeCell ref="H573:R573"/>
    <mergeCell ref="AI613:AK613"/>
    <mergeCell ref="G610:R610"/>
    <mergeCell ref="G604:R604"/>
    <mergeCell ref="Z585:AK585"/>
    <mergeCell ref="AG599:AH599"/>
    <mergeCell ref="AI597:AK597"/>
    <mergeCell ref="C635:L635"/>
    <mergeCell ref="H614:R614"/>
    <mergeCell ref="Z632:AB632"/>
    <mergeCell ref="G588:R588"/>
    <mergeCell ref="N583:O583"/>
    <mergeCell ref="AF631:AJ631"/>
    <mergeCell ref="AF632:AJ632"/>
    <mergeCell ref="W629:Y629"/>
    <mergeCell ref="W630:Y630"/>
    <mergeCell ref="W631:Y631"/>
    <mergeCell ref="AG615:AH615"/>
    <mergeCell ref="Z612:AK612"/>
    <mergeCell ref="AC627:AE627"/>
    <mergeCell ref="AK731:AO731"/>
    <mergeCell ref="B714:F717"/>
    <mergeCell ref="Z686:AK686"/>
    <mergeCell ref="M624:P626"/>
    <mergeCell ref="M627:P627"/>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W634:Y634"/>
    <mergeCell ref="H590:R590"/>
    <mergeCell ref="G587:R587"/>
    <mergeCell ref="G578:R578"/>
    <mergeCell ref="J704:X704"/>
    <mergeCell ref="G721:J721"/>
    <mergeCell ref="G722:J722"/>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C750:AG750"/>
    <mergeCell ref="AC751:AG751"/>
    <mergeCell ref="K749:N749"/>
    <mergeCell ref="O749:S749"/>
    <mergeCell ref="AC733:AG733"/>
    <mergeCell ref="AC739:AG739"/>
    <mergeCell ref="T747:W747"/>
    <mergeCell ref="X751:AB751"/>
    <mergeCell ref="AK737:AO737"/>
    <mergeCell ref="AK733:AO733"/>
    <mergeCell ref="AK734:AO734"/>
    <mergeCell ref="AK735:AO735"/>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N363:O363"/>
    <mergeCell ref="I392:N392"/>
    <mergeCell ref="M628:P628"/>
    <mergeCell ref="M629:P629"/>
    <mergeCell ref="M630:P630"/>
    <mergeCell ref="M631:P631"/>
    <mergeCell ref="G580:R580"/>
    <mergeCell ref="AK634:AN634"/>
    <mergeCell ref="AK635:AN635"/>
    <mergeCell ref="Z603:AK603"/>
    <mergeCell ref="AI605:AK605"/>
    <mergeCell ref="AF634:AJ634"/>
    <mergeCell ref="AK630:AN630"/>
    <mergeCell ref="AK631:AN631"/>
    <mergeCell ref="AK632:AN632"/>
    <mergeCell ref="Z604:AK604"/>
    <mergeCell ref="AC729:AG729"/>
    <mergeCell ref="G728:J728"/>
    <mergeCell ref="G671:L671"/>
    <mergeCell ref="G669:R669"/>
    <mergeCell ref="T718:W718"/>
    <mergeCell ref="O721:S721"/>
    <mergeCell ref="K722:N722"/>
    <mergeCell ref="K723:N723"/>
    <mergeCell ref="T723:W723"/>
    <mergeCell ref="K721:N721"/>
    <mergeCell ref="G667:R667"/>
    <mergeCell ref="DR657:DV657"/>
    <mergeCell ref="AK728:AO728"/>
    <mergeCell ref="Z678:AK678"/>
    <mergeCell ref="Z683:AK683"/>
    <mergeCell ref="T719:W719"/>
    <mergeCell ref="O724:S724"/>
    <mergeCell ref="T725:W725"/>
    <mergeCell ref="G724:J724"/>
    <mergeCell ref="AG665:AH665"/>
    <mergeCell ref="Z668:AK668"/>
    <mergeCell ref="P663:R663"/>
    <mergeCell ref="G659:R659"/>
    <mergeCell ref="DH649:DL649"/>
    <mergeCell ref="DM649:DQ649"/>
    <mergeCell ref="CS651:CW651"/>
    <mergeCell ref="AK723:AO723"/>
    <mergeCell ref="AK724:AO724"/>
    <mergeCell ref="BN650:BR650"/>
    <mergeCell ref="CC660:CG660"/>
    <mergeCell ref="BS660:BW660"/>
    <mergeCell ref="BX653:CB653"/>
    <mergeCell ref="BX654:CB654"/>
    <mergeCell ref="BS648:BW648"/>
    <mergeCell ref="X723:AB723"/>
    <mergeCell ref="AH724:AJ724"/>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2:AO722"/>
    <mergeCell ref="AC719:AG719"/>
    <mergeCell ref="CS654:CW654"/>
    <mergeCell ref="CX654:DB654"/>
    <mergeCell ref="DC654:DG654"/>
    <mergeCell ref="BS653:BW653"/>
    <mergeCell ref="AC724:AG724"/>
    <mergeCell ref="AG689:AH68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BS649:BW649"/>
    <mergeCell ref="BX652:CB652"/>
    <mergeCell ref="AK725:AO725"/>
    <mergeCell ref="DC653:DG653"/>
    <mergeCell ref="AI663:AK663"/>
    <mergeCell ref="Z661:AK661"/>
    <mergeCell ref="X720:AB720"/>
    <mergeCell ref="AH730:AJ730"/>
    <mergeCell ref="AK726:AO726"/>
    <mergeCell ref="AA680:AK680"/>
    <mergeCell ref="AK730:AO730"/>
    <mergeCell ref="AA688:AK688"/>
    <mergeCell ref="BN647:BR647"/>
    <mergeCell ref="BX649:CB649"/>
    <mergeCell ref="BX650:CB650"/>
    <mergeCell ref="BN648:BR648"/>
    <mergeCell ref="CC655:CG655"/>
    <mergeCell ref="CH655:CL655"/>
    <mergeCell ref="CM655:CQ655"/>
    <mergeCell ref="BN651:BR651"/>
    <mergeCell ref="DR654:DV654"/>
    <mergeCell ref="DR653:DV653"/>
    <mergeCell ref="DH651:DL651"/>
    <mergeCell ref="DM651:DQ651"/>
    <mergeCell ref="BN649:BR649"/>
    <mergeCell ref="AK732:AO732"/>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60:CL660"/>
    <mergeCell ref="Z667:AK667"/>
    <mergeCell ref="CX650:DB650"/>
    <mergeCell ref="BN655:BR655"/>
    <mergeCell ref="CM660:CQ660"/>
    <mergeCell ref="CM649:CQ649"/>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CS647:CW647"/>
    <mergeCell ref="CX647:DB647"/>
    <mergeCell ref="DC647:DG647"/>
    <mergeCell ref="CX655:DB655"/>
    <mergeCell ref="DC655:DG655"/>
    <mergeCell ref="DR655:DV655"/>
    <mergeCell ref="CS652:CW652"/>
    <mergeCell ref="CX652:DB652"/>
    <mergeCell ref="DC652:DG652"/>
    <mergeCell ref="DC650:DG650"/>
    <mergeCell ref="BX651:CB651"/>
    <mergeCell ref="CM648:CQ648"/>
    <mergeCell ref="CC651:CG651"/>
    <mergeCell ref="DR648:DV648"/>
    <mergeCell ref="CS649:CW649"/>
    <mergeCell ref="BX645:CB645"/>
    <mergeCell ref="CM640:CQ640"/>
    <mergeCell ref="CM639:CQ639"/>
    <mergeCell ref="CH632:CL632"/>
    <mergeCell ref="DH650:DL650"/>
    <mergeCell ref="DM650:DQ650"/>
    <mergeCell ref="DM631:DQ631"/>
    <mergeCell ref="DH631:DL631"/>
    <mergeCell ref="DM617:DQ617"/>
    <mergeCell ref="CC630:CG630"/>
    <mergeCell ref="BX632:CB632"/>
    <mergeCell ref="CM645:CQ645"/>
    <mergeCell ref="CC617:CG617"/>
    <mergeCell ref="CC619:CG619"/>
    <mergeCell ref="DR651:DV651"/>
    <mergeCell ref="CX620:DB620"/>
    <mergeCell ref="CM626:CQ626"/>
    <mergeCell ref="CM621:CQ621"/>
    <mergeCell ref="CM622:CQ622"/>
    <mergeCell ref="CS624:CW624"/>
    <mergeCell ref="CX624:DB624"/>
    <mergeCell ref="CM623:CQ623"/>
    <mergeCell ref="CM625:CQ625"/>
    <mergeCell ref="DM624:DQ624"/>
    <mergeCell ref="CS628:CW628"/>
    <mergeCell ref="CX628:DB628"/>
    <mergeCell ref="DC628:DG628"/>
    <mergeCell ref="DH628:DL628"/>
    <mergeCell ref="DM628:DQ628"/>
    <mergeCell ref="CH624:CL624"/>
    <mergeCell ref="CM638:CQ638"/>
    <mergeCell ref="CS648:CW648"/>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CX649:DB649"/>
    <mergeCell ref="CS645:CW645"/>
    <mergeCell ref="CX645:DB645"/>
    <mergeCell ref="DC645:DG645"/>
    <mergeCell ref="CS646:CW646"/>
    <mergeCell ref="CM620:CQ620"/>
    <mergeCell ref="DR626:DV626"/>
    <mergeCell ref="DR627:DV627"/>
    <mergeCell ref="DR620:DV620"/>
    <mergeCell ref="CS621:CW621"/>
    <mergeCell ref="CX621:DB621"/>
    <mergeCell ref="DC621:DG621"/>
    <mergeCell ref="DH621:DL621"/>
    <mergeCell ref="DM621:DQ621"/>
    <mergeCell ref="DR621:DV621"/>
    <mergeCell ref="CS622:CW622"/>
    <mergeCell ref="DR619:DV619"/>
    <mergeCell ref="Z636:AB636"/>
    <mergeCell ref="Z637:AB637"/>
    <mergeCell ref="Z638:AB638"/>
    <mergeCell ref="EH619:EL619"/>
    <mergeCell ref="DR616:DV616"/>
    <mergeCell ref="CX616:DB616"/>
    <mergeCell ref="EH614:EL614"/>
    <mergeCell ref="EM614:EQ614"/>
    <mergeCell ref="EH617:EL617"/>
    <mergeCell ref="EM617:EQ617"/>
    <mergeCell ref="CM616:CQ616"/>
    <mergeCell ref="CM617:CQ617"/>
    <mergeCell ref="BE615:BF615"/>
    <mergeCell ref="BG619:BH619"/>
    <mergeCell ref="CH615:CL615"/>
    <mergeCell ref="CC615:CG615"/>
    <mergeCell ref="AO624:AS626"/>
    <mergeCell ref="BS637:BW637"/>
    <mergeCell ref="DM632:DQ632"/>
    <mergeCell ref="DH630:DL630"/>
    <mergeCell ref="DM618:DQ618"/>
    <mergeCell ref="DR618:DV618"/>
    <mergeCell ref="CH637:CL637"/>
    <mergeCell ref="CM618:CQ618"/>
    <mergeCell ref="CS614:CW614"/>
    <mergeCell ref="EM616:EQ616"/>
    <mergeCell ref="EC616:EG616"/>
    <mergeCell ref="CH614:CL614"/>
    <mergeCell ref="BE617:BF617"/>
    <mergeCell ref="BE616:BF616"/>
    <mergeCell ref="BX638:CB638"/>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C632:DG632"/>
    <mergeCell ref="DH632:DL632"/>
    <mergeCell ref="CM619:CQ619"/>
    <mergeCell ref="CH619:CL619"/>
    <mergeCell ref="CM633:CQ633"/>
    <mergeCell ref="CC632:CG632"/>
    <mergeCell ref="CM630:CQ630"/>
    <mergeCell ref="CM631:CQ631"/>
    <mergeCell ref="BS631:BW631"/>
    <mergeCell ref="BX624:CB624"/>
    <mergeCell ref="CC624:CG624"/>
    <mergeCell ref="DM619:DQ619"/>
    <mergeCell ref="BX637:CB637"/>
    <mergeCell ref="CH638:CL638"/>
    <mergeCell ref="AF635:AJ635"/>
    <mergeCell ref="AO635:AS635"/>
    <mergeCell ref="CH640:CL640"/>
    <mergeCell ref="BE624:BF624"/>
    <mergeCell ref="BG624:BH624"/>
    <mergeCell ref="BI624:BJ624"/>
    <mergeCell ref="DC631:DG631"/>
    <mergeCell ref="T629:V629"/>
    <mergeCell ref="T630:V630"/>
    <mergeCell ref="T631:V631"/>
    <mergeCell ref="T632:V632"/>
    <mergeCell ref="T633:V633"/>
    <mergeCell ref="AO641:AS641"/>
    <mergeCell ref="CH639:CL639"/>
    <mergeCell ref="W627:Y627"/>
    <mergeCell ref="T627:V627"/>
    <mergeCell ref="Z624:AB626"/>
    <mergeCell ref="W632:Y632"/>
    <mergeCell ref="BN641:BR641"/>
    <mergeCell ref="BN637:BR637"/>
    <mergeCell ref="BS641:BW641"/>
    <mergeCell ref="CM629:CQ629"/>
    <mergeCell ref="AO637:AS637"/>
    <mergeCell ref="AO630:AS630"/>
    <mergeCell ref="T634:V634"/>
    <mergeCell ref="AO640:AS640"/>
    <mergeCell ref="BG632:BH632"/>
    <mergeCell ref="W628:Y628"/>
    <mergeCell ref="AO636:AS636"/>
    <mergeCell ref="AK629:AN629"/>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41:EL641"/>
    <mergeCell ref="EM641:EQ641"/>
    <mergeCell ref="EM619:EQ619"/>
    <mergeCell ref="EC637:EG637"/>
    <mergeCell ref="EH637:EL637"/>
    <mergeCell ref="DR630:DV630"/>
    <mergeCell ref="EM636:EQ636"/>
    <mergeCell ref="DX637:EB637"/>
    <mergeCell ref="EM630:EQ630"/>
    <mergeCell ref="ER630:EV630"/>
    <mergeCell ref="CH641:CL641"/>
    <mergeCell ref="EH613:EL613"/>
    <mergeCell ref="AO634:AS63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DX668:EB668"/>
    <mergeCell ref="EC668:EG668"/>
    <mergeCell ref="EH668:EL668"/>
    <mergeCell ref="EM668:EQ668"/>
    <mergeCell ref="EM661:EQ661"/>
    <mergeCell ref="ER656:EV656"/>
    <mergeCell ref="EH653:EL653"/>
    <mergeCell ref="EM653:EQ653"/>
    <mergeCell ref="ER653:EV653"/>
    <mergeCell ref="EM666:EQ666"/>
    <mergeCell ref="ER666:EV666"/>
    <mergeCell ref="DX655:EB655"/>
    <mergeCell ref="EM654:EQ654"/>
    <mergeCell ref="ER654:EV654"/>
    <mergeCell ref="EM652:EQ652"/>
    <mergeCell ref="DX650:EB650"/>
    <mergeCell ref="EC650:EG650"/>
    <mergeCell ref="EC655:EG655"/>
    <mergeCell ref="EH649:EL649"/>
    <mergeCell ref="DX656:EB656"/>
    <mergeCell ref="EC656:EG656"/>
    <mergeCell ref="EH656:EL656"/>
    <mergeCell ref="EM656:EQ656"/>
    <mergeCell ref="EW666:FA666"/>
    <mergeCell ref="DX667:EB667"/>
    <mergeCell ref="DX662:EB662"/>
    <mergeCell ref="EC662:EG662"/>
    <mergeCell ref="EH662:EL662"/>
    <mergeCell ref="ER669:EV669"/>
    <mergeCell ref="ER668:EV668"/>
    <mergeCell ref="EM670:EQ670"/>
    <mergeCell ref="EM667:EQ667"/>
    <mergeCell ref="ER667:EV667"/>
    <mergeCell ref="EW667:FA667"/>
    <mergeCell ref="ER670:EV670"/>
    <mergeCell ref="DX669:EB669"/>
    <mergeCell ref="EC670:EG670"/>
    <mergeCell ref="EH670:EL670"/>
    <mergeCell ref="EC669:EG669"/>
    <mergeCell ref="EH669:EL669"/>
    <mergeCell ref="EM669:EQ669"/>
    <mergeCell ref="EW669:FA669"/>
    <mergeCell ref="EC664:EG664"/>
    <mergeCell ref="EH664:EL664"/>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M659:EQ659"/>
    <mergeCell ref="ER659:EV659"/>
    <mergeCell ref="EW659:FA659"/>
    <mergeCell ref="DX660:EB660"/>
    <mergeCell ref="EC660:EG660"/>
    <mergeCell ref="EH660:EL660"/>
    <mergeCell ref="EM660:EQ660"/>
    <mergeCell ref="DX666:EB666"/>
    <mergeCell ref="EC666:EG666"/>
    <mergeCell ref="EH666:EL666"/>
    <mergeCell ref="EW668:FA668"/>
    <mergeCell ref="DX670:EB670"/>
    <mergeCell ref="EM664:EQ664"/>
    <mergeCell ref="ER664:EV664"/>
    <mergeCell ref="EW664:FA664"/>
    <mergeCell ref="EC667:EG667"/>
    <mergeCell ref="EH667:EL667"/>
    <mergeCell ref="DX664:EB664"/>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46:EV646"/>
    <mergeCell ref="EW646:FA646"/>
    <mergeCell ref="EW647:FA647"/>
    <mergeCell ref="EW653:FA653"/>
    <mergeCell ref="DX649:EB649"/>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C617:EG617"/>
    <mergeCell ref="EW619:FA619"/>
    <mergeCell ref="EC630:EG630"/>
    <mergeCell ref="EH630:EL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4:EV614"/>
    <mergeCell ref="EW614:FA614"/>
    <mergeCell ref="DX615:EB615"/>
    <mergeCell ref="EC615:EG615"/>
    <mergeCell ref="EH615:EL615"/>
    <mergeCell ref="EC609:EG609"/>
    <mergeCell ref="EH609:EL609"/>
    <mergeCell ref="EM609:EQ609"/>
    <mergeCell ref="ER609:EV609"/>
    <mergeCell ref="DX612:EB612"/>
    <mergeCell ref="EC612:EG612"/>
    <mergeCell ref="EH612:EL612"/>
    <mergeCell ref="EM612:EQ612"/>
    <mergeCell ref="EH616:EL616"/>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C827:H827"/>
    <mergeCell ref="C830:H830"/>
    <mergeCell ref="U930:Z930"/>
    <mergeCell ref="U939:Z939"/>
    <mergeCell ref="F935:T935"/>
    <mergeCell ref="U935:Z935"/>
    <mergeCell ref="AA935:AF935"/>
    <mergeCell ref="U942:Z942"/>
    <mergeCell ref="M970:S970"/>
    <mergeCell ref="M955:S955"/>
    <mergeCell ref="R984:AA984"/>
    <mergeCell ref="A978:AT980"/>
    <mergeCell ref="AG1024:AH1024"/>
    <mergeCell ref="AJ1010:AQ1011"/>
    <mergeCell ref="AJ985:AQ985"/>
    <mergeCell ref="AJ986:AQ986"/>
    <mergeCell ref="AJ987:AQ987"/>
    <mergeCell ref="B991:AI991"/>
    <mergeCell ref="R986:AA986"/>
    <mergeCell ref="AB984:AI984"/>
    <mergeCell ref="AB985:AI985"/>
    <mergeCell ref="AB986:AI986"/>
    <mergeCell ref="D986:Q986"/>
    <mergeCell ref="R988:AA988"/>
    <mergeCell ref="U938:Z938"/>
    <mergeCell ref="I948:T948"/>
    <mergeCell ref="M954:S954"/>
    <mergeCell ref="AA937:AF937"/>
    <mergeCell ref="AA969:AG969"/>
    <mergeCell ref="O973:P973"/>
    <mergeCell ref="F974:L974"/>
    <mergeCell ref="U932:Z932"/>
    <mergeCell ref="U933:Z933"/>
    <mergeCell ref="AJ984:AQ984"/>
    <mergeCell ref="AF1026:AI1027"/>
    <mergeCell ref="AB987:AI987"/>
    <mergeCell ref="W861:AC861"/>
    <mergeCell ref="U828:X828"/>
    <mergeCell ref="AC831:AF831"/>
    <mergeCell ref="Q829:T829"/>
    <mergeCell ref="M871:V871"/>
    <mergeCell ref="AC888:AH888"/>
    <mergeCell ref="M878:V878"/>
    <mergeCell ref="AC883:AH883"/>
    <mergeCell ref="Z901:AE901"/>
    <mergeCell ref="W863:AC863"/>
    <mergeCell ref="AC891:AH891"/>
    <mergeCell ref="C893:AB893"/>
    <mergeCell ref="W842:AC842"/>
    <mergeCell ref="AG830:AJ830"/>
    <mergeCell ref="AA922:AF922"/>
    <mergeCell ref="AB916:AE916"/>
    <mergeCell ref="AA921:AF921"/>
    <mergeCell ref="U829:X829"/>
    <mergeCell ref="AC832:AF832"/>
    <mergeCell ref="U831:X831"/>
    <mergeCell ref="Q831:T831"/>
    <mergeCell ref="C828:H828"/>
    <mergeCell ref="M828:P828"/>
    <mergeCell ref="W871:AC871"/>
    <mergeCell ref="M831:P831"/>
    <mergeCell ref="AE957:AK957"/>
    <mergeCell ref="U919:Z919"/>
    <mergeCell ref="AC892:AH892"/>
    <mergeCell ref="W846:AC846"/>
    <mergeCell ref="M957:S957"/>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T774:W774"/>
    <mergeCell ref="B746:F746"/>
    <mergeCell ref="B747:F747"/>
    <mergeCell ref="B748:F748"/>
    <mergeCell ref="B749:F749"/>
    <mergeCell ref="B750:F750"/>
    <mergeCell ref="B751:F751"/>
    <mergeCell ref="K735:N735"/>
    <mergeCell ref="K736:N736"/>
    <mergeCell ref="K734:N734"/>
    <mergeCell ref="B734:F734"/>
    <mergeCell ref="B736:F736"/>
    <mergeCell ref="T736:W736"/>
    <mergeCell ref="O743:S743"/>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B731:F731"/>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Y831:AB831"/>
    <mergeCell ref="O752:S752"/>
    <mergeCell ref="AC828:AF828"/>
    <mergeCell ref="T776:W776"/>
    <mergeCell ref="AH752:AJ752"/>
    <mergeCell ref="AH741:AJ741"/>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Q636:S636"/>
    <mergeCell ref="Q637:S637"/>
    <mergeCell ref="AH732:AJ732"/>
    <mergeCell ref="X732:AB732"/>
    <mergeCell ref="Z685:AK685"/>
    <mergeCell ref="AK729:AO729"/>
    <mergeCell ref="K725:N725"/>
    <mergeCell ref="K729:N729"/>
    <mergeCell ref="K726:N726"/>
    <mergeCell ref="AO627:AS627"/>
    <mergeCell ref="H340:M340"/>
    <mergeCell ref="AK636:AN636"/>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K744:N744"/>
    <mergeCell ref="O744:S744"/>
    <mergeCell ref="D1083:AK1085"/>
    <mergeCell ref="J792:N792"/>
    <mergeCell ref="T769:W772"/>
    <mergeCell ref="AH748:AJ748"/>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X788:AB788"/>
    <mergeCell ref="G738:J738"/>
    <mergeCell ref="G737:J737"/>
    <mergeCell ref="X769:AB772"/>
    <mergeCell ref="J774:N774"/>
    <mergeCell ref="O732:S732"/>
    <mergeCell ref="O741:S741"/>
    <mergeCell ref="AC742:AG742"/>
    <mergeCell ref="O756:R75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J794:N794"/>
    <mergeCell ref="J789:N789"/>
    <mergeCell ref="K737:N737"/>
    <mergeCell ref="F831:L831"/>
    <mergeCell ref="AH739:AJ739"/>
    <mergeCell ref="R987:AA987"/>
    <mergeCell ref="G729:J729"/>
    <mergeCell ref="B726:F726"/>
    <mergeCell ref="J793:N793"/>
    <mergeCell ref="C832:L832"/>
    <mergeCell ref="M827:P827"/>
    <mergeCell ref="J797:N797"/>
    <mergeCell ref="J795:N795"/>
    <mergeCell ref="AH727:AJ727"/>
    <mergeCell ref="G727:J727"/>
    <mergeCell ref="C829:H829"/>
    <mergeCell ref="Q828:T828"/>
    <mergeCell ref="T728:W728"/>
    <mergeCell ref="AC740:AG740"/>
    <mergeCell ref="AC741:AG741"/>
    <mergeCell ref="AC737:AG737"/>
    <mergeCell ref="T732:W732"/>
    <mergeCell ref="T731:W731"/>
    <mergeCell ref="AC796:AG796"/>
    <mergeCell ref="AC788:AG788"/>
    <mergeCell ref="Z818:AE818"/>
    <mergeCell ref="T789:W789"/>
    <mergeCell ref="Z814:AE814"/>
    <mergeCell ref="AC793:AG793"/>
    <mergeCell ref="O783:S786"/>
    <mergeCell ref="Z806:AE806"/>
    <mergeCell ref="AG829:AJ829"/>
    <mergeCell ref="Z813:AE813"/>
    <mergeCell ref="Y825:AB825"/>
    <mergeCell ref="AC825:AF825"/>
    <mergeCell ref="AG827:AJ827"/>
    <mergeCell ref="M826:P826"/>
    <mergeCell ref="X789:AB789"/>
    <mergeCell ref="X790:AB790"/>
    <mergeCell ref="T790:W790"/>
    <mergeCell ref="AG756:AJ756"/>
    <mergeCell ref="AC826:AF826"/>
    <mergeCell ref="AC827:AF827"/>
    <mergeCell ref="AC777:AG777"/>
    <mergeCell ref="Q823:T824"/>
    <mergeCell ref="Z809:AE809"/>
    <mergeCell ref="T788:W788"/>
    <mergeCell ref="U823:X824"/>
    <mergeCell ref="AA966:AG966"/>
    <mergeCell ref="AA972:AG972"/>
    <mergeCell ref="AE961:AK961"/>
    <mergeCell ref="U825:X825"/>
    <mergeCell ref="M823:P824"/>
    <mergeCell ref="T734:W734"/>
    <mergeCell ref="O775:S775"/>
    <mergeCell ref="K733:N733"/>
    <mergeCell ref="G643:R643"/>
    <mergeCell ref="Z662:AK662"/>
    <mergeCell ref="Z653:AK653"/>
    <mergeCell ref="Z652:AK652"/>
    <mergeCell ref="P647:R647"/>
    <mergeCell ref="G654:R654"/>
    <mergeCell ref="AH745:AJ745"/>
    <mergeCell ref="AH746:AJ746"/>
    <mergeCell ref="AH747:AJ747"/>
    <mergeCell ref="O728:S728"/>
    <mergeCell ref="O729:S729"/>
    <mergeCell ref="O722:S722"/>
    <mergeCell ref="P944:T944"/>
    <mergeCell ref="AC889:AH889"/>
    <mergeCell ref="Y830:AB830"/>
    <mergeCell ref="U921:Z921"/>
    <mergeCell ref="T795:W795"/>
    <mergeCell ref="M968:S968"/>
    <mergeCell ref="M846:V846"/>
    <mergeCell ref="W843:AC843"/>
    <mergeCell ref="J849:V849"/>
    <mergeCell ref="AC893:AH893"/>
    <mergeCell ref="W855:AC855"/>
    <mergeCell ref="AA924:AF924"/>
    <mergeCell ref="D1094:AK1097"/>
    <mergeCell ref="G726:J726"/>
    <mergeCell ref="D1070:AK1075"/>
    <mergeCell ref="CM651:CQ651"/>
    <mergeCell ref="CH649:CL649"/>
    <mergeCell ref="CH647:CL647"/>
    <mergeCell ref="X735:AB735"/>
    <mergeCell ref="X736:AB736"/>
    <mergeCell ref="G735:J735"/>
    <mergeCell ref="G736:J736"/>
    <mergeCell ref="AK736:AO736"/>
    <mergeCell ref="AC743:AG743"/>
    <mergeCell ref="T735:W735"/>
    <mergeCell ref="K740:N740"/>
    <mergeCell ref="T742:W742"/>
    <mergeCell ref="K743:N743"/>
    <mergeCell ref="AC735:AG735"/>
    <mergeCell ref="T737:W737"/>
    <mergeCell ref="B741:F741"/>
    <mergeCell ref="A1086:B1086"/>
    <mergeCell ref="A1083:B1083"/>
    <mergeCell ref="A1076:B1076"/>
    <mergeCell ref="A1070:B1070"/>
    <mergeCell ref="A1064:B1064"/>
    <mergeCell ref="W857:AC857"/>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T794:W794"/>
    <mergeCell ref="T792:W792"/>
    <mergeCell ref="O777:S777"/>
    <mergeCell ref="B735:F735"/>
    <mergeCell ref="B738:F738"/>
    <mergeCell ref="AK748:AO748"/>
    <mergeCell ref="AK749:AO749"/>
    <mergeCell ref="AK750:AO750"/>
    <mergeCell ref="AK751:AO751"/>
    <mergeCell ref="G753:J753"/>
    <mergeCell ref="B753:F753"/>
    <mergeCell ref="AC753:AG753"/>
    <mergeCell ref="O753:S753"/>
    <mergeCell ref="AK738:AO738"/>
    <mergeCell ref="M967:S967"/>
    <mergeCell ref="AA971:AG971"/>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826:H826"/>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AC769:AG772"/>
    <mergeCell ref="Y832:AB832"/>
    <mergeCell ref="BS647:BW647"/>
    <mergeCell ref="Z647:AE647"/>
    <mergeCell ref="AI647:AK647"/>
    <mergeCell ref="X739:AB739"/>
    <mergeCell ref="C763:AR765"/>
    <mergeCell ref="C766:AR768"/>
    <mergeCell ref="B754:AH755"/>
    <mergeCell ref="AK739:AO739"/>
    <mergeCell ref="AH750:AJ750"/>
    <mergeCell ref="AH751:AJ751"/>
    <mergeCell ref="B737:F737"/>
    <mergeCell ref="CS650:CW650"/>
    <mergeCell ref="X722:AB722"/>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X613:DB613"/>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X598:DB598"/>
    <mergeCell ref="DM599:DQ599"/>
    <mergeCell ref="DM601:DQ601"/>
    <mergeCell ref="DM597:DQ597"/>
    <mergeCell ref="DC596:DG596"/>
    <mergeCell ref="CH597:CL597"/>
    <mergeCell ref="CH598:CL598"/>
    <mergeCell ref="DH596:DL596"/>
    <mergeCell ref="CC599:CG599"/>
    <mergeCell ref="CC603:CG603"/>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S605:CW605"/>
    <mergeCell ref="CX605:DB605"/>
    <mergeCell ref="CX609:DB609"/>
    <mergeCell ref="CH607:CL607"/>
    <mergeCell ref="CH604:CL604"/>
    <mergeCell ref="DC609:DG609"/>
    <mergeCell ref="DH609:DL609"/>
    <mergeCell ref="CS599:CW599"/>
    <mergeCell ref="CS597:CW597"/>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DC606:DG606"/>
    <mergeCell ref="DC602:DG602"/>
    <mergeCell ref="DH602:DL602"/>
    <mergeCell ref="DM604:DQ604"/>
    <mergeCell ref="DC605:DG605"/>
    <mergeCell ref="DH605:DL605"/>
    <mergeCell ref="DM600:DQ600"/>
    <mergeCell ref="CS600:CW600"/>
    <mergeCell ref="DC600:DG600"/>
    <mergeCell ref="DH600:DL600"/>
    <mergeCell ref="CX600:DB600"/>
    <mergeCell ref="CX601:DB601"/>
    <mergeCell ref="CC605:CG605"/>
    <mergeCell ref="BX597:CB597"/>
    <mergeCell ref="CH596:CL596"/>
    <mergeCell ref="CH601:CL601"/>
    <mergeCell ref="BS603:BW603"/>
    <mergeCell ref="CM596:CQ596"/>
    <mergeCell ref="CM597:CQ597"/>
    <mergeCell ref="CM598:CQ598"/>
    <mergeCell ref="CM599:CQ599"/>
    <mergeCell ref="Z597:AE597"/>
    <mergeCell ref="CX596:DB596"/>
    <mergeCell ref="Z602:AK602"/>
    <mergeCell ref="BG602:BH602"/>
    <mergeCell ref="AA598:AK598"/>
    <mergeCell ref="CH599:CL599"/>
    <mergeCell ref="BI602:BJ602"/>
    <mergeCell ref="BN597:BR597"/>
    <mergeCell ref="BN600:BR600"/>
    <mergeCell ref="BX600:CB600"/>
    <mergeCell ref="CC597:CG597"/>
    <mergeCell ref="BI599:BJ599"/>
    <mergeCell ref="CS596:CW596"/>
    <mergeCell ref="CS598:CW598"/>
    <mergeCell ref="BS602:BW602"/>
    <mergeCell ref="BE600:BF600"/>
    <mergeCell ref="BX601:CB601"/>
    <mergeCell ref="R411:S411"/>
    <mergeCell ref="Q389:U389"/>
    <mergeCell ref="AJ357:AK357"/>
    <mergeCell ref="G572:L572"/>
    <mergeCell ref="W466:Y466"/>
    <mergeCell ref="W473:Y473"/>
    <mergeCell ref="D469:V469"/>
    <mergeCell ref="Z581:AE581"/>
    <mergeCell ref="Z586:AK586"/>
    <mergeCell ref="T561:V561"/>
    <mergeCell ref="AG379:AH379"/>
    <mergeCell ref="M555:P555"/>
    <mergeCell ref="W561:Y561"/>
    <mergeCell ref="AC532:AF532"/>
    <mergeCell ref="O535:AA535"/>
    <mergeCell ref="AH523:AK523"/>
    <mergeCell ref="O532:AA532"/>
    <mergeCell ref="AH504:AK504"/>
    <mergeCell ref="AH517:AK517"/>
    <mergeCell ref="AH535:AK535"/>
    <mergeCell ref="AH527:AK527"/>
    <mergeCell ref="G577:R577"/>
    <mergeCell ref="S489:AK490"/>
    <mergeCell ref="CC596:CG596"/>
    <mergeCell ref="W465:Y465"/>
    <mergeCell ref="P345:AE345"/>
    <mergeCell ref="AA341:AK341"/>
    <mergeCell ref="C559:L559"/>
    <mergeCell ref="M559:P559"/>
    <mergeCell ref="AI389:AJ389"/>
    <mergeCell ref="P347:Z347"/>
    <mergeCell ref="AE561:AH561"/>
    <mergeCell ref="AC531:AF531"/>
    <mergeCell ref="AC524:AF524"/>
    <mergeCell ref="AC502:AF502"/>
    <mergeCell ref="AE558:AH558"/>
    <mergeCell ref="M355:N355"/>
    <mergeCell ref="D439:AF439"/>
    <mergeCell ref="Q564:S564"/>
    <mergeCell ref="W562:Y562"/>
    <mergeCell ref="N591:O591"/>
    <mergeCell ref="AA590:AK590"/>
    <mergeCell ref="AE562:AH562"/>
    <mergeCell ref="AI557:AL557"/>
    <mergeCell ref="Q562:S562"/>
    <mergeCell ref="Q391:U391"/>
    <mergeCell ref="AD377:AE377"/>
    <mergeCell ref="AC371:AF371"/>
    <mergeCell ref="Q390:U390"/>
    <mergeCell ref="E368:AH369"/>
    <mergeCell ref="Q365:AG365"/>
    <mergeCell ref="P418:R418"/>
    <mergeCell ref="S392:U392"/>
    <mergeCell ref="G589:L589"/>
    <mergeCell ref="BI631:BJ631"/>
    <mergeCell ref="Z601:AK601"/>
    <mergeCell ref="W556:Y556"/>
    <mergeCell ref="AE564:AH564"/>
    <mergeCell ref="M557:P557"/>
    <mergeCell ref="Z557:AD557"/>
    <mergeCell ref="C564:L564"/>
    <mergeCell ref="C565:L565"/>
    <mergeCell ref="C562:L562"/>
    <mergeCell ref="Q561:S561"/>
    <mergeCell ref="AE554:AH554"/>
    <mergeCell ref="Z556:AD556"/>
    <mergeCell ref="AI555:AL555"/>
    <mergeCell ref="T559:V559"/>
    <mergeCell ref="P581:R581"/>
    <mergeCell ref="AI572:AK572"/>
    <mergeCell ref="AA582:AK582"/>
    <mergeCell ref="C563:L563"/>
    <mergeCell ref="W554:Y554"/>
    <mergeCell ref="W555:Y555"/>
    <mergeCell ref="Z558:AD558"/>
    <mergeCell ref="G595:R595"/>
    <mergeCell ref="G596:R596"/>
    <mergeCell ref="T560:V560"/>
    <mergeCell ref="G570:R570"/>
    <mergeCell ref="Z561:AD561"/>
    <mergeCell ref="M562:P562"/>
    <mergeCell ref="M563:P563"/>
    <mergeCell ref="AM559:AS559"/>
    <mergeCell ref="Z588:AK588"/>
    <mergeCell ref="Z578:AK578"/>
    <mergeCell ref="AM558:AS558"/>
    <mergeCell ref="Q560:S560"/>
    <mergeCell ref="Q565:S565"/>
    <mergeCell ref="H331:M331"/>
    <mergeCell ref="W565:Y565"/>
    <mergeCell ref="H341:R341"/>
    <mergeCell ref="W558:Y558"/>
    <mergeCell ref="AE565:AH565"/>
    <mergeCell ref="M358:N358"/>
    <mergeCell ref="AI339:AK339"/>
    <mergeCell ref="M357:N357"/>
    <mergeCell ref="J385:U385"/>
    <mergeCell ref="V381:W381"/>
    <mergeCell ref="T555:V555"/>
    <mergeCell ref="W559:Y559"/>
    <mergeCell ref="AF630:AJ630"/>
    <mergeCell ref="AA338:AK338"/>
    <mergeCell ref="H337:R337"/>
    <mergeCell ref="J386:U386"/>
    <mergeCell ref="N372:Q372"/>
    <mergeCell ref="M560:P560"/>
    <mergeCell ref="AJ356:AK356"/>
    <mergeCell ref="AG390:AJ390"/>
    <mergeCell ref="Z589:AE589"/>
    <mergeCell ref="Z579:AK579"/>
    <mergeCell ref="D468:V468"/>
    <mergeCell ref="AC500:AF500"/>
    <mergeCell ref="AC503:AF503"/>
    <mergeCell ref="D438:AF438"/>
    <mergeCell ref="AD412:AE412"/>
    <mergeCell ref="H414:AE415"/>
    <mergeCell ref="AE425:AF425"/>
    <mergeCell ref="AI561:AL561"/>
    <mergeCell ref="BE604:BF604"/>
    <mergeCell ref="BE597:BF597"/>
    <mergeCell ref="BG597:BH597"/>
    <mergeCell ref="BI597:BJ597"/>
    <mergeCell ref="BK596:BL596"/>
    <mergeCell ref="Z555:AD555"/>
    <mergeCell ref="AC509:AF509"/>
    <mergeCell ref="AC525:AF525"/>
    <mergeCell ref="AE560:AH560"/>
    <mergeCell ref="T556:V556"/>
    <mergeCell ref="AC527:AF527"/>
    <mergeCell ref="M565:P565"/>
    <mergeCell ref="T563:V563"/>
    <mergeCell ref="Z564:AD564"/>
    <mergeCell ref="Z565:AD565"/>
    <mergeCell ref="AM564:AS564"/>
    <mergeCell ref="AE559:AH559"/>
    <mergeCell ref="AI559:AL559"/>
    <mergeCell ref="AH520:AK520"/>
    <mergeCell ref="AC537:AF537"/>
    <mergeCell ref="AH539:AK539"/>
    <mergeCell ref="AH541:AK541"/>
    <mergeCell ref="AH532:AK532"/>
    <mergeCell ref="AH515:AK515"/>
    <mergeCell ref="AC516:AF516"/>
    <mergeCell ref="AC521:AF521"/>
    <mergeCell ref="AH509:AK509"/>
    <mergeCell ref="M554:P554"/>
    <mergeCell ref="BK602:BL602"/>
    <mergeCell ref="AM562:AS562"/>
    <mergeCell ref="B566:AL566"/>
    <mergeCell ref="AM561:AS561"/>
    <mergeCell ref="BN645:BR645"/>
    <mergeCell ref="AO638:AS638"/>
    <mergeCell ref="AF627:AJ627"/>
    <mergeCell ref="BE631:BF631"/>
    <mergeCell ref="AA614:AK614"/>
    <mergeCell ref="BE614:BF614"/>
    <mergeCell ref="BK632:BL632"/>
    <mergeCell ref="BN632:BR632"/>
    <mergeCell ref="BI612:BJ612"/>
    <mergeCell ref="BK612:BL612"/>
    <mergeCell ref="BG612:BH612"/>
    <mergeCell ref="BN612:BR612"/>
    <mergeCell ref="BN639:BR639"/>
    <mergeCell ref="AA606:AK606"/>
    <mergeCell ref="AC624:AE626"/>
    <mergeCell ref="AK628:AN628"/>
    <mergeCell ref="AK637:AN637"/>
    <mergeCell ref="AK638:AN638"/>
    <mergeCell ref="BK619:BL619"/>
    <mergeCell ref="BK614:BL614"/>
    <mergeCell ref="BI613:BJ613"/>
    <mergeCell ref="BE606:BF606"/>
    <mergeCell ref="BG606:BH606"/>
    <mergeCell ref="BE625:BF625"/>
    <mergeCell ref="BE628:BF628"/>
    <mergeCell ref="BI628:BJ628"/>
    <mergeCell ref="BK628:BL628"/>
    <mergeCell ref="BN628:BR628"/>
    <mergeCell ref="BK611:BL611"/>
    <mergeCell ref="BN631:BR631"/>
    <mergeCell ref="AO639:AS639"/>
    <mergeCell ref="BN630:BR63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X616:CB616"/>
    <mergeCell ref="CH618:CL618"/>
    <mergeCell ref="BI619:BJ619"/>
    <mergeCell ref="CC631:CG631"/>
    <mergeCell ref="CC612:CG612"/>
    <mergeCell ref="CC613:CG613"/>
    <mergeCell ref="BG614:BH614"/>
    <mergeCell ref="BG613:BH613"/>
    <mergeCell ref="BK615:BL615"/>
    <mergeCell ref="CC614:CG614"/>
    <mergeCell ref="BN615:BR615"/>
    <mergeCell ref="BK616:BL616"/>
    <mergeCell ref="BS616:BW616"/>
    <mergeCell ref="BN618:BR618"/>
    <mergeCell ref="BK617:BL617"/>
    <mergeCell ref="BG616:BH616"/>
    <mergeCell ref="BI614:BJ614"/>
    <mergeCell ref="BS620:BW620"/>
    <mergeCell ref="BX620:CB620"/>
    <mergeCell ref="BS630:BW630"/>
    <mergeCell ref="CH625:CL625"/>
    <mergeCell ref="CC616:CG616"/>
    <mergeCell ref="CC618:CG618"/>
    <mergeCell ref="CC620:CG620"/>
    <mergeCell ref="CH629:CL629"/>
    <mergeCell ref="CH626:CL626"/>
    <mergeCell ref="CH621:CL621"/>
    <mergeCell ref="CC622:CG622"/>
    <mergeCell ref="CH622:CL622"/>
    <mergeCell ref="BK624:BL624"/>
    <mergeCell ref="BS623:BW623"/>
    <mergeCell ref="BK627:BL627"/>
    <mergeCell ref="BG628:BH628"/>
    <mergeCell ref="BI630:BJ630"/>
    <mergeCell ref="CH613:CL613"/>
    <mergeCell ref="CH628:CL628"/>
    <mergeCell ref="BK630:BL630"/>
    <mergeCell ref="CH612:CL612"/>
    <mergeCell ref="BI625:BJ625"/>
    <mergeCell ref="BK625:BL625"/>
    <mergeCell ref="CC625:CG625"/>
    <mergeCell ref="C628:L628"/>
    <mergeCell ref="G655:L655"/>
    <mergeCell ref="T628:V628"/>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CC640:CG640"/>
    <mergeCell ref="BK613:BL613"/>
    <mergeCell ref="CH616:CL616"/>
    <mergeCell ref="M832:P832"/>
    <mergeCell ref="AG832:AJ832"/>
    <mergeCell ref="W844:AC844"/>
    <mergeCell ref="D1076:AK1082"/>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70:AG970"/>
    <mergeCell ref="BD905:BF905"/>
    <mergeCell ref="AA923:AF923"/>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2:BE902"/>
    <mergeCell ref="AA919:AF919"/>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W847:AC847"/>
    <mergeCell ref="W859:AC859"/>
    <mergeCell ref="W852:AC852"/>
    <mergeCell ref="W866:AC866"/>
    <mergeCell ref="C894:AB894"/>
    <mergeCell ref="Z898:AE898"/>
    <mergeCell ref="W872:AC872"/>
    <mergeCell ref="AC884:AH884"/>
    <mergeCell ref="M875:V875"/>
    <mergeCell ref="W877:AC877"/>
    <mergeCell ref="W853:AC853"/>
    <mergeCell ref="AC886:AH886"/>
    <mergeCell ref="W874:AC874"/>
    <mergeCell ref="M876:V876"/>
    <mergeCell ref="O797:S797"/>
    <mergeCell ref="Q827:T827"/>
    <mergeCell ref="U827:X827"/>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M825:P825"/>
    <mergeCell ref="C825:H825"/>
    <mergeCell ref="AG828:AJ828"/>
    <mergeCell ref="Q830:T830"/>
    <mergeCell ref="Z807:AE807"/>
    <mergeCell ref="AG831:AJ831"/>
    <mergeCell ref="O774:S774"/>
    <mergeCell ref="O794:S794"/>
    <mergeCell ref="U832:X832"/>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O769:S772"/>
    <mergeCell ref="J779:K779"/>
    <mergeCell ref="J787:N787"/>
    <mergeCell ref="T773:W773"/>
    <mergeCell ref="O796:S796"/>
    <mergeCell ref="X777:AB777"/>
    <mergeCell ref="AC774:AG774"/>
    <mergeCell ref="T775:W775"/>
    <mergeCell ref="X791:AB791"/>
    <mergeCell ref="O791:S791"/>
    <mergeCell ref="Z817:AE817"/>
    <mergeCell ref="X795:AB795"/>
    <mergeCell ref="J783:N786"/>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676:R676"/>
    <mergeCell ref="Z587:AK587"/>
    <mergeCell ref="P655:R655"/>
    <mergeCell ref="AC630:AE630"/>
    <mergeCell ref="AC631:AE631"/>
    <mergeCell ref="AC632:AE632"/>
    <mergeCell ref="Z646:AK646"/>
    <mergeCell ref="G602:R602"/>
    <mergeCell ref="AF574:AK574"/>
    <mergeCell ref="Z610:AK610"/>
    <mergeCell ref="Z677:AK677"/>
    <mergeCell ref="G663:L663"/>
    <mergeCell ref="H664:R664"/>
    <mergeCell ref="Z659:AK659"/>
    <mergeCell ref="T722:W722"/>
    <mergeCell ref="B639:AN639"/>
    <mergeCell ref="B640:AN640"/>
    <mergeCell ref="B641:AN641"/>
    <mergeCell ref="B718:F718"/>
    <mergeCell ref="G720:J720"/>
    <mergeCell ref="B721:F721"/>
    <mergeCell ref="Z643:AK643"/>
    <mergeCell ref="G644:R644"/>
    <mergeCell ref="Z645:AK645"/>
    <mergeCell ref="K720:N720"/>
    <mergeCell ref="AG681:AH681"/>
    <mergeCell ref="AI687:AK687"/>
    <mergeCell ref="AE696:AI696"/>
    <mergeCell ref="K718:N718"/>
    <mergeCell ref="K719:N719"/>
    <mergeCell ref="O714:S717"/>
    <mergeCell ref="G675:R675"/>
    <mergeCell ref="R705:T705"/>
    <mergeCell ref="W703:AK703"/>
    <mergeCell ref="C627:L627"/>
    <mergeCell ref="N657:O657"/>
    <mergeCell ref="Z660:AK660"/>
    <mergeCell ref="AM563:AS563"/>
    <mergeCell ref="Z572:AE572"/>
    <mergeCell ref="Z577:AK577"/>
    <mergeCell ref="AI562:AL562"/>
    <mergeCell ref="AF633:AJ633"/>
    <mergeCell ref="G612:R612"/>
    <mergeCell ref="M633:P633"/>
    <mergeCell ref="M634:P634"/>
    <mergeCell ref="AI655:AK655"/>
    <mergeCell ref="G653:R653"/>
    <mergeCell ref="M636:P636"/>
    <mergeCell ref="M637:P637"/>
    <mergeCell ref="M638:P638"/>
    <mergeCell ref="AO629:AS629"/>
    <mergeCell ref="AO633:AS633"/>
    <mergeCell ref="AO628:AS628"/>
    <mergeCell ref="AO631:AS631"/>
    <mergeCell ref="M564:P564"/>
    <mergeCell ref="AM565:AS565"/>
    <mergeCell ref="AE563:AH563"/>
    <mergeCell ref="AM566:AS566"/>
    <mergeCell ref="G581:L581"/>
    <mergeCell ref="P572:R572"/>
    <mergeCell ref="Z595:AK595"/>
    <mergeCell ref="Z593:AK593"/>
    <mergeCell ref="C633:L633"/>
    <mergeCell ref="C634:L634"/>
    <mergeCell ref="P613:R613"/>
    <mergeCell ref="G594:R594"/>
    <mergeCell ref="M561:P561"/>
    <mergeCell ref="AC540:AF540"/>
    <mergeCell ref="G719:J719"/>
    <mergeCell ref="K724:N724"/>
    <mergeCell ref="AI581:AK581"/>
    <mergeCell ref="G645:R645"/>
    <mergeCell ref="G679:L679"/>
    <mergeCell ref="Z651:AK651"/>
    <mergeCell ref="G651:R651"/>
    <mergeCell ref="G652:R652"/>
    <mergeCell ref="Z655:AE655"/>
    <mergeCell ref="AA656:AK656"/>
    <mergeCell ref="N673:O673"/>
    <mergeCell ref="G687:L687"/>
    <mergeCell ref="G677:R677"/>
    <mergeCell ref="G685:R685"/>
    <mergeCell ref="N665:O665"/>
    <mergeCell ref="H672:R672"/>
    <mergeCell ref="N599:O599"/>
    <mergeCell ref="Z570:AK570"/>
    <mergeCell ref="AI589:AK589"/>
    <mergeCell ref="Z596:AK596"/>
    <mergeCell ref="H598:R598"/>
    <mergeCell ref="G597:L597"/>
    <mergeCell ref="AG591:AH591"/>
    <mergeCell ref="AI558:AL558"/>
    <mergeCell ref="G579:R579"/>
    <mergeCell ref="Z559:AD559"/>
    <mergeCell ref="Z560:AD560"/>
    <mergeCell ref="H656:R656"/>
    <mergeCell ref="W636:Y636"/>
    <mergeCell ref="W637:Y637"/>
    <mergeCell ref="B725:F725"/>
    <mergeCell ref="N649:O649"/>
    <mergeCell ref="O718:S718"/>
    <mergeCell ref="O720:S720"/>
    <mergeCell ref="G714:J717"/>
    <mergeCell ref="G668:R668"/>
    <mergeCell ref="P671:R671"/>
    <mergeCell ref="P687:R687"/>
    <mergeCell ref="J705:O705"/>
    <mergeCell ref="B724:F724"/>
    <mergeCell ref="Z654:AK654"/>
    <mergeCell ref="O723:S723"/>
    <mergeCell ref="F457:AB458"/>
    <mergeCell ref="N575:O575"/>
    <mergeCell ref="G569:R569"/>
    <mergeCell ref="H582:R582"/>
    <mergeCell ref="AC347:AE347"/>
    <mergeCell ref="P605:R605"/>
    <mergeCell ref="AG607:AH607"/>
    <mergeCell ref="W638:Y638"/>
    <mergeCell ref="T624:V626"/>
    <mergeCell ref="M632:P632"/>
    <mergeCell ref="Z630:AB630"/>
    <mergeCell ref="Z631:AB631"/>
    <mergeCell ref="Z633:AB633"/>
    <mergeCell ref="A617:AT618"/>
    <mergeCell ref="B624:L626"/>
    <mergeCell ref="C638:L638"/>
    <mergeCell ref="W635:Y635"/>
    <mergeCell ref="AF624:AJ626"/>
    <mergeCell ref="AC629:AE629"/>
    <mergeCell ref="AG583:AH583"/>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T565:V565"/>
    <mergeCell ref="C560:L560"/>
    <mergeCell ref="Q563:S563"/>
    <mergeCell ref="AI565:AL565"/>
    <mergeCell ref="C557:L557"/>
    <mergeCell ref="AH537:AK537"/>
    <mergeCell ref="M356:N356"/>
    <mergeCell ref="Q394:U394"/>
    <mergeCell ref="AH542:AK542"/>
    <mergeCell ref="AC542:AF542"/>
    <mergeCell ref="AC533:AF533"/>
    <mergeCell ref="D444:AF444"/>
    <mergeCell ref="AH519:AK519"/>
    <mergeCell ref="AH536:AK536"/>
    <mergeCell ref="AG448:AJ448"/>
    <mergeCell ref="AH503:AK503"/>
    <mergeCell ref="B520:H542"/>
    <mergeCell ref="D445:AF445"/>
    <mergeCell ref="AC535:AF535"/>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Z263:AE263"/>
    <mergeCell ref="H329:R329"/>
    <mergeCell ref="AI331:AK331"/>
    <mergeCell ref="P339:R339"/>
    <mergeCell ref="P343:AE343"/>
    <mergeCell ref="AA340:AF340"/>
    <mergeCell ref="AA327:AK327"/>
    <mergeCell ref="H335:R335"/>
    <mergeCell ref="AI315:AK315"/>
    <mergeCell ref="AA304:AK304"/>
    <mergeCell ref="AA312:AK312"/>
    <mergeCell ref="AA288:AK288"/>
    <mergeCell ref="H287:R287"/>
    <mergeCell ref="AA324:AF324"/>
    <mergeCell ref="H328:R328"/>
    <mergeCell ref="AA329:AK329"/>
    <mergeCell ref="P331:R331"/>
    <mergeCell ref="AA321:AK321"/>
    <mergeCell ref="H325:R325"/>
    <mergeCell ref="H307:M307"/>
    <mergeCell ref="M263:R263"/>
    <mergeCell ref="M265:T265"/>
    <mergeCell ref="AA314:AK314"/>
    <mergeCell ref="AA313:AK313"/>
    <mergeCell ref="H319:R319"/>
    <mergeCell ref="AA316:AF316"/>
    <mergeCell ref="AA297:AK297"/>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G113:H113"/>
    <mergeCell ref="Y120:AK120"/>
    <mergeCell ref="C115:K115"/>
    <mergeCell ref="O160:T160"/>
    <mergeCell ref="O161:AH161"/>
    <mergeCell ref="D164:AH164"/>
    <mergeCell ref="M249:T249"/>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M252:AE252"/>
    <mergeCell ref="AA291:AF291"/>
    <mergeCell ref="AI291:AK291"/>
    <mergeCell ref="M259:AE259"/>
    <mergeCell ref="AA293:AK293"/>
    <mergeCell ref="W261:X261"/>
    <mergeCell ref="U263:W263"/>
    <mergeCell ref="M257:T257"/>
    <mergeCell ref="M256:AE256"/>
    <mergeCell ref="P291:R291"/>
    <mergeCell ref="L274:AJ274"/>
    <mergeCell ref="M243:AE243"/>
    <mergeCell ref="D204:M204"/>
    <mergeCell ref="P204:U204"/>
    <mergeCell ref="AH195:AI195"/>
    <mergeCell ref="AH196:AI196"/>
    <mergeCell ref="U176:V176"/>
    <mergeCell ref="AH194:AI194"/>
    <mergeCell ref="H288:R288"/>
    <mergeCell ref="AA290:AK290"/>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23:AK123"/>
    <mergeCell ref="AC245:AE245"/>
    <mergeCell ref="M246:AE246"/>
    <mergeCell ref="AA238:AK238"/>
    <mergeCell ref="AI178:AK178"/>
    <mergeCell ref="M234:T234"/>
    <mergeCell ref="W234:X234"/>
    <mergeCell ref="AB212:AC212"/>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H311:R311"/>
    <mergeCell ref="H308:M308"/>
    <mergeCell ref="P307:R307"/>
    <mergeCell ref="H305:R305"/>
    <mergeCell ref="AA300:AF300"/>
    <mergeCell ref="H306:R306"/>
    <mergeCell ref="AA307:AF307"/>
    <mergeCell ref="M264:AE264"/>
    <mergeCell ref="AI299:AK299"/>
    <mergeCell ref="H297:R297"/>
    <mergeCell ref="AA298:AK298"/>
    <mergeCell ref="L280:AD280"/>
    <mergeCell ref="L275:AD275"/>
    <mergeCell ref="H290:R290"/>
    <mergeCell ref="D450:AF450"/>
    <mergeCell ref="D451:AJ452"/>
    <mergeCell ref="S402:U402"/>
    <mergeCell ref="P425:Q425"/>
    <mergeCell ref="I418:K418"/>
    <mergeCell ref="S413:T413"/>
    <mergeCell ref="H338:R338"/>
    <mergeCell ref="AG393:AJ393"/>
    <mergeCell ref="AG391:AJ391"/>
    <mergeCell ref="K404:AJ404"/>
    <mergeCell ref="Q393:U393"/>
    <mergeCell ref="AG380:AH380"/>
    <mergeCell ref="H313:R313"/>
    <mergeCell ref="H289:R289"/>
    <mergeCell ref="H291:M291"/>
    <mergeCell ref="H299:M299"/>
    <mergeCell ref="AH500:AK500"/>
    <mergeCell ref="H300:M300"/>
    <mergeCell ref="AA335:AK335"/>
    <mergeCell ref="AE402:AJ402"/>
    <mergeCell ref="AC385:AJ385"/>
    <mergeCell ref="H339:M339"/>
    <mergeCell ref="J387:U387"/>
    <mergeCell ref="V377:W377"/>
    <mergeCell ref="S377:T377"/>
    <mergeCell ref="AC386:AJ386"/>
    <mergeCell ref="T399:AJ399"/>
    <mergeCell ref="E420:AJ420"/>
    <mergeCell ref="AF418:AH418"/>
    <mergeCell ref="I410:AE410"/>
    <mergeCell ref="H333:R333"/>
    <mergeCell ref="H330:R330"/>
    <mergeCell ref="S405:AJ405"/>
    <mergeCell ref="AC539:AF539"/>
    <mergeCell ref="AC456:AF456"/>
    <mergeCell ref="Q487:AK487"/>
    <mergeCell ref="Q486:AK486"/>
    <mergeCell ref="AH502:AK502"/>
    <mergeCell ref="AC499:AK499"/>
    <mergeCell ref="W468:Y468"/>
    <mergeCell ref="B503:H508"/>
    <mergeCell ref="C554:L554"/>
    <mergeCell ref="C555:L555"/>
    <mergeCell ref="T558:V558"/>
    <mergeCell ref="W563:Y563"/>
    <mergeCell ref="W564:Y564"/>
    <mergeCell ref="G568:R568"/>
    <mergeCell ref="M574:R574"/>
    <mergeCell ref="C558:L558"/>
    <mergeCell ref="AC507:AF507"/>
    <mergeCell ref="D470:V470"/>
    <mergeCell ref="AC536:AF536"/>
    <mergeCell ref="Q559:S559"/>
    <mergeCell ref="AI556:AL556"/>
    <mergeCell ref="I421:K421"/>
    <mergeCell ref="T564:V564"/>
    <mergeCell ref="D437:AF437"/>
    <mergeCell ref="AC522:AF522"/>
    <mergeCell ref="Q494:AK494"/>
    <mergeCell ref="AH524:AK524"/>
    <mergeCell ref="AH525:AK525"/>
    <mergeCell ref="Q558:S558"/>
    <mergeCell ref="AH531:AK531"/>
    <mergeCell ref="AC517:AF517"/>
    <mergeCell ref="CH610:CL610"/>
    <mergeCell ref="CH608:CL608"/>
    <mergeCell ref="BG601:BH601"/>
    <mergeCell ref="BG600:BH600"/>
    <mergeCell ref="CC600:CG600"/>
    <mergeCell ref="BN598:BR598"/>
    <mergeCell ref="BG603:BH603"/>
    <mergeCell ref="BS605:BW605"/>
    <mergeCell ref="BX605:CB605"/>
    <mergeCell ref="BI601:BJ601"/>
    <mergeCell ref="BI600:BJ600"/>
    <mergeCell ref="BN603:BR603"/>
    <mergeCell ref="BN606:BR606"/>
    <mergeCell ref="BK606:BL606"/>
    <mergeCell ref="BI605:BJ605"/>
    <mergeCell ref="BX603:CB603"/>
    <mergeCell ref="BK598:BL598"/>
    <mergeCell ref="BX599:CB599"/>
    <mergeCell ref="BS610:BW610"/>
    <mergeCell ref="BN602:BR602"/>
    <mergeCell ref="BS606:BW606"/>
    <mergeCell ref="BI603:BJ603"/>
    <mergeCell ref="CC609:CG609"/>
    <mergeCell ref="BK609:BL609"/>
    <mergeCell ref="BI606:BJ606"/>
    <mergeCell ref="BG605:BH605"/>
    <mergeCell ref="BI608:BJ608"/>
    <mergeCell ref="BG599:BH599"/>
    <mergeCell ref="BX604:CB604"/>
    <mergeCell ref="BX598:CB598"/>
    <mergeCell ref="CC598:CG598"/>
    <mergeCell ref="BS601:BW601"/>
    <mergeCell ref="BI607:BJ607"/>
    <mergeCell ref="BG604:BH604"/>
    <mergeCell ref="BX606:CB606"/>
    <mergeCell ref="BG598:BH598"/>
    <mergeCell ref="BG607:BH607"/>
    <mergeCell ref="BN640:BR640"/>
    <mergeCell ref="BI618:BJ618"/>
    <mergeCell ref="BK618:BL618"/>
    <mergeCell ref="BI623:BJ623"/>
    <mergeCell ref="BK623:BL623"/>
    <mergeCell ref="BI617:BJ617"/>
    <mergeCell ref="BG625:BH625"/>
    <mergeCell ref="BS632:BW632"/>
    <mergeCell ref="BK631:BL631"/>
    <mergeCell ref="BX630:CB630"/>
    <mergeCell ref="BG630:BH630"/>
    <mergeCell ref="BN614:BR614"/>
    <mergeCell ref="BG626:BH626"/>
    <mergeCell ref="BS614:BW614"/>
    <mergeCell ref="BN629:BR629"/>
    <mergeCell ref="BS629:BW629"/>
    <mergeCell ref="BX629:CB629"/>
    <mergeCell ref="BK603:BL603"/>
    <mergeCell ref="BK610:BL610"/>
    <mergeCell ref="BG611:BH611"/>
    <mergeCell ref="BK607:BL607"/>
    <mergeCell ref="BN607:BR607"/>
    <mergeCell ref="BI610:BJ610"/>
    <mergeCell ref="BG620:BH620"/>
    <mergeCell ref="BI620:BJ620"/>
    <mergeCell ref="BK620:BL620"/>
    <mergeCell ref="BG631:BH631"/>
    <mergeCell ref="CC610:CG610"/>
    <mergeCell ref="CC607:CG607"/>
    <mergeCell ref="BS608:BW608"/>
    <mergeCell ref="BN608:BR608"/>
    <mergeCell ref="BI604:BJ604"/>
    <mergeCell ref="BK600:BL600"/>
    <mergeCell ref="BX639:CB639"/>
    <mergeCell ref="CC601:CG601"/>
    <mergeCell ref="CC602:CG602"/>
    <mergeCell ref="BK604:BL604"/>
    <mergeCell ref="CC606:CG606"/>
    <mergeCell ref="BX610:CB610"/>
    <mergeCell ref="BI609:BJ609"/>
    <mergeCell ref="BK608:BL608"/>
    <mergeCell ref="BN601:BR601"/>
    <mergeCell ref="BX602:CB602"/>
    <mergeCell ref="CC623:CG623"/>
    <mergeCell ref="CC629:CG629"/>
    <mergeCell ref="BI626:BJ626"/>
    <mergeCell ref="BK626:BL626"/>
    <mergeCell ref="BN621:BR621"/>
    <mergeCell ref="BS621:BW621"/>
    <mergeCell ref="BX621:CB621"/>
    <mergeCell ref="CC621:CG621"/>
    <mergeCell ref="BN622:BR622"/>
    <mergeCell ref="BS622:BW622"/>
    <mergeCell ref="BX622:CB622"/>
    <mergeCell ref="BN604:BR604"/>
    <mergeCell ref="BX619:CB619"/>
    <mergeCell ref="BX618:CB618"/>
    <mergeCell ref="BX608:CB608"/>
    <mergeCell ref="BK601:BL601"/>
    <mergeCell ref="BS604:BW604"/>
    <mergeCell ref="BX611:CB611"/>
    <mergeCell ref="BX614:CB614"/>
    <mergeCell ref="BS613:BW613"/>
    <mergeCell ref="BI611:BJ611"/>
    <mergeCell ref="BX596:CB596"/>
    <mergeCell ref="BX609:CB609"/>
    <mergeCell ref="BK597:BL597"/>
    <mergeCell ref="BS597:BW597"/>
    <mergeCell ref="BS607:BW607"/>
    <mergeCell ref="BN609:BR609"/>
    <mergeCell ref="BN610:BR610"/>
    <mergeCell ref="BE601:BF601"/>
    <mergeCell ref="BE598:BF598"/>
    <mergeCell ref="BN626:BR626"/>
    <mergeCell ref="BE627:BF627"/>
    <mergeCell ref="BG627:BH627"/>
    <mergeCell ref="BI627:BJ627"/>
    <mergeCell ref="BN596:BR596"/>
    <mergeCell ref="BI598:BJ598"/>
    <mergeCell ref="BK599:BL599"/>
    <mergeCell ref="BN599:BR599"/>
    <mergeCell ref="BE599:BF599"/>
    <mergeCell ref="BN620:BR620"/>
    <mergeCell ref="BX607:CB607"/>
    <mergeCell ref="BS598:BW598"/>
    <mergeCell ref="BS599:BW599"/>
    <mergeCell ref="BS596:BW596"/>
    <mergeCell ref="BG596:BH596"/>
    <mergeCell ref="BE602:BF602"/>
    <mergeCell ref="BE603:BF603"/>
    <mergeCell ref="BS609:BW609"/>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S619:BW619"/>
    <mergeCell ref="BG618:BH618"/>
    <mergeCell ref="BE612:BF612"/>
    <mergeCell ref="BX613:CB613"/>
    <mergeCell ref="BE613:BF613"/>
    <mergeCell ref="BN617:BR617"/>
    <mergeCell ref="BS640:BW640"/>
    <mergeCell ref="AI679:AK679"/>
    <mergeCell ref="Z663:AE663"/>
    <mergeCell ref="BE605:BF605"/>
    <mergeCell ref="BX640:CB640"/>
    <mergeCell ref="BE609:BF609"/>
    <mergeCell ref="BE607:BF607"/>
    <mergeCell ref="BE608:BF608"/>
    <mergeCell ref="BE610:BF610"/>
    <mergeCell ref="H606:R606"/>
    <mergeCell ref="G605:L605"/>
    <mergeCell ref="G678:R678"/>
    <mergeCell ref="P679:R679"/>
    <mergeCell ref="Z676:AK676"/>
    <mergeCell ref="BX623:CB623"/>
    <mergeCell ref="BN625:BR625"/>
    <mergeCell ref="BS625:BW625"/>
    <mergeCell ref="BX625:CB625"/>
    <mergeCell ref="BN627:BR627"/>
    <mergeCell ref="BS627:BW627"/>
    <mergeCell ref="BE629:BF629"/>
    <mergeCell ref="BG629:BH629"/>
    <mergeCell ref="BI629:BJ629"/>
    <mergeCell ref="BK629:BL629"/>
    <mergeCell ref="BE626:BF626"/>
    <mergeCell ref="BG610:BH610"/>
    <mergeCell ref="AF629:AJ629"/>
    <mergeCell ref="W633:Y633"/>
    <mergeCell ref="BS628:BW628"/>
    <mergeCell ref="BX628:CB628"/>
    <mergeCell ref="BE620:BF620"/>
    <mergeCell ref="BE621:BF621"/>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D411:AE411"/>
    <mergeCell ref="AA333:AK333"/>
    <mergeCell ref="H336:R336"/>
    <mergeCell ref="AA336:AK336"/>
    <mergeCell ref="H332:M332"/>
    <mergeCell ref="U255:W255"/>
    <mergeCell ref="P299:R299"/>
    <mergeCell ref="H293:R293"/>
    <mergeCell ref="AG377:AH377"/>
    <mergeCell ref="E418:G418"/>
    <mergeCell ref="AH246:AK246"/>
    <mergeCell ref="AI397:AJ397"/>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N378:P378"/>
    <mergeCell ref="AG401:AJ401"/>
    <mergeCell ref="F427:AH428"/>
    <mergeCell ref="AA320:AK320"/>
    <mergeCell ref="AA337:AK337"/>
    <mergeCell ref="H327:R327"/>
    <mergeCell ref="D446:AF446"/>
    <mergeCell ref="D447:AF447"/>
    <mergeCell ref="J388:U388"/>
    <mergeCell ref="AI323:AK323"/>
    <mergeCell ref="D467:V467"/>
    <mergeCell ref="AA317:AK31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H526:AK526"/>
    <mergeCell ref="T557:V557"/>
    <mergeCell ref="AC518:AF518"/>
    <mergeCell ref="AC513:AF513"/>
    <mergeCell ref="AH513:AK513"/>
    <mergeCell ref="Q557:S557"/>
    <mergeCell ref="AE556:AH556"/>
    <mergeCell ref="AH508:AK508"/>
    <mergeCell ref="B551:L553"/>
    <mergeCell ref="M551:P553"/>
    <mergeCell ref="Q551:S553"/>
    <mergeCell ref="T551:V553"/>
    <mergeCell ref="W551:Y553"/>
    <mergeCell ref="AH507:AK507"/>
    <mergeCell ref="AC526:AF526"/>
    <mergeCell ref="AC520:AF520"/>
    <mergeCell ref="AH501:AK501"/>
    <mergeCell ref="Q554:S554"/>
    <mergeCell ref="C556:L556"/>
    <mergeCell ref="M556:P556"/>
    <mergeCell ref="AC508:AF508"/>
    <mergeCell ref="Q556:S556"/>
    <mergeCell ref="B514:H516"/>
    <mergeCell ref="AC528:AF528"/>
    <mergeCell ref="T554:V554"/>
    <mergeCell ref="O526:AA526"/>
    <mergeCell ref="B517:H519"/>
    <mergeCell ref="AH538:AK538"/>
    <mergeCell ref="AC534:AF534"/>
    <mergeCell ref="AM557:AS557"/>
    <mergeCell ref="AE557:AH557"/>
    <mergeCell ref="AM554:AS554"/>
    <mergeCell ref="L508:AB508"/>
    <mergeCell ref="AI554:AL554"/>
    <mergeCell ref="W557:Y557"/>
    <mergeCell ref="AH540:AK540"/>
    <mergeCell ref="AC538:AF538"/>
    <mergeCell ref="AM556:AS556"/>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AF430:AG430"/>
    <mergeCell ref="Q485:AK485"/>
    <mergeCell ref="M495:P495"/>
    <mergeCell ref="AC501:AF501"/>
    <mergeCell ref="AG441:AJ441"/>
    <mergeCell ref="AH505:AK505"/>
    <mergeCell ref="AH506:AK506"/>
    <mergeCell ref="Z432:AA432"/>
    <mergeCell ref="P424:Q424"/>
    <mergeCell ref="Q492:AK492"/>
    <mergeCell ref="Z434:AA434"/>
    <mergeCell ref="AC515:AF515"/>
    <mergeCell ref="AC514:AF514"/>
    <mergeCell ref="AC529:AF529"/>
    <mergeCell ref="AH530:AK530"/>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8:F728"/>
    <mergeCell ref="Z551:AD553"/>
    <mergeCell ref="AH528:AK528"/>
    <mergeCell ref="AG438:AJ438"/>
    <mergeCell ref="AM555:AS555"/>
    <mergeCell ref="AG394:AJ394"/>
    <mergeCell ref="AH516:AK516"/>
    <mergeCell ref="Q491:AK491"/>
    <mergeCell ref="AG447:AJ447"/>
    <mergeCell ref="AH495:AK495"/>
    <mergeCell ref="AH529:AK529"/>
    <mergeCell ref="CM628:CQ628"/>
    <mergeCell ref="BX627:CB627"/>
    <mergeCell ref="CC627:CG627"/>
    <mergeCell ref="CH627:CL627"/>
    <mergeCell ref="CM627:CQ627"/>
    <mergeCell ref="BS626:BW626"/>
    <mergeCell ref="BX626:CB626"/>
    <mergeCell ref="CC626:CG626"/>
    <mergeCell ref="BN623:BR623"/>
    <mergeCell ref="CH623:CL623"/>
    <mergeCell ref="BN624:BR624"/>
    <mergeCell ref="BS624:BW624"/>
    <mergeCell ref="DM626:DQ626"/>
    <mergeCell ref="CS627:CW627"/>
    <mergeCell ref="CX627:DB627"/>
    <mergeCell ref="DC627:DG627"/>
    <mergeCell ref="DH627:DL627"/>
    <mergeCell ref="DM627:DQ627"/>
    <mergeCell ref="CC628:CG628"/>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M624:CQ624"/>
    <mergeCell ref="CH620:CL620"/>
    <mergeCell ref="DH620:DL620"/>
    <mergeCell ref="DM620:DQ620"/>
    <mergeCell ref="DC624:DG624"/>
    <mergeCell ref="DH624:DL624"/>
    <mergeCell ref="CS620:CW620"/>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W636:FA636"/>
    <mergeCell ref="ER637:EV637"/>
    <mergeCell ref="EH640:EL640"/>
    <mergeCell ref="EM640:EQ640"/>
    <mergeCell ref="DX639:EB639"/>
    <mergeCell ref="EW645:FA645"/>
    <mergeCell ref="DX646:EB646"/>
    <mergeCell ref="EC646:EG646"/>
    <mergeCell ref="EH646:EL646"/>
    <mergeCell ref="EW657:FA657"/>
    <mergeCell ref="DX659:EB659"/>
    <mergeCell ref="ER660:EV660"/>
    <mergeCell ref="EW660:FA660"/>
    <mergeCell ref="ER652:EV652"/>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1:EB661"/>
    <mergeCell ref="EC661:EG661"/>
    <mergeCell ref="EH661:EL661"/>
    <mergeCell ref="AK743:AO743"/>
    <mergeCell ref="AK744:AO744"/>
    <mergeCell ref="X743:AB743"/>
    <mergeCell ref="X744:AB744"/>
    <mergeCell ref="AH743:AJ743"/>
    <mergeCell ref="AH744:AJ744"/>
    <mergeCell ref="G731:J731"/>
    <mergeCell ref="X738:AB738"/>
    <mergeCell ref="X729:AB729"/>
    <mergeCell ref="B729:F729"/>
    <mergeCell ref="G718:J718"/>
    <mergeCell ref="AH719:AJ719"/>
    <mergeCell ref="G670:R670"/>
    <mergeCell ref="Z669:AK669"/>
    <mergeCell ref="E707:AK707"/>
    <mergeCell ref="W706:AK706"/>
    <mergeCell ref="AH726:AJ726"/>
    <mergeCell ref="B720:F720"/>
    <mergeCell ref="T729:W729"/>
    <mergeCell ref="AH728:AJ728"/>
    <mergeCell ref="B722:F722"/>
    <mergeCell ref="T714:W717"/>
    <mergeCell ref="O719:S719"/>
    <mergeCell ref="X724:AB724"/>
    <mergeCell ref="AH722:AJ722"/>
    <mergeCell ref="B723:F723"/>
    <mergeCell ref="B727:F727"/>
    <mergeCell ref="AC730:AG730"/>
    <mergeCell ref="X728:AB728"/>
    <mergeCell ref="T720:W720"/>
    <mergeCell ref="Z671:AE671"/>
    <mergeCell ref="W700:AK70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4" workbookViewId="0">
      <selection activeCell="E31" sqref="E3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9" t="s">
        <v>630</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2)City of Roseville</v>
      </c>
      <c r="H2" s="139" t="str">
        <f>Application!B629&amp;Application!C629</f>
        <v>3)Adarte LLC</v>
      </c>
      <c r="I2" s="139" t="str">
        <f>Application!B630&amp;Application!C630</f>
        <v>4)Adarte LLC</v>
      </c>
      <c r="J2" s="139" t="str">
        <f>Application!B631&amp;Application!C631</f>
        <v>5)Adarte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c r="F4" s="147">
        <v>1415000</v>
      </c>
      <c r="G4" s="147">
        <v>585000</v>
      </c>
      <c r="H4" s="147"/>
      <c r="I4" s="147"/>
      <c r="J4" s="147"/>
      <c r="K4" s="147"/>
      <c r="L4" s="147"/>
      <c r="M4" s="147"/>
      <c r="N4" s="147"/>
      <c r="O4" s="147"/>
      <c r="P4" s="147"/>
      <c r="Q4" s="147"/>
      <c r="R4" s="550">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2000000</v>
      </c>
      <c r="C8" s="146">
        <f t="shared" ref="C8:Q8" si="0">SUM(C4:C7)</f>
        <v>2000000</v>
      </c>
      <c r="D8" s="146">
        <f t="shared" si="0"/>
        <v>0</v>
      </c>
      <c r="E8" s="146">
        <f t="shared" si="0"/>
        <v>0</v>
      </c>
      <c r="F8" s="146">
        <f t="shared" si="0"/>
        <v>1415000</v>
      </c>
      <c r="G8" s="146">
        <f t="shared" si="0"/>
        <v>585000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73689</v>
      </c>
      <c r="C10" s="147">
        <v>73689</v>
      </c>
      <c r="D10" s="147"/>
      <c r="E10" s="147"/>
      <c r="F10" s="147">
        <v>73689</v>
      </c>
      <c r="G10" s="147"/>
      <c r="H10" s="147"/>
      <c r="I10" s="147"/>
      <c r="J10" s="147"/>
      <c r="K10" s="147"/>
      <c r="L10" s="147"/>
      <c r="M10" s="147"/>
      <c r="N10" s="147"/>
      <c r="O10" s="147"/>
      <c r="P10" s="147"/>
      <c r="Q10" s="147"/>
      <c r="R10" s="550">
        <f>SUM(E10:Q10)</f>
        <v>73689</v>
      </c>
      <c r="S10" s="147"/>
      <c r="T10" s="147"/>
      <c r="U10" s="143"/>
    </row>
    <row r="11" spans="1:21" s="144" customFormat="1">
      <c r="A11" s="149" t="s">
        <v>605</v>
      </c>
      <c r="B11" s="146">
        <f>SUM(C11:D11)</f>
        <v>73689</v>
      </c>
      <c r="C11" s="146">
        <f t="shared" ref="C11:Q11" si="1">SUM(C9:C10)</f>
        <v>73689</v>
      </c>
      <c r="D11" s="146">
        <f t="shared" si="1"/>
        <v>0</v>
      </c>
      <c r="E11" s="146">
        <f t="shared" si="1"/>
        <v>0</v>
      </c>
      <c r="F11" s="146">
        <f t="shared" si="1"/>
        <v>73689</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73689</v>
      </c>
      <c r="S11" s="148"/>
      <c r="T11" s="150">
        <f>SUM(T9:T10)</f>
        <v>0</v>
      </c>
      <c r="U11" s="143"/>
    </row>
    <row r="12" spans="1:21" s="144" customFormat="1">
      <c r="A12" s="149" t="s">
        <v>84</v>
      </c>
      <c r="B12" s="146">
        <f t="shared" ref="B12:Q12" si="2">SUM(B8+B11)</f>
        <v>2073689</v>
      </c>
      <c r="C12" s="146">
        <f t="shared" si="2"/>
        <v>2073689</v>
      </c>
      <c r="D12" s="146">
        <f t="shared" si="2"/>
        <v>0</v>
      </c>
      <c r="E12" s="146">
        <f t="shared" si="2"/>
        <v>0</v>
      </c>
      <c r="F12" s="146">
        <f t="shared" si="2"/>
        <v>1488689</v>
      </c>
      <c r="G12" s="146">
        <f t="shared" si="2"/>
        <v>585000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2073689</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2000000</v>
      </c>
      <c r="C29" s="147">
        <v>2000000</v>
      </c>
      <c r="D29" s="147"/>
      <c r="E29" s="147"/>
      <c r="F29" s="147">
        <v>2000000</v>
      </c>
      <c r="G29" s="147"/>
      <c r="H29" s="147"/>
      <c r="I29" s="147"/>
      <c r="J29" s="147"/>
      <c r="K29" s="147"/>
      <c r="L29" s="147"/>
      <c r="M29" s="147"/>
      <c r="N29" s="147"/>
      <c r="O29" s="147"/>
      <c r="P29" s="147"/>
      <c r="Q29" s="147"/>
      <c r="R29" s="550">
        <f t="shared" ref="R29:R37" si="7">SUM(E29:Q29)</f>
        <v>2000000</v>
      </c>
      <c r="S29" s="147">
        <v>2000000</v>
      </c>
      <c r="T29" s="147"/>
      <c r="U29" s="143"/>
    </row>
    <row r="30" spans="1:21" s="144" customFormat="1">
      <c r="A30" s="145" t="s">
        <v>608</v>
      </c>
      <c r="B30" s="146">
        <f t="shared" si="6"/>
        <v>34309598</v>
      </c>
      <c r="C30" s="147">
        <v>34309598</v>
      </c>
      <c r="D30" s="147"/>
      <c r="E30" s="147">
        <v>13761965</v>
      </c>
      <c r="F30" s="147">
        <v>20547633</v>
      </c>
      <c r="G30" s="147"/>
      <c r="H30" s="147"/>
      <c r="I30" s="147"/>
      <c r="J30" s="147"/>
      <c r="K30" s="147"/>
      <c r="L30" s="147"/>
      <c r="M30" s="147"/>
      <c r="N30" s="147"/>
      <c r="O30" s="147"/>
      <c r="P30" s="147"/>
      <c r="Q30" s="147"/>
      <c r="R30" s="550">
        <f t="shared" si="7"/>
        <v>34309598</v>
      </c>
      <c r="S30" s="147">
        <v>34309598</v>
      </c>
      <c r="T30" s="147"/>
      <c r="U30" s="143"/>
    </row>
    <row r="31" spans="1:21" s="144" customFormat="1">
      <c r="A31" s="145" t="s">
        <v>609</v>
      </c>
      <c r="B31" s="146">
        <f t="shared" si="6"/>
        <v>442134</v>
      </c>
      <c r="C31" s="147">
        <v>442134</v>
      </c>
      <c r="D31" s="147"/>
      <c r="E31" s="147">
        <v>442134</v>
      </c>
      <c r="F31" s="147"/>
      <c r="G31" s="147"/>
      <c r="H31" s="147"/>
      <c r="I31" s="147"/>
      <c r="J31" s="147"/>
      <c r="K31" s="147"/>
      <c r="L31" s="147"/>
      <c r="M31" s="147"/>
      <c r="N31" s="147"/>
      <c r="O31" s="147"/>
      <c r="P31" s="147"/>
      <c r="Q31" s="147"/>
      <c r="R31" s="550">
        <f t="shared" si="7"/>
        <v>442134</v>
      </c>
      <c r="S31" s="147">
        <v>442134</v>
      </c>
      <c r="T31" s="147"/>
      <c r="U31" s="143"/>
    </row>
    <row r="32" spans="1:21" s="144" customFormat="1">
      <c r="A32" s="145" t="s">
        <v>137</v>
      </c>
      <c r="B32" s="146">
        <f t="shared" si="6"/>
        <v>589512</v>
      </c>
      <c r="C32" s="147">
        <v>589512</v>
      </c>
      <c r="D32" s="147"/>
      <c r="E32" s="147">
        <v>589512</v>
      </c>
      <c r="F32" s="147"/>
      <c r="G32" s="147"/>
      <c r="H32" s="147"/>
      <c r="I32" s="147"/>
      <c r="J32" s="147"/>
      <c r="K32" s="147"/>
      <c r="L32" s="147"/>
      <c r="M32" s="147"/>
      <c r="N32" s="147"/>
      <c r="O32" s="147"/>
      <c r="P32" s="147"/>
      <c r="Q32" s="147"/>
      <c r="R32" s="550">
        <f t="shared" si="7"/>
        <v>589512</v>
      </c>
      <c r="S32" s="147">
        <v>589512</v>
      </c>
      <c r="T32" s="147"/>
      <c r="U32" s="143"/>
    </row>
    <row r="33" spans="1:21" s="144" customFormat="1">
      <c r="A33" s="145" t="s">
        <v>138</v>
      </c>
      <c r="B33" s="146">
        <f t="shared" si="6"/>
        <v>589512</v>
      </c>
      <c r="C33" s="147">
        <v>589512</v>
      </c>
      <c r="D33" s="147"/>
      <c r="E33" s="147">
        <v>589512</v>
      </c>
      <c r="F33" s="147"/>
      <c r="G33" s="147"/>
      <c r="H33" s="147"/>
      <c r="I33" s="147"/>
      <c r="J33" s="147"/>
      <c r="K33" s="147"/>
      <c r="L33" s="147"/>
      <c r="M33" s="147"/>
      <c r="N33" s="147"/>
      <c r="O33" s="147"/>
      <c r="P33" s="147"/>
      <c r="Q33" s="147"/>
      <c r="R33" s="550">
        <f t="shared" si="7"/>
        <v>589512</v>
      </c>
      <c r="S33" s="147">
        <v>589512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180000</v>
      </c>
      <c r="C35" s="147">
        <v>180000</v>
      </c>
      <c r="D35" s="147"/>
      <c r="E35" s="147">
        <v>180000</v>
      </c>
      <c r="F35" s="147"/>
      <c r="G35" s="147"/>
      <c r="H35" s="147"/>
      <c r="I35" s="147"/>
      <c r="J35" s="147"/>
      <c r="K35" s="147"/>
      <c r="L35" s="147"/>
      <c r="M35" s="147"/>
      <c r="N35" s="147"/>
      <c r="O35" s="147"/>
      <c r="P35" s="147"/>
      <c r="Q35" s="147"/>
      <c r="R35" s="550">
        <f t="shared" si="7"/>
        <v>180000</v>
      </c>
      <c r="S35" s="147">
        <v>180000</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38110756</v>
      </c>
      <c r="C38" s="146">
        <f>SUM(C29:C37)</f>
        <v>38110756</v>
      </c>
      <c r="D38" s="146">
        <f t="shared" ref="D38:Q38" si="8">SUM(D29:D37)</f>
        <v>0</v>
      </c>
      <c r="E38" s="146">
        <f t="shared" si="8"/>
        <v>15563123</v>
      </c>
      <c r="F38" s="146">
        <f t="shared" si="8"/>
        <v>22547633</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38110756</v>
      </c>
      <c r="S38" s="150">
        <f>SUM(S29:S37)</f>
        <v>38110756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120000</v>
      </c>
      <c r="C40" s="147">
        <v>120000</v>
      </c>
      <c r="D40" s="147"/>
      <c r="E40" s="147">
        <v>120000</v>
      </c>
      <c r="F40" s="147"/>
      <c r="G40" s="147"/>
      <c r="H40" s="147"/>
      <c r="I40" s="147"/>
      <c r="J40" s="147"/>
      <c r="K40" s="147"/>
      <c r="L40" s="147"/>
      <c r="M40" s="147"/>
      <c r="N40" s="147"/>
      <c r="O40" s="147"/>
      <c r="P40" s="147"/>
      <c r="Q40" s="147"/>
      <c r="R40" s="550">
        <f>SUM(E40:Q40)</f>
        <v>120000</v>
      </c>
      <c r="S40" s="147">
        <v>120000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120000</v>
      </c>
      <c r="C42" s="146">
        <f>SUM(C39:C41)</f>
        <v>120000</v>
      </c>
      <c r="D42" s="146">
        <f>SUM(D39:D41)</f>
        <v>0</v>
      </c>
      <c r="E42" s="146">
        <f t="shared" ref="E42:T42" si="9">SUM(E40:E41)</f>
        <v>120000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v>
      </c>
      <c r="S42" s="150">
        <f t="shared" si="9"/>
        <v>120000</v>
      </c>
      <c r="T42" s="150">
        <f t="shared" si="9"/>
        <v>0</v>
      </c>
      <c r="U42" s="143"/>
    </row>
    <row r="43" spans="1:21" s="144" customFormat="1">
      <c r="A43" s="149" t="s">
        <v>148</v>
      </c>
      <c r="B43" s="146">
        <f>SUM(C43:D43)</f>
        <v>250000</v>
      </c>
      <c r="C43" s="147">
        <v>250000</v>
      </c>
      <c r="D43" s="147"/>
      <c r="E43" s="147">
        <v>250000</v>
      </c>
      <c r="F43" s="147"/>
      <c r="G43" s="147"/>
      <c r="H43" s="147"/>
      <c r="I43" s="147"/>
      <c r="J43" s="147"/>
      <c r="K43" s="147"/>
      <c r="L43" s="147"/>
      <c r="M43" s="147"/>
      <c r="N43" s="147"/>
      <c r="O43" s="147"/>
      <c r="P43" s="147"/>
      <c r="Q43" s="147"/>
      <c r="R43" s="550">
        <f>SUM(E43:Q43)</f>
        <v>250000</v>
      </c>
      <c r="S43" s="147">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4500000</v>
      </c>
      <c r="C45" s="147">
        <v>4500000</v>
      </c>
      <c r="D45" s="147"/>
      <c r="E45" s="147">
        <v>4500000</v>
      </c>
      <c r="F45" s="147"/>
      <c r="G45" s="147"/>
      <c r="H45" s="147"/>
      <c r="I45" s="147"/>
      <c r="J45" s="147"/>
      <c r="K45" s="147"/>
      <c r="L45" s="147"/>
      <c r="M45" s="147"/>
      <c r="N45" s="147"/>
      <c r="O45" s="147"/>
      <c r="P45" s="147"/>
      <c r="Q45" s="147"/>
      <c r="R45" s="550">
        <f t="shared" ref="R45:R53" si="11">SUM(E45:Q45)</f>
        <v>4500000</v>
      </c>
      <c r="S45" s="147">
        <v>3750000</v>
      </c>
      <c r="T45" s="147"/>
      <c r="U45" s="143"/>
    </row>
    <row r="46" spans="1:21" s="144" customFormat="1">
      <c r="A46" s="145" t="s">
        <v>151</v>
      </c>
      <c r="B46" s="146">
        <f t="shared" si="10"/>
        <v>520100</v>
      </c>
      <c r="C46" s="147">
        <v>520100</v>
      </c>
      <c r="D46" s="147"/>
      <c r="E46" s="147">
        <v>520100</v>
      </c>
      <c r="F46" s="147"/>
      <c r="G46" s="147"/>
      <c r="H46" s="147"/>
      <c r="I46" s="147"/>
      <c r="J46" s="147"/>
      <c r="K46" s="147"/>
      <c r="L46" s="147"/>
      <c r="M46" s="147"/>
      <c r="N46" s="147"/>
      <c r="O46" s="147"/>
      <c r="P46" s="147"/>
      <c r="Q46" s="147"/>
      <c r="R46" s="550">
        <f t="shared" si="11"/>
        <v>520100</v>
      </c>
      <c r="S46" s="147">
        <v>520100</v>
      </c>
      <c r="T46" s="147"/>
      <c r="U46" s="143"/>
    </row>
    <row r="47" spans="1:21" s="144" customFormat="1">
      <c r="A47" s="198" t="s">
        <v>152</v>
      </c>
      <c r="B47" s="146">
        <f t="shared" si="10"/>
        <v>40000</v>
      </c>
      <c r="C47" s="147">
        <v>40000</v>
      </c>
      <c r="D47" s="147"/>
      <c r="E47" s="147">
        <v>40000</v>
      </c>
      <c r="F47" s="147"/>
      <c r="G47" s="147"/>
      <c r="H47" s="147"/>
      <c r="I47" s="147"/>
      <c r="J47" s="147"/>
      <c r="K47" s="147"/>
      <c r="L47" s="147"/>
      <c r="M47" s="147"/>
      <c r="N47" s="147"/>
      <c r="O47" s="147"/>
      <c r="P47" s="147"/>
      <c r="Q47" s="147"/>
      <c r="R47" s="550">
        <f t="shared" si="11"/>
        <v>40000</v>
      </c>
      <c r="S47" s="147">
        <v>40000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57100</v>
      </c>
      <c r="C49" s="147">
        <v>57100</v>
      </c>
      <c r="D49" s="147"/>
      <c r="E49" s="147">
        <v>57100</v>
      </c>
      <c r="F49" s="147"/>
      <c r="G49" s="147"/>
      <c r="H49" s="147"/>
      <c r="I49" s="147"/>
      <c r="J49" s="147"/>
      <c r="K49" s="147"/>
      <c r="L49" s="147"/>
      <c r="M49" s="147"/>
      <c r="N49" s="147"/>
      <c r="O49" s="147"/>
      <c r="P49" s="147"/>
      <c r="Q49" s="147"/>
      <c r="R49" s="550">
        <f t="shared" si="11"/>
        <v>57100</v>
      </c>
      <c r="S49" s="147"/>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50">
        <f t="shared" si="11"/>
        <v>40000</v>
      </c>
      <c r="S50" s="147">
        <v>40000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v>20000</v>
      </c>
      <c r="T51" s="147"/>
      <c r="U51" s="143"/>
    </row>
    <row r="52" spans="1:21" s="144" customFormat="1">
      <c r="A52" s="145" t="s">
        <v>155</v>
      </c>
      <c r="B52" s="146">
        <f t="shared" si="10"/>
        <v>110000</v>
      </c>
      <c r="C52" s="147">
        <v>110000</v>
      </c>
      <c r="D52" s="147"/>
      <c r="E52" s="147">
        <v>110000</v>
      </c>
      <c r="F52" s="147"/>
      <c r="G52" s="147"/>
      <c r="H52" s="147"/>
      <c r="I52" s="147"/>
      <c r="J52" s="147"/>
      <c r="K52" s="147"/>
      <c r="L52" s="147"/>
      <c r="M52" s="147"/>
      <c r="N52" s="147"/>
      <c r="O52" s="147"/>
      <c r="P52" s="147"/>
      <c r="Q52" s="147"/>
      <c r="R52" s="550">
        <f t="shared" si="11"/>
        <v>110000</v>
      </c>
      <c r="S52" s="147">
        <v>110000</v>
      </c>
      <c r="T52" s="147"/>
      <c r="U52" s="143"/>
    </row>
    <row r="53" spans="1:21" s="144" customFormat="1">
      <c r="A53" s="1193" t="s">
        <v>2733</v>
      </c>
      <c r="B53" s="146">
        <f t="shared" si="10"/>
        <v>28000</v>
      </c>
      <c r="C53" s="147">
        <v>28000</v>
      </c>
      <c r="D53" s="147"/>
      <c r="E53" s="147">
        <v>28000</v>
      </c>
      <c r="F53" s="147"/>
      <c r="G53" s="147"/>
      <c r="H53" s="147"/>
      <c r="I53" s="147"/>
      <c r="J53" s="147"/>
      <c r="K53" s="147"/>
      <c r="L53" s="147"/>
      <c r="M53" s="147"/>
      <c r="N53" s="147"/>
      <c r="O53" s="147"/>
      <c r="P53" s="147"/>
      <c r="Q53" s="147"/>
      <c r="R53" s="550">
        <f t="shared" si="11"/>
        <v>28000</v>
      </c>
      <c r="S53" s="147">
        <v>28000</v>
      </c>
      <c r="T53" s="147"/>
      <c r="U53" s="143"/>
    </row>
    <row r="54" spans="1:21" s="153" customFormat="1">
      <c r="A54" s="149" t="s">
        <v>157</v>
      </c>
      <c r="B54" s="150">
        <f>SUM(C54:D54)</f>
        <v>5315200</v>
      </c>
      <c r="C54" s="150">
        <f t="shared" ref="C54:T54" si="12">SUM(C45:C53)</f>
        <v>5315200</v>
      </c>
      <c r="D54" s="150">
        <f t="shared" si="12"/>
        <v>0</v>
      </c>
      <c r="E54" s="150">
        <f t="shared" si="12"/>
        <v>5315200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5315200</v>
      </c>
      <c r="S54" s="150">
        <f t="shared" si="12"/>
        <v>4508100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239474</v>
      </c>
      <c r="C56" s="147">
        <v>239474</v>
      </c>
      <c r="D56" s="147"/>
      <c r="E56" s="147">
        <v>239474</v>
      </c>
      <c r="F56" s="147"/>
      <c r="G56" s="147"/>
      <c r="H56" s="147"/>
      <c r="I56" s="147"/>
      <c r="J56" s="147"/>
      <c r="K56" s="147"/>
      <c r="L56" s="147"/>
      <c r="M56" s="147"/>
      <c r="N56" s="147"/>
      <c r="O56" s="147"/>
      <c r="P56" s="147"/>
      <c r="Q56" s="147"/>
      <c r="R56" s="550">
        <f t="shared" ref="R56:R61" si="14">SUM(E56:Q56)</f>
        <v>239474</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2731</v>
      </c>
      <c r="B61" s="146">
        <f t="shared" si="13"/>
        <v>79050</v>
      </c>
      <c r="C61" s="147">
        <v>79050</v>
      </c>
      <c r="D61" s="147"/>
      <c r="E61" s="147">
        <v>79050</v>
      </c>
      <c r="F61" s="147"/>
      <c r="G61" s="147"/>
      <c r="H61" s="147"/>
      <c r="I61" s="147"/>
      <c r="J61" s="147"/>
      <c r="K61" s="147"/>
      <c r="L61" s="147"/>
      <c r="M61" s="147"/>
      <c r="N61" s="147"/>
      <c r="O61" s="147"/>
      <c r="P61" s="147"/>
      <c r="Q61" s="147"/>
      <c r="R61" s="550">
        <f t="shared" si="14"/>
        <v>79050</v>
      </c>
      <c r="S61" s="148"/>
      <c r="T61" s="148"/>
      <c r="U61" s="143"/>
    </row>
    <row r="62" spans="1:21" s="144" customFormat="1" ht="13.7" customHeight="1">
      <c r="A62" s="149" t="s">
        <v>302</v>
      </c>
      <c r="B62" s="146">
        <f>SUM(C62:D62)</f>
        <v>318524</v>
      </c>
      <c r="C62" s="146">
        <f t="shared" ref="C62:R62" si="15">SUM(C56:C61)</f>
        <v>318524</v>
      </c>
      <c r="D62" s="146">
        <f t="shared" si="15"/>
        <v>0</v>
      </c>
      <c r="E62" s="146">
        <f t="shared" si="15"/>
        <v>318524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318524</v>
      </c>
      <c r="S62" s="148"/>
      <c r="T62" s="148"/>
      <c r="U62" s="143"/>
    </row>
    <row r="63" spans="1:21" s="144" customFormat="1">
      <c r="A63" s="154" t="s">
        <v>303</v>
      </c>
      <c r="B63" s="146">
        <f t="shared" ref="B63:R63" si="16">SUM(B8+B11+B13+B14+B15+B26+B27+B38+B42+B43+B54+B62)</f>
        <v>46188169</v>
      </c>
      <c r="C63" s="146">
        <f t="shared" si="16"/>
        <v>46188169</v>
      </c>
      <c r="D63" s="146">
        <f t="shared" si="16"/>
        <v>0</v>
      </c>
      <c r="E63" s="146">
        <f t="shared" si="16"/>
        <v>21566847</v>
      </c>
      <c r="F63" s="146">
        <f t="shared" si="16"/>
        <v>24036322</v>
      </c>
      <c r="G63" s="146">
        <f t="shared" si="16"/>
        <v>585000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46188169</v>
      </c>
      <c r="S63" s="146">
        <f>SUM(S10+S13+S14+S15+S26+S27+S38+S42+S43+S54)</f>
        <v>42988856</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0">
        <f>SUM(E65:Q65)</f>
        <v>60000</v>
      </c>
      <c r="S65" s="147">
        <v>60000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2732</v>
      </c>
      <c r="B69" s="146">
        <f>SUM(C69+D69)</f>
        <v>125000</v>
      </c>
      <c r="C69" s="147">
        <v>125000</v>
      </c>
      <c r="D69" s="147"/>
      <c r="E69" s="147">
        <v>125000</v>
      </c>
      <c r="F69" s="147"/>
      <c r="G69" s="147"/>
      <c r="H69" s="147"/>
      <c r="I69" s="147"/>
      <c r="J69" s="147"/>
      <c r="K69" s="147"/>
      <c r="L69" s="147"/>
      <c r="M69" s="147"/>
      <c r="N69" s="147"/>
      <c r="O69" s="147"/>
      <c r="P69" s="147"/>
      <c r="Q69" s="147"/>
      <c r="R69" s="550">
        <f>SUM(E69:Q69)</f>
        <v>125000</v>
      </c>
      <c r="S69" s="147">
        <v>125000</v>
      </c>
      <c r="T69" s="147"/>
      <c r="U69" s="143"/>
    </row>
    <row r="70" spans="1:21" s="144" customFormat="1">
      <c r="A70" s="149" t="s">
        <v>1759</v>
      </c>
      <c r="B70" s="146">
        <f>SUM(C70:D70)</f>
        <v>185000</v>
      </c>
      <c r="C70" s="146">
        <f>SUM(C65:C69)</f>
        <v>185000</v>
      </c>
      <c r="D70" s="146">
        <f>SUM(D65:D69)</f>
        <v>0</v>
      </c>
      <c r="E70" s="146">
        <f t="shared" ref="E70:T70" si="17">SUM(E65:E69)</f>
        <v>185000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185000</v>
      </c>
      <c r="S70" s="150">
        <f t="shared" si="17"/>
        <v>185000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627411</v>
      </c>
      <c r="C75" s="147">
        <v>627411</v>
      </c>
      <c r="D75" s="147"/>
      <c r="E75" s="147">
        <v>627411</v>
      </c>
      <c r="F75" s="147"/>
      <c r="G75" s="147"/>
      <c r="H75" s="147"/>
      <c r="I75" s="147"/>
      <c r="J75" s="147"/>
      <c r="K75" s="147"/>
      <c r="L75" s="147"/>
      <c r="M75" s="147"/>
      <c r="N75" s="147"/>
      <c r="O75" s="147"/>
      <c r="P75" s="147"/>
      <c r="Q75" s="147"/>
      <c r="R75" s="550">
        <f>SUM(E75:Q75)</f>
        <v>627411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627411</v>
      </c>
      <c r="C77" s="146">
        <f>SUM(C72:C76)</f>
        <v>627411</v>
      </c>
      <c r="D77" s="146">
        <f>SUM(D72:D76)</f>
        <v>0</v>
      </c>
      <c r="E77" s="146">
        <f t="shared" ref="E77:Q77" si="18">SUM(E72:E76)</f>
        <v>627411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627411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1837587</v>
      </c>
      <c r="C79" s="147">
        <v>1837587</v>
      </c>
      <c r="D79" s="147"/>
      <c r="E79" s="147">
        <v>1837587</v>
      </c>
      <c r="F79" s="147"/>
      <c r="G79" s="147"/>
      <c r="H79" s="147"/>
      <c r="I79" s="147"/>
      <c r="J79" s="147"/>
      <c r="K79" s="147"/>
      <c r="L79" s="147"/>
      <c r="M79" s="147"/>
      <c r="N79" s="147"/>
      <c r="O79" s="147"/>
      <c r="P79" s="147"/>
      <c r="Q79" s="147"/>
      <c r="R79" s="550">
        <f>SUM(E79:Q79)</f>
        <v>1837587</v>
      </c>
      <c r="S79" s="147">
        <v>1837587</v>
      </c>
      <c r="T79" s="147"/>
      <c r="U79" s="143"/>
    </row>
    <row r="80" spans="1:21" s="144" customFormat="1">
      <c r="A80" s="304" t="s">
        <v>58</v>
      </c>
      <c r="B80" s="146">
        <f>SUM(C80:D80)</f>
        <v>300000</v>
      </c>
      <c r="C80" s="147">
        <v>300000</v>
      </c>
      <c r="D80" s="147"/>
      <c r="E80" s="147">
        <v>300000</v>
      </c>
      <c r="F80" s="147"/>
      <c r="G80" s="147"/>
      <c r="H80" s="147"/>
      <c r="I80" s="147"/>
      <c r="J80" s="147"/>
      <c r="K80" s="147"/>
      <c r="L80" s="147"/>
      <c r="M80" s="147"/>
      <c r="N80" s="147"/>
      <c r="O80" s="147"/>
      <c r="P80" s="147"/>
      <c r="Q80" s="147"/>
      <c r="R80" s="550">
        <f>SUM(E80:Q80)</f>
        <v>300000</v>
      </c>
      <c r="S80" s="147">
        <v>300000</v>
      </c>
      <c r="T80" s="147"/>
      <c r="U80" s="143"/>
    </row>
    <row r="81" spans="1:21" s="144" customFormat="1">
      <c r="A81" s="149" t="s">
        <v>1316</v>
      </c>
      <c r="B81" s="146">
        <f>SUM(C81:D81)</f>
        <v>2137587</v>
      </c>
      <c r="C81" s="543">
        <f>SUM(C79:C80)</f>
        <v>2137587</v>
      </c>
      <c r="D81" s="543">
        <f t="shared" ref="D81:T81" si="19">SUM(D79:D80)</f>
        <v>0</v>
      </c>
      <c r="E81" s="543">
        <f t="shared" si="19"/>
        <v>2137587</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2137587</v>
      </c>
      <c r="S81" s="543">
        <f t="shared" si="19"/>
        <v>2137587</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156499</v>
      </c>
      <c r="C83" s="147">
        <v>156499</v>
      </c>
      <c r="D83" s="147"/>
      <c r="E83" s="147">
        <v>156499</v>
      </c>
      <c r="F83" s="147"/>
      <c r="G83" s="147"/>
      <c r="H83" s="147"/>
      <c r="I83" s="147"/>
      <c r="J83" s="147"/>
      <c r="K83" s="147"/>
      <c r="L83" s="147"/>
      <c r="M83" s="147"/>
      <c r="N83" s="147"/>
      <c r="O83" s="147"/>
      <c r="P83" s="147"/>
      <c r="Q83" s="147"/>
      <c r="R83" s="550">
        <f t="shared" ref="R83:R95" si="21">SUM(E83:Q83)</f>
        <v>156499</v>
      </c>
      <c r="S83" s="148"/>
      <c r="T83" s="148"/>
      <c r="U83" s="143"/>
    </row>
    <row r="84" spans="1:21" s="144" customFormat="1">
      <c r="A84" s="145" t="s">
        <v>777</v>
      </c>
      <c r="B84" s="146">
        <f t="shared" si="20"/>
        <v>7000</v>
      </c>
      <c r="C84" s="147">
        <v>7000</v>
      </c>
      <c r="D84" s="147"/>
      <c r="E84" s="147">
        <v>7000</v>
      </c>
      <c r="F84" s="147"/>
      <c r="G84" s="147"/>
      <c r="H84" s="147"/>
      <c r="I84" s="147"/>
      <c r="J84" s="147"/>
      <c r="K84" s="147"/>
      <c r="L84" s="147"/>
      <c r="M84" s="147"/>
      <c r="N84" s="147"/>
      <c r="O84" s="147"/>
      <c r="P84" s="147"/>
      <c r="Q84" s="147"/>
      <c r="R84" s="550">
        <f t="shared" si="21"/>
        <v>7000</v>
      </c>
      <c r="S84" s="147">
        <v>7000</v>
      </c>
      <c r="T84" s="147"/>
      <c r="U84" s="143"/>
    </row>
    <row r="85" spans="1:21" s="144" customFormat="1">
      <c r="A85" s="145" t="s">
        <v>778</v>
      </c>
      <c r="B85" s="146">
        <f t="shared" si="20"/>
        <v>9939707</v>
      </c>
      <c r="C85" s="147">
        <v>9939707</v>
      </c>
      <c r="D85" s="147"/>
      <c r="E85" s="147">
        <v>8939707</v>
      </c>
      <c r="F85" s="147"/>
      <c r="G85" s="147"/>
      <c r="H85" s="147"/>
      <c r="I85" s="147"/>
      <c r="J85" s="147">
        <v>1000000</v>
      </c>
      <c r="K85" s="147"/>
      <c r="L85" s="147"/>
      <c r="M85" s="147"/>
      <c r="N85" s="147"/>
      <c r="O85" s="147"/>
      <c r="P85" s="147"/>
      <c r="Q85" s="147"/>
      <c r="R85" s="550">
        <f t="shared" si="21"/>
        <v>9939707</v>
      </c>
      <c r="S85" s="147">
        <v>9939707</v>
      </c>
      <c r="T85" s="147"/>
      <c r="U85" s="143"/>
    </row>
    <row r="86" spans="1:21" s="144" customFormat="1">
      <c r="A86" s="145" t="s">
        <v>779</v>
      </c>
      <c r="B86" s="146">
        <f t="shared" si="20"/>
        <v>92875</v>
      </c>
      <c r="C86" s="147">
        <v>92875</v>
      </c>
      <c r="D86" s="147"/>
      <c r="E86" s="147">
        <v>92875</v>
      </c>
      <c r="F86" s="147"/>
      <c r="G86" s="147"/>
      <c r="H86" s="147"/>
      <c r="I86" s="147"/>
      <c r="J86" s="147"/>
      <c r="K86" s="147"/>
      <c r="L86" s="147"/>
      <c r="M86" s="147"/>
      <c r="N86" s="147"/>
      <c r="O86" s="147"/>
      <c r="P86" s="147"/>
      <c r="Q86" s="147"/>
      <c r="R86" s="550">
        <f t="shared" si="21"/>
        <v>92875</v>
      </c>
      <c r="S86" s="147">
        <v>92875</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20000</v>
      </c>
      <c r="C88" s="147">
        <v>20000</v>
      </c>
      <c r="D88" s="147"/>
      <c r="E88" s="147">
        <v>20000</v>
      </c>
      <c r="F88" s="147"/>
      <c r="G88" s="147"/>
      <c r="H88" s="147"/>
      <c r="I88" s="147"/>
      <c r="J88" s="147"/>
      <c r="K88" s="147"/>
      <c r="L88" s="147"/>
      <c r="M88" s="147"/>
      <c r="N88" s="147"/>
      <c r="O88" s="147"/>
      <c r="P88" s="147"/>
      <c r="Q88" s="147"/>
      <c r="R88" s="550">
        <f t="shared" si="21"/>
        <v>20000</v>
      </c>
      <c r="S88" s="148"/>
      <c r="T88" s="148"/>
      <c r="U88" s="143"/>
    </row>
    <row r="89" spans="1:21" s="144" customFormat="1">
      <c r="A89" s="145" t="s">
        <v>782</v>
      </c>
      <c r="B89" s="146">
        <f t="shared" si="20"/>
        <v>120000</v>
      </c>
      <c r="C89" s="147">
        <v>120000</v>
      </c>
      <c r="D89" s="147"/>
      <c r="E89" s="147">
        <v>120000</v>
      </c>
      <c r="F89" s="147"/>
      <c r="G89" s="147"/>
      <c r="H89" s="147"/>
      <c r="I89" s="147"/>
      <c r="J89" s="147"/>
      <c r="K89" s="147"/>
      <c r="L89" s="147"/>
      <c r="M89" s="147"/>
      <c r="N89" s="147"/>
      <c r="O89" s="147"/>
      <c r="P89" s="147"/>
      <c r="Q89" s="147"/>
      <c r="R89" s="550">
        <f t="shared" si="21"/>
        <v>120000</v>
      </c>
      <c r="S89" s="147">
        <v>120000</v>
      </c>
      <c r="T89" s="147"/>
      <c r="U89" s="143"/>
    </row>
    <row r="90" spans="1:21" s="144" customFormat="1">
      <c r="A90" s="145" t="s">
        <v>783</v>
      </c>
      <c r="B90" s="146">
        <f t="shared" si="20"/>
        <v>7500</v>
      </c>
      <c r="C90" s="147">
        <v>7500</v>
      </c>
      <c r="D90" s="147"/>
      <c r="E90" s="147">
        <v>7500</v>
      </c>
      <c r="F90" s="147"/>
      <c r="G90" s="147"/>
      <c r="H90" s="147"/>
      <c r="I90" s="147"/>
      <c r="J90" s="147"/>
      <c r="K90" s="147"/>
      <c r="L90" s="147"/>
      <c r="M90" s="147"/>
      <c r="N90" s="147"/>
      <c r="O90" s="147"/>
      <c r="P90" s="147"/>
      <c r="Q90" s="147"/>
      <c r="R90" s="550">
        <f t="shared" si="21"/>
        <v>7500</v>
      </c>
      <c r="S90" s="147">
        <v>7500</v>
      </c>
      <c r="T90" s="147"/>
      <c r="U90" s="143"/>
    </row>
    <row r="91" spans="1:21" s="144" customFormat="1">
      <c r="A91" s="145" t="s">
        <v>373</v>
      </c>
      <c r="B91" s="146">
        <f t="shared" si="20"/>
        <v>30000</v>
      </c>
      <c r="C91" s="147">
        <v>30000</v>
      </c>
      <c r="D91" s="147"/>
      <c r="E91" s="147">
        <v>30000</v>
      </c>
      <c r="F91" s="147"/>
      <c r="G91" s="147"/>
      <c r="H91" s="147"/>
      <c r="I91" s="147"/>
      <c r="J91" s="147"/>
      <c r="K91" s="147"/>
      <c r="L91" s="147"/>
      <c r="M91" s="147"/>
      <c r="N91" s="147"/>
      <c r="O91" s="147"/>
      <c r="P91" s="147"/>
      <c r="Q91" s="147"/>
      <c r="R91" s="550">
        <f t="shared" si="21"/>
        <v>30000</v>
      </c>
      <c r="S91" s="147">
        <v>30000</v>
      </c>
      <c r="T91" s="147"/>
      <c r="U91" s="143"/>
    </row>
    <row r="92" spans="1:21" s="144" customFormat="1">
      <c r="A92" s="304" t="s">
        <v>1318</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10383581</v>
      </c>
      <c r="C96" s="146">
        <f t="shared" ref="C96:R96" si="22">SUM(C83:C95)</f>
        <v>10383581</v>
      </c>
      <c r="D96" s="146">
        <f t="shared" si="22"/>
        <v>0</v>
      </c>
      <c r="E96" s="146">
        <f t="shared" si="22"/>
        <v>9383581</v>
      </c>
      <c r="F96" s="146">
        <f t="shared" si="22"/>
        <v>0</v>
      </c>
      <c r="G96" s="146">
        <f t="shared" si="22"/>
        <v>0</v>
      </c>
      <c r="H96" s="146">
        <f t="shared" si="22"/>
        <v>0</v>
      </c>
      <c r="I96" s="146">
        <f t="shared" si="22"/>
        <v>0</v>
      </c>
      <c r="J96" s="146">
        <f t="shared" si="22"/>
        <v>1000000</v>
      </c>
      <c r="K96" s="146">
        <f t="shared" si="22"/>
        <v>0</v>
      </c>
      <c r="L96" s="146">
        <f t="shared" si="22"/>
        <v>0</v>
      </c>
      <c r="M96" s="146">
        <f t="shared" si="22"/>
        <v>0</v>
      </c>
      <c r="N96" s="146">
        <f t="shared" si="22"/>
        <v>0</v>
      </c>
      <c r="O96" s="146">
        <f t="shared" si="22"/>
        <v>0</v>
      </c>
      <c r="P96" s="146">
        <f t="shared" si="22"/>
        <v>0</v>
      </c>
      <c r="Q96" s="146">
        <f t="shared" si="22"/>
        <v>0</v>
      </c>
      <c r="R96" s="370">
        <f t="shared" si="22"/>
        <v>10383581</v>
      </c>
      <c r="S96" s="150">
        <f>SUM(S84:S87,S89:S95)</f>
        <v>10207082</v>
      </c>
      <c r="T96" s="146">
        <f>SUM(T84:T87,T89:T95)</f>
        <v>0</v>
      </c>
      <c r="U96" s="143"/>
    </row>
    <row r="97" spans="1:21" s="144" customFormat="1">
      <c r="A97" s="149" t="s">
        <v>785</v>
      </c>
      <c r="B97" s="146">
        <f>SUM(C97:D97)</f>
        <v>59521748</v>
      </c>
      <c r="C97" s="146">
        <f t="shared" ref="C97:R97" si="23">SUM(C63+C70+C77+C81+C96)</f>
        <v>59521748</v>
      </c>
      <c r="D97" s="146">
        <f t="shared" si="23"/>
        <v>0</v>
      </c>
      <c r="E97" s="146">
        <f t="shared" si="23"/>
        <v>33900426</v>
      </c>
      <c r="F97" s="146">
        <f t="shared" si="23"/>
        <v>24036322</v>
      </c>
      <c r="G97" s="146">
        <f t="shared" si="23"/>
        <v>585000</v>
      </c>
      <c r="H97" s="146">
        <f t="shared" si="23"/>
        <v>0</v>
      </c>
      <c r="I97" s="146">
        <f t="shared" si="23"/>
        <v>0</v>
      </c>
      <c r="J97" s="146">
        <f t="shared" si="23"/>
        <v>1000000</v>
      </c>
      <c r="K97" s="146">
        <f t="shared" si="23"/>
        <v>0</v>
      </c>
      <c r="L97" s="146">
        <f t="shared" si="23"/>
        <v>0</v>
      </c>
      <c r="M97" s="146">
        <f t="shared" si="23"/>
        <v>0</v>
      </c>
      <c r="N97" s="146">
        <f t="shared" si="23"/>
        <v>0</v>
      </c>
      <c r="O97" s="146">
        <f t="shared" si="23"/>
        <v>0</v>
      </c>
      <c r="P97" s="146">
        <f t="shared" si="23"/>
        <v>0</v>
      </c>
      <c r="Q97" s="146">
        <f t="shared" si="23"/>
        <v>0</v>
      </c>
      <c r="R97" s="146">
        <f t="shared" si="23"/>
        <v>59521748</v>
      </c>
      <c r="S97" s="146">
        <f>SUM(S63+S70+S81+S96)</f>
        <v>55518525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8327779</v>
      </c>
      <c r="C99" s="1014">
        <v>8327779</v>
      </c>
      <c r="D99" s="1014"/>
      <c r="E99" s="1014">
        <v>40700</v>
      </c>
      <c r="F99" s="147"/>
      <c r="G99" s="147"/>
      <c r="H99" s="147">
        <v>7537079</v>
      </c>
      <c r="I99" s="147">
        <v>750000</v>
      </c>
      <c r="J99" s="147"/>
      <c r="K99" s="147"/>
      <c r="L99" s="147"/>
      <c r="M99" s="147"/>
      <c r="N99" s="147"/>
      <c r="O99" s="147"/>
      <c r="P99" s="147"/>
      <c r="Q99" s="147"/>
      <c r="R99" s="550">
        <f>SUM(E99:Q99)</f>
        <v>8327779</v>
      </c>
      <c r="S99" s="147">
        <v>8327779</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8327779</v>
      </c>
      <c r="C104" s="146">
        <f>SUM(C99:C103)</f>
        <v>8327779</v>
      </c>
      <c r="D104" s="146">
        <f t="shared" ref="D104:T104" si="24">SUM(D99:D103)</f>
        <v>0</v>
      </c>
      <c r="E104" s="146">
        <f t="shared" si="24"/>
        <v>40700</v>
      </c>
      <c r="F104" s="146">
        <f t="shared" si="24"/>
        <v>0</v>
      </c>
      <c r="G104" s="146">
        <f t="shared" si="24"/>
        <v>0</v>
      </c>
      <c r="H104" s="146">
        <f t="shared" si="24"/>
        <v>7537079</v>
      </c>
      <c r="I104" s="146">
        <f t="shared" si="24"/>
        <v>750000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8327779</v>
      </c>
      <c r="S104" s="150">
        <f t="shared" si="24"/>
        <v>8327779</v>
      </c>
      <c r="T104" s="150">
        <f t="shared" si="24"/>
        <v>0</v>
      </c>
      <c r="U104" s="143"/>
    </row>
    <row r="105" spans="1:21" s="144" customFormat="1">
      <c r="A105" s="149" t="s">
        <v>790</v>
      </c>
      <c r="B105" s="150">
        <f>SUM(C105:D105)</f>
        <v>67849527</v>
      </c>
      <c r="C105" s="150">
        <f t="shared" ref="C105:R105" si="25">SUM(C97+C104)</f>
        <v>67849527</v>
      </c>
      <c r="D105" s="150">
        <f t="shared" si="25"/>
        <v>0</v>
      </c>
      <c r="E105" s="150">
        <f t="shared" si="25"/>
        <v>33941126</v>
      </c>
      <c r="F105" s="150">
        <f t="shared" si="25"/>
        <v>24036322</v>
      </c>
      <c r="G105" s="150">
        <f t="shared" si="25"/>
        <v>585000</v>
      </c>
      <c r="H105" s="150">
        <f t="shared" si="25"/>
        <v>7537079</v>
      </c>
      <c r="I105" s="150">
        <f t="shared" si="25"/>
        <v>750000</v>
      </c>
      <c r="J105" s="150">
        <f t="shared" si="25"/>
        <v>1000000</v>
      </c>
      <c r="K105" s="150">
        <f t="shared" si="25"/>
        <v>0</v>
      </c>
      <c r="L105" s="150">
        <f t="shared" si="25"/>
        <v>0</v>
      </c>
      <c r="M105" s="150">
        <f t="shared" si="25"/>
        <v>0</v>
      </c>
      <c r="N105" s="150">
        <f t="shared" si="25"/>
        <v>0</v>
      </c>
      <c r="O105" s="150">
        <f t="shared" si="25"/>
        <v>0</v>
      </c>
      <c r="P105" s="150">
        <f t="shared" si="25"/>
        <v>0</v>
      </c>
      <c r="Q105" s="150">
        <f t="shared" si="25"/>
        <v>0</v>
      </c>
      <c r="R105" s="370">
        <f t="shared" si="25"/>
        <v>67849527</v>
      </c>
      <c r="S105" s="150">
        <f>S97+S104</f>
        <v>63846304</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63846304</v>
      </c>
      <c r="T107" s="150">
        <f>T105+T106</f>
        <v>0</v>
      </c>
    </row>
    <row r="108" spans="1:21" s="201" customFormat="1">
      <c r="A108" s="162" t="s">
        <v>892</v>
      </c>
      <c r="B108" s="157"/>
      <c r="C108" s="157"/>
      <c r="D108" s="157"/>
      <c r="E108" s="323">
        <f>Application!AO640</f>
        <v>33941126</v>
      </c>
      <c r="F108" s="323">
        <f>Application!AO627</f>
        <v>24036322</v>
      </c>
      <c r="G108" s="323">
        <f>Application!AO628</f>
        <v>585000</v>
      </c>
      <c r="H108" s="323">
        <f>Application!AO629</f>
        <v>7537079</v>
      </c>
      <c r="I108" s="323">
        <f>Application!AO630</f>
        <v>750000</v>
      </c>
      <c r="J108" s="323">
        <f>Application!AO631</f>
        <v>1000000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3" t="s">
        <v>1015</v>
      </c>
      <c r="E122" s="1883"/>
      <c r="F122" s="188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553"/>
      <c r="F123" s="1553"/>
      <c r="G123" s="1553"/>
      <c r="H123" s="1553"/>
      <c r="I123" s="1553"/>
      <c r="J123" s="1553"/>
      <c r="K123" s="1553"/>
      <c r="L123" s="1553"/>
      <c r="M123" s="1553"/>
      <c r="N123" s="1553"/>
      <c r="O123" s="1553"/>
      <c r="P123" s="1553"/>
      <c r="Q123" s="1553"/>
      <c r="R123" s="1553"/>
      <c r="S123" s="1553"/>
      <c r="T123" s="352"/>
      <c r="U123" s="354"/>
    </row>
    <row r="124" spans="1:21" ht="12.75">
      <c r="A124" s="117" t="s">
        <v>1017</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2.75">
      <c r="A125" s="117" t="s">
        <v>1018</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75">
      <c r="A129" s="117" t="s">
        <v>301</v>
      </c>
      <c r="B129" s="361"/>
      <c r="C129" s="117"/>
      <c r="D129" s="1882" t="s">
        <v>1022</v>
      </c>
      <c r="E129" s="1882"/>
      <c r="F129" s="1882"/>
      <c r="G129" s="1882"/>
      <c r="H129" s="188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95"/>
      <c r="E131" s="1495"/>
      <c r="F131" s="1495"/>
      <c r="G131" s="1495"/>
      <c r="H131" s="1495"/>
      <c r="I131" s="117"/>
      <c r="J131" s="1495"/>
      <c r="K131" s="1495"/>
      <c r="L131" s="1495"/>
      <c r="M131" s="1495"/>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2.75">
      <c r="A139" s="1873" t="s">
        <v>1029</v>
      </c>
      <c r="B139" s="1873"/>
      <c r="C139" s="1873"/>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6" t="s">
        <v>1335</v>
      </c>
      <c r="B1" s="1887"/>
      <c r="C1" s="1887"/>
      <c r="D1" s="1887"/>
      <c r="E1" s="1887"/>
      <c r="F1" s="1887"/>
      <c r="G1" s="1887"/>
      <c r="H1" s="1887"/>
      <c r="I1" s="1887"/>
      <c r="J1" s="1888"/>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2000000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73689</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73689</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2073689</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2000000</v>
      </c>
      <c r="C29" s="393"/>
      <c r="D29" s="393"/>
      <c r="E29" s="392">
        <f>'Sources and Uses Budget'!S29</f>
        <v>2000000</v>
      </c>
      <c r="F29" s="393"/>
      <c r="G29" s="393"/>
      <c r="H29" s="392">
        <f>'Sources and Uses Budget'!T29</f>
        <v>0</v>
      </c>
      <c r="I29" s="393"/>
      <c r="J29" s="393"/>
      <c r="K29" s="390"/>
    </row>
    <row r="30" spans="1:11" s="391" customFormat="1">
      <c r="A30" s="145" t="s">
        <v>608</v>
      </c>
      <c r="B30" s="392">
        <f>'Sources and Uses Budget'!C30</f>
        <v>34309598</v>
      </c>
      <c r="C30" s="393"/>
      <c r="D30" s="393"/>
      <c r="E30" s="392">
        <f>'Sources and Uses Budget'!S30</f>
        <v>34309598</v>
      </c>
      <c r="F30" s="393"/>
      <c r="G30" s="393"/>
      <c r="H30" s="392">
        <f>'Sources and Uses Budget'!T30</f>
        <v>0</v>
      </c>
      <c r="I30" s="393"/>
      <c r="J30" s="393"/>
      <c r="K30" s="390"/>
    </row>
    <row r="31" spans="1:11" s="391" customFormat="1">
      <c r="A31" s="145" t="s">
        <v>609</v>
      </c>
      <c r="B31" s="392">
        <f>'Sources and Uses Budget'!C31</f>
        <v>442134</v>
      </c>
      <c r="C31" s="393"/>
      <c r="D31" s="393"/>
      <c r="E31" s="392">
        <f>'Sources and Uses Budget'!S31</f>
        <v>442134</v>
      </c>
      <c r="F31" s="393"/>
      <c r="G31" s="393"/>
      <c r="H31" s="392">
        <f>'Sources and Uses Budget'!T31</f>
        <v>0</v>
      </c>
      <c r="I31" s="393"/>
      <c r="J31" s="393"/>
      <c r="K31" s="390"/>
    </row>
    <row r="32" spans="1:11" s="391" customFormat="1">
      <c r="A32" s="145" t="s">
        <v>137</v>
      </c>
      <c r="B32" s="392">
        <f>'Sources and Uses Budget'!C32</f>
        <v>589512</v>
      </c>
      <c r="C32" s="393"/>
      <c r="D32" s="393"/>
      <c r="E32" s="392">
        <f>'Sources and Uses Budget'!S32</f>
        <v>589512</v>
      </c>
      <c r="F32" s="393"/>
      <c r="G32" s="393"/>
      <c r="H32" s="392">
        <f>'Sources and Uses Budget'!T32</f>
        <v>0</v>
      </c>
      <c r="I32" s="393"/>
      <c r="J32" s="393"/>
      <c r="K32" s="390"/>
    </row>
    <row r="33" spans="1:11" s="391" customFormat="1">
      <c r="A33" s="145" t="s">
        <v>138</v>
      </c>
      <c r="B33" s="392">
        <f>'Sources and Uses Budget'!C33</f>
        <v>589512</v>
      </c>
      <c r="C33" s="393"/>
      <c r="D33" s="393"/>
      <c r="E33" s="392">
        <f>'Sources and Uses Budget'!S33</f>
        <v>589512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180000</v>
      </c>
      <c r="C35" s="393"/>
      <c r="D35" s="393"/>
      <c r="E35" s="392">
        <f>'Sources and Uses Budget'!S35</f>
        <v>180000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38110756</v>
      </c>
      <c r="C38" s="392">
        <f>SUM(C29:C37)</f>
        <v>0</v>
      </c>
      <c r="D38" s="392">
        <f>SUM(D29:D37)</f>
        <v>0</v>
      </c>
      <c r="E38" s="392">
        <f>'Sources and Uses Budget'!S38</f>
        <v>38110756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120000</v>
      </c>
      <c r="C40" s="393"/>
      <c r="D40" s="393"/>
      <c r="E40" s="392">
        <f>'Sources and Uses Budget'!S40</f>
        <v>120000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120000</v>
      </c>
      <c r="C42" s="392">
        <f>SUM(C39:C41)</f>
        <v>0</v>
      </c>
      <c r="D42" s="392">
        <f>SUM(D39:D41)</f>
        <v>0</v>
      </c>
      <c r="E42" s="392">
        <f>'Sources and Uses Budget'!S42</f>
        <v>120000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250000</v>
      </c>
      <c r="C43" s="393"/>
      <c r="D43" s="393"/>
      <c r="E43" s="392">
        <f>'Sources and Uses Budget'!S43</f>
        <v>250000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4500000</v>
      </c>
      <c r="C45" s="393"/>
      <c r="D45" s="393"/>
      <c r="E45" s="392">
        <f>'Sources and Uses Budget'!S45</f>
        <v>3750000</v>
      </c>
      <c r="F45" s="393"/>
      <c r="G45" s="393"/>
      <c r="H45" s="392">
        <f>'Sources and Uses Budget'!T45</f>
        <v>0</v>
      </c>
      <c r="I45" s="393"/>
      <c r="J45" s="393"/>
      <c r="K45" s="390"/>
    </row>
    <row r="46" spans="1:11" s="391" customFormat="1">
      <c r="A46" s="395" t="s">
        <v>151</v>
      </c>
      <c r="B46" s="392">
        <f>'Sources and Uses Budget'!C46</f>
        <v>520100</v>
      </c>
      <c r="C46" s="393"/>
      <c r="D46" s="393"/>
      <c r="E46" s="392">
        <f>'Sources and Uses Budget'!S46</f>
        <v>520100</v>
      </c>
      <c r="F46" s="393"/>
      <c r="G46" s="393"/>
      <c r="H46" s="392">
        <f>'Sources and Uses Budget'!T46</f>
        <v>0</v>
      </c>
      <c r="I46" s="393"/>
      <c r="J46" s="393"/>
      <c r="K46" s="390"/>
    </row>
    <row r="47" spans="1:11" s="391" customFormat="1" ht="12" customHeight="1">
      <c r="A47" s="395" t="s">
        <v>152</v>
      </c>
      <c r="B47" s="392">
        <f>'Sources and Uses Budget'!C47</f>
        <v>40000</v>
      </c>
      <c r="C47" s="393"/>
      <c r="D47" s="393"/>
      <c r="E47" s="392">
        <f>'Sources and Uses Budget'!S47</f>
        <v>40000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57100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110000</v>
      </c>
      <c r="C52" s="393"/>
      <c r="D52" s="393"/>
      <c r="E52" s="392">
        <f>'Sources and Uses Budget'!S52</f>
        <v>110000</v>
      </c>
      <c r="F52" s="393"/>
      <c r="G52" s="393"/>
      <c r="H52" s="392">
        <f>'Sources and Uses Budget'!T52</f>
        <v>0</v>
      </c>
      <c r="I52" s="393"/>
      <c r="J52" s="393"/>
      <c r="K52" s="390"/>
    </row>
    <row r="53" spans="1:11" s="391" customFormat="1">
      <c r="A53" s="395" t="str">
        <f>'Sources and Uses Budget'!$A53</f>
        <v>Bank Inspections</v>
      </c>
      <c r="B53" s="392">
        <f>'Sources and Uses Budget'!C53</f>
        <v>28000</v>
      </c>
      <c r="C53" s="393"/>
      <c r="D53" s="393"/>
      <c r="E53" s="392">
        <f>'Sources and Uses Budget'!S53</f>
        <v>28000</v>
      </c>
      <c r="F53" s="393"/>
      <c r="G53" s="393"/>
      <c r="H53" s="392">
        <f>'Sources and Uses Budget'!T53</f>
        <v>0</v>
      </c>
      <c r="I53" s="393"/>
      <c r="J53" s="393"/>
      <c r="K53" s="390"/>
    </row>
    <row r="54" spans="1:11" s="400" customFormat="1">
      <c r="A54" s="396" t="s">
        <v>157</v>
      </c>
      <c r="B54" s="392">
        <f>'Sources and Uses Budget'!C54</f>
        <v>5315200</v>
      </c>
      <c r="C54" s="398">
        <f>SUM(C45:C53)</f>
        <v>0</v>
      </c>
      <c r="D54" s="398">
        <f>SUM(D45:D53)</f>
        <v>0</v>
      </c>
      <c r="E54" s="392">
        <f>'Sources and Uses Budget'!S54</f>
        <v>4508100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239474</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 &amp; CDLAC Fees</v>
      </c>
      <c r="B61" s="392">
        <f>'Sources and Uses Budget'!C61</f>
        <v>79050</v>
      </c>
      <c r="C61" s="393"/>
      <c r="D61" s="393"/>
      <c r="E61" s="394"/>
      <c r="F61" s="394"/>
      <c r="G61" s="394"/>
      <c r="H61" s="394"/>
      <c r="I61" s="394"/>
      <c r="J61" s="394"/>
      <c r="K61" s="390"/>
    </row>
    <row r="62" spans="1:11" s="391" customFormat="1" ht="13.7" customHeight="1">
      <c r="A62" s="396" t="s">
        <v>302</v>
      </c>
      <c r="B62" s="392">
        <f>'Sources and Uses Budget'!C62</f>
        <v>318524</v>
      </c>
      <c r="C62" s="392">
        <f>SUM(C56:C61)</f>
        <v>0</v>
      </c>
      <c r="D62" s="392">
        <f>SUM(D56:D61)</f>
        <v>0</v>
      </c>
      <c r="E62" s="394"/>
      <c r="F62" s="394"/>
      <c r="G62" s="394"/>
      <c r="H62" s="394"/>
      <c r="I62" s="394"/>
      <c r="J62" s="394"/>
      <c r="K62" s="390"/>
    </row>
    <row r="63" spans="1:11" s="391" customFormat="1">
      <c r="A63" s="401" t="s">
        <v>303</v>
      </c>
      <c r="B63" s="392">
        <f>'Sources and Uses Budget'!C63</f>
        <v>46188169</v>
      </c>
      <c r="C63" s="392">
        <f>SUM(C8+C11+C13+C14+C15+C26+C27+C38+C42+C43+C54+C62)</f>
        <v>0</v>
      </c>
      <c r="D63" s="392">
        <f>SUM(D8+D11+D13+D14+D15+D26+D27+D38+D42+D43+D54+D62)</f>
        <v>0</v>
      </c>
      <c r="E63" s="392">
        <f>'Sources and Uses Budget'!S63</f>
        <v>42988856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60000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Counsel</v>
      </c>
      <c r="B69" s="392">
        <f>'Sources and Uses Budget'!C69</f>
        <v>125000</v>
      </c>
      <c r="C69" s="393"/>
      <c r="D69" s="393"/>
      <c r="E69" s="392">
        <f>'Sources and Uses Budget'!S69</f>
        <v>125000</v>
      </c>
      <c r="F69" s="393"/>
      <c r="G69" s="393"/>
      <c r="H69" s="392">
        <f>'Sources and Uses Budget'!T69</f>
        <v>0</v>
      </c>
      <c r="I69" s="393"/>
      <c r="J69" s="393"/>
      <c r="K69" s="390"/>
    </row>
    <row r="70" spans="1:11" s="391" customFormat="1">
      <c r="A70" s="396" t="s">
        <v>610</v>
      </c>
      <c r="B70" s="392">
        <f>'Sources and Uses Budget'!C70</f>
        <v>185000</v>
      </c>
      <c r="C70" s="392">
        <f>SUM(C64:C69)</f>
        <v>0</v>
      </c>
      <c r="D70" s="392">
        <f>SUM(D64:D69)</f>
        <v>0</v>
      </c>
      <c r="E70" s="392">
        <f>'Sources and Uses Budget'!S70</f>
        <v>185000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627411</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627411</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1837587</v>
      </c>
      <c r="C79" s="393"/>
      <c r="D79" s="393"/>
      <c r="E79" s="392">
        <f>'Sources and Uses Budget'!S79</f>
        <v>1837587</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1316</v>
      </c>
      <c r="B81" s="392">
        <f>'Sources and Uses Budget'!C81</f>
        <v>2137587</v>
      </c>
      <c r="C81" s="392">
        <f>SUM(C79:C80)</f>
        <v>0</v>
      </c>
      <c r="D81" s="392">
        <f>SUM(D79:D80)</f>
        <v>0</v>
      </c>
      <c r="E81" s="392">
        <f>'Sources and Uses Budget'!S81</f>
        <v>2137587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156499</v>
      </c>
      <c r="C83" s="393"/>
      <c r="D83" s="393"/>
      <c r="E83" s="394"/>
      <c r="F83" s="394"/>
      <c r="G83" s="394"/>
      <c r="H83" s="394"/>
      <c r="I83" s="394"/>
      <c r="J83" s="394"/>
      <c r="K83" s="390"/>
    </row>
    <row r="84" spans="1:11" s="391" customFormat="1">
      <c r="A84" s="145" t="s">
        <v>777</v>
      </c>
      <c r="B84" s="392">
        <f>'Sources and Uses Budget'!C84</f>
        <v>7000</v>
      </c>
      <c r="C84" s="393"/>
      <c r="D84" s="393"/>
      <c r="E84" s="392">
        <f>'Sources and Uses Budget'!S84</f>
        <v>7000</v>
      </c>
      <c r="F84" s="393"/>
      <c r="G84" s="393"/>
      <c r="H84" s="392">
        <f>'Sources and Uses Budget'!T84</f>
        <v>0</v>
      </c>
      <c r="I84" s="393"/>
      <c r="J84" s="393"/>
      <c r="K84" s="390"/>
    </row>
    <row r="85" spans="1:11" s="391" customFormat="1">
      <c r="A85" s="145" t="s">
        <v>778</v>
      </c>
      <c r="B85" s="392">
        <f>'Sources and Uses Budget'!C85</f>
        <v>9939707</v>
      </c>
      <c r="C85" s="393"/>
      <c r="D85" s="393"/>
      <c r="E85" s="392">
        <f>'Sources and Uses Budget'!S85</f>
        <v>9939707</v>
      </c>
      <c r="F85" s="393"/>
      <c r="G85" s="393"/>
      <c r="H85" s="392">
        <f>'Sources and Uses Budget'!T85</f>
        <v>0</v>
      </c>
      <c r="I85" s="393"/>
      <c r="J85" s="393"/>
      <c r="K85" s="390"/>
    </row>
    <row r="86" spans="1:11" s="391" customFormat="1">
      <c r="A86" s="145" t="s">
        <v>779</v>
      </c>
      <c r="B86" s="392">
        <f>'Sources and Uses Budget'!C86</f>
        <v>92875</v>
      </c>
      <c r="C86" s="393"/>
      <c r="D86" s="393"/>
      <c r="E86" s="392">
        <f>'Sources and Uses Budget'!S86</f>
        <v>92875</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20000</v>
      </c>
      <c r="C88" s="393"/>
      <c r="D88" s="393"/>
      <c r="E88" s="394"/>
      <c r="F88" s="394"/>
      <c r="G88" s="394"/>
      <c r="H88" s="394"/>
      <c r="I88" s="394"/>
      <c r="J88" s="394"/>
      <c r="K88" s="390"/>
    </row>
    <row r="89" spans="1:11" s="391" customFormat="1">
      <c r="A89" s="145" t="s">
        <v>782</v>
      </c>
      <c r="B89" s="392">
        <f>'Sources and Uses Budget'!C89</f>
        <v>120000</v>
      </c>
      <c r="C89" s="393"/>
      <c r="D89" s="393"/>
      <c r="E89" s="392">
        <f>'Sources and Uses Budget'!S89</f>
        <v>120000</v>
      </c>
      <c r="F89" s="393"/>
      <c r="G89" s="393"/>
      <c r="H89" s="392">
        <f>'Sources and Uses Budget'!T89</f>
        <v>0</v>
      </c>
      <c r="I89" s="393"/>
      <c r="J89" s="393"/>
      <c r="K89" s="390"/>
    </row>
    <row r="90" spans="1:11" s="391" customFormat="1">
      <c r="A90" s="145" t="s">
        <v>783</v>
      </c>
      <c r="B90" s="392">
        <f>'Sources and Uses Budget'!C90</f>
        <v>7500</v>
      </c>
      <c r="C90" s="393"/>
      <c r="D90" s="393"/>
      <c r="E90" s="392">
        <f>'Sources and Uses Budget'!S90</f>
        <v>7500</v>
      </c>
      <c r="F90" s="393"/>
      <c r="G90" s="393"/>
      <c r="H90" s="392">
        <f>'Sources and Uses Budget'!T90</f>
        <v>0</v>
      </c>
      <c r="I90" s="393"/>
      <c r="J90" s="393"/>
      <c r="K90" s="390"/>
    </row>
    <row r="91" spans="1:11" s="391" customFormat="1">
      <c r="A91" s="155" t="s">
        <v>373</v>
      </c>
      <c r="B91" s="392">
        <f>'Sources and Uses Budget'!C91</f>
        <v>30000</v>
      </c>
      <c r="C91" s="393"/>
      <c r="D91" s="393"/>
      <c r="E91" s="392">
        <f>'Sources and Uses Budget'!S91</f>
        <v>30000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10383581</v>
      </c>
      <c r="C96" s="392">
        <f>SUM(C83:C95)</f>
        <v>0</v>
      </c>
      <c r="D96" s="392">
        <f>SUM(D83:D95)</f>
        <v>0</v>
      </c>
      <c r="E96" s="392">
        <f>'Sources and Uses Budget'!S96</f>
        <v>10207082</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59521748</v>
      </c>
      <c r="C97" s="392">
        <f>SUM(C63+C70+C77+C81+C96)</f>
        <v>0</v>
      </c>
      <c r="D97" s="392">
        <f>SUM(D63+D70+D77+D81+D96)</f>
        <v>0</v>
      </c>
      <c r="E97" s="392">
        <f>'Sources and Uses Budget'!S97</f>
        <v>55518525</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8327779</v>
      </c>
      <c r="C99" s="393"/>
      <c r="D99" s="393"/>
      <c r="E99" s="392">
        <f>'Sources and Uses Budget'!S99</f>
        <v>8327779</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8327779</v>
      </c>
      <c r="C104" s="392">
        <f>SUM(C99:C103)</f>
        <v>0</v>
      </c>
      <c r="D104" s="392">
        <f>SUM(D99:D103)</f>
        <v>0</v>
      </c>
      <c r="E104" s="392">
        <f>'Sources and Uses Budget'!S104</f>
        <v>8327779</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67849527</v>
      </c>
      <c r="C105" s="398">
        <f>SUM(C97+C104)</f>
        <v>0</v>
      </c>
      <c r="D105" s="398">
        <f>SUM(D97+D104)</f>
        <v>0</v>
      </c>
      <c r="E105" s="392">
        <f>'Sources and Uses Budget'!S105</f>
        <v>63846304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63846304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4"/>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1" workbookViewId="0">
      <selection activeCell="T122" sqref="T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7" t="s">
        <v>1412</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1417</v>
      </c>
      <c r="AF7" s="1929"/>
      <c r="AG7" s="1929"/>
      <c r="AH7" s="1929"/>
      <c r="AI7" s="1929"/>
      <c r="AJ7" s="1929"/>
      <c r="AK7" s="1929"/>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600</v>
      </c>
      <c r="C13" s="2111"/>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600</v>
      </c>
      <c r="C16" s="2111"/>
      <c r="D16" s="581"/>
      <c r="E16" s="2103" t="s">
        <v>1419</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1420</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600</v>
      </c>
      <c r="C22" s="2111"/>
      <c r="D22" s="581"/>
      <c r="E22" s="2121" t="s">
        <v>1422</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1420</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600</v>
      </c>
      <c r="C25" s="2111"/>
      <c r="D25" s="581"/>
      <c r="E25" s="2039" t="s">
        <v>2349</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1420</v>
      </c>
    </row>
    <row r="26" spans="1:42" s="570" customFormat="1" ht="12.75"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1" t="s">
        <v>600</v>
      </c>
      <c r="C30" s="2111"/>
      <c r="D30" s="581"/>
      <c r="E30" s="2121" t="s">
        <v>2321</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600</v>
      </c>
      <c r="C33" s="2111"/>
      <c r="D33" s="581"/>
      <c r="E33" s="2039" t="s">
        <v>2322</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5"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5"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600</v>
      </c>
      <c r="C39" s="2111"/>
      <c r="D39" s="1186"/>
      <c r="E39" s="2039" t="s">
        <v>2323</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5"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5"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600</v>
      </c>
      <c r="C46" s="2111"/>
      <c r="D46" s="574"/>
      <c r="E46" s="2039" t="s">
        <v>2328</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5"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5"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600</v>
      </c>
      <c r="C50" s="2111"/>
      <c r="D50" s="574"/>
      <c r="E50" s="2137" t="s">
        <v>2329</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600</v>
      </c>
      <c r="C52" s="2111"/>
      <c r="D52" s="574"/>
      <c r="E52" s="2039" t="s">
        <v>2330</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5"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5">
        <f>AO36</f>
        <v>0</v>
      </c>
      <c r="AL56" s="2086"/>
      <c r="AM56" s="208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1426</v>
      </c>
      <c r="AF59" s="1929"/>
      <c r="AG59" s="1929"/>
      <c r="AH59" s="1929"/>
      <c r="AI59" s="1929"/>
      <c r="AJ59" s="1929"/>
      <c r="AK59" s="1929"/>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600</v>
      </c>
      <c r="C62" s="2111"/>
      <c r="D62" s="581" t="s">
        <v>1427</v>
      </c>
      <c r="E62" s="2103" t="s">
        <v>2331</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10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1428</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554</v>
      </c>
      <c r="C68" s="2111"/>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600</v>
      </c>
      <c r="F69" s="2111"/>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600</v>
      </c>
      <c r="F70" s="2132"/>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600</v>
      </c>
      <c r="F71" s="2132"/>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554</v>
      </c>
      <c r="F73" s="2111"/>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600</v>
      </c>
      <c r="C75" s="2111"/>
      <c r="D75" s="581" t="s">
        <v>1432</v>
      </c>
      <c r="E75" s="2039" t="s">
        <v>1931</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5"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5">
        <f>IF(AK56&gt;0,0,AO65)</f>
        <v>10</v>
      </c>
      <c r="AL78" s="2086"/>
      <c r="AM78" s="208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1417</v>
      </c>
      <c r="AF81" s="1929"/>
      <c r="AG81" s="1929"/>
      <c r="AH81" s="1929"/>
      <c r="AI81" s="1929"/>
      <c r="AJ81" s="1929"/>
      <c r="AK81" s="1929"/>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600</v>
      </c>
      <c r="C84" s="2111"/>
      <c r="D84" s="581" t="s">
        <v>1427</v>
      </c>
      <c r="E84" s="2103" t="s">
        <v>1437</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0.60000000000000009</v>
      </c>
      <c r="F87" s="2100"/>
      <c r="G87" s="2100"/>
      <c r="H87" s="2100"/>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0</v>
      </c>
      <c r="F88" s="1903"/>
      <c r="G88" s="1903"/>
      <c r="H88" s="190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0</v>
      </c>
      <c r="F89" s="2116"/>
      <c r="G89" s="2116"/>
      <c r="H89" s="2116"/>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554</v>
      </c>
      <c r="C92" s="2111"/>
      <c r="D92" s="581" t="s">
        <v>1429</v>
      </c>
      <c r="E92" s="2103" t="s">
        <v>1916</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0.60000000000000009</v>
      </c>
      <c r="F97" s="2100"/>
      <c r="G97" s="2100"/>
      <c r="H97" s="2100"/>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0.10344827586206896</v>
      </c>
      <c r="F98" s="2100"/>
      <c r="G98" s="2100"/>
      <c r="H98" s="2100"/>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0.40229885057471265</v>
      </c>
      <c r="F99" s="2100"/>
      <c r="G99" s="2100"/>
      <c r="H99" s="2100"/>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IF(AND(E97&lt;=0.6,E98&gt;=0.1,OR(E99&gt;=0.1,E98&gt;=0.2)),20,0)</f>
        <v>20</v>
      </c>
      <c r="F100" s="2098"/>
      <c r="G100" s="2098"/>
      <c r="H100" s="2098"/>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5">
        <f ca="1">MAX(AP89,AP100)</f>
        <v>20</v>
      </c>
      <c r="AL103" s="2086"/>
      <c r="AM103" s="208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1426</v>
      </c>
      <c r="AF106" s="1929"/>
      <c r="AG106" s="1929"/>
      <c r="AH106" s="1929"/>
      <c r="AI106" s="1929"/>
      <c r="AJ106" s="1929"/>
      <c r="AK106" s="1929"/>
      <c r="AL106" s="574"/>
      <c r="AM106" s="574"/>
      <c r="AN106" s="569"/>
      <c r="AO106" s="570" t="str">
        <f>Application!B718</f>
        <v>1 Bedroom</v>
      </c>
      <c r="AQ106" s="570">
        <f>Application!O718</f>
        <v>555</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957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1158</v>
      </c>
    </row>
    <row r="109" spans="1:49" s="570" customFormat="1" ht="12.75" customHeight="1">
      <c r="A109" s="574"/>
      <c r="B109" s="2111" t="s">
        <v>554</v>
      </c>
      <c r="C109" s="2111"/>
      <c r="D109" s="581" t="s">
        <v>1427</v>
      </c>
      <c r="E109" s="2103" t="s">
        <v>2050</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1 Bedroom</v>
      </c>
      <c r="AQ109" s="570">
        <f>Application!O721</f>
        <v>1561</v>
      </c>
      <c r="AU109" s="570" t="s">
        <v>2032</v>
      </c>
      <c r="AV109" s="629" t="s">
        <v>2033</v>
      </c>
      <c r="AW109" s="570" t="s">
        <v>2034</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2 Bedrooms</v>
      </c>
      <c r="AQ110" s="570">
        <f>Application!O722</f>
        <v>674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2 Bedrooms</v>
      </c>
      <c r="AQ111" s="570">
        <f>Application!O723</f>
        <v>1157</v>
      </c>
      <c r="AU111" s="890" t="str">
        <f>J118</f>
        <v>1-bedroom</v>
      </c>
      <c r="AV111" s="570">
        <f t="array" ref="AV111">SUM(IF(Application!B718:F752="1 Bedroom",Application!G718:J752))</f>
        <v>50</v>
      </c>
      <c r="AW111" s="1046">
        <f>AV111/AV116</f>
        <v>0.28735632183908044</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t="str">
        <f>Application!B724</f>
        <v>2 Bedrooms</v>
      </c>
      <c r="AQ112" s="570">
        <f>Application!O724</f>
        <v>1881</v>
      </c>
      <c r="AU112" s="890" t="str">
        <f>O118</f>
        <v>2-bedroom</v>
      </c>
      <c r="AV112" s="570">
        <f t="array" ref="AV112">SUM(IF(Application!B718:F752="2 Bedrooms",Application!G718:J752))</f>
        <v>79</v>
      </c>
      <c r="AW112" s="1046">
        <f>AV112/AV116</f>
        <v>0.45402298850574713</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t="str">
        <f>Application!B725</f>
        <v>3 Bedrooms</v>
      </c>
      <c r="AQ113" s="570">
        <f>Application!O725</f>
        <v>780</v>
      </c>
      <c r="AU113" s="890" t="str">
        <f>T118</f>
        <v>3-bedroom</v>
      </c>
      <c r="AV113" s="570">
        <f t="array" ref="AV113">SUM(IF(Application!B718:F752="3 Bedrooms",Application!G718:J752))</f>
        <v>45</v>
      </c>
      <c r="AW113" s="1046">
        <f>AV113/AV116</f>
        <v>0.25862068965517243</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t="str">
        <f>Application!B726</f>
        <v>3 Bedrooms</v>
      </c>
      <c r="AQ114" s="570">
        <f>Application!O726</f>
        <v>1337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t="str">
        <f>Application!B727</f>
        <v>3 Bedrooms</v>
      </c>
      <c r="AQ115" s="570">
        <f>Application!O727</f>
        <v>1616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t="str">
        <f>Application!B728</f>
        <v>3 Bedrooms</v>
      </c>
      <c r="AQ116" s="570">
        <f>Application!O728</f>
        <v>2125</v>
      </c>
      <c r="AV116" s="570">
        <f>SUM(AV110:AV115)</f>
        <v>174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1701</v>
      </c>
      <c r="F118" s="2100"/>
      <c r="G118" s="2100"/>
      <c r="H118" s="2100"/>
      <c r="I118" s="611"/>
      <c r="J118" s="2100" t="s">
        <v>1745</v>
      </c>
      <c r="K118" s="2100"/>
      <c r="L118" s="2100"/>
      <c r="M118" s="2100"/>
      <c r="N118" s="611"/>
      <c r="O118" s="2100" t="s">
        <v>1746</v>
      </c>
      <c r="P118" s="2100"/>
      <c r="Q118" s="2100"/>
      <c r="R118" s="2100"/>
      <c r="S118" s="611"/>
      <c r="T118" s="2100" t="s">
        <v>1446</v>
      </c>
      <c r="U118" s="2100"/>
      <c r="V118" s="2100"/>
      <c r="W118" s="2100"/>
      <c r="X118" s="611"/>
      <c r="Y118" s="2100" t="s">
        <v>1747</v>
      </c>
      <c r="Z118" s="2100"/>
      <c r="AA118" s="2100"/>
      <c r="AB118" s="2100"/>
      <c r="AC118" s="611"/>
      <c r="AD118" s="2100" t="s">
        <v>1748</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c r="F121" s="2102"/>
      <c r="G121" s="2102"/>
      <c r="H121" s="2102"/>
      <c r="I121" s="898"/>
      <c r="J121" s="2102">
        <v>1910</v>
      </c>
      <c r="K121" s="2102"/>
      <c r="L121" s="2102"/>
      <c r="M121" s="2102"/>
      <c r="N121" s="898"/>
      <c r="O121" s="2102">
        <v>2098</v>
      </c>
      <c r="P121" s="2102"/>
      <c r="Q121" s="2102"/>
      <c r="R121" s="2102"/>
      <c r="S121" s="898"/>
      <c r="T121" s="2102">
        <v>2373</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0</v>
      </c>
      <c r="F124" s="2110"/>
      <c r="G124" s="2110"/>
      <c r="H124" s="2110"/>
      <c r="I124" s="898"/>
      <c r="J124" s="2110">
        <f>Application!EC670</f>
        <v>1029.46</v>
      </c>
      <c r="K124" s="2110"/>
      <c r="L124" s="2110"/>
      <c r="M124" s="2110"/>
      <c r="N124" s="898"/>
      <c r="O124" s="2110">
        <f>Application!EH670</f>
        <v>1410.5189873417721</v>
      </c>
      <c r="P124" s="2110"/>
      <c r="Q124" s="2110"/>
      <c r="R124" s="2110"/>
      <c r="S124" s="902"/>
      <c r="T124" s="2110">
        <f>Application!EM670</f>
        <v>1763.5777777777776</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2" t="e">
        <f>(E121-E124)/E121</f>
        <v>#DIV/0!</v>
      </c>
      <c r="F127" s="1903"/>
      <c r="G127" s="1903"/>
      <c r="H127" s="1904"/>
      <c r="I127" s="611"/>
      <c r="J127" s="1902">
        <f>(J121-J124)/J121</f>
        <v>0.46101570680628268</v>
      </c>
      <c r="K127" s="1903"/>
      <c r="L127" s="1903"/>
      <c r="M127" s="1904"/>
      <c r="N127" s="611"/>
      <c r="O127" s="1902">
        <f>(O121-O124)/O121</f>
        <v>0.3276839907808522</v>
      </c>
      <c r="P127" s="1903"/>
      <c r="Q127" s="1903"/>
      <c r="R127" s="1904"/>
      <c r="S127" s="611"/>
      <c r="T127" s="1902">
        <f>(T121-T124)/T121</f>
        <v>0.25681509575314893</v>
      </c>
      <c r="U127" s="1903"/>
      <c r="V127" s="1903"/>
      <c r="W127" s="1904"/>
      <c r="X127" s="611"/>
      <c r="Y127" s="1902" t="e">
        <f>(Y121-Y124)/Y121</f>
        <v>#DIV/0!</v>
      </c>
      <c r="Z127" s="1903"/>
      <c r="AA127" s="1903"/>
      <c r="AB127" s="1904"/>
      <c r="AC127" s="611"/>
      <c r="AD127" s="1902" t="e">
        <f>(AD121-AD124)/AD121</f>
        <v>#DIV/0!</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t="e">
        <f>IF(((E127-0.1)*AW110)&gt;0,((E127-0.1)*AW110),0)</f>
        <v>#DIV/0!</v>
      </c>
      <c r="F130" s="2113"/>
      <c r="G130" s="2113"/>
      <c r="H130" s="2114"/>
      <c r="I130" s="611"/>
      <c r="J130" s="2112">
        <f>IF(((J127-0.1)*AW111)&gt;0,((J127-0.1)*AW111),0)</f>
        <v>0.10374014563398927</v>
      </c>
      <c r="K130" s="2113"/>
      <c r="L130" s="2113"/>
      <c r="M130" s="2114"/>
      <c r="N130" s="611"/>
      <c r="O130" s="2112">
        <f>IF(((O127-0.1)*AW112)&gt;0,((O127-0.1)*AW112),0)</f>
        <v>0.10337376592923748</v>
      </c>
      <c r="P130" s="2113"/>
      <c r="Q130" s="2113"/>
      <c r="R130" s="2114"/>
      <c r="S130" s="611"/>
      <c r="T130" s="2112">
        <f>IF(((T127-0.1)*AW113)&gt;0,((T127-0.1)*AW113),0)</f>
        <v>4.0555628212021272E-2</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2">
        <f>ROUNDDOWN(SUMIF(E130:AG130,"&gt;0"),2)</f>
        <v>0.24</v>
      </c>
      <c r="F132" s="1903"/>
      <c r="G132" s="1903"/>
      <c r="H132" s="1904"/>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5">
        <f>IF((E132*100)&gt;10,10,E132*100)</f>
        <v>10</v>
      </c>
      <c r="F133" s="2086"/>
      <c r="G133" s="2086"/>
      <c r="H133" s="2087"/>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5">
        <f>E133</f>
        <v>10</v>
      </c>
      <c r="AL137" s="2086"/>
      <c r="AM137" s="208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9" t="s">
        <v>1426</v>
      </c>
      <c r="AF140" s="1929"/>
      <c r="AG140" s="1929"/>
      <c r="AH140" s="1929"/>
      <c r="AI140" s="1929"/>
      <c r="AJ140" s="1929"/>
      <c r="AK140" s="192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1450</v>
      </c>
      <c r="AG142" s="1996"/>
      <c r="AH142" s="1996"/>
      <c r="AI142" s="1996"/>
      <c r="AJ142" s="1996"/>
      <c r="AK142" s="1996"/>
      <c r="AL142" s="199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0" t="s">
        <v>2653</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1" t="s">
        <v>1453</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2" t="s">
        <v>600</v>
      </c>
      <c r="AC149" s="203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1" t="s">
        <v>1455</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6">
        <f>IF($AB$149="N/A",VLOOKUP($B$147,$AO$145:$AP$148,2,FALSE),VLOOKUP($B$152,$AO$150:$AP$152,2,FALSE))</f>
        <v>7</v>
      </c>
      <c r="AK155" s="195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1464</v>
      </c>
      <c r="AG157" s="1996"/>
      <c r="AH157" s="1996"/>
      <c r="AI157" s="1996"/>
      <c r="AJ157" s="1996"/>
      <c r="AK157" s="1996"/>
      <c r="AL157" s="1996"/>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1" t="s">
        <v>1462</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600</v>
      </c>
      <c r="AG161" s="2032"/>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1" t="s">
        <v>1455</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0"/>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5">
        <f>IF($AF$161="N/A",VLOOKUP($C$159,$AO$159:$AP$162,2,FALSE),VLOOKUP($C$163,$AO$166:$AP$168,2,FALSE))</f>
        <v>3</v>
      </c>
      <c r="AK169" s="195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5">
        <f>$AJ$155+$AJ$169</f>
        <v>10</v>
      </c>
      <c r="AL172" s="2086"/>
      <c r="AM172" s="208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1426</v>
      </c>
      <c r="AF175" s="1929"/>
      <c r="AG175" s="1929"/>
      <c r="AH175" s="1929"/>
      <c r="AI175" s="1929"/>
      <c r="AJ175" s="1929"/>
      <c r="AK175" s="192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8" t="s">
        <v>1066</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1475</v>
      </c>
      <c r="AG177" s="1996"/>
      <c r="AH177" s="1996"/>
      <c r="AI177" s="1996"/>
      <c r="AJ177" s="1996"/>
      <c r="AK177" s="1996"/>
      <c r="AL177" s="1996"/>
      <c r="AN177" s="631"/>
      <c r="AP177" s="584" t="s">
        <v>1068</v>
      </c>
      <c r="AQ177" s="584">
        <v>10</v>
      </c>
    </row>
    <row r="178" spans="1:45" s="584" customFormat="1" ht="12.75" customHeight="1">
      <c r="A178" s="570"/>
      <c r="B178" s="2089" t="s">
        <v>1917</v>
      </c>
      <c r="C178" s="2089"/>
      <c r="D178" s="2089"/>
      <c r="E178" s="2089"/>
      <c r="F178" s="2089"/>
      <c r="G178" s="2089"/>
      <c r="H178" s="2089"/>
      <c r="I178" s="2089"/>
      <c r="J178" s="2089"/>
      <c r="K178" s="2089"/>
      <c r="L178" s="2089"/>
      <c r="M178" s="2089"/>
      <c r="N178" s="2089"/>
      <c r="O178" s="2089"/>
      <c r="P178" s="2089"/>
      <c r="Q178" s="2089"/>
      <c r="R178" s="2089"/>
      <c r="S178" s="2089"/>
      <c r="T178" s="2090" t="s">
        <v>600</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3">
        <f>IF(AK78&gt;0,VLOOKUP($B$177,AP174:AQ180,2,FALSE),0)</f>
        <v>10</v>
      </c>
      <c r="AL180" s="1924"/>
      <c r="AM180" s="1925"/>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1484</v>
      </c>
      <c r="AF183" s="1929"/>
      <c r="AG183" s="1929"/>
      <c r="AH183" s="1929"/>
      <c r="AI183" s="1929"/>
      <c r="AJ183" s="1929"/>
      <c r="AK183" s="192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
        <v>2720</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v>2800000</v>
      </c>
      <c r="AE188" s="2072"/>
      <c r="AF188" s="2072"/>
      <c r="AG188" s="2072"/>
      <c r="AH188" s="2072"/>
      <c r="AI188" s="2072"/>
      <c r="AJ188" s="2072"/>
      <c r="AK188" s="644"/>
    </row>
    <row r="189" spans="1:45">
      <c r="A189" s="639"/>
      <c r="B189" s="2082"/>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c r="AE189" s="2072"/>
      <c r="AF189" s="2072"/>
      <c r="AG189" s="2072"/>
      <c r="AH189" s="2072"/>
      <c r="AI189" s="2072"/>
      <c r="AJ189" s="2072"/>
      <c r="AK189" s="644"/>
    </row>
    <row r="190" spans="1:45">
      <c r="A190" s="639"/>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c r="AE190" s="2072"/>
      <c r="AF190" s="2072"/>
      <c r="AG190" s="2072"/>
      <c r="AH190" s="2072"/>
      <c r="AI190" s="2072"/>
      <c r="AJ190" s="2072"/>
      <c r="AK190" s="644"/>
    </row>
    <row r="191" spans="1:45">
      <c r="A191" s="639"/>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1740</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0</v>
      </c>
      <c r="AE198" s="2070"/>
      <c r="AF198" s="2070"/>
      <c r="AG198" s="2070"/>
      <c r="AH198" s="2070"/>
      <c r="AI198" s="2070"/>
      <c r="AJ198" s="2070"/>
      <c r="AK198" s="644"/>
    </row>
    <row r="199" spans="1:37">
      <c r="A199" s="639"/>
      <c r="B199" s="1941" t="s">
        <v>1703</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6">
        <f>SUM(AD188:AJ198)-AD199</f>
        <v>2800000</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1720</v>
      </c>
      <c r="J211" s="2095"/>
      <c r="K211" s="2095"/>
      <c r="L211" s="570"/>
      <c r="M211" s="570"/>
      <c r="N211" s="570"/>
      <c r="O211" s="570"/>
      <c r="P211" s="570"/>
      <c r="Q211" s="570"/>
      <c r="R211" s="570"/>
      <c r="S211" s="570"/>
      <c r="T211" s="1907" t="s">
        <v>1714</v>
      </c>
      <c r="U211" s="1907"/>
      <c r="V211" s="1907"/>
      <c r="W211" s="1907"/>
      <c r="X211" s="1907"/>
      <c r="Y211" s="1907"/>
      <c r="Z211" s="883"/>
      <c r="AA211" s="523"/>
      <c r="AB211" s="2092" t="s">
        <v>1715</v>
      </c>
      <c r="AC211" s="2092"/>
      <c r="AD211" s="2092"/>
      <c r="AE211" s="2092"/>
      <c r="AF211" s="2092"/>
      <c r="AG211" s="2092"/>
      <c r="AH211" s="861"/>
      <c r="AI211" s="861"/>
      <c r="AJ211" s="861"/>
      <c r="AK211" s="644"/>
    </row>
    <row r="212" spans="1:37">
      <c r="A212" s="639"/>
      <c r="B212" s="2093" t="s">
        <v>1700</v>
      </c>
      <c r="C212" s="2093"/>
      <c r="D212" s="2093"/>
      <c r="E212" s="2093"/>
      <c r="F212" s="2093"/>
      <c r="G212" s="2093"/>
      <c r="I212" s="2094" t="s">
        <v>1721</v>
      </c>
      <c r="J212" s="2094"/>
      <c r="K212" s="2094"/>
      <c r="L212" s="1043"/>
      <c r="N212" s="1942" t="s">
        <v>1716</v>
      </c>
      <c r="O212" s="1942"/>
      <c r="P212" s="1942"/>
      <c r="Q212" s="1942"/>
      <c r="R212" s="1942"/>
      <c r="T212" s="1942" t="s">
        <v>1717</v>
      </c>
      <c r="U212" s="1942"/>
      <c r="V212" s="1942"/>
      <c r="W212" s="1942"/>
      <c r="X212" s="1942"/>
      <c r="Y212" s="1942"/>
      <c r="Z212" s="884"/>
      <c r="AA212" s="523"/>
      <c r="AB212" s="1945" t="s">
        <v>1718</v>
      </c>
      <c r="AC212" s="1945"/>
      <c r="AD212" s="1945"/>
      <c r="AE212" s="1945"/>
      <c r="AF212" s="1945"/>
      <c r="AG212" s="1945"/>
      <c r="AH212" s="861"/>
      <c r="AI212" s="861"/>
      <c r="AJ212" s="861"/>
      <c r="AK212" s="644"/>
    </row>
    <row r="213" spans="1:37">
      <c r="A213" s="639"/>
      <c r="B213" s="1944" t="s">
        <v>1291</v>
      </c>
      <c r="C213" s="1944"/>
      <c r="D213" s="1944"/>
      <c r="E213" s="1944"/>
      <c r="F213" s="1944"/>
      <c r="G213" s="1944"/>
      <c r="H213" s="886"/>
      <c r="I213" s="1912"/>
      <c r="J213" s="1912"/>
      <c r="K213" s="1912"/>
      <c r="L213" s="1043"/>
      <c r="N213" s="1909"/>
      <c r="O213" s="1909"/>
      <c r="P213" s="1909"/>
      <c r="Q213" s="1909"/>
      <c r="R213" s="1909"/>
      <c r="T213" s="1908"/>
      <c r="U213" s="1908"/>
      <c r="V213" s="1908"/>
      <c r="W213" s="1908"/>
      <c r="X213" s="1908"/>
      <c r="Y213" s="1908"/>
      <c r="Z213" s="885"/>
      <c r="AA213" s="885"/>
      <c r="AB213" s="1906">
        <f t="shared" ref="AB213:AB222" si="0">MAX(($T213-$N213)*$I213*12,0)</f>
        <v>0</v>
      </c>
      <c r="AC213" s="1906"/>
      <c r="AD213" s="1906"/>
      <c r="AE213" s="1906"/>
      <c r="AF213" s="1906"/>
      <c r="AG213" s="1906"/>
      <c r="AH213" s="861"/>
      <c r="AI213" s="861"/>
      <c r="AJ213" s="861"/>
      <c r="AK213" s="644"/>
    </row>
    <row r="214" spans="1:37">
      <c r="A214" s="639"/>
      <c r="B214" s="1944" t="s">
        <v>1291</v>
      </c>
      <c r="C214" s="1944"/>
      <c r="D214" s="1944"/>
      <c r="E214" s="1944"/>
      <c r="F214" s="1944"/>
      <c r="G214" s="1944"/>
      <c r="I214" s="1912"/>
      <c r="J214" s="1912"/>
      <c r="K214" s="1912"/>
      <c r="L214" s="1043"/>
      <c r="N214" s="1909"/>
      <c r="O214" s="1909"/>
      <c r="P214" s="1909"/>
      <c r="Q214" s="1909"/>
      <c r="R214" s="1909"/>
      <c r="T214" s="1908"/>
      <c r="U214" s="1908"/>
      <c r="V214" s="1908"/>
      <c r="W214" s="1908"/>
      <c r="X214" s="1908"/>
      <c r="Y214" s="1908"/>
      <c r="Z214" s="885"/>
      <c r="AA214" s="885"/>
      <c r="AB214" s="1906">
        <f t="shared" si="0"/>
        <v>0</v>
      </c>
      <c r="AC214" s="1906"/>
      <c r="AD214" s="1906"/>
      <c r="AE214" s="1906"/>
      <c r="AF214" s="1906"/>
      <c r="AG214" s="1906"/>
      <c r="AH214" s="861"/>
      <c r="AI214" s="861"/>
      <c r="AJ214" s="861"/>
      <c r="AK214" s="644"/>
    </row>
    <row r="215" spans="1:37">
      <c r="A215" s="639"/>
      <c r="B215" s="1944" t="s">
        <v>1291</v>
      </c>
      <c r="C215" s="1944"/>
      <c r="D215" s="1944"/>
      <c r="E215" s="1944"/>
      <c r="F215" s="1944"/>
      <c r="G215" s="1944"/>
      <c r="I215" s="1912"/>
      <c r="J215" s="1912"/>
      <c r="K215" s="1912"/>
      <c r="L215" s="1043"/>
      <c r="N215" s="1909"/>
      <c r="O215" s="1909"/>
      <c r="P215" s="1909"/>
      <c r="Q215" s="1909"/>
      <c r="R215" s="1909"/>
      <c r="T215" s="1908"/>
      <c r="U215" s="1908"/>
      <c r="V215" s="1908"/>
      <c r="W215" s="1908"/>
      <c r="X215" s="1908"/>
      <c r="Y215" s="1908"/>
      <c r="Z215" s="885"/>
      <c r="AA215" s="885"/>
      <c r="AB215" s="1906">
        <f t="shared" si="0"/>
        <v>0</v>
      </c>
      <c r="AC215" s="1906"/>
      <c r="AD215" s="1906"/>
      <c r="AE215" s="1906"/>
      <c r="AF215" s="1906"/>
      <c r="AG215" s="1906"/>
      <c r="AH215" s="861"/>
      <c r="AI215" s="861"/>
      <c r="AJ215" s="861"/>
      <c r="AK215" s="644"/>
    </row>
    <row r="216" spans="1:37">
      <c r="A216" s="639"/>
      <c r="B216" s="1944" t="s">
        <v>1291</v>
      </c>
      <c r="C216" s="1944"/>
      <c r="D216" s="1944"/>
      <c r="E216" s="1944"/>
      <c r="F216" s="1944"/>
      <c r="G216" s="1944"/>
      <c r="I216" s="1912"/>
      <c r="J216" s="1912"/>
      <c r="K216" s="1912"/>
      <c r="L216" s="1043"/>
      <c r="N216" s="1909"/>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1291</v>
      </c>
      <c r="C217" s="1944"/>
      <c r="D217" s="1944"/>
      <c r="E217" s="1944"/>
      <c r="F217" s="1944"/>
      <c r="G217" s="1944"/>
      <c r="I217" s="1912"/>
      <c r="J217" s="1912"/>
      <c r="K217" s="1912"/>
      <c r="L217" s="1050"/>
      <c r="N217" s="1909"/>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1291</v>
      </c>
      <c r="C218" s="1944"/>
      <c r="D218" s="1944"/>
      <c r="E218" s="1944"/>
      <c r="F218" s="1944"/>
      <c r="G218" s="1944"/>
      <c r="I218" s="1912"/>
      <c r="J218" s="1912"/>
      <c r="K218" s="1912"/>
      <c r="L218" s="1050"/>
      <c r="N218" s="1909"/>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1291</v>
      </c>
      <c r="C219" s="1944"/>
      <c r="D219" s="1944"/>
      <c r="E219" s="1944"/>
      <c r="F219" s="1944"/>
      <c r="G219" s="1944"/>
      <c r="I219" s="1912"/>
      <c r="J219" s="1912"/>
      <c r="K219" s="1912"/>
      <c r="L219" s="1050"/>
      <c r="N219" s="1909"/>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1291</v>
      </c>
      <c r="C220" s="1944"/>
      <c r="D220" s="1944"/>
      <c r="E220" s="1944"/>
      <c r="F220" s="1944"/>
      <c r="G220" s="1944"/>
      <c r="I220" s="1912"/>
      <c r="J220" s="1912"/>
      <c r="K220" s="1912"/>
      <c r="L220" s="1050"/>
      <c r="N220" s="1909"/>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1291</v>
      </c>
      <c r="C221" s="1944"/>
      <c r="D221" s="1944"/>
      <c r="E221" s="1944"/>
      <c r="F221" s="1944"/>
      <c r="G221" s="1944"/>
      <c r="I221" s="1912"/>
      <c r="J221" s="1912"/>
      <c r="K221" s="1912"/>
      <c r="L221" s="1050"/>
      <c r="N221" s="1909"/>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1291</v>
      </c>
      <c r="C222" s="1944"/>
      <c r="D222" s="1944"/>
      <c r="E222" s="1944"/>
      <c r="F222" s="1944"/>
      <c r="G222" s="1944"/>
      <c r="I222" s="2096"/>
      <c r="J222" s="2096"/>
      <c r="K222" s="2096"/>
      <c r="L222" s="1050"/>
      <c r="N222" s="1909"/>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6">
        <f>SUM(AB213:AB222)</f>
        <v>0</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c r="AC229" s="1946"/>
      <c r="AD229" s="1946"/>
      <c r="AE229" s="1946"/>
      <c r="AF229" s="1946"/>
      <c r="AG229" s="1946"/>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c r="AC233" s="1905"/>
      <c r="AD233" s="1905"/>
      <c r="AE233" s="1905"/>
      <c r="AF233" s="1905"/>
      <c r="AG233" s="1905"/>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0</v>
      </c>
      <c r="AC239" s="1906"/>
      <c r="AD239" s="1906"/>
      <c r="AE239" s="1906"/>
      <c r="AF239" s="1906"/>
      <c r="AG239" s="190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0</v>
      </c>
      <c r="AC241" s="2081"/>
      <c r="AD241" s="2081"/>
      <c r="AE241" s="2081"/>
      <c r="AF241" s="2081"/>
      <c r="AG241" s="2081"/>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0</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0</v>
      </c>
      <c r="AC249" s="2074"/>
      <c r="AD249" s="2074"/>
      <c r="AE249" s="2074"/>
      <c r="AF249" s="2074"/>
      <c r="AG249" s="20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0</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2800000</v>
      </c>
      <c r="AH257" s="1920"/>
      <c r="AI257" s="1920"/>
      <c r="AJ257" s="1920"/>
      <c r="AK257" s="192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67849527</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0.08</v>
      </c>
      <c r="AH259" s="2069"/>
      <c r="AI259" s="2069"/>
      <c r="AJ259" s="2069"/>
      <c r="AK259" s="2069"/>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8">
        <f>IFERROR(IF(AG259=0,0,IF((AG259*100)&gt;8,8,(AG259*100))),0)</f>
        <v>8</v>
      </c>
      <c r="AL262" s="2058"/>
      <c r="AM262" s="205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8" t="s">
        <v>554</v>
      </c>
      <c r="D267" s="1938"/>
      <c r="E267" s="581"/>
      <c r="F267" s="1889" t="s">
        <v>2340</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1475</v>
      </c>
      <c r="AH267" s="2067"/>
      <c r="AI267" s="2067"/>
      <c r="AJ267" s="2067"/>
      <c r="AK267" s="584"/>
      <c r="AL267" s="584"/>
      <c r="AM267" s="584"/>
      <c r="AO267" s="584"/>
    </row>
    <row r="268" spans="1:52" ht="13.7"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8">
        <f>IF($C$267="yes",10,0)</f>
        <v>10</v>
      </c>
      <c r="AL274" s="2058"/>
      <c r="AM274" s="205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7" t="s">
        <v>1494</v>
      </c>
      <c r="B281" s="1627"/>
      <c r="C281" s="2032" t="s">
        <v>554</v>
      </c>
      <c r="D281" s="1938"/>
      <c r="E281" s="581"/>
      <c r="F281" s="2060" t="s">
        <v>1495</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2333</v>
      </c>
      <c r="AH281" s="2063"/>
      <c r="AI281" s="2063"/>
      <c r="AJ281" s="2063"/>
      <c r="AK281" s="2063"/>
      <c r="AL281" s="584"/>
      <c r="AM281" s="584"/>
      <c r="AN281" s="73"/>
      <c r="AO281" s="14"/>
      <c r="AP281" s="30"/>
      <c r="AS281" s="604"/>
      <c r="AT281" s="604"/>
      <c r="AU281" s="604"/>
      <c r="AV281" s="32"/>
      <c r="AW281" s="32"/>
    </row>
    <row r="282" spans="1:49">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5" t="s">
        <v>2341</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5" t="s">
        <v>1496</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5" t="s">
        <v>1497</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7" t="s">
        <v>1498</v>
      </c>
      <c r="B291" s="1627"/>
      <c r="C291" s="1938" t="s">
        <v>600</v>
      </c>
      <c r="D291" s="193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2" t="s">
        <v>2335</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7" t="s">
        <v>1501</v>
      </c>
      <c r="B299" s="1627"/>
      <c r="C299" s="1938" t="s">
        <v>600</v>
      </c>
      <c r="D299" s="193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5" t="s">
        <v>2342</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1291</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5" t="s">
        <v>1291</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1" t="s">
        <v>1291</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1" t="s">
        <v>1291</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27" t="s">
        <v>1504</v>
      </c>
      <c r="B322" s="1627"/>
      <c r="C322" s="1938" t="s">
        <v>600</v>
      </c>
      <c r="D322" s="1938"/>
      <c r="E322" s="581"/>
      <c r="F322" s="2039" t="s">
        <v>2343</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3">
        <f>IF(NOT(OR(Application!M355="Yes",Application!M356="Yes")),0,AP284)</f>
        <v>10</v>
      </c>
      <c r="AL327" s="1924"/>
      <c r="AM327" s="192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9" t="s">
        <v>1426</v>
      </c>
      <c r="AF330" s="1929"/>
      <c r="AG330" s="1929"/>
      <c r="AH330" s="1929"/>
      <c r="AI330" s="1929"/>
      <c r="AJ330" s="1929"/>
      <c r="AK330" s="192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3" t="s">
        <v>1566</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5"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5"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5"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4"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2410</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3" t="s">
        <v>2574</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5"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5" customHeight="1">
      <c r="A342" s="637"/>
      <c r="B342" s="645"/>
      <c r="C342" s="1933" t="s">
        <v>1567</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5"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15"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5"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1.85"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0</v>
      </c>
      <c r="AS346" s="573" t="s">
        <v>1568</v>
      </c>
    </row>
    <row r="347" spans="1:46" s="584" customFormat="1" ht="12.75"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5"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7</v>
      </c>
      <c r="AS348" s="573" t="s">
        <v>1569</v>
      </c>
    </row>
    <row r="349" spans="1:46" s="584" customFormat="1" ht="12.75"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0</v>
      </c>
      <c r="AT349" s="1898"/>
    </row>
    <row r="350" spans="1:46" s="584" customFormat="1" ht="12.75"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590</v>
      </c>
      <c r="AP350" s="730">
        <f>IF(C396="Yes",5,0)</f>
        <v>0</v>
      </c>
      <c r="AS350" s="573" t="s">
        <v>2071</v>
      </c>
    </row>
    <row r="351" spans="1:46" s="584" customFormat="1" ht="12.75" customHeight="1">
      <c r="A351" s="637"/>
      <c r="B351" s="645"/>
      <c r="C351" s="2027" t="s">
        <v>1570</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1898">
        <f>IF(AQ355=0,AQ364,AQ355)</f>
        <v>10</v>
      </c>
      <c r="AT351" s="1898"/>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1936">
        <f>IF(AP355&gt;0,AP355,0)</f>
        <v>10</v>
      </c>
      <c r="AR355" s="1936"/>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3" t="s">
        <v>1571</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465</v>
      </c>
      <c r="AP358" s="730">
        <f>IF(C431="Yes",5,0)</f>
        <v>0</v>
      </c>
    </row>
    <row r="359" spans="1:81" s="584" customFormat="1" ht="12.75"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470</v>
      </c>
      <c r="AP359" s="730">
        <f>IF(C438="Yes",5,0)</f>
        <v>0</v>
      </c>
    </row>
    <row r="360" spans="1:81" s="584" customFormat="1" ht="68.099999999999994"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4">
        <f>Application!CS660-U363</f>
        <v>343</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5">
        <f>Application!AG756</f>
        <v>0</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6">
        <f>IF(AP364&gt;0,AP364,0)</f>
        <v>0</v>
      </c>
      <c r="AR364" s="1936"/>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7" t="s">
        <v>1573</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7" t="s">
        <v>600</v>
      </c>
      <c r="D370" s="193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1575</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7" t="s">
        <v>1576</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5" customHeight="1">
      <c r="A378" s="570"/>
      <c r="B378" s="14"/>
      <c r="C378" s="1937" t="s">
        <v>600</v>
      </c>
      <c r="D378" s="193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1575</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7" t="s">
        <v>1578</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7" t="s">
        <v>554</v>
      </c>
      <c r="D386" s="193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1580</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7" t="s">
        <v>600</v>
      </c>
      <c r="D388" s="193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1575</v>
      </c>
      <c r="AG388" s="1926"/>
      <c r="AH388" s="1926"/>
      <c r="AI388" s="1926"/>
      <c r="AJ388" s="1926"/>
      <c r="AK388" s="1926"/>
      <c r="AL388" s="193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7" t="s">
        <v>1584</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7" t="s">
        <v>600</v>
      </c>
      <c r="D396" s="193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1575</v>
      </c>
      <c r="AG396" s="1926"/>
      <c r="AH396" s="1926"/>
      <c r="AI396" s="1926"/>
      <c r="AJ396" s="1926"/>
      <c r="AK396" s="1926"/>
      <c r="AL396" s="193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7" t="s">
        <v>554</v>
      </c>
      <c r="D398" s="193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1587</v>
      </c>
      <c r="AG398" s="1926"/>
      <c r="AH398" s="1926"/>
      <c r="AI398" s="1926"/>
      <c r="AJ398" s="1926"/>
      <c r="AK398" s="1926"/>
      <c r="AL398" s="193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7" t="s">
        <v>600</v>
      </c>
      <c r="D401" s="1938"/>
      <c r="E401" s="749" t="s">
        <v>1588</v>
      </c>
      <c r="F401" s="1927" t="s">
        <v>1589</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1575</v>
      </c>
      <c r="AG402" s="1996"/>
      <c r="AH402" s="1996"/>
      <c r="AI402" s="1996"/>
      <c r="AJ402" s="1996"/>
      <c r="AK402" s="1996"/>
      <c r="AL402" s="2026"/>
      <c r="AM402" s="604"/>
      <c r="AN402" s="631"/>
      <c r="BS402" s="604"/>
      <c r="BT402" s="604"/>
      <c r="BY402" s="604"/>
      <c r="BZ402" s="604"/>
      <c r="CA402" s="604"/>
      <c r="CB402" s="604"/>
      <c r="CC402" s="604"/>
    </row>
    <row r="403" spans="1:81" s="584" customFormat="1" ht="12.75"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7" t="s">
        <v>1591</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5"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5"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5" customHeight="1">
      <c r="A410" s="570"/>
      <c r="B410" s="14"/>
      <c r="C410" s="1937" t="s">
        <v>600</v>
      </c>
      <c r="D410" s="193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1575</v>
      </c>
      <c r="AG410" s="1996"/>
      <c r="AH410" s="1996"/>
      <c r="AI410" s="1996"/>
      <c r="AJ410" s="1996"/>
      <c r="AK410" s="1996"/>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1937" t="s">
        <v>600</v>
      </c>
      <c r="D412" s="193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1587</v>
      </c>
      <c r="AG412" s="1996"/>
      <c r="AH412" s="1996"/>
      <c r="AI412" s="1996"/>
      <c r="AJ412" s="1996"/>
      <c r="AK412" s="1996"/>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7" t="s">
        <v>1595</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5"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4"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5" customHeight="1">
      <c r="A419" s="570"/>
      <c r="B419" s="14"/>
      <c r="C419" s="1937" t="s">
        <v>600</v>
      </c>
      <c r="D419" s="193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1575</v>
      </c>
      <c r="AG419" s="1996"/>
      <c r="AH419" s="1996"/>
      <c r="AI419" s="1996"/>
      <c r="AJ419" s="1996"/>
      <c r="AK419" s="1996"/>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7" t="s">
        <v>1598</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5"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5"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5"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5"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5"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5" customHeight="1">
      <c r="A431" s="570"/>
      <c r="B431" s="14"/>
      <c r="C431" s="1937" t="s">
        <v>600</v>
      </c>
      <c r="D431" s="193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1575</v>
      </c>
      <c r="AG431" s="1996"/>
      <c r="AH431" s="1996"/>
      <c r="AI431" s="1996"/>
      <c r="AJ431" s="1996"/>
      <c r="AK431" s="1996"/>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7" t="s">
        <v>1601</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5"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5"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5"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5" customHeight="1">
      <c r="A438" s="570"/>
      <c r="B438" s="14"/>
      <c r="C438" s="1937" t="s">
        <v>600</v>
      </c>
      <c r="D438" s="193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1575</v>
      </c>
      <c r="AG438" s="1996"/>
      <c r="AH438" s="1996"/>
      <c r="AI438" s="1996"/>
      <c r="AJ438" s="1996"/>
      <c r="AK438" s="1996"/>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5" t="s">
        <v>600</v>
      </c>
      <c r="D442" s="2056"/>
      <c r="E442" s="749" t="s">
        <v>1610</v>
      </c>
      <c r="F442" s="1927" t="s">
        <v>1611</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1575</v>
      </c>
      <c r="AG442" s="2022"/>
      <c r="AH442" s="2022"/>
      <c r="AI442" s="2022"/>
      <c r="AJ442" s="2022"/>
      <c r="AK442" s="2022"/>
      <c r="AL442" s="2023"/>
      <c r="AM442" s="604"/>
      <c r="AN442" s="787"/>
    </row>
    <row r="443" spans="1:40" s="584" customFormat="1" ht="12.75"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649999999999999"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7" t="s">
        <v>600</v>
      </c>
      <c r="D446" s="1938"/>
      <c r="E446" s="749" t="s">
        <v>1616</v>
      </c>
      <c r="F446" s="1927" t="s">
        <v>1617</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1575</v>
      </c>
      <c r="AG446" s="2022"/>
      <c r="AH446" s="2022"/>
      <c r="AI446" s="2022"/>
      <c r="AJ446" s="2022"/>
      <c r="AK446" s="2022"/>
      <c r="AL446" s="2023"/>
      <c r="AM446" s="604"/>
      <c r="AN446" s="569"/>
    </row>
    <row r="447" spans="1:40" s="584" customFormat="1" ht="12.75"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5"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5"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7" t="s">
        <v>1620</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5"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5"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5"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5" customHeight="1">
      <c r="A455" s="570"/>
      <c r="B455" s="14"/>
      <c r="C455" s="1937" t="s">
        <v>600</v>
      </c>
      <c r="D455" s="193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1575</v>
      </c>
      <c r="AG455" s="1926"/>
      <c r="AH455" s="1926"/>
      <c r="AI455" s="1926"/>
      <c r="AJ455" s="1926"/>
      <c r="AK455" s="1926"/>
      <c r="AL455" s="193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3">
        <f>IF(Application!D214="N/A",AS347,AS349)</f>
        <v>10</v>
      </c>
      <c r="AL458" s="1924"/>
      <c r="AM458" s="192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6" t="s">
        <v>1624</v>
      </c>
      <c r="AF461" s="1926"/>
      <c r="AG461" s="1926"/>
      <c r="AH461" s="1926"/>
      <c r="AI461" s="1926"/>
      <c r="AJ461" s="1926"/>
      <c r="AK461" s="1926"/>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3" t="s">
        <v>600</v>
      </c>
      <c r="D467" s="2004"/>
      <c r="E467" s="795" t="s">
        <v>516</v>
      </c>
      <c r="F467" s="2024" t="s">
        <v>1630</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9" t="s">
        <v>600</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0" t="s">
        <v>554</v>
      </c>
      <c r="D471" s="2021"/>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2" t="s">
        <v>600</v>
      </c>
      <c r="W474" s="1932"/>
      <c r="X474" s="1932"/>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2" t="s">
        <v>600</v>
      </c>
      <c r="W476" s="1932"/>
      <c r="X476" s="1932"/>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2" t="s">
        <v>600</v>
      </c>
      <c r="W481" s="1932"/>
      <c r="X481" s="1932"/>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6"/>
      <c r="E484" s="2006"/>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2" t="s">
        <v>600</v>
      </c>
      <c r="W485" s="1932"/>
      <c r="X485" s="1932"/>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2" t="s">
        <v>600</v>
      </c>
      <c r="W487" s="1932"/>
      <c r="X487" s="1932"/>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3" t="s">
        <v>600</v>
      </c>
      <c r="D490" s="2004"/>
      <c r="E490" s="795" t="s">
        <v>516</v>
      </c>
      <c r="F490" s="2024" t="s">
        <v>1630</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1" t="s">
        <v>600</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3" t="s">
        <v>600</v>
      </c>
      <c r="D494" s="2004"/>
      <c r="E494" s="795" t="s">
        <v>767</v>
      </c>
      <c r="F494" s="2012" t="s">
        <v>1652</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4" t="s">
        <v>600</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3" t="s">
        <v>600</v>
      </c>
      <c r="D499" s="200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5"/>
      <c r="D501" s="2006"/>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600</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8" t="s">
        <v>600</v>
      </c>
      <c r="D504" s="200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8" t="s">
        <v>600</v>
      </c>
      <c r="D508" s="2009"/>
      <c r="F508" s="829" t="s">
        <v>1660</v>
      </c>
      <c r="G508" s="1928" t="s">
        <v>1661</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5" t="s">
        <v>600</v>
      </c>
      <c r="D512" s="2016"/>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7" t="s">
        <v>600</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1673</v>
      </c>
      <c r="AF527" s="1929"/>
      <c r="AG527" s="1929"/>
      <c r="AH527" s="1929"/>
      <c r="AI527" s="1929"/>
      <c r="AJ527" s="1929"/>
      <c r="AK527" s="1929"/>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8" t="s">
        <v>600</v>
      </c>
      <c r="D530" s="1938"/>
      <c r="E530" s="585"/>
      <c r="F530" s="1997" t="s">
        <v>1674</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5"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8" t="s">
        <v>554</v>
      </c>
      <c r="D533" s="193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5" t="s">
        <v>1676</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5"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5" t="s">
        <v>1677</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5"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83111060</v>
      </c>
      <c r="AQ539" s="1910"/>
      <c r="AR539" s="1910"/>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63846304</v>
      </c>
      <c r="AG540" s="1920"/>
      <c r="AH540" s="1920"/>
      <c r="AI540" s="1920"/>
      <c r="AJ540" s="192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142917403</v>
      </c>
      <c r="AG541" s="1921"/>
      <c r="AH541" s="1921"/>
      <c r="AI541" s="1921"/>
      <c r="AJ541" s="1921"/>
      <c r="AK541" s="629"/>
      <c r="AL541" s="629"/>
      <c r="AM541" s="629"/>
      <c r="AN541" s="631"/>
      <c r="AP541" s="1910">
        <f>Application!AJ1044</f>
        <v>33244424</v>
      </c>
      <c r="AQ541" s="1910"/>
      <c r="AR541" s="1910"/>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1.1000000000000001</v>
      </c>
      <c r="AG542" s="1922"/>
      <c r="AH542" s="1922"/>
      <c r="AI542" s="1922"/>
      <c r="AJ542" s="1922"/>
      <c r="AK542" s="629"/>
      <c r="AL542" s="629"/>
      <c r="AM542" s="629"/>
      <c r="AN542" s="631"/>
      <c r="AP542" s="1911">
        <f>Application!AJ1048</f>
        <v>16622212</v>
      </c>
      <c r="AQ542" s="1911"/>
      <c r="AR542" s="191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0.6</v>
      </c>
      <c r="AQ543" s="1930"/>
      <c r="AR543" s="1930"/>
      <c r="AS543" s="584" t="s">
        <v>2537</v>
      </c>
    </row>
    <row r="544" spans="1:49" s="584" customFormat="1" ht="12.75" customHeight="1">
      <c r="A544" s="658"/>
      <c r="B544" s="1976" t="s">
        <v>2347</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5"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93050767</v>
      </c>
      <c r="AQ545" s="1931"/>
      <c r="AR545" s="1931"/>
      <c r="AS545" s="584" t="s">
        <v>2539</v>
      </c>
    </row>
    <row r="546" spans="1:45" s="584" customFormat="1" ht="12.75"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142917403</v>
      </c>
      <c r="AQ546" s="1910"/>
      <c r="AR546" s="1910"/>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5">
        <f>IFERROR(IF(AND(C530="N/A",C533="N/A"),0,IF(AF542=0,0,IF((AF542*100)&gt;12,12,(AF542*100)))),0)</f>
        <v>12</v>
      </c>
      <c r="AL548" s="1985"/>
      <c r="AM548" s="1986"/>
      <c r="AN548" s="631"/>
      <c r="AP548" s="1899">
        <f>AP545+(AP539*AP543)</f>
        <v>142917403</v>
      </c>
      <c r="AQ548" s="1900"/>
      <c r="AR548" s="19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1426</v>
      </c>
      <c r="AF551" s="1929"/>
      <c r="AG551" s="1929"/>
      <c r="AH551" s="1929"/>
      <c r="AI551" s="1929"/>
      <c r="AJ551" s="1929"/>
      <c r="AK551" s="192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6" t="s">
        <v>2338</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5"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5"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5"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5"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5"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5"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5"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1450</v>
      </c>
      <c r="AG567" s="1996"/>
      <c r="AH567" s="1996"/>
      <c r="AI567" s="1996"/>
      <c r="AJ567" s="1996"/>
      <c r="AK567" s="1996"/>
      <c r="AL567" s="1996"/>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1508</v>
      </c>
      <c r="AG574" s="1996"/>
      <c r="AH574" s="1996"/>
      <c r="AI574" s="1996"/>
      <c r="AJ574" s="1996"/>
      <c r="AK574" s="1996"/>
      <c r="AL574" s="1996"/>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1490</v>
      </c>
      <c r="AG580" s="1996"/>
      <c r="AH580" s="1996"/>
      <c r="AI580" s="1996"/>
      <c r="AJ580" s="1996"/>
      <c r="AK580" s="1996"/>
      <c r="AL580" s="1996"/>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1511</v>
      </c>
      <c r="AG586" s="1996"/>
      <c r="AH586" s="1996"/>
      <c r="AI586" s="1996"/>
      <c r="AJ586" s="1996"/>
      <c r="AK586" s="1996"/>
      <c r="AL586" s="1996"/>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5" t="s">
        <v>1291</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1464</v>
      </c>
      <c r="AG592" s="1996"/>
      <c r="AH592" s="1996"/>
      <c r="AI592" s="1996"/>
      <c r="AJ592" s="1996"/>
      <c r="AK592" s="1996"/>
      <c r="AL592" s="1996"/>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0" t="s">
        <v>1509</v>
      </c>
      <c r="I595" s="1940"/>
      <c r="J595" s="971"/>
      <c r="K595" s="971"/>
      <c r="L595" s="971"/>
      <c r="N595" s="22"/>
      <c r="O595" s="22"/>
      <c r="P595" s="22"/>
      <c r="Q595" s="1195" t="s">
        <v>2542</v>
      </c>
      <c r="R595" s="2036" t="s">
        <v>2543</v>
      </c>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4" t="s">
        <v>600</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2" t="s">
        <v>600</v>
      </c>
      <c r="C605" s="2032"/>
      <c r="D605" s="676"/>
      <c r="E605" s="1916" t="s">
        <v>1515</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5"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5"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5"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3">
        <f>VLOOKUP($H$595,$AO$575:$AP$580,2,FALSE)+IF(R595=AO583,0,VLOOKUP($I$603,$AO$602:$AP$604,2,FALSE))</f>
        <v>4</v>
      </c>
      <c r="AK610" s="192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3" t="s">
        <v>1885</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1464</v>
      </c>
      <c r="AG614" s="1996"/>
      <c r="AH614" s="1996"/>
      <c r="AI614" s="1996"/>
      <c r="AJ614" s="1996"/>
      <c r="AK614" s="1996"/>
      <c r="AL614" s="1996"/>
      <c r="AM614" s="584"/>
      <c r="AN614" s="712"/>
    </row>
    <row r="615" spans="1:42" s="584" customFormat="1" ht="12.75"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5"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5"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5"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5"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5"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5"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2" t="s">
        <v>600</v>
      </c>
      <c r="Y623" s="203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1520</v>
      </c>
      <c r="AG625" s="1996"/>
      <c r="AH625" s="1996"/>
      <c r="AI625" s="1996"/>
      <c r="AJ625" s="1996"/>
      <c r="AK625" s="1996"/>
      <c r="AL625" s="199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0" t="s">
        <v>518</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3">
        <f>VLOOKUP($H$627,$AO$594:$AP$596,2,FALSE)</f>
        <v>2</v>
      </c>
      <c r="AK629" s="1925"/>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6" t="s">
        <v>2417</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1464</v>
      </c>
      <c r="AG633" s="1996"/>
      <c r="AH633" s="1996"/>
      <c r="AI633" s="1996"/>
      <c r="AJ633" s="1996"/>
      <c r="AK633" s="1996"/>
      <c r="AL633" s="1996"/>
      <c r="AN633" s="631"/>
    </row>
    <row r="634" spans="1:42" s="584" customFormat="1" ht="12.75"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1520</v>
      </c>
      <c r="AG636" s="1996"/>
      <c r="AH636" s="1996"/>
      <c r="AI636" s="1996"/>
      <c r="AJ636" s="1996"/>
      <c r="AK636" s="1996"/>
      <c r="AL636" s="1996"/>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0" t="s">
        <v>600</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3">
        <f>VLOOKUP(H639,AT594:AU596,2,FALSE)</f>
        <v>0</v>
      </c>
      <c r="AK641" s="192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6" t="s">
        <v>1530</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1490</v>
      </c>
      <c r="AG646" s="1996"/>
      <c r="AH646" s="1996"/>
      <c r="AI646" s="1996"/>
      <c r="AJ646" s="1996"/>
      <c r="AK646" s="1996"/>
      <c r="AL646" s="1996"/>
      <c r="AN646" s="631"/>
    </row>
    <row r="647" spans="1:42" s="584" customFormat="1" ht="12.75"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5"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6" t="s">
        <v>1531</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1511</v>
      </c>
      <c r="AG650" s="1996"/>
      <c r="AH650" s="1996"/>
      <c r="AI650" s="1996"/>
      <c r="AJ650" s="1996"/>
      <c r="AK650" s="1996"/>
      <c r="AL650" s="1996"/>
      <c r="AN650" s="631"/>
    </row>
    <row r="651" spans="1:42" s="584" customFormat="1" ht="12.75"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6" t="s">
        <v>1532</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1464</v>
      </c>
      <c r="AG654" s="1996"/>
      <c r="AH654" s="1996"/>
      <c r="AI654" s="1996"/>
      <c r="AJ654" s="1996"/>
      <c r="AK654" s="1996"/>
      <c r="AL654" s="1996"/>
      <c r="AN654" s="631"/>
    </row>
    <row r="655" spans="1:42" s="584" customFormat="1" ht="12.75"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600</v>
      </c>
      <c r="AP655" s="707">
        <v>0</v>
      </c>
    </row>
    <row r="656" spans="1:42" s="584" customFormat="1" ht="12.75"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6" t="s">
        <v>1533</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1511</v>
      </c>
      <c r="AG658" s="1996"/>
      <c r="AH658" s="1996"/>
      <c r="AI658" s="1996"/>
      <c r="AJ658" s="1996"/>
      <c r="AK658" s="1996"/>
      <c r="AL658" s="1996"/>
      <c r="AN658" s="631"/>
    </row>
    <row r="659" spans="1:42" s="584" customFormat="1" ht="12.75"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6" t="s">
        <v>1534</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1464</v>
      </c>
      <c r="AG662" s="1996"/>
      <c r="AH662" s="1996"/>
      <c r="AI662" s="1996"/>
      <c r="AJ662" s="1996"/>
      <c r="AK662" s="1996"/>
      <c r="AL662" s="1996"/>
      <c r="AM662" s="630"/>
      <c r="AN662" s="631"/>
    </row>
    <row r="663" spans="1:42" s="584" customFormat="1" ht="12.75"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5"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6" t="s">
        <v>1535</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1520</v>
      </c>
      <c r="AG666" s="1996"/>
      <c r="AH666" s="1996"/>
      <c r="AI666" s="1996"/>
      <c r="AJ666" s="1996"/>
      <c r="AK666" s="1996"/>
      <c r="AL666" s="1996"/>
      <c r="AM666" s="630"/>
      <c r="AN666" s="631"/>
    </row>
    <row r="667" spans="1:42" s="584" customFormat="1" ht="12.75"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6" t="s">
        <v>1536</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1537</v>
      </c>
      <c r="AG670" s="1996"/>
      <c r="AH670" s="1996"/>
      <c r="AI670" s="1996"/>
      <c r="AJ670" s="1996"/>
      <c r="AK670" s="1996"/>
      <c r="AL670" s="1996"/>
      <c r="AM670" s="630"/>
      <c r="AN670" s="631"/>
      <c r="AO670" s="645" t="s">
        <v>697</v>
      </c>
      <c r="AP670" s="584">
        <v>3</v>
      </c>
    </row>
    <row r="671" spans="1:42" s="584" customFormat="1" ht="12.75"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0" t="s">
        <v>600</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3">
        <f>VLOOKUP($H$674,$AO$622:$AP$629,2,FALSE)</f>
        <v>0</v>
      </c>
      <c r="AK676" s="192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174</v>
      </c>
    </row>
    <row r="680" spans="1:51" s="584" customFormat="1" ht="12.75" customHeight="1">
      <c r="A680" s="713"/>
      <c r="B680" s="570"/>
      <c r="C680" s="983"/>
      <c r="D680" s="697" t="s">
        <v>697</v>
      </c>
      <c r="E680" s="2031" t="s">
        <v>2555</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1464</v>
      </c>
      <c r="AG680" s="1996"/>
      <c r="AH680" s="1996"/>
      <c r="AI680" s="1996"/>
      <c r="AJ680" s="1996"/>
      <c r="AK680" s="1996"/>
      <c r="AL680" s="1996"/>
      <c r="AN680" s="631"/>
      <c r="AW680" s="22" t="s">
        <v>2550</v>
      </c>
      <c r="AX680" s="584">
        <f>Application!CC632</f>
        <v>45</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6" t="s">
        <v>2454</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1464</v>
      </c>
      <c r="AG683" s="1996"/>
      <c r="AH683" s="1996"/>
      <c r="AI683" s="1996"/>
      <c r="AJ683" s="1996"/>
      <c r="AK683" s="1996"/>
      <c r="AL683" s="1996"/>
      <c r="AN683" s="631"/>
      <c r="AW683" s="22" t="s">
        <v>2553</v>
      </c>
      <c r="AX683" s="584">
        <f>AX680+AX681+AX682</f>
        <v>45</v>
      </c>
    </row>
    <row r="684" spans="1:51" s="584" customFormat="1" ht="12.75"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1</v>
      </c>
      <c r="AP684" s="1931"/>
      <c r="AW684" s="22" t="s">
        <v>2554</v>
      </c>
      <c r="AX684" s="584">
        <f>IFERROR(AX683/AX679,0)</f>
        <v>0.25862068965517243</v>
      </c>
      <c r="AY684" s="584">
        <f>IFERROR(AX683/(AX679-AX678),0)</f>
        <v>0.25862068965517243</v>
      </c>
    </row>
    <row r="685" spans="1:51" s="584" customFormat="1" ht="12.75"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6" t="s">
        <v>2455</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1520</v>
      </c>
      <c r="AG688" s="1996"/>
      <c r="AH688" s="1996"/>
      <c r="AI688" s="1996"/>
      <c r="AJ688" s="1996"/>
      <c r="AK688" s="1996"/>
      <c r="AL688" s="1996"/>
      <c r="AN688" s="631"/>
      <c r="AO688" s="645" t="s">
        <v>518</v>
      </c>
      <c r="AP688" s="584">
        <v>1</v>
      </c>
    </row>
    <row r="689" spans="1:42" s="584" customFormat="1" ht="12"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6" t="s">
        <v>1884</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0" t="s">
        <v>518</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3">
        <f>VLOOKUP($H$698,$AO$692:$AP$694,2,FALSE)</f>
        <v>3</v>
      </c>
      <c r="AK700" s="1925"/>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9" t="s">
        <v>1886</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1464</v>
      </c>
      <c r="AG704" s="1996"/>
      <c r="AH704" s="1996"/>
      <c r="AI704" s="1996"/>
      <c r="AJ704" s="1996"/>
      <c r="AK704" s="1996"/>
      <c r="AL704" s="1996"/>
      <c r="AM704" s="584"/>
      <c r="AN704" s="718"/>
      <c r="AP704" s="604" t="s">
        <v>1544</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0" t="s">
        <v>1547</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1520</v>
      </c>
      <c r="AG708" s="1996"/>
      <c r="AH708" s="1996"/>
      <c r="AI708" s="1996"/>
      <c r="AJ708" s="1996"/>
      <c r="AK708" s="1996"/>
      <c r="AL708" s="1996"/>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40" t="s">
        <v>600</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3">
        <f>VLOOKUP($H$712,$AP$709:$AQ$711,2,FALSE)</f>
        <v>0</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6" t="s">
        <v>1887</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1464</v>
      </c>
      <c r="AG718" s="1996"/>
      <c r="AH718" s="1996"/>
      <c r="AI718" s="1996"/>
      <c r="AJ718" s="1996"/>
      <c r="AK718" s="1996"/>
      <c r="AL718" s="1996"/>
      <c r="AM718" s="584"/>
      <c r="AN718" s="718"/>
      <c r="AT718" s="14"/>
      <c r="AU718" s="14"/>
      <c r="AV718" s="14"/>
      <c r="AW718" s="14"/>
      <c r="AX718" s="14"/>
      <c r="AY718" s="14"/>
      <c r="AZ718" s="14"/>
    </row>
    <row r="719" spans="1:52" s="604" customFormat="1">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6" t="s">
        <v>1551</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1520</v>
      </c>
      <c r="AG721" s="1996"/>
      <c r="AH721" s="1996"/>
      <c r="AI721" s="1996"/>
      <c r="AJ721" s="1996"/>
      <c r="AK721" s="1996"/>
      <c r="AL721" s="1996"/>
      <c r="AM721" s="584"/>
      <c r="AN721" s="718"/>
      <c r="AT721" s="14"/>
      <c r="AU721" s="14"/>
      <c r="AV721" s="14"/>
      <c r="AW721" s="14"/>
      <c r="AX721" s="14"/>
      <c r="AY721" s="14"/>
      <c r="AZ721" s="14"/>
    </row>
    <row r="722" spans="1:81" s="604" customFormat="1">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0" t="s">
        <v>600</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6" t="s">
        <v>1554</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1464</v>
      </c>
      <c r="AG730" s="1996"/>
      <c r="AH730" s="1996"/>
      <c r="AI730" s="1996"/>
      <c r="AJ730" s="1996"/>
      <c r="AK730" s="1996"/>
      <c r="AL730" s="1996"/>
      <c r="AM730" s="584"/>
      <c r="AN730" s="718"/>
      <c r="AT730" s="14"/>
      <c r="AU730" s="14"/>
      <c r="AV730" s="14"/>
      <c r="AW730" s="14"/>
      <c r="AX730" s="14"/>
      <c r="AY730" s="14"/>
      <c r="AZ730" s="14"/>
    </row>
    <row r="731" spans="1:81" s="604" customFormat="1">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6" t="s">
        <v>1555</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1520</v>
      </c>
      <c r="AG735" s="1996"/>
      <c r="AH735" s="1996"/>
      <c r="AI735" s="1996"/>
      <c r="AJ735" s="1996"/>
      <c r="AK735" s="1996"/>
      <c r="AL735" s="1996"/>
      <c r="AM735" s="584"/>
      <c r="AN735" s="718"/>
      <c r="AO735" s="30"/>
      <c r="AP735" s="14"/>
    </row>
    <row r="736" spans="1:81" s="604" customFormat="1">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0" t="s">
        <v>600</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3">
        <f>VLOOKUP($H$740,$AO$669:$AP$671,2,FALSE)</f>
        <v>0</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6" t="s">
        <v>1557</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1520</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6" t="s">
        <v>1558</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1537</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0" t="s">
        <v>697</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3">
        <f>VLOOKUP($H$752,$AO$686:$AP$688,2,FALSE)</f>
        <v>2</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6" t="s">
        <v>1883</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1520</v>
      </c>
      <c r="AG758" s="1996"/>
      <c r="AH758" s="1996"/>
      <c r="AI758" s="1996"/>
      <c r="AJ758" s="1996"/>
      <c r="AK758" s="1996"/>
      <c r="AL758" s="1996"/>
      <c r="AM758" s="647"/>
      <c r="AN758" s="718"/>
      <c r="AO758" s="584" t="s">
        <v>600</v>
      </c>
      <c r="AP758" s="707">
        <v>0</v>
      </c>
    </row>
    <row r="759" spans="1:74" s="604" customFormat="1" ht="13.7"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8" t="s">
        <v>1888</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1464</v>
      </c>
      <c r="AG763" s="1996"/>
      <c r="AH763" s="1996"/>
      <c r="AI763" s="1996"/>
      <c r="AJ763" s="1996"/>
      <c r="AK763" s="1996"/>
      <c r="AL763" s="199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0" t="s">
        <v>600</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3">
        <f>VLOOKUP($H$768,$AO$758:$AP$760,2,FALSE)</f>
        <v>0</v>
      </c>
      <c r="AK770" s="192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6" t="s">
        <v>2348</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1464</v>
      </c>
      <c r="AG774" s="1996"/>
      <c r="AH774" s="1996"/>
      <c r="AI774" s="1996"/>
      <c r="AJ774" s="1996"/>
      <c r="AK774" s="1996"/>
      <c r="AL774" s="1996"/>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0" t="s">
        <v>600</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3">
        <f>VLOOKUP($H$779,$AO$773:$AP$774,2,FALSE)</f>
        <v>0</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3">
        <f>IF(($AJ$610+$AJ$629+$AJ$641+$AJ$676+$AJ$700+$AJ$714+$AJ$726+$AJ$742+$AJ$754+$AJ$770+AJ781)&gt;10,10,($AJ$610+$AJ$629+$AJ$641+$AJ$676+$AJ$700+$AJ$714+$AJ$726+$AJ$742+$AJ$754+$AJ$770+AJ781))</f>
        <v>10</v>
      </c>
      <c r="AL783" s="1924"/>
      <c r="AM783" s="192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1681</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0" t="s">
        <v>1682</v>
      </c>
      <c r="U791" s="1991"/>
      <c r="V791" s="1991"/>
      <c r="W791" s="1991"/>
      <c r="X791" s="1991"/>
      <c r="Y791" s="1992"/>
      <c r="Z791" s="1990" t="s">
        <v>1683</v>
      </c>
      <c r="AA791" s="1991"/>
      <c r="AB791" s="1991"/>
      <c r="AC791" s="1991"/>
      <c r="AD791" s="1991"/>
      <c r="AE791" s="1992"/>
      <c r="AF791" s="1990" t="s">
        <v>1684</v>
      </c>
      <c r="AG791" s="1991"/>
      <c r="AH791" s="1991"/>
      <c r="AI791" s="1991"/>
      <c r="AJ791" s="1991"/>
      <c r="AK791" s="19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c r="A793" s="853" t="s">
        <v>767</v>
      </c>
      <c r="B793" s="1947" t="s">
        <v>1416</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c r="A794" s="853" t="s">
        <v>1654</v>
      </c>
      <c r="B794" s="1947" t="s">
        <v>1425</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c r="A795" s="853" t="s">
        <v>1663</v>
      </c>
      <c r="B795" s="1947" t="s">
        <v>1435</v>
      </c>
      <c r="C795" s="1947"/>
      <c r="D795" s="1947"/>
      <c r="E795" s="1947"/>
      <c r="F795" s="1947"/>
      <c r="G795" s="1947"/>
      <c r="H795" s="1947"/>
      <c r="I795" s="1947"/>
      <c r="J795" s="1947"/>
      <c r="K795" s="1947"/>
      <c r="L795" s="1947"/>
      <c r="M795" s="1947"/>
      <c r="N795" s="1947"/>
      <c r="O795" s="1947"/>
      <c r="P795" s="1947"/>
      <c r="Q795" s="1947"/>
      <c r="R795" s="1947"/>
      <c r="S795" s="1948"/>
      <c r="T795" s="1975">
        <f ca="1">AK103</f>
        <v>20</v>
      </c>
      <c r="U795" s="1951"/>
      <c r="V795" s="1951"/>
      <c r="W795" s="1951"/>
      <c r="X795" s="1951"/>
      <c r="Y795" s="1952"/>
      <c r="Z795" s="1950">
        <v>20</v>
      </c>
      <c r="AA795" s="1951"/>
      <c r="AB795" s="1951"/>
      <c r="AC795" s="1951"/>
      <c r="AD795" s="1951"/>
      <c r="AE795" s="1952"/>
      <c r="AF795" s="1936">
        <f ca="1">IF(T795&gt;Z795,Z795,T795)</f>
        <v>20</v>
      </c>
      <c r="AG795" s="1936"/>
      <c r="AH795" s="1936"/>
      <c r="AI795" s="1936"/>
      <c r="AJ795" s="1936"/>
      <c r="AK795" s="1936"/>
      <c r="AL795" s="852"/>
      <c r="AM795" s="630"/>
      <c r="AO795" s="850"/>
      <c r="AP795" s="850"/>
      <c r="AQ795" s="850"/>
    </row>
    <row r="796" spans="1:43">
      <c r="A796" s="853" t="s">
        <v>1685</v>
      </c>
      <c r="B796" s="1947" t="s">
        <v>1445</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c r="A797" s="854" t="s">
        <v>1686</v>
      </c>
      <c r="B797" s="1947" t="s">
        <v>1687</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c r="A798" s="569"/>
      <c r="B798" s="635"/>
      <c r="C798" s="1953" t="s">
        <v>1688</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c r="A799" s="634"/>
      <c r="B799" s="635"/>
      <c r="C799" s="1953" t="s">
        <v>1689</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c r="A800" s="854" t="s">
        <v>1473</v>
      </c>
      <c r="B800" s="1947" t="s">
        <v>1690</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c r="A801" s="853" t="s">
        <v>1482</v>
      </c>
      <c r="B801" s="1947" t="s">
        <v>1483</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idden="1">
      <c r="A802" s="854" t="s">
        <v>598</v>
      </c>
      <c r="B802" s="1947" t="s">
        <v>1691</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7" t="s">
        <v>1692</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7" t="s">
        <v>1493</v>
      </c>
      <c r="C804" s="1947"/>
      <c r="D804" s="1947"/>
      <c r="E804" s="1947"/>
      <c r="F804" s="1947"/>
      <c r="G804" s="1947"/>
      <c r="H804" s="1947"/>
      <c r="I804" s="1947"/>
      <c r="J804" s="1947"/>
      <c r="K804" s="1947"/>
      <c r="L804" s="1947"/>
      <c r="M804" s="1947"/>
      <c r="N804" s="1947"/>
      <c r="O804" s="1947"/>
      <c r="P804" s="1947"/>
      <c r="Q804" s="1947"/>
      <c r="R804" s="1947"/>
      <c r="S804" s="1948"/>
      <c r="T804" s="1949">
        <f>AK327</f>
        <v>10</v>
      </c>
      <c r="U804" s="1949"/>
      <c r="V804" s="1949"/>
      <c r="W804" s="1949"/>
      <c r="X804" s="1949"/>
      <c r="Y804" s="1949"/>
      <c r="Z804" s="1958">
        <v>10</v>
      </c>
      <c r="AA804" s="1959"/>
      <c r="AB804" s="1959"/>
      <c r="AC804" s="1959"/>
      <c r="AD804" s="1959"/>
      <c r="AE804" s="1960"/>
      <c r="AF804" s="1958">
        <f>IF(T804&gt;Z804,Z804,T804)</f>
        <v>10</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5">
        <f>AK327</f>
        <v>10</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7" t="s">
        <v>857</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7" t="s">
        <v>1672</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7" t="s">
        <v>1694</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1" t="s">
        <v>1695</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1696</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3" t="s">
        <v>1697</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 ca="1">SUM(AF793:AK808)-AF809</f>
        <v>120</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H4" sqref="H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9" t="s">
        <v>1698</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36463112</v>
      </c>
      <c r="I3" s="1145"/>
    </row>
    <row r="4" spans="1:13" s="1086" customFormat="1" ht="20.100000000000001" customHeight="1">
      <c r="B4" s="1134"/>
      <c r="D4" s="1148"/>
      <c r="F4" s="1132" t="s">
        <v>2303</v>
      </c>
      <c r="G4" s="1131" t="s">
        <v>2302</v>
      </c>
      <c r="H4" s="1133">
        <f>I16</f>
        <v>42062504.834150329</v>
      </c>
      <c r="I4" s="1135"/>
      <c r="K4" s="1090"/>
    </row>
    <row r="5" spans="1:13" s="1086" customFormat="1" ht="20.100000000000001" customHeight="1" thickBot="1">
      <c r="B5" s="1136"/>
      <c r="C5" s="1137"/>
      <c r="D5" s="1149"/>
      <c r="E5" s="1138"/>
      <c r="F5" s="1149" t="s">
        <v>2243</v>
      </c>
      <c r="G5" s="1150"/>
      <c r="H5" s="1146">
        <f>H3/H4</f>
        <v>0.86687923469540473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2241</v>
      </c>
      <c r="C8" s="2151"/>
      <c r="D8" s="2151"/>
      <c r="E8" s="2152"/>
      <c r="G8" s="2153" t="s">
        <v>2242</v>
      </c>
      <c r="H8" s="2154"/>
      <c r="I8" s="2155"/>
      <c r="K8" s="1092"/>
    </row>
    <row r="9" spans="1:13" ht="15" customHeight="1">
      <c r="A9" s="1081"/>
      <c r="B9" s="2144" t="s">
        <v>2280</v>
      </c>
      <c r="C9" s="2144"/>
      <c r="D9" s="2144"/>
      <c r="E9" s="1094">
        <f>G31</f>
        <v>10812500</v>
      </c>
      <c r="G9" s="2147" t="s">
        <v>2278</v>
      </c>
      <c r="H9" s="2147"/>
      <c r="I9" s="1095">
        <f>Application!AM554</f>
        <v>35978279</v>
      </c>
      <c r="K9" s="1096"/>
      <c r="M9" s="1097"/>
    </row>
    <row r="10" spans="1:13" ht="15" customHeight="1" thickBot="1">
      <c r="A10" s="1081"/>
      <c r="B10" s="2144" t="s">
        <v>2281</v>
      </c>
      <c r="C10" s="2144"/>
      <c r="D10" s="2144"/>
      <c r="E10" s="1095">
        <f>G40</f>
        <v>13613111.999999998</v>
      </c>
      <c r="G10" s="2147" t="s">
        <v>2244</v>
      </c>
      <c r="H10" s="2147"/>
      <c r="I10" s="1182">
        <f>'Basis &amp; Credits'!AB77</f>
        <v>5491319</v>
      </c>
      <c r="M10" s="1097"/>
    </row>
    <row r="11" spans="1:13" ht="15" customHeight="1">
      <c r="A11" s="1098"/>
      <c r="B11" s="2144" t="s">
        <v>2282</v>
      </c>
      <c r="C11" s="2144"/>
      <c r="D11" s="2144"/>
      <c r="E11" s="1095">
        <f>G49</f>
        <v>0</v>
      </c>
      <c r="G11" s="2147" t="s">
        <v>2293</v>
      </c>
      <c r="H11" s="2147"/>
      <c r="I11" s="1181">
        <f>I9+I10</f>
        <v>41469598</v>
      </c>
      <c r="M11" s="1097"/>
    </row>
    <row r="12" spans="1:13" ht="15" customHeight="1">
      <c r="A12" s="1084"/>
      <c r="B12" s="2144" t="s">
        <v>2283</v>
      </c>
      <c r="C12" s="2144"/>
      <c r="D12" s="2144"/>
      <c r="E12" s="1095">
        <f>G58</f>
        <v>360000</v>
      </c>
      <c r="G12" s="1183" t="s">
        <v>2318</v>
      </c>
      <c r="H12" s="1184"/>
      <c r="M12" s="1097"/>
    </row>
    <row r="13" spans="1:13" ht="15" customHeight="1">
      <c r="A13" s="1081"/>
      <c r="B13" s="2144" t="s">
        <v>2284</v>
      </c>
      <c r="C13" s="2144"/>
      <c r="D13" s="2144"/>
      <c r="E13" s="1100">
        <f>G83</f>
        <v>5190000</v>
      </c>
      <c r="G13" s="2148" t="s">
        <v>139</v>
      </c>
      <c r="H13" s="2148"/>
      <c r="I13" s="1099">
        <f>15%*(Application!AJ993&gt;0)</f>
        <v>0</v>
      </c>
      <c r="M13" s="1097"/>
    </row>
    <row r="14" spans="1:13" ht="15" customHeight="1">
      <c r="A14" s="1081"/>
      <c r="B14" s="2144" t="s">
        <v>2285</v>
      </c>
      <c r="C14" s="2144"/>
      <c r="D14" s="2144"/>
      <c r="E14" s="1095">
        <f>IF(G96&gt;G106,G96,0)</f>
        <v>6487500</v>
      </c>
      <c r="G14" s="1179" t="s">
        <v>2294</v>
      </c>
      <c r="H14" s="1179"/>
      <c r="I14" s="1099">
        <f>IF(Application!AJ1031&gt;0,10%,IF(Application!AJ1035&gt;0,5%,0))</f>
        <v>0</v>
      </c>
      <c r="M14" s="1097"/>
    </row>
    <row r="15" spans="1:13" ht="15" customHeight="1" thickBot="1">
      <c r="A15" s="1081"/>
      <c r="B15" s="2145" t="s">
        <v>2304</v>
      </c>
      <c r="C15" s="2145"/>
      <c r="D15" s="2145"/>
      <c r="E15" s="1151">
        <f>IF(E14&gt;0,0,G106)</f>
        <v>0</v>
      </c>
      <c r="G15" s="2142" t="s">
        <v>2295</v>
      </c>
      <c r="H15" s="2143"/>
      <c r="I15" s="1153">
        <f>G114</f>
        <v>-1.4297385620915032E-2</v>
      </c>
      <c r="M15" s="1097"/>
    </row>
    <row r="16" spans="1:13" ht="15" customHeight="1">
      <c r="A16" s="1081"/>
      <c r="B16" s="2146" t="s">
        <v>2240</v>
      </c>
      <c r="C16" s="2146"/>
      <c r="D16" s="2146"/>
      <c r="E16" s="1152">
        <f>SUM(E9:E15)</f>
        <v>36463112</v>
      </c>
      <c r="G16" s="1180" t="s">
        <v>2279</v>
      </c>
      <c r="H16" s="1180"/>
      <c r="I16" s="1154">
        <f>I11-((I11*I13)+(I11*I14)+(I11*I15))</f>
        <v>42062504.834150329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174</v>
      </c>
      <c r="O18" s="1124" t="s">
        <v>591</v>
      </c>
      <c r="P18" s="1079">
        <f>MATCH(Application!T189,Application!BV490:BV547,0)</f>
        <v>31</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0" t="s">
        <v>2297</v>
      </c>
      <c r="D20" s="2140" t="s">
        <v>2298</v>
      </c>
      <c r="E20" s="2140" t="s">
        <v>2299</v>
      </c>
      <c r="F20" s="2140" t="s">
        <v>2300</v>
      </c>
      <c r="G20" s="2140" t="s">
        <v>2296</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1"/>
      <c r="D21" s="2141"/>
      <c r="E21" s="2141"/>
      <c r="F21" s="2141"/>
      <c r="G21" s="2141"/>
      <c r="H21" s="1108"/>
      <c r="I21" s="1107"/>
      <c r="L21" s="1079">
        <f>IFERROR(MIN(4,MATCH(Application!B719,UnitSizes,0)-1),"")</f>
        <v>1</v>
      </c>
      <c r="M21" s="1101">
        <f>Application!G719</f>
        <v>27</v>
      </c>
      <c r="N21" s="1109">
        <f>Application!AC719</f>
        <v>0.5</v>
      </c>
      <c r="O21" s="1109">
        <f>IF(Cdlac[[#This Row],[Quantity]]&gt;0,IF(Cdlac[[#This Row],[Federal]],30%,IF($G$36,40%,Cdlac[[#This Row],[iAMI]])),"")</f>
        <v>0.5</v>
      </c>
      <c r="P21" s="1101" cm="1">
        <f t="array" ref="P21">IF(Cdlac[[#This Row],[Quantity]]&gt;0,INDEX(TcacRents,$P$18,Cdlac[[#This Row],[Bedrooms]]+1)*Cdlac[[#This Row],[AMI]],"")</f>
        <v>1005</v>
      </c>
      <c r="Q21" s="1101" cm="1">
        <f t="array" ref="Q21">IF(Cdlac[[#This Row],[Quantity]]&gt;0,INDEX(HudFmrs,$P$18,Cdlac[[#This Row],[Bedrooms]]+1),"")</f>
        <v>1400</v>
      </c>
      <c r="R21" s="1101">
        <f>IF(Cdlac[[#This Row],[Quantity]]&gt;0,MAX(0,Cdlac[[#This Row],[Fair Market Rent]]-Cdlac[[#This Row],[Restricted Rent]]),"")</f>
        <v>395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13</v>
      </c>
      <c r="N22" s="1109">
        <f>Application!AC720</f>
        <v>0.6</v>
      </c>
      <c r="O22" s="1109">
        <f>IF(Cdlac[[#This Row],[Quantity]]&gt;0,IF(Cdlac[[#This Row],[Federal]],30%,IF($G$36,40%,Cdlac[[#This Row],[iAMI]])),"")</f>
        <v>0.6</v>
      </c>
      <c r="P22" s="1101" cm="1">
        <f t="array" ref="P22">IF(Cdlac[[#This Row],[Quantity]]&gt;0,INDEX(TcacRents,$P$18,Cdlac[[#This Row],[Bedrooms]]+1)*Cdlac[[#This Row],[AMI]],"")</f>
        <v>1206</v>
      </c>
      <c r="Q22" s="1101" cm="1">
        <f t="array" ref="Q22">IF(Cdlac[[#This Row],[Quantity]]&gt;0,INDEX(HudFmrs,$P$18,Cdlac[[#This Row],[Bedrooms]]+1),"")</f>
        <v>1400</v>
      </c>
      <c r="R22" s="1101">
        <f>IF(Cdlac[[#This Row],[Quantity]]&gt;0,MAX(0,Cdlac[[#This Row],[Fair Market Rent]]-Cdlac[[#This Row],[Restricted Rent]]),"")</f>
        <v>194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50</v>
      </c>
      <c r="F23" s="1110">
        <f>E23</f>
        <v>50</v>
      </c>
      <c r="G23" s="1110">
        <f>D23*F23</f>
        <v>50</v>
      </c>
      <c r="L23" s="1079">
        <f>IFERROR(MIN(4,MATCH(Application!B721,UnitSizes,0)-1),"")</f>
        <v>1</v>
      </c>
      <c r="M23" s="1101">
        <f>Application!G721</f>
        <v>5</v>
      </c>
      <c r="N23" s="1109">
        <f>Application!AC721</f>
        <v>0.8</v>
      </c>
      <c r="O23" s="1109">
        <f>IF(Cdlac[[#This Row],[Quantity]]&gt;0,IF(Cdlac[[#This Row],[Federal]],30%,IF($G$36,40%,Cdlac[[#This Row],[iAMI]])),"")</f>
        <v>0.8</v>
      </c>
      <c r="P23" s="1101" cm="1">
        <f t="array" ref="P23">IF(Cdlac[[#This Row],[Quantity]]&gt;0,INDEX(TcacRents,$P$18,Cdlac[[#This Row],[Bedrooms]]+1)*Cdlac[[#This Row],[AMI]],"")</f>
        <v>1608</v>
      </c>
      <c r="Q23" s="1101" cm="1">
        <f t="array" ref="Q23">IF(Cdlac[[#This Row],[Quantity]]&gt;0,INDEX(HudFmrs,$P$18,Cdlac[[#This Row],[Bedrooms]]+1),"")</f>
        <v>1400</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79</v>
      </c>
      <c r="F24" s="1113">
        <f>SUM(E24:E26)-SUM(F25:F26)</f>
        <v>79</v>
      </c>
      <c r="G24" s="1110">
        <f>D24*F24</f>
        <v>98.75</v>
      </c>
      <c r="H24" s="1112"/>
      <c r="I24" s="1112"/>
      <c r="L24" s="1079">
        <f>IFERROR(MIN(4,MATCH(Application!B722,UnitSizes,0)-1),"")</f>
        <v>2</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723.6</v>
      </c>
      <c r="Q24" s="1101" cm="1">
        <f t="array" ref="Q24">IF(Cdlac[[#This Row],[Quantity]]&gt;0,INDEX(HudFmrs,$P$18,Cdlac[[#This Row],[Bedrooms]]+1),"")</f>
        <v>1756</v>
      </c>
      <c r="R24" s="1101">
        <f>IF(Cdlac[[#This Row],[Quantity]]&gt;0,MAX(0,Cdlac[[#This Row],[Fair Market Rent]]-Cdlac[[#This Row],[Restricted Rent]]),"")</f>
        <v>1032.4000000000001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45</v>
      </c>
      <c r="F25" s="1113">
        <f>MIN(E25,ROUNDDOWN(E27*30%,0))</f>
        <v>45</v>
      </c>
      <c r="G25" s="1110">
        <f>D25*F25</f>
        <v>67.5</v>
      </c>
      <c r="H25" s="1112"/>
      <c r="I25" s="1112"/>
      <c r="L25" s="1079">
        <f>IFERROR(MIN(4,MATCH(Application!B723,UnitSizes,0)-1),"")</f>
        <v>2</v>
      </c>
      <c r="M25" s="1101">
        <f>Application!G723</f>
        <v>38</v>
      </c>
      <c r="N25" s="1109">
        <f>Application!AC723</f>
        <v>0.5</v>
      </c>
      <c r="O25" s="1109">
        <f>IF(Cdlac[[#This Row],[Quantity]]&gt;0,IF(Cdlac[[#This Row],[Federal]],30%,IF($G$36,40%,Cdlac[[#This Row],[iAMI]])),"")</f>
        <v>0.5</v>
      </c>
      <c r="P25" s="1101" cm="1">
        <f t="array" ref="P25">IF(Cdlac[[#This Row],[Quantity]]&gt;0,INDEX(TcacRents,$P$18,Cdlac[[#This Row],[Bedrooms]]+1)*Cdlac[[#This Row],[AMI]],"")</f>
        <v>1206</v>
      </c>
      <c r="Q25" s="1101" cm="1">
        <f t="array" ref="Q25">IF(Cdlac[[#This Row],[Quantity]]&gt;0,INDEX(HudFmrs,$P$18,Cdlac[[#This Row],[Bedrooms]]+1),"")</f>
        <v>1756</v>
      </c>
      <c r="R25" s="1101">
        <f>IF(Cdlac[[#This Row],[Quantity]]&gt;0,MAX(0,Cdlac[[#This Row],[Fair Market Rent]]-Cdlac[[#This Row],[Restricted Rent]]),"")</f>
        <v>550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33</v>
      </c>
      <c r="N26" s="1109">
        <f>Application!AC724</f>
        <v>0.8</v>
      </c>
      <c r="O26" s="1109">
        <f>IF(Cdlac[[#This Row],[Quantity]]&gt;0,IF(Cdlac[[#This Row],[Federal]],30%,IF($G$36,40%,Cdlac[[#This Row],[iAMI]])),"")</f>
        <v>0.8</v>
      </c>
      <c r="P26" s="1101" cm="1">
        <f t="array" ref="P26">IF(Cdlac[[#This Row],[Quantity]]&gt;0,INDEX(TcacRents,$P$18,Cdlac[[#This Row],[Bedrooms]]+1)*Cdlac[[#This Row],[AMI]],"")</f>
        <v>1929.6000000000001</v>
      </c>
      <c r="Q26" s="1101" cm="1">
        <f t="array" ref="Q26">IF(Cdlac[[#This Row],[Quantity]]&gt;0,INDEX(HudFmrs,$P$18,Cdlac[[#This Row],[Bedrooms]]+1),"")</f>
        <v>1756</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6" t="s">
        <v>1699</v>
      </c>
      <c r="D27" s="2157"/>
      <c r="E27" s="1129">
        <f>SUM(E22:E26)</f>
        <v>174</v>
      </c>
      <c r="F27" s="1129">
        <f>SUM(F22:F26)</f>
        <v>174</v>
      </c>
      <c r="G27" s="1130">
        <f>SUMPRODUCT(D22:D26,F22:F26)</f>
        <v>216.25</v>
      </c>
      <c r="H27" s="1112"/>
      <c r="I27" s="1112"/>
      <c r="L27" s="1079">
        <f>IFERROR(MIN(4,MATCH(Application!B725,UnitSizes,0)-1),"")</f>
        <v>3</v>
      </c>
      <c r="M27" s="1101">
        <f>Application!G725</f>
        <v>5</v>
      </c>
      <c r="N27" s="1109">
        <f>Application!AC725</f>
        <v>0.3</v>
      </c>
      <c r="O27" s="1109">
        <f>IF(Cdlac[[#This Row],[Quantity]]&gt;0,IF(Cdlac[[#This Row],[Federal]],30%,IF($G$36,40%,Cdlac[[#This Row],[iAMI]])),"")</f>
        <v>0.3</v>
      </c>
      <c r="P27" s="1101" cm="1">
        <f t="array" ref="P27">IF(Cdlac[[#This Row],[Quantity]]&gt;0,INDEX(TcacRents,$P$18,Cdlac[[#This Row],[Bedrooms]]+1)*Cdlac[[#This Row],[AMI]],"")</f>
        <v>835.8</v>
      </c>
      <c r="Q27" s="1101" cm="1">
        <f t="array" ref="Q27">IF(Cdlac[[#This Row],[Quantity]]&gt;0,INDEX(HudFmrs,$P$18,Cdlac[[#This Row],[Bedrooms]]+1),"")</f>
        <v>2496</v>
      </c>
      <c r="R27" s="1101">
        <f>IF(Cdlac[[#This Row],[Quantity]]&gt;0,MAX(0,Cdlac[[#This Row],[Fair Market Rent]]-Cdlac[[#This Row],[Restricted Rent]]),"")</f>
        <v>1660.2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0.5</v>
      </c>
      <c r="O28" s="1109">
        <f>IF(Cdlac[[#This Row],[Quantity]]&gt;0,IF(Cdlac[[#This Row],[Federal]],30%,IF($G$36,40%,Cdlac[[#This Row],[iAMI]])),"")</f>
        <v>0.5</v>
      </c>
      <c r="P28" s="1101" cm="1">
        <f t="array" ref="P28">IF(Cdlac[[#This Row],[Quantity]]&gt;0,INDEX(TcacRents,$P$18,Cdlac[[#This Row],[Bedrooms]]+1)*Cdlac[[#This Row],[AMI]],"")</f>
        <v>1393</v>
      </c>
      <c r="Q28" s="1101" cm="1">
        <f t="array" ref="Q28">IF(Cdlac[[#This Row],[Quantity]]&gt;0,INDEX(HudFmrs,$P$18,Cdlac[[#This Row],[Bedrooms]]+1),"")</f>
        <v>2496</v>
      </c>
      <c r="R28" s="1101">
        <f>IF(Cdlac[[#This Row],[Quantity]]&gt;0,MAX(0,Cdlac[[#This Row],[Fair Market Rent]]-Cdlac[[#This Row],[Restricted Rent]]),"")</f>
        <v>1103</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216.25</v>
      </c>
      <c r="H29" s="1112"/>
      <c r="I29" s="1112"/>
      <c r="L29" s="1079">
        <f>IFERROR(MIN(4,MATCH(Application!B727,UnitSizes,0)-1),"")</f>
        <v>3</v>
      </c>
      <c r="M29" s="1101">
        <f>Application!G727</f>
        <v>11</v>
      </c>
      <c r="N29" s="1109">
        <f>Application!AC727</f>
        <v>0.6</v>
      </c>
      <c r="O29" s="1109">
        <f>IF(Cdlac[[#This Row],[Quantity]]&gt;0,IF(Cdlac[[#This Row],[Federal]],30%,IF($G$36,40%,Cdlac[[#This Row],[iAMI]])),"")</f>
        <v>0.6</v>
      </c>
      <c r="P29" s="1101" cm="1">
        <f t="array" ref="P29">IF(Cdlac[[#This Row],[Quantity]]&gt;0,INDEX(TcacRents,$P$18,Cdlac[[#This Row],[Bedrooms]]+1)*Cdlac[[#This Row],[AMI]],"")</f>
        <v>1671.6</v>
      </c>
      <c r="Q29" s="1101" cm="1">
        <f t="array" ref="Q29">IF(Cdlac[[#This Row],[Quantity]]&gt;0,INDEX(HudFmrs,$P$18,Cdlac[[#This Row],[Bedrooms]]+1),"")</f>
        <v>2496</v>
      </c>
      <c r="R29" s="1101">
        <f>IF(Cdlac[[#This Row],[Quantity]]&gt;0,MAX(0,Cdlac[[#This Row],[Fair Market Rent]]-Cdlac[[#This Row],[Restricted Rent]]),"")</f>
        <v>824.40000000000009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24</v>
      </c>
      <c r="N30" s="1109">
        <f>Application!AC728</f>
        <v>0.8</v>
      </c>
      <c r="O30" s="1109">
        <f>IF(Cdlac[[#This Row],[Quantity]]&gt;0,IF(Cdlac[[#This Row],[Federal]],30%,IF($G$36,40%,Cdlac[[#This Row],[iAMI]])),"")</f>
        <v>0.8</v>
      </c>
      <c r="P30" s="1101" cm="1">
        <f t="array" ref="P30">IF(Cdlac[[#This Row],[Quantity]]&gt;0,INDEX(TcacRents,$P$18,Cdlac[[#This Row],[Bedrooms]]+1)*Cdlac[[#This Row],[AMI]],"")</f>
        <v>2228.8000000000002</v>
      </c>
      <c r="Q30" s="1101" cm="1">
        <f t="array" ref="Q30">IF(Cdlac[[#This Row],[Quantity]]&gt;0,INDEX(HudFmrs,$P$18,Cdlac[[#This Row],[Bedrooms]]+1),"")</f>
        <v>2496</v>
      </c>
      <c r="R30" s="1101">
        <f>IF(Cdlac[[#This Row],[Quantity]]&gt;0,MAX(0,Cdlac[[#This Row],[Fair Market Rent]]-Cdlac[[#This Row],[Restricted Rent]]),"")</f>
        <v>267.19999999999982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10812500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75628.399999999994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13613111.999999998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87</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18</v>
      </c>
    </row>
    <row r="54" spans="2:14" ht="15" customHeight="1">
      <c r="E54" s="1159" t="s">
        <v>2307</v>
      </c>
      <c r="G54" s="1117">
        <f>ROUNDDOWN(E27*50%,0)</f>
        <v>87</v>
      </c>
    </row>
    <row r="55" spans="2:14" ht="15" customHeight="1">
      <c r="E55" s="1159"/>
      <c r="G55" s="1117"/>
    </row>
    <row r="56" spans="2:14" ht="15" customHeight="1">
      <c r="E56" s="1159" t="s">
        <v>2258</v>
      </c>
      <c r="G56" s="1156">
        <f>MIN(G53:G54)</f>
        <v>18</v>
      </c>
    </row>
    <row r="57" spans="2:14" ht="15" customHeight="1">
      <c r="E57" s="1159" t="s">
        <v>2248</v>
      </c>
      <c r="F57" s="1155" t="s">
        <v>2305</v>
      </c>
      <c r="G57" s="1166">
        <v>20000</v>
      </c>
    </row>
    <row r="58" spans="2:14" ht="15" customHeight="1">
      <c r="E58" s="1160" t="s">
        <v>2287</v>
      </c>
      <c r="F58" s="1081"/>
      <c r="G58" s="1165">
        <f>G56*G57</f>
        <v>360000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4</v>
      </c>
      <c r="L62" s="1169" t="str">
        <f>'Points System'!H627</f>
        <v>(ii)</v>
      </c>
      <c r="M62" s="2158" t="s">
        <v>1517</v>
      </c>
      <c r="N62" s="2159"/>
    </row>
    <row r="63" spans="2:14" ht="15" customHeight="1">
      <c r="E63" s="1124" t="s">
        <v>2248</v>
      </c>
      <c r="F63" s="1155" t="s">
        <v>2305</v>
      </c>
      <c r="G63" s="1114">
        <v>4000</v>
      </c>
      <c r="L63" s="1170" t="str">
        <f>'Points System'!H639</f>
        <v>N/A</v>
      </c>
      <c r="M63" s="2160" t="s">
        <v>2262</v>
      </c>
      <c r="N63" s="2161"/>
    </row>
    <row r="64" spans="2:14" ht="15" customHeight="1">
      <c r="E64" s="1124" t="s">
        <v>2309</v>
      </c>
      <c r="F64" s="1155" t="s">
        <v>2305</v>
      </c>
      <c r="G64" s="1168">
        <f>G27</f>
        <v>216.25</v>
      </c>
      <c r="L64" s="1170" t="str">
        <f>'Points System'!H674</f>
        <v>N/A</v>
      </c>
      <c r="M64" s="2160" t="s">
        <v>2263</v>
      </c>
      <c r="N64" s="2161"/>
    </row>
    <row r="65" spans="2:14" ht="15" customHeight="1">
      <c r="E65" s="1160" t="s">
        <v>2267</v>
      </c>
      <c r="F65" s="1081"/>
      <c r="G65" s="1165">
        <f>G62*G63*G64</f>
        <v>3460000</v>
      </c>
      <c r="L65" s="1170" t="str">
        <f>IF(OR('Points System'!H698="(ii)",'Points System'!H698="(i)"),"(i)","N/A")</f>
        <v>(i)</v>
      </c>
      <c r="M65" s="2160" t="s">
        <v>2264</v>
      </c>
      <c r="N65" s="2161"/>
    </row>
    <row r="66" spans="2:14" ht="15" customHeight="1">
      <c r="C66" s="1115"/>
      <c r="G66" s="1156"/>
      <c r="L66" s="1171" t="str">
        <f>'Points System'!H712</f>
        <v>N/A</v>
      </c>
      <c r="M66" s="2160" t="s">
        <v>1543</v>
      </c>
      <c r="N66" s="2161"/>
    </row>
    <row r="67" spans="2:14" ht="15" customHeight="1">
      <c r="E67" s="1124" t="s">
        <v>2310</v>
      </c>
      <c r="G67" s="1168">
        <f>COUNTIFS(L62:L69,"(i)")</f>
        <v>2</v>
      </c>
      <c r="L67" s="1170" t="str">
        <f>'Points System'!H724</f>
        <v>N/A</v>
      </c>
      <c r="M67" s="2160" t="s">
        <v>2265</v>
      </c>
      <c r="N67" s="2161"/>
    </row>
    <row r="68" spans="2:14" ht="15" customHeight="1">
      <c r="E68" s="1124" t="s">
        <v>2248</v>
      </c>
      <c r="F68" s="1155" t="s">
        <v>2305</v>
      </c>
      <c r="G68" s="1166">
        <v>4000</v>
      </c>
      <c r="L68" s="1170" t="str">
        <f>'Points System'!H740</f>
        <v>N/A</v>
      </c>
      <c r="M68" s="2160" t="s">
        <v>2266</v>
      </c>
      <c r="N68" s="2161"/>
    </row>
    <row r="69" spans="2:14" ht="15" customHeight="1" thickBot="1">
      <c r="E69" s="1160" t="s">
        <v>2268</v>
      </c>
      <c r="F69" s="1081"/>
      <c r="G69" s="1165">
        <f>G64*G67*G68</f>
        <v>1730000</v>
      </c>
      <c r="L69" s="1172" t="str">
        <f>'Points System'!H752</f>
        <v>(i)</v>
      </c>
      <c r="M69" s="2166" t="s">
        <v>1546</v>
      </c>
      <c r="N69" s="2167"/>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216.25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5190000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8" t="s">
        <v>2275</v>
      </c>
      <c r="M87" s="2169"/>
      <c r="N87" s="1173">
        <v>30000</v>
      </c>
    </row>
    <row r="88" spans="2:14" ht="15" customHeight="1">
      <c r="C88" s="1115" t="s">
        <v>2292</v>
      </c>
      <c r="G88" s="1119" t="str">
        <f>IF(Application!D211="Large Family","Yes","No")</f>
        <v>Yes</v>
      </c>
      <c r="L88" s="2162" t="s">
        <v>2239</v>
      </c>
      <c r="M88" s="2163"/>
      <c r="N88" s="1174">
        <v>20000</v>
      </c>
    </row>
    <row r="89" spans="2:14" ht="15" customHeight="1" thickBot="1">
      <c r="C89" s="1115" t="s">
        <v>2273</v>
      </c>
      <c r="G89" s="1078"/>
      <c r="L89" s="2164" t="s">
        <v>2276</v>
      </c>
      <c r="M89" s="2165"/>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216.25</v>
      </c>
    </row>
    <row r="96" spans="2:14" ht="15" customHeight="1">
      <c r="D96" s="1081"/>
      <c r="E96" s="1160" t="s">
        <v>2247</v>
      </c>
      <c r="F96" s="1081"/>
      <c r="G96" s="1165">
        <f>G95*G94*G92</f>
        <v>6487500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216.25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Placer</v>
      </c>
    </row>
    <row r="111" spans="2:9" ht="15" customHeight="1">
      <c r="E111" s="1124"/>
      <c r="G111" s="1116"/>
    </row>
    <row r="112" spans="2:9" ht="15" customHeight="1">
      <c r="E112" s="1124" t="str">
        <f>"2-Bedroom "&amp;G110&amp;" County Basis Limit"</f>
        <v>2-Bedroom Placer County Basis Limit</v>
      </c>
      <c r="G112" s="1116">
        <f>Application!R987</f>
        <v>461600</v>
      </c>
    </row>
    <row r="113" spans="4:9" ht="15" customHeight="1">
      <c r="E113" s="1124" t="s">
        <v>2313</v>
      </c>
      <c r="G113" s="1116">
        <f>MEDIAN((Application!BR806:BR863))</f>
        <v>489600</v>
      </c>
    </row>
    <row r="114" spans="4:9" ht="15" customHeight="1">
      <c r="D114" s="1081"/>
      <c r="E114" s="1160" t="s">
        <v>2315</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2022-06-02T00:41:49Z</cp:lastPrinted>
  <dcterms:created xsi:type="dcterms:W3CDTF">2007-12-27T18:26:28Z</dcterms:created>
  <dcterms:modified xsi:type="dcterms:W3CDTF">2024-04-22T21:41:46Z</dcterms:modified>
</cp:coreProperties>
</file>